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Ú Ý" sheetId="1" r:id="rId5"/>
    <sheet state="visible" name="HSK1" sheetId="2" r:id="rId6"/>
    <sheet state="visible" name="HSK2" sheetId="3" r:id="rId7"/>
    <sheet state="visible" name="HSK3" sheetId="4" r:id="rId8"/>
    <sheet state="visible" name="HSK4" sheetId="5" r:id="rId9"/>
    <sheet state="visible" name="HSK5" sheetId="6" r:id="rId10"/>
    <sheet state="visible" name="HSK6" sheetId="7" r:id="rId11"/>
  </sheets>
  <definedNames>
    <definedName hidden="1" localSheetId="2" name="_xlnm._FilterDatabase">'HSK2'!$A$1:$G$998</definedName>
    <definedName hidden="1" localSheetId="3" name="_xlnm._FilterDatabase">'HSK3'!$A$1:$G$999</definedName>
    <definedName hidden="1" localSheetId="5" name="_xlnm._FilterDatabase">'HSK5'!$A$1:$G$1296</definedName>
    <definedName hidden="1" localSheetId="6" name="_xlnm._FilterDatabase">'HSK6'!$A$1:$G$346</definedName>
  </definedNames>
  <calcPr/>
</workbook>
</file>

<file path=xl/sharedStrings.xml><?xml version="1.0" encoding="utf-8"?>
<sst xmlns="http://schemas.openxmlformats.org/spreadsheetml/2006/main" count="22558" uniqueCount="19399">
  <si>
    <t>Từ mới</t>
  </si>
  <si>
    <r>
      <rPr>
        <rFont val="Arial"/>
        <sz val="28.0"/>
      </rPr>
      <t xml:space="preserve">VÌ LÀ FILE SHARE CHUNG NÊN MÌNH ĐỂ CHẾ ĐỘ XEM
MỌI NGƯỜI TẠO BẢN SAO RỒI CHỈNH SỬA NHA ❤️
Hướng dẫn tạo bản sao: Tệp-&gt; Tạo bản sao
🔥Mình xin 1 tym+fl tại </t>
    </r>
    <r>
      <rPr>
        <rFont val="Arial"/>
        <b/>
        <sz val="28.0"/>
      </rPr>
      <t xml:space="preserve">Tiếng trung cùng HSKii 📚 </t>
    </r>
    <r>
      <rPr>
        <rFont val="Arial"/>
        <sz val="28.0"/>
      </rPr>
      <t xml:space="preserve">nha
</t>
    </r>
    <r>
      <rPr>
        <rFont val="Arial"/>
        <color rgb="FF1155CC"/>
        <sz val="28.0"/>
        <u/>
      </rPr>
      <t>https://www.tiktok.com/@tiengtrunghskii?is_from_webapp=1&amp;sender_device=pc</t>
    </r>
  </si>
  <si>
    <t>Phiên âm</t>
  </si>
  <si>
    <t>Giải thích</t>
  </si>
  <si>
    <t>Ví dụ (chữ hán)</t>
  </si>
  <si>
    <t xml:space="preserve">dịch ví dụ </t>
  </si>
  <si>
    <t>Luyện tập (gõ từ mới)</t>
  </si>
  <si>
    <t>Kiểm tra</t>
  </si>
  <si>
    <t>Tiến độ</t>
  </si>
  <si>
    <t>dịch ví dụ</t>
  </si>
  <si>
    <t xml:space="preserve"> dịch ví dụ </t>
  </si>
  <si>
    <t>爱</t>
  </si>
  <si>
    <t>阿姨</t>
  </si>
  <si>
    <t>āyí</t>
  </si>
  <si>
    <t>吧</t>
  </si>
  <si>
    <t>dì, cô (cách gọi người phụ nữ lớn tuổi)</t>
  </si>
  <si>
    <t>yêu</t>
  </si>
  <si>
    <t>阿姨非常喜欢我们。</t>
  </si>
  <si>
    <t>我爱你。</t>
  </si>
  <si>
    <t>ba</t>
  </si>
  <si>
    <t>đi, nhé, nhỉ (đứng cuối câu)</t>
  </si>
  <si>
    <t>请你帮我吧。</t>
  </si>
  <si>
    <t>八</t>
  </si>
  <si>
    <t>bā</t>
  </si>
  <si>
    <t>tám</t>
  </si>
  <si>
    <t>他有八个苹果。</t>
  </si>
  <si>
    <t>啊</t>
  </si>
  <si>
    <t>白</t>
  </si>
  <si>
    <t>a</t>
  </si>
  <si>
    <t>bái</t>
  </si>
  <si>
    <t>a, à, ơ (trợ từ ngữ khí)</t>
  </si>
  <si>
    <t>trắng</t>
  </si>
  <si>
    <t>啊，我忘记了！</t>
  </si>
  <si>
    <t>他的白色衬衫很漂亮。</t>
  </si>
  <si>
    <t>爸爸</t>
  </si>
  <si>
    <t>bàba</t>
  </si>
  <si>
    <t>bố</t>
  </si>
  <si>
    <t>我的爸爸很高。</t>
  </si>
  <si>
    <t>矮</t>
  </si>
  <si>
    <t>ǎi</t>
  </si>
  <si>
    <t>thấp, lùn</t>
  </si>
  <si>
    <t>杯子</t>
  </si>
  <si>
    <t>他比我矮。</t>
  </si>
  <si>
    <t>bēizi</t>
  </si>
  <si>
    <t>cốc</t>
  </si>
  <si>
    <t>这是我的杯子。</t>
  </si>
  <si>
    <t>百</t>
  </si>
  <si>
    <t>bǎi</t>
  </si>
  <si>
    <t>trăm</t>
  </si>
  <si>
    <t>北京</t>
  </si>
  <si>
    <t>我们要买一百个苹果。</t>
  </si>
  <si>
    <t>Běijīng</t>
  </si>
  <si>
    <t>Bắc Kinh</t>
  </si>
  <si>
    <t>爱好</t>
  </si>
  <si>
    <t>北京很大。</t>
  </si>
  <si>
    <t>àihào</t>
  </si>
  <si>
    <t>sở thích</t>
  </si>
  <si>
    <t>我的爱好是画画儿。</t>
  </si>
  <si>
    <t>本</t>
  </si>
  <si>
    <t>běn</t>
  </si>
  <si>
    <t>cuốn (dùng cho sách)</t>
  </si>
  <si>
    <t>这本书很有趣。</t>
  </si>
  <si>
    <t>安静</t>
  </si>
  <si>
    <t>ānjìng</t>
  </si>
  <si>
    <t>yên tĩnh</t>
  </si>
  <si>
    <t>帮助</t>
  </si>
  <si>
    <t>请保持安静。</t>
  </si>
  <si>
    <t>bāngzhù</t>
  </si>
  <si>
    <t>不客气</t>
  </si>
  <si>
    <t>giúp đỡ</t>
  </si>
  <si>
    <t>bú kèqì</t>
  </si>
  <si>
    <t>请你帮忙翻译这篇文章。</t>
  </si>
  <si>
    <t>không có gì (đáp lại lời cảm ơn)</t>
  </si>
  <si>
    <t>不客气。</t>
  </si>
  <si>
    <t>把</t>
  </si>
  <si>
    <t>bǎ</t>
  </si>
  <si>
    <t>đem, lấy (giới từ)</t>
  </si>
  <si>
    <t>把书给我。</t>
  </si>
  <si>
    <t>不</t>
  </si>
  <si>
    <t>bù</t>
  </si>
  <si>
    <t>không</t>
  </si>
  <si>
    <t>他不喜欢吃鱼。</t>
  </si>
  <si>
    <t>报纸</t>
  </si>
  <si>
    <t>bàozhǐ</t>
  </si>
  <si>
    <t>báo</t>
  </si>
  <si>
    <t>我每天都看报纸。</t>
  </si>
  <si>
    <t>班</t>
  </si>
  <si>
    <t>bān</t>
  </si>
  <si>
    <t>lớp, ca (làm việc)</t>
  </si>
  <si>
    <t>我们班有二十个学生。</t>
  </si>
  <si>
    <t>菜</t>
  </si>
  <si>
    <t>cài</t>
  </si>
  <si>
    <t>món ăn, rau củ</t>
  </si>
  <si>
    <t>我喜欢吃菜。</t>
  </si>
  <si>
    <t>搬</t>
  </si>
  <si>
    <t>比</t>
  </si>
  <si>
    <t>茶</t>
  </si>
  <si>
    <t>bǐ</t>
  </si>
  <si>
    <t>chá</t>
  </si>
  <si>
    <t>so sánh</t>
  </si>
  <si>
    <t>trà</t>
  </si>
  <si>
    <t>我的家比你的家大。</t>
  </si>
  <si>
    <t>chuyển, dời</t>
  </si>
  <si>
    <t>我喝茶。</t>
  </si>
  <si>
    <t>他搬家到北京了。</t>
  </si>
  <si>
    <t>吃</t>
  </si>
  <si>
    <t>chī</t>
  </si>
  <si>
    <t>ăn</t>
  </si>
  <si>
    <t>我吃苹果。</t>
  </si>
  <si>
    <t>别</t>
  </si>
  <si>
    <t>bié</t>
  </si>
  <si>
    <t>đừng, khác biệt</t>
  </si>
  <si>
    <t>别忘带钥匙。</t>
  </si>
  <si>
    <t>出租车</t>
  </si>
  <si>
    <t>半</t>
  </si>
  <si>
    <t>chūzūchē</t>
  </si>
  <si>
    <t>bàn</t>
  </si>
  <si>
    <t>taxi</t>
  </si>
  <si>
    <t>một nửa</t>
  </si>
  <si>
    <t>我坐出租车。</t>
  </si>
  <si>
    <t>我们半个小时后见。</t>
  </si>
  <si>
    <t>长</t>
  </si>
  <si>
    <t>cháng</t>
  </si>
  <si>
    <t>dài</t>
  </si>
  <si>
    <t>她的头发很长。</t>
  </si>
  <si>
    <t>打电话</t>
  </si>
  <si>
    <t>dǎ diànhuà</t>
  </si>
  <si>
    <t>gọi điện thoại</t>
  </si>
  <si>
    <t>她给我打电话。</t>
  </si>
  <si>
    <t>办法</t>
  </si>
  <si>
    <t>bànfǎ</t>
  </si>
  <si>
    <t>biện pháp</t>
  </si>
  <si>
    <t>我有一个好办法。</t>
  </si>
  <si>
    <t>大</t>
  </si>
  <si>
    <t>唱歌</t>
  </si>
  <si>
    <t>dà</t>
  </si>
  <si>
    <t>chànggē</t>
  </si>
  <si>
    <t>lớn, to</t>
  </si>
  <si>
    <t>这件衣服很大。</t>
  </si>
  <si>
    <t>hát</t>
  </si>
  <si>
    <t>我喜欢唱歌。</t>
  </si>
  <si>
    <t>办公室</t>
  </si>
  <si>
    <t>bàngōngshì</t>
  </si>
  <si>
    <t>văn phòng</t>
  </si>
  <si>
    <t>他在办公室工作。</t>
  </si>
  <si>
    <t>的</t>
  </si>
  <si>
    <t>de</t>
  </si>
  <si>
    <t>của (thuộc tính)</t>
  </si>
  <si>
    <t>这是我的书。</t>
  </si>
  <si>
    <t>出</t>
  </si>
  <si>
    <t>chū</t>
  </si>
  <si>
    <t>ra ngoài</t>
  </si>
  <si>
    <t>点</t>
  </si>
  <si>
    <t>diǎn</t>
  </si>
  <si>
    <t>giờ (trong thời gian)</t>
  </si>
  <si>
    <t>现在是三点。</t>
  </si>
  <si>
    <t>我们出去玩吧。</t>
  </si>
  <si>
    <t>帮忙</t>
  </si>
  <si>
    <t>bāngmáng</t>
  </si>
  <si>
    <t>giúp đỡ (động từ li hợp)</t>
  </si>
  <si>
    <t>有你帮忙我就放心了。</t>
  </si>
  <si>
    <t>电脑</t>
  </si>
  <si>
    <t>diànnǎo</t>
  </si>
  <si>
    <t>máy tính</t>
  </si>
  <si>
    <t>我用电脑。</t>
  </si>
  <si>
    <t>包</t>
  </si>
  <si>
    <t>bāo</t>
  </si>
  <si>
    <t>电视</t>
  </si>
  <si>
    <t>túi, bao</t>
  </si>
  <si>
    <t>diànshì</t>
  </si>
  <si>
    <t>我的包丢了。</t>
  </si>
  <si>
    <t>ti vi</t>
  </si>
  <si>
    <t>电视很大。</t>
  </si>
  <si>
    <t>穿</t>
  </si>
  <si>
    <t>chuān</t>
  </si>
  <si>
    <t>mặc</t>
  </si>
  <si>
    <t>你穿的衣服很漂亮。</t>
  </si>
  <si>
    <t>饱</t>
  </si>
  <si>
    <t>bǎo</t>
  </si>
  <si>
    <t>no</t>
  </si>
  <si>
    <t>我吃饱了。</t>
  </si>
  <si>
    <t>船</t>
  </si>
  <si>
    <t>chuán</t>
  </si>
  <si>
    <t>thuyền</t>
  </si>
  <si>
    <t>他坐在船上。</t>
  </si>
  <si>
    <t>北方</t>
  </si>
  <si>
    <t>běifāng</t>
  </si>
  <si>
    <t>miền Bắc</t>
  </si>
  <si>
    <t>北方的冬天很冷。</t>
  </si>
  <si>
    <t>电影</t>
  </si>
  <si>
    <t>diànyǐng</t>
  </si>
  <si>
    <t>phim</t>
  </si>
  <si>
    <t>我喜欢看电影。</t>
  </si>
  <si>
    <t>次</t>
  </si>
  <si>
    <t>cì</t>
  </si>
  <si>
    <t>被</t>
  </si>
  <si>
    <t>lần</t>
  </si>
  <si>
    <t>bèi</t>
  </si>
  <si>
    <t>这是我第一次来这里。</t>
  </si>
  <si>
    <t>bị, được (giới từ bị động)</t>
  </si>
  <si>
    <t>他被老师表扬了。</t>
  </si>
  <si>
    <t>东西</t>
  </si>
  <si>
    <t>dōngxī</t>
  </si>
  <si>
    <t>đồ vật, thứ</t>
  </si>
  <si>
    <t>这是什么东西？</t>
  </si>
  <si>
    <t>比较</t>
  </si>
  <si>
    <t>bǐjiào</t>
  </si>
  <si>
    <t>khá, tương đối</t>
  </si>
  <si>
    <t>她比较高。</t>
  </si>
  <si>
    <t>都</t>
  </si>
  <si>
    <t>dōu</t>
  </si>
  <si>
    <t xml:space="preserve">đều </t>
  </si>
  <si>
    <t>我们都去学校。</t>
  </si>
  <si>
    <t>从</t>
  </si>
  <si>
    <t>cóng</t>
  </si>
  <si>
    <t>từ, theo</t>
  </si>
  <si>
    <t>他从早上工作到晚上。</t>
  </si>
  <si>
    <t>比赛</t>
  </si>
  <si>
    <t>bǐsài</t>
  </si>
  <si>
    <t>cuộc thi, thi đấu</t>
  </si>
  <si>
    <t>他们在参加比赛。</t>
  </si>
  <si>
    <t>读</t>
  </si>
  <si>
    <t>dú</t>
  </si>
  <si>
    <t>đọc</t>
  </si>
  <si>
    <t>她读书很快。</t>
  </si>
  <si>
    <t>必须</t>
  </si>
  <si>
    <t>bìxū</t>
  </si>
  <si>
    <t>phải, cần phải</t>
  </si>
  <si>
    <t>你必须按时到。</t>
  </si>
  <si>
    <t>对不起</t>
  </si>
  <si>
    <t>duìbùqǐ</t>
  </si>
  <si>
    <t>xin lỗi</t>
  </si>
  <si>
    <t>对不起，我迟到了。</t>
  </si>
  <si>
    <t>错</t>
  </si>
  <si>
    <t>cuò</t>
  </si>
  <si>
    <t>sai</t>
  </si>
  <si>
    <t>爱情</t>
  </si>
  <si>
    <t>他做错了一个题。</t>
  </si>
  <si>
    <t>变化</t>
  </si>
  <si>
    <t>ài qíng [ái tình]</t>
  </si>
  <si>
    <t>biànhuà</t>
  </si>
  <si>
    <t>thay đổi</t>
  </si>
  <si>
    <t>多</t>
  </si>
  <si>
    <t>这里的天气变化很大。</t>
  </si>
  <si>
    <t>duō</t>
  </si>
  <si>
    <t>tình yêu</t>
  </si>
  <si>
    <t>nhiều</t>
  </si>
  <si>
    <t>我有很多书。</t>
  </si>
  <si>
    <t>他们的爱情很美好。</t>
  </si>
  <si>
    <t>表示</t>
  </si>
  <si>
    <t>多少</t>
  </si>
  <si>
    <t>duōshǎo</t>
  </si>
  <si>
    <t>biǎoshì</t>
  </si>
  <si>
    <t>bao nhiêu</t>
  </si>
  <si>
    <t>biểu thị, thể hiện</t>
  </si>
  <si>
    <t>这本书多少钱？</t>
  </si>
  <si>
    <t>他表示同意这个计划。</t>
  </si>
  <si>
    <t>打篮球</t>
  </si>
  <si>
    <t>dǎ lánqiú</t>
  </si>
  <si>
    <t>chơi bóng rổ</t>
  </si>
  <si>
    <t>他打篮球打得很好。</t>
  </si>
  <si>
    <t>儿子</t>
  </si>
  <si>
    <t>érzi</t>
  </si>
  <si>
    <t>con trai</t>
  </si>
  <si>
    <t>表演</t>
  </si>
  <si>
    <t>我的儿子很聪明。</t>
  </si>
  <si>
    <t>biǎoyǎn</t>
  </si>
  <si>
    <t>biểu diễn</t>
  </si>
  <si>
    <t>她在表演节目。</t>
  </si>
  <si>
    <t>二</t>
  </si>
  <si>
    <t>大家</t>
  </si>
  <si>
    <t>别人</t>
  </si>
  <si>
    <t>dàjiā</t>
  </si>
  <si>
    <t>biérén</t>
  </si>
  <si>
    <t>mọi người</t>
  </si>
  <si>
    <t>người khác</t>
  </si>
  <si>
    <t>èr</t>
  </si>
  <si>
    <t>别人的意见很重要。</t>
  </si>
  <si>
    <t>大家都很高兴。</t>
  </si>
  <si>
    <t>hai</t>
  </si>
  <si>
    <t>安排</t>
  </si>
  <si>
    <t>我喜欢“二”数字。</t>
  </si>
  <si>
    <t>ān pái [an bài]</t>
  </si>
  <si>
    <t>sắp xếp</t>
  </si>
  <si>
    <t>我已经安排好了行程。</t>
  </si>
  <si>
    <t>宾馆</t>
  </si>
  <si>
    <t>bīnguǎn</t>
  </si>
  <si>
    <t>安全</t>
  </si>
  <si>
    <t>khách sạn</t>
  </si>
  <si>
    <t>ān quán [an toàn]</t>
  </si>
  <si>
    <t>饭馆</t>
  </si>
  <si>
    <t>an toàn</t>
  </si>
  <si>
    <t>fànguǎn</t>
  </si>
  <si>
    <t>宾馆的房间很干净。</t>
  </si>
  <si>
    <t>这个地方很安全。</t>
  </si>
  <si>
    <t>nhà hàng</t>
  </si>
  <si>
    <t>我们去饭馆吃饭。</t>
  </si>
  <si>
    <t>但是</t>
  </si>
  <si>
    <t>dànshì</t>
  </si>
  <si>
    <t>nhưng</t>
  </si>
  <si>
    <t>按时</t>
  </si>
  <si>
    <t>àn shí</t>
  </si>
  <si>
    <t>我想去，但是没有时间。</t>
  </si>
  <si>
    <t>đúng hạn</t>
  </si>
  <si>
    <t>我们必须按时完成任务。</t>
  </si>
  <si>
    <t>飞机</t>
  </si>
  <si>
    <t>fēijī</t>
  </si>
  <si>
    <t>máy bay</t>
  </si>
  <si>
    <t>飞机很快。</t>
  </si>
  <si>
    <t>冰箱</t>
  </si>
  <si>
    <t>bīngxiāng</t>
  </si>
  <si>
    <t>tủ lạnh</t>
  </si>
  <si>
    <t>按照</t>
  </si>
  <si>
    <t>冰箱里有很多食物。</t>
  </si>
  <si>
    <t>àn zhào</t>
  </si>
  <si>
    <t>dựa vào, theo</t>
  </si>
  <si>
    <t>请按照说明操作。</t>
  </si>
  <si>
    <t>分钟</t>
  </si>
  <si>
    <t>fēnzhōng</t>
  </si>
  <si>
    <t>phút</t>
  </si>
  <si>
    <t>他等了五分钟。</t>
  </si>
  <si>
    <t>到</t>
  </si>
  <si>
    <t>才</t>
  </si>
  <si>
    <t>dào</t>
  </si>
  <si>
    <t>cái</t>
  </si>
  <si>
    <t>đến</t>
  </si>
  <si>
    <t>mới (nhấn mạnh thời gian muộn, trễ)</t>
  </si>
  <si>
    <t>我们今天到学校了。</t>
  </si>
  <si>
    <t>为什么你现在才来。</t>
  </si>
  <si>
    <t>百分之</t>
  </si>
  <si>
    <t>高兴</t>
  </si>
  <si>
    <t>bǎi fēn zhī</t>
  </si>
  <si>
    <t>gāoxìng</t>
  </si>
  <si>
    <t>%</t>
  </si>
  <si>
    <t>vui</t>
  </si>
  <si>
    <t>他的考试成绩是百分之九十。</t>
  </si>
  <si>
    <t>我很高兴。</t>
  </si>
  <si>
    <t>个</t>
  </si>
  <si>
    <t>菜单</t>
  </si>
  <si>
    <t>棒</t>
  </si>
  <si>
    <t>gè</t>
  </si>
  <si>
    <t>càidān</t>
  </si>
  <si>
    <t>cái (đơn vị lượng từ)</t>
  </si>
  <si>
    <t>bàng</t>
  </si>
  <si>
    <t>thực đơn</t>
  </si>
  <si>
    <t>我有一个钱包。</t>
  </si>
  <si>
    <t>cây gậy/ giỏi, tốt</t>
  </si>
  <si>
    <t>菜单上有很多菜。</t>
  </si>
  <si>
    <t>你真棒！</t>
  </si>
  <si>
    <t>工作</t>
  </si>
  <si>
    <t>包子</t>
  </si>
  <si>
    <t>gōngzuò</t>
  </si>
  <si>
    <t>bāo zi</t>
  </si>
  <si>
    <t>công việc</t>
  </si>
  <si>
    <t>bánh bao</t>
  </si>
  <si>
    <t>我的工作很忙。</t>
  </si>
  <si>
    <t>我喜欢吃包子。</t>
  </si>
  <si>
    <t>参加</t>
  </si>
  <si>
    <t>得</t>
  </si>
  <si>
    <t>cānjiā</t>
  </si>
  <si>
    <t xml:space="preserve">děi </t>
  </si>
  <si>
    <t>tham gia</t>
  </si>
  <si>
    <t>我参加了这个活动。</t>
  </si>
  <si>
    <t>phải, đạt được</t>
  </si>
  <si>
    <t>你得努力学习。</t>
  </si>
  <si>
    <t>狗</t>
  </si>
  <si>
    <t>保护</t>
  </si>
  <si>
    <t>gǒu</t>
  </si>
  <si>
    <t>bǎo hù</t>
  </si>
  <si>
    <t>che chở, bảo vệ</t>
  </si>
  <si>
    <t>chó</t>
  </si>
  <si>
    <t>我们要保护环境。</t>
  </si>
  <si>
    <t>这只狗很可爱。</t>
  </si>
  <si>
    <t>保证</t>
  </si>
  <si>
    <t>bǎo zhèng</t>
  </si>
  <si>
    <t>đảm bảo, cam đoan</t>
  </si>
  <si>
    <t>我保证完成任务。</t>
  </si>
  <si>
    <t>汉语</t>
  </si>
  <si>
    <t>Hànyǔ</t>
  </si>
  <si>
    <t>tiếng Hán</t>
  </si>
  <si>
    <t>我在学汉语。</t>
  </si>
  <si>
    <t>报名</t>
  </si>
  <si>
    <t>bào míng</t>
  </si>
  <si>
    <t>đăng kí</t>
  </si>
  <si>
    <t>我报名参加了比赛。</t>
  </si>
  <si>
    <t>好</t>
  </si>
  <si>
    <t>hǎo</t>
  </si>
  <si>
    <t>tốt, khỏe</t>
  </si>
  <si>
    <t>他很好。</t>
  </si>
  <si>
    <t>等</t>
  </si>
  <si>
    <t>děng</t>
  </si>
  <si>
    <t>đợi</t>
  </si>
  <si>
    <t>抱</t>
  </si>
  <si>
    <t>bào</t>
  </si>
  <si>
    <t>我们等你来。</t>
  </si>
  <si>
    <t>ôm</t>
  </si>
  <si>
    <t>他抱了我。</t>
  </si>
  <si>
    <t>草</t>
  </si>
  <si>
    <t>喝</t>
  </si>
  <si>
    <t>cǎo</t>
  </si>
  <si>
    <t>hē</t>
  </si>
  <si>
    <t>cỏ</t>
  </si>
  <si>
    <t>uống</t>
  </si>
  <si>
    <t>草地上有很多花。</t>
  </si>
  <si>
    <t>我喝水。</t>
  </si>
  <si>
    <t>抱歉</t>
  </si>
  <si>
    <t>bào qiàn</t>
  </si>
  <si>
    <t>很抱歉，我来晚了。</t>
  </si>
  <si>
    <t>倍</t>
  </si>
  <si>
    <t>和</t>
  </si>
  <si>
    <t>hé</t>
  </si>
  <si>
    <t>và</t>
  </si>
  <si>
    <t>价格翻了两倍。</t>
  </si>
  <si>
    <t>我和你一起去。</t>
  </si>
  <si>
    <t>层</t>
  </si>
  <si>
    <t>弟弟</t>
  </si>
  <si>
    <t>céng</t>
  </si>
  <si>
    <t>dìdì</t>
  </si>
  <si>
    <t>tầng</t>
  </si>
  <si>
    <t>我住在三层。</t>
  </si>
  <si>
    <t>em trai</t>
  </si>
  <si>
    <t>弟弟在玩玩具。</t>
  </si>
  <si>
    <t>本来</t>
  </si>
  <si>
    <t>běn lái</t>
  </si>
  <si>
    <t>vốn có, ban đầu</t>
  </si>
  <si>
    <t>很</t>
  </si>
  <si>
    <t>hěn</t>
  </si>
  <si>
    <t>rất</t>
  </si>
  <si>
    <t>差</t>
  </si>
  <si>
    <t>本来我不想去的。</t>
  </si>
  <si>
    <t>这个苹果很甜。</t>
  </si>
  <si>
    <t>chà</t>
  </si>
  <si>
    <t>kém, thiếu, tệ</t>
  </si>
  <si>
    <t>今天的天气很差。</t>
  </si>
  <si>
    <t>笨</t>
  </si>
  <si>
    <t>bèn</t>
  </si>
  <si>
    <t>ngốc nghếch</t>
  </si>
  <si>
    <t>他有点笨，但很努力。</t>
  </si>
  <si>
    <t>后面</t>
  </si>
  <si>
    <t>hòumiàn</t>
  </si>
  <si>
    <t>phía sau</t>
  </si>
  <si>
    <t>我家在后面。</t>
  </si>
  <si>
    <t>第一</t>
  </si>
  <si>
    <t>dì yī</t>
  </si>
  <si>
    <t>đầu tiên</t>
  </si>
  <si>
    <t>他是第一名。</t>
  </si>
  <si>
    <t>超市</t>
  </si>
  <si>
    <t>比如</t>
  </si>
  <si>
    <t>chāoshì</t>
  </si>
  <si>
    <t>bǐ rú</t>
  </si>
  <si>
    <t>siêu thị</t>
  </si>
  <si>
    <t>ví dụ như</t>
  </si>
  <si>
    <t>比如说，苹果和香蕉。</t>
  </si>
  <si>
    <t>我去超市买东西。</t>
  </si>
  <si>
    <t>回</t>
  </si>
  <si>
    <t>huí</t>
  </si>
  <si>
    <t>quay lại, về</t>
  </si>
  <si>
    <t>我回家了。</t>
  </si>
  <si>
    <t>毕业</t>
  </si>
  <si>
    <t>bì yè</t>
  </si>
  <si>
    <t>tốt nghiệp</t>
  </si>
  <si>
    <t>他今年大学毕业了。</t>
  </si>
  <si>
    <t>衬衫</t>
  </si>
  <si>
    <t>chènshān</t>
  </si>
  <si>
    <t>áo sơ mi</t>
  </si>
  <si>
    <t>懂</t>
  </si>
  <si>
    <t>他穿了一件白衬衫。</t>
  </si>
  <si>
    <t>遍</t>
  </si>
  <si>
    <t>会</t>
  </si>
  <si>
    <t>dǒng</t>
  </si>
  <si>
    <t>huì</t>
  </si>
  <si>
    <t>biàn</t>
  </si>
  <si>
    <t>lần, lượt</t>
  </si>
  <si>
    <t>sẽ, biết (kỹ năng)</t>
  </si>
  <si>
    <t>hiểu</t>
  </si>
  <si>
    <t>我会说汉语。</t>
  </si>
  <si>
    <t>这本书我看三遍了。</t>
  </si>
  <si>
    <t>我不懂这个问题。</t>
  </si>
  <si>
    <t>标准</t>
  </si>
  <si>
    <t>biāo zhǔn</t>
  </si>
  <si>
    <t>tiêu chuẩn</t>
  </si>
  <si>
    <t>成绩</t>
  </si>
  <si>
    <t>他的中文发音很标准。</t>
  </si>
  <si>
    <t>火车站</t>
  </si>
  <si>
    <t>chéngjì</t>
  </si>
  <si>
    <t>huǒchēzhàn</t>
  </si>
  <si>
    <t>thành tích</t>
  </si>
  <si>
    <t>ga tàu</t>
  </si>
  <si>
    <t>他的成绩很好。</t>
  </si>
  <si>
    <t>火车站在前面。</t>
  </si>
  <si>
    <t>对</t>
  </si>
  <si>
    <t>表格</t>
  </si>
  <si>
    <t>biǎo gé</t>
  </si>
  <si>
    <t>duì</t>
  </si>
  <si>
    <t>bảng biểu</t>
  </si>
  <si>
    <t>请填写这张表格。</t>
  </si>
  <si>
    <t>đúng, đối với</t>
  </si>
  <si>
    <t>你对我很好。</t>
  </si>
  <si>
    <t>几</t>
  </si>
  <si>
    <t>jǐ</t>
  </si>
  <si>
    <t xml:space="preserve">mấy </t>
  </si>
  <si>
    <t>你有几个苹果？</t>
  </si>
  <si>
    <t>城市</t>
  </si>
  <si>
    <t>chéngshì</t>
  </si>
  <si>
    <t>biǎo shì</t>
  </si>
  <si>
    <t>thành phố</t>
  </si>
  <si>
    <t>biểu thị, cho thấy</t>
  </si>
  <si>
    <t>这座城市很大。</t>
  </si>
  <si>
    <t>他表示同意。</t>
  </si>
  <si>
    <t>家</t>
  </si>
  <si>
    <t>jiā</t>
  </si>
  <si>
    <t>gia đình, nhà</t>
  </si>
  <si>
    <t>房间</t>
  </si>
  <si>
    <t>我家有四口人。</t>
  </si>
  <si>
    <t>biǎo yǎn</t>
  </si>
  <si>
    <t>fángjiān</t>
  </si>
  <si>
    <t>phòng</t>
  </si>
  <si>
    <t>她的表演很精彩。</t>
  </si>
  <si>
    <t>房间里很安静。</t>
  </si>
  <si>
    <t>迟到</t>
  </si>
  <si>
    <t>chídào</t>
  </si>
  <si>
    <t>đến trễ</t>
  </si>
  <si>
    <t>他今天迟到了。</t>
  </si>
  <si>
    <t>叫</t>
  </si>
  <si>
    <t>表扬</t>
  </si>
  <si>
    <t>jiào</t>
  </si>
  <si>
    <t>biǎo yáng</t>
  </si>
  <si>
    <t>gọi, tên gọi</t>
  </si>
  <si>
    <t>tuyên dương</t>
  </si>
  <si>
    <t>老师表扬了他。</t>
  </si>
  <si>
    <t>她叫李娜。</t>
  </si>
  <si>
    <t>出现</t>
  </si>
  <si>
    <t>chūxiàn</t>
  </si>
  <si>
    <t>xuất hiện</t>
  </si>
  <si>
    <t>非常</t>
  </si>
  <si>
    <t>我们出现了问题。</t>
  </si>
  <si>
    <t>fēicháng</t>
  </si>
  <si>
    <t>rất, cực kỳ</t>
  </si>
  <si>
    <t>这道菜非常好吃。</t>
  </si>
  <si>
    <t>饼干</t>
  </si>
  <si>
    <t>bǐng gān</t>
  </si>
  <si>
    <t>bánh</t>
  </si>
  <si>
    <t>我喜欢吃饼干。</t>
  </si>
  <si>
    <t>厨房</t>
  </si>
  <si>
    <t>chúfáng</t>
  </si>
  <si>
    <t>nhà bếp</t>
  </si>
  <si>
    <t>厨房很干净。</t>
  </si>
  <si>
    <t>并且</t>
  </si>
  <si>
    <t>bìng qiě</t>
  </si>
  <si>
    <t>đồng thời</t>
  </si>
  <si>
    <t>今天</t>
  </si>
  <si>
    <t>她聪明并且努力。</t>
  </si>
  <si>
    <t>jīntiān</t>
  </si>
  <si>
    <t>hôm nay</t>
  </si>
  <si>
    <t>今天是星期一。</t>
  </si>
  <si>
    <t>服务员</t>
  </si>
  <si>
    <t>fúwùyuán</t>
  </si>
  <si>
    <t>nhân viên phục vụ</t>
  </si>
  <si>
    <t>博士</t>
  </si>
  <si>
    <t>服务员请帮忙。</t>
  </si>
  <si>
    <t>bó shì</t>
  </si>
  <si>
    <t>除了</t>
  </si>
  <si>
    <t>tiến sĩ</t>
  </si>
  <si>
    <t>他是一个博士。</t>
  </si>
  <si>
    <t>chúle</t>
  </si>
  <si>
    <t>ngoài ra, trừ ra</t>
  </si>
  <si>
    <t>除了他，大家都来了。</t>
  </si>
  <si>
    <t>不得不</t>
  </si>
  <si>
    <t>bù dé bù</t>
  </si>
  <si>
    <t>đành</t>
  </si>
  <si>
    <t>我不得不去工作。</t>
  </si>
  <si>
    <t>春</t>
  </si>
  <si>
    <t>chūn</t>
  </si>
  <si>
    <t>mùa xuân</t>
  </si>
  <si>
    <t>春天来了，花开了。</t>
  </si>
  <si>
    <t>不管</t>
  </si>
  <si>
    <t>高</t>
  </si>
  <si>
    <t>bù guǎn</t>
  </si>
  <si>
    <t>bất kể</t>
  </si>
  <si>
    <t>gāo</t>
  </si>
  <si>
    <t>不管天气如何，我都会去。</t>
  </si>
  <si>
    <t>cao</t>
  </si>
  <si>
    <t>他很高。</t>
  </si>
  <si>
    <t>词语</t>
  </si>
  <si>
    <t>九</t>
  </si>
  <si>
    <t>不过</t>
  </si>
  <si>
    <t>cíyǔ</t>
  </si>
  <si>
    <t>bù guò</t>
  </si>
  <si>
    <t>từ ngữ</t>
  </si>
  <si>
    <t>nhưng, có điều</t>
  </si>
  <si>
    <t>jiǔ</t>
  </si>
  <si>
    <t>不过，这样更好。</t>
  </si>
  <si>
    <t>我喜欢学习新词语。</t>
  </si>
  <si>
    <t>chín</t>
  </si>
  <si>
    <t>我有九本书。</t>
  </si>
  <si>
    <t>告诉</t>
  </si>
  <si>
    <t>不仅</t>
  </si>
  <si>
    <t>gàosù</t>
  </si>
  <si>
    <t>bù jǐn</t>
  </si>
  <si>
    <t>nói cho, thông báo</t>
  </si>
  <si>
    <t>không những</t>
  </si>
  <si>
    <t>聪明</t>
  </si>
  <si>
    <t>请告诉我答案。</t>
  </si>
  <si>
    <t>他不仅聪明，而且很努力。</t>
  </si>
  <si>
    <t>cōngmíng</t>
  </si>
  <si>
    <t>thông minh</t>
  </si>
  <si>
    <t>她很聪明，总是知道答案。</t>
  </si>
  <si>
    <t>开</t>
  </si>
  <si>
    <t>kāi</t>
  </si>
  <si>
    <t>mở, khởi động</t>
  </si>
  <si>
    <t>我们开车去。</t>
  </si>
  <si>
    <t>部分</t>
  </si>
  <si>
    <t>bù fèn</t>
  </si>
  <si>
    <t>bộ phận, phần</t>
  </si>
  <si>
    <t>这只是问题的一部分。</t>
  </si>
  <si>
    <t>打扫</t>
  </si>
  <si>
    <t>dǎsǎo</t>
  </si>
  <si>
    <t>quét dọn</t>
  </si>
  <si>
    <t>我们一起打扫房间吧。</t>
  </si>
  <si>
    <t>哥哥</t>
  </si>
  <si>
    <t>gēge</t>
  </si>
  <si>
    <t>擦</t>
  </si>
  <si>
    <t>anh trai</t>
  </si>
  <si>
    <t>cā</t>
  </si>
  <si>
    <t>哥哥在家里。</t>
  </si>
  <si>
    <t>lau</t>
  </si>
  <si>
    <t>请把桌子擦干净。</t>
  </si>
  <si>
    <t>看</t>
  </si>
  <si>
    <t>kàn</t>
  </si>
  <si>
    <t>xem</t>
  </si>
  <si>
    <t>打算</t>
  </si>
  <si>
    <t>dǎsuàn</t>
  </si>
  <si>
    <t>dự định</t>
  </si>
  <si>
    <t>我打算去旅游。</t>
  </si>
  <si>
    <t>猜</t>
  </si>
  <si>
    <t>cāi</t>
  </si>
  <si>
    <t>đoán</t>
  </si>
  <si>
    <t>我猜他不会来。</t>
  </si>
  <si>
    <t>看见</t>
  </si>
  <si>
    <t>kànjiàn</t>
  </si>
  <si>
    <t>给</t>
  </si>
  <si>
    <t>nhìn thấy</t>
  </si>
  <si>
    <t>gěi</t>
  </si>
  <si>
    <t>我看见你了。</t>
  </si>
  <si>
    <t>đưa cho, cho</t>
  </si>
  <si>
    <t>请给我一本书。</t>
  </si>
  <si>
    <t>带</t>
  </si>
  <si>
    <t>材料</t>
  </si>
  <si>
    <t>cái liào</t>
  </si>
  <si>
    <t>mang theo, dẫn theo</t>
  </si>
  <si>
    <t>tài liệu</t>
  </si>
  <si>
    <t>别忘了带雨伞。</t>
  </si>
  <si>
    <t>请准备好材料。</t>
  </si>
  <si>
    <t>块</t>
  </si>
  <si>
    <t>kuài</t>
  </si>
  <si>
    <t>参观</t>
  </si>
  <si>
    <t>miếng, đồng (tiền)</t>
  </si>
  <si>
    <t>cān guān</t>
  </si>
  <si>
    <t>这个苹果两块钱。</t>
  </si>
  <si>
    <t>tham quan</t>
  </si>
  <si>
    <t>我们要去参观博物馆。</t>
  </si>
  <si>
    <t>担心</t>
  </si>
  <si>
    <t>公共汽车</t>
  </si>
  <si>
    <t>dānxīn</t>
  </si>
  <si>
    <t>gōnggòng qìchē</t>
  </si>
  <si>
    <t>lo lắng</t>
  </si>
  <si>
    <t>我担心他的健康。</t>
  </si>
  <si>
    <t>xe buýt</t>
  </si>
  <si>
    <t>餐厅</t>
  </si>
  <si>
    <t>cān tīng</t>
  </si>
  <si>
    <t>căng tin, nhà ăn</t>
  </si>
  <si>
    <t>来</t>
  </si>
  <si>
    <t>我们在餐厅吃饭。</t>
  </si>
  <si>
    <t>lái</t>
  </si>
  <si>
    <t>明天我来。</t>
  </si>
  <si>
    <t>蛋糕</t>
  </si>
  <si>
    <t>dàngāo</t>
  </si>
  <si>
    <t>bánh ngọt</t>
  </si>
  <si>
    <t>生日快乐，给你蛋糕。</t>
  </si>
  <si>
    <t>厕所</t>
  </si>
  <si>
    <t>cè suǒ</t>
  </si>
  <si>
    <t>公共汽车很方便。</t>
  </si>
  <si>
    <t>phòng vệ sinh</t>
  </si>
  <si>
    <t>厕所在那边。</t>
  </si>
  <si>
    <t>老师</t>
  </si>
  <si>
    <t>lǎoshī</t>
  </si>
  <si>
    <t>giáo viên</t>
  </si>
  <si>
    <t>我的老师很友好。</t>
  </si>
  <si>
    <t>当然</t>
  </si>
  <si>
    <t>差不多</t>
  </si>
  <si>
    <t>dāngrán</t>
  </si>
  <si>
    <t>chà bù duō</t>
  </si>
  <si>
    <t>gần như</t>
  </si>
  <si>
    <t>đương nhiên</t>
  </si>
  <si>
    <t>我们差不多同岁。</t>
  </si>
  <si>
    <t>你当然可以去。</t>
  </si>
  <si>
    <t>了</t>
  </si>
  <si>
    <t>le</t>
  </si>
  <si>
    <t>đã (dùng để chỉ sự thay đổi)</t>
  </si>
  <si>
    <t>她去了学校。</t>
  </si>
  <si>
    <t>长城</t>
  </si>
  <si>
    <t>cháng chéng</t>
  </si>
  <si>
    <t>Trường Thành</t>
  </si>
  <si>
    <t>我们参观了长城。</t>
  </si>
  <si>
    <t>公斤</t>
  </si>
  <si>
    <t>gōngjīn</t>
  </si>
  <si>
    <t>kilogram (kg)</t>
  </si>
  <si>
    <t>这个包十公斤。</t>
  </si>
  <si>
    <t>地</t>
  </si>
  <si>
    <t>trợ từ của động từ</t>
  </si>
  <si>
    <t>请慢慢地说。</t>
  </si>
  <si>
    <t>长江</t>
  </si>
  <si>
    <t>冷</t>
  </si>
  <si>
    <t>cháng jiāng</t>
  </si>
  <si>
    <t>lěng</t>
  </si>
  <si>
    <t>Trường Giang</t>
  </si>
  <si>
    <t>长江是中国最长的河流。</t>
  </si>
  <si>
    <t>lạnh</t>
  </si>
  <si>
    <t>外面很冷。</t>
  </si>
  <si>
    <t>尝</t>
  </si>
  <si>
    <t>nếm thử</t>
  </si>
  <si>
    <t>你尝过这道菜吗？</t>
  </si>
  <si>
    <t>灯</t>
  </si>
  <si>
    <t>dēng</t>
  </si>
  <si>
    <t>đèn</t>
  </si>
  <si>
    <t>里</t>
  </si>
  <si>
    <t>公司</t>
  </si>
  <si>
    <t>请开灯。</t>
  </si>
  <si>
    <t>lǐ</t>
  </si>
  <si>
    <t>gōngsī</t>
  </si>
  <si>
    <t>trong</t>
  </si>
  <si>
    <t>công ty</t>
  </si>
  <si>
    <t>我的书在里面。</t>
  </si>
  <si>
    <t>我在公司工作。</t>
  </si>
  <si>
    <t>场</t>
  </si>
  <si>
    <t>chǎng</t>
  </si>
  <si>
    <t>trận, suất</t>
  </si>
  <si>
    <t>这场比赛很重要。</t>
  </si>
  <si>
    <t>超过</t>
  </si>
  <si>
    <t>低</t>
  </si>
  <si>
    <t>chāo guò</t>
  </si>
  <si>
    <t>dī</t>
  </si>
  <si>
    <t>vượt trên</t>
  </si>
  <si>
    <t>thấp</t>
  </si>
  <si>
    <t>他超过了我。</t>
  </si>
  <si>
    <t>他的声音很低。</t>
  </si>
  <si>
    <t>零</t>
  </si>
  <si>
    <t>líng</t>
  </si>
  <si>
    <t>không (số 0)</t>
  </si>
  <si>
    <t>今天零度。</t>
  </si>
  <si>
    <t>成功</t>
  </si>
  <si>
    <t>chéng gōng</t>
  </si>
  <si>
    <t>thành công</t>
  </si>
  <si>
    <t>她终于成功了。</t>
  </si>
  <si>
    <t>地方</t>
  </si>
  <si>
    <t>贵</t>
  </si>
  <si>
    <t>dìfāng</t>
  </si>
  <si>
    <t>六</t>
  </si>
  <si>
    <t>guì</t>
  </si>
  <si>
    <t>nơi, chỗ</t>
  </si>
  <si>
    <t>liù</t>
  </si>
  <si>
    <t>成为</t>
  </si>
  <si>
    <t>đắt, quý</t>
  </si>
  <si>
    <t>这个地方很好玩。</t>
  </si>
  <si>
    <t>这件衣服很贵。</t>
  </si>
  <si>
    <t>chéng wéi</t>
  </si>
  <si>
    <t>sáu</t>
  </si>
  <si>
    <t>trở thành</t>
  </si>
  <si>
    <t>他想成为医生。</t>
  </si>
  <si>
    <t>我有六个苹果。</t>
  </si>
  <si>
    <t>诚实</t>
  </si>
  <si>
    <t>chéng shí</t>
  </si>
  <si>
    <t>trung thực</t>
  </si>
  <si>
    <t>他是个诚实的人。</t>
  </si>
  <si>
    <t>乘坐</t>
  </si>
  <si>
    <t>chéng zuò</t>
  </si>
  <si>
    <t>ngồi xe</t>
  </si>
  <si>
    <t>我们乘坐飞机去北京。</t>
  </si>
  <si>
    <t>吃惊</t>
  </si>
  <si>
    <t>chī jīng</t>
  </si>
  <si>
    <t>ngạc nhiên</t>
  </si>
  <si>
    <t>她的消息让我很吃惊。</t>
  </si>
  <si>
    <t>妈妈</t>
  </si>
  <si>
    <t>māma</t>
  </si>
  <si>
    <t>mẹ</t>
  </si>
  <si>
    <t>重新</t>
  </si>
  <si>
    <t>我的妈妈很漂亮。</t>
  </si>
  <si>
    <t>chóng xīn</t>
  </si>
  <si>
    <t>làm lại</t>
  </si>
  <si>
    <t>我重新开始学习中文。</t>
  </si>
  <si>
    <t>抽烟</t>
  </si>
  <si>
    <t>chōu yān</t>
  </si>
  <si>
    <t>hút thuốc</t>
  </si>
  <si>
    <t>请不要在这里抽烟。</t>
  </si>
  <si>
    <t>出差</t>
  </si>
  <si>
    <t>chū chāi</t>
  </si>
  <si>
    <t>đi công tác</t>
  </si>
  <si>
    <t>他经常出差。</t>
  </si>
  <si>
    <t>地铁</t>
  </si>
  <si>
    <t>dìtiě</t>
  </si>
  <si>
    <t>tàu điện ngầm</t>
  </si>
  <si>
    <t>出发</t>
  </si>
  <si>
    <t>我坐地铁去上班。</t>
  </si>
  <si>
    <t>chū fā</t>
  </si>
  <si>
    <t>xuất phát</t>
  </si>
  <si>
    <t>我们早上七点出发。</t>
  </si>
  <si>
    <t>出生</t>
  </si>
  <si>
    <t>chū shēng</t>
  </si>
  <si>
    <t>ra đời</t>
  </si>
  <si>
    <t>我在越南出生。</t>
  </si>
  <si>
    <t>过</t>
  </si>
  <si>
    <t>吗</t>
  </si>
  <si>
    <t>guò</t>
  </si>
  <si>
    <t>ma</t>
  </si>
  <si>
    <t>không (dùng trong câu hỏi)</t>
  </si>
  <si>
    <t>qua, đi qua</t>
  </si>
  <si>
    <t>你好吗？</t>
  </si>
  <si>
    <t>请过安检门。</t>
  </si>
  <si>
    <t>chū xiàn</t>
  </si>
  <si>
    <t>问题突然出现了。</t>
  </si>
  <si>
    <t>地图</t>
  </si>
  <si>
    <t>dìtú</t>
  </si>
  <si>
    <t>bản đồ</t>
  </si>
  <si>
    <t>买</t>
  </si>
  <si>
    <t>mǎi</t>
  </si>
  <si>
    <t>chú fáng</t>
  </si>
  <si>
    <t>你有这座城市的地图吗？</t>
  </si>
  <si>
    <t>phòng bếp</t>
  </si>
  <si>
    <t>mua</t>
  </si>
  <si>
    <t>她在厨房做饭。</t>
  </si>
  <si>
    <t>我买了水果。</t>
  </si>
  <si>
    <t>传真</t>
  </si>
  <si>
    <t>chuán zhēn</t>
  </si>
  <si>
    <t>fax, bản fax</t>
  </si>
  <si>
    <t>请发送传真。</t>
  </si>
  <si>
    <t>电梯</t>
  </si>
  <si>
    <t>diàntī</t>
  </si>
  <si>
    <t>还</t>
  </si>
  <si>
    <t>thang máy</t>
  </si>
  <si>
    <t>hái</t>
  </si>
  <si>
    <t>我们坐电梯上楼。</t>
  </si>
  <si>
    <t>vẫn, còn</t>
  </si>
  <si>
    <t>我还想要一杯水。</t>
  </si>
  <si>
    <t>窗户</t>
  </si>
  <si>
    <t>chuāng hù</t>
  </si>
  <si>
    <t>cửa sổ</t>
  </si>
  <si>
    <t>窗户开着。</t>
  </si>
  <si>
    <t>cí yǔ</t>
  </si>
  <si>
    <t>请学习这些词语。</t>
  </si>
  <si>
    <t>电子邮箱</t>
  </si>
  <si>
    <t>diànzǐ yóuxiāng</t>
  </si>
  <si>
    <t>hộp thư điện tử (email)</t>
  </si>
  <si>
    <t>猫</t>
  </si>
  <si>
    <t>请发电子邮件给我。</t>
  </si>
  <si>
    <t>māo</t>
  </si>
  <si>
    <t>孩子</t>
  </si>
  <si>
    <t>mèo</t>
  </si>
  <si>
    <t>háizi</t>
  </si>
  <si>
    <t>从来</t>
  </si>
  <si>
    <t>这只猫很可爱。</t>
  </si>
  <si>
    <t>trẻ con</t>
  </si>
  <si>
    <t>cóng lái</t>
  </si>
  <si>
    <t>孩子们都在玩。</t>
  </si>
  <si>
    <t>từ trước đến nay</t>
  </si>
  <si>
    <t>我从来没见过他。</t>
  </si>
  <si>
    <t>东</t>
  </si>
  <si>
    <t>粗心</t>
  </si>
  <si>
    <t>cū xīn</t>
  </si>
  <si>
    <t>dōng</t>
  </si>
  <si>
    <t>thô lỗ, cẩu thả</t>
  </si>
  <si>
    <t>đông (hướng đông)</t>
  </si>
  <si>
    <t>他做事很粗心。</t>
  </si>
  <si>
    <t>东边有一座山。</t>
  </si>
  <si>
    <t>没</t>
  </si>
  <si>
    <t>méi</t>
  </si>
  <si>
    <t>không có, chưa</t>
  </si>
  <si>
    <t>我没看见他。</t>
  </si>
  <si>
    <t>好吃</t>
  </si>
  <si>
    <t>hǎochī</t>
  </si>
  <si>
    <t>ngon</t>
  </si>
  <si>
    <t>这道菜很好吃。</t>
  </si>
  <si>
    <t>存</t>
  </si>
  <si>
    <t>cún</t>
  </si>
  <si>
    <t>giữ, tiết kiệm, tồn</t>
  </si>
  <si>
    <t>我在银行存了钱。</t>
  </si>
  <si>
    <t>冬</t>
  </si>
  <si>
    <t>mùa đông</t>
  </si>
  <si>
    <t>冬天很冷。</t>
  </si>
  <si>
    <t>没关系</t>
  </si>
  <si>
    <t>méi guānxi</t>
  </si>
  <si>
    <t>错误</t>
  </si>
  <si>
    <t>không sao, không có gì</t>
  </si>
  <si>
    <t>cuò wù</t>
  </si>
  <si>
    <t>sai lầm</t>
  </si>
  <si>
    <t>下雨了，没关系，我们有伞。</t>
  </si>
  <si>
    <t>这是我们的错误。</t>
  </si>
  <si>
    <t>号</t>
  </si>
  <si>
    <t>hào</t>
  </si>
  <si>
    <t>số (như số điện thoại, số nhà)</t>
  </si>
  <si>
    <t>你的手机号是多少？</t>
  </si>
  <si>
    <t>动物</t>
  </si>
  <si>
    <t>答案</t>
  </si>
  <si>
    <t>dòngwù</t>
  </si>
  <si>
    <t>dá àn</t>
  </si>
  <si>
    <t>đáp án</t>
  </si>
  <si>
    <t>động vật</t>
  </si>
  <si>
    <t>这是正确的答案。</t>
  </si>
  <si>
    <t>我喜欢动物。</t>
  </si>
  <si>
    <t>米饭</t>
  </si>
  <si>
    <t>mǐfàn</t>
  </si>
  <si>
    <t>cơm</t>
  </si>
  <si>
    <t>我们吃米饭。</t>
  </si>
  <si>
    <t>打扮</t>
  </si>
  <si>
    <t>黑</t>
  </si>
  <si>
    <t>dǎ bàn</t>
  </si>
  <si>
    <t>hēi</t>
  </si>
  <si>
    <t>trau chuốt, trang điểm</t>
  </si>
  <si>
    <t>她打扮得很漂亮。</t>
  </si>
  <si>
    <t>đen</t>
  </si>
  <si>
    <t>我的车是黑色的。</t>
  </si>
  <si>
    <t>短</t>
  </si>
  <si>
    <t>duǎn</t>
  </si>
  <si>
    <t>ngắn</t>
  </si>
  <si>
    <t>这条裙子太短了。</t>
  </si>
  <si>
    <t>明天</t>
  </si>
  <si>
    <t>míngtiān</t>
  </si>
  <si>
    <t>ngày mai</t>
  </si>
  <si>
    <t>打扰</t>
  </si>
  <si>
    <t>明天见。</t>
  </si>
  <si>
    <t>dǎ rǎo</t>
  </si>
  <si>
    <t>làm phiền</t>
  </si>
  <si>
    <t>对不起，打扰一下。</t>
  </si>
  <si>
    <t>红</t>
  </si>
  <si>
    <t>段</t>
  </si>
  <si>
    <t>hóng</t>
  </si>
  <si>
    <t>duàn</t>
  </si>
  <si>
    <t>đỏ</t>
  </si>
  <si>
    <t>打印</t>
  </si>
  <si>
    <t>đoạn, quãng</t>
  </si>
  <si>
    <t>dǎ yìn</t>
  </si>
  <si>
    <t>她喜欢红色的衣服。</t>
  </si>
  <si>
    <t>他讲了一段故事。</t>
  </si>
  <si>
    <t>in ấn</t>
  </si>
  <si>
    <t>请帮我打印这份文件。</t>
  </si>
  <si>
    <t>名字</t>
  </si>
  <si>
    <t>míngzi</t>
  </si>
  <si>
    <t>tên</t>
  </si>
  <si>
    <t>你叫什么名字？</t>
  </si>
  <si>
    <t>打招呼</t>
  </si>
  <si>
    <t>dǎ zhāo hū</t>
  </si>
  <si>
    <t>chào hỏi</t>
  </si>
  <si>
    <t>他向我打招呼。</t>
  </si>
  <si>
    <t>锻炼</t>
  </si>
  <si>
    <t>duànliàn</t>
  </si>
  <si>
    <t>luyện tập, rèn luyện</t>
  </si>
  <si>
    <t>欢迎</t>
  </si>
  <si>
    <t>我每天锻炼身体。</t>
  </si>
  <si>
    <t>huānyíng</t>
  </si>
  <si>
    <t>hoan nghênh, chào mừng</t>
  </si>
  <si>
    <t>哪里 (哪儿)</t>
  </si>
  <si>
    <t>欢迎你来我家。</t>
  </si>
  <si>
    <t>nǎlǐ (nǎr)</t>
  </si>
  <si>
    <t>đâu, chỗ nào</t>
  </si>
  <si>
    <t>打折</t>
  </si>
  <si>
    <t>你要去哪儿？</t>
  </si>
  <si>
    <t>dǎ zhé</t>
  </si>
  <si>
    <t>giảm giá</t>
  </si>
  <si>
    <t>商店正在打折。</t>
  </si>
  <si>
    <t>哪儿里</t>
  </si>
  <si>
    <t>多么</t>
  </si>
  <si>
    <t>duōme</t>
  </si>
  <si>
    <t>bao nhiêu, biết bao</t>
  </si>
  <si>
    <t>打针</t>
  </si>
  <si>
    <t>这里的景色多么美丽。</t>
  </si>
  <si>
    <t>dǎ zhēn</t>
  </si>
  <si>
    <t>tiêm</t>
  </si>
  <si>
    <t>我不喜欢打针。</t>
  </si>
  <si>
    <t>回答</t>
  </si>
  <si>
    <t>那</t>
  </si>
  <si>
    <t>huídá</t>
  </si>
  <si>
    <t xml:space="preserve">nà </t>
  </si>
  <si>
    <t>trả lời</t>
  </si>
  <si>
    <t>đó, kia</t>
  </si>
  <si>
    <t>请回答我的问题。</t>
  </si>
  <si>
    <t>那个书包很漂亮。</t>
  </si>
  <si>
    <t>大概</t>
  </si>
  <si>
    <t>dà gài</t>
  </si>
  <si>
    <t>khoảng</t>
  </si>
  <si>
    <t>他大概十岁。</t>
  </si>
  <si>
    <t>饿</t>
  </si>
  <si>
    <t>è</t>
  </si>
  <si>
    <t>đói</t>
  </si>
  <si>
    <t>我饿了，想吃饭。</t>
  </si>
  <si>
    <t>呢</t>
  </si>
  <si>
    <t>ne</t>
  </si>
  <si>
    <t>大使馆</t>
  </si>
  <si>
    <t>dà shǐ guǎn</t>
  </si>
  <si>
    <t>đại sứ quán</t>
  </si>
  <si>
    <t>thì sao? (dùng để hỏi thêm)</t>
  </si>
  <si>
    <t>我们去了大使馆。</t>
  </si>
  <si>
    <t>你呢？</t>
  </si>
  <si>
    <t>大约</t>
  </si>
  <si>
    <t>dà yuē</t>
  </si>
  <si>
    <t>而且</t>
  </si>
  <si>
    <t>他们大约八点到。</t>
  </si>
  <si>
    <t>érqiě</t>
  </si>
  <si>
    <t>mà còn, hơn nữa</t>
  </si>
  <si>
    <t>他聪明而且很努力。</t>
  </si>
  <si>
    <t>能</t>
  </si>
  <si>
    <t>néng</t>
  </si>
  <si>
    <t>có thể</t>
  </si>
  <si>
    <t>他能说三种语言。</t>
  </si>
  <si>
    <t>大夫</t>
  </si>
  <si>
    <t>dài fū</t>
  </si>
  <si>
    <t>机场</t>
  </si>
  <si>
    <t>bác sĩ, đại phu</t>
  </si>
  <si>
    <t>jīchǎng</t>
  </si>
  <si>
    <t>张大夫在医院工作。</t>
  </si>
  <si>
    <t>sân bay</t>
  </si>
  <si>
    <t>机场离这里很近。</t>
  </si>
  <si>
    <t>耳朵</t>
  </si>
  <si>
    <t>ěrduo</t>
  </si>
  <si>
    <t>tai</t>
  </si>
  <si>
    <t>我的耳朵很敏感。</t>
  </si>
  <si>
    <t>你</t>
  </si>
  <si>
    <t>戴</t>
  </si>
  <si>
    <t>nǐ</t>
  </si>
  <si>
    <t>đeo</t>
  </si>
  <si>
    <t>她戴着一顶帽子。</t>
  </si>
  <si>
    <t>bạn</t>
  </si>
  <si>
    <t xml:space="preserve">你叫什么名字？        </t>
  </si>
  <si>
    <t>鸡蛋</t>
  </si>
  <si>
    <t>当</t>
  </si>
  <si>
    <t>dāng</t>
  </si>
  <si>
    <t>jīdàn</t>
  </si>
  <si>
    <t>làm</t>
  </si>
  <si>
    <t>trứng gà</t>
  </si>
  <si>
    <t>我当老师。</t>
  </si>
  <si>
    <t>发烧</t>
  </si>
  <si>
    <t>我喜欢吃鸡蛋。</t>
  </si>
  <si>
    <t>fāshāo</t>
  </si>
  <si>
    <t>sốt</t>
  </si>
  <si>
    <t>他发烧了，要休息。</t>
  </si>
  <si>
    <t>年</t>
  </si>
  <si>
    <t>nián</t>
  </si>
  <si>
    <t>năm</t>
  </si>
  <si>
    <t>我结婚三年了。</t>
  </si>
  <si>
    <t>当时</t>
  </si>
  <si>
    <t>dāng shí</t>
  </si>
  <si>
    <t>lúc đó</t>
  </si>
  <si>
    <t>当时我在学校。</t>
  </si>
  <si>
    <t>件</t>
  </si>
  <si>
    <t>发现</t>
  </si>
  <si>
    <t>jiàn</t>
  </si>
  <si>
    <t>fāxiàn</t>
  </si>
  <si>
    <t>cái (dùng cho sự việc, quần áo)</t>
  </si>
  <si>
    <t>这件衣服很好看。</t>
  </si>
  <si>
    <t>phát hiện</t>
  </si>
  <si>
    <t>刀</t>
  </si>
  <si>
    <t>我发现了一个秘密。</t>
  </si>
  <si>
    <t>dāo</t>
  </si>
  <si>
    <t>cái dao</t>
  </si>
  <si>
    <t>请小心那把刀。</t>
  </si>
  <si>
    <t>女儿</t>
  </si>
  <si>
    <t>nǚ'ér</t>
  </si>
  <si>
    <t>con gái</t>
  </si>
  <si>
    <t xml:space="preserve">她是我的女儿。       </t>
  </si>
  <si>
    <t>导游</t>
  </si>
  <si>
    <t>dǎo yóu</t>
  </si>
  <si>
    <t>hướng dẫn viên du lịch</t>
  </si>
  <si>
    <t>导游带我们参观了城市。</t>
  </si>
  <si>
    <t>教室</t>
  </si>
  <si>
    <t>方便</t>
  </si>
  <si>
    <t>jiàoshì</t>
  </si>
  <si>
    <t>fāngbiàn</t>
  </si>
  <si>
    <t>lớp học</t>
  </si>
  <si>
    <t>thuận tiện</t>
  </si>
  <si>
    <t>学生们在教室里学习。</t>
  </si>
  <si>
    <t>这里很方便。</t>
  </si>
  <si>
    <t>朋友</t>
  </si>
  <si>
    <t xml:space="preserve">péngyou </t>
  </si>
  <si>
    <t>到处</t>
  </si>
  <si>
    <t>dào chù</t>
  </si>
  <si>
    <t>khắp nơi</t>
  </si>
  <si>
    <t>她的朋友很聪明。</t>
  </si>
  <si>
    <t>我们到处找你。</t>
  </si>
  <si>
    <t>放</t>
  </si>
  <si>
    <t>fàng</t>
  </si>
  <si>
    <t>đặt, để</t>
  </si>
  <si>
    <t>请把书放在桌子上。</t>
  </si>
  <si>
    <t>到底</t>
  </si>
  <si>
    <t>dào dǐ</t>
  </si>
  <si>
    <t>cuối cùng</t>
  </si>
  <si>
    <t>漂亮</t>
  </si>
  <si>
    <t>姐姐</t>
  </si>
  <si>
    <t>你到底在做什么？</t>
  </si>
  <si>
    <t>piàoliang</t>
  </si>
  <si>
    <t>jiějie</t>
  </si>
  <si>
    <t>đẹp</t>
  </si>
  <si>
    <t>chị gái</t>
  </si>
  <si>
    <t>她很漂亮。</t>
  </si>
  <si>
    <t>姐姐比我大三岁。</t>
  </si>
  <si>
    <t>倒</t>
  </si>
  <si>
    <t>dǎo</t>
  </si>
  <si>
    <t>放心</t>
  </si>
  <si>
    <t>đổ, ngã</t>
  </si>
  <si>
    <t>他把茶倒在了桌子上。</t>
  </si>
  <si>
    <t>fàngxīn</t>
  </si>
  <si>
    <t>yên tâm</t>
  </si>
  <si>
    <t>请你放心。</t>
  </si>
  <si>
    <t>苹果</t>
  </si>
  <si>
    <t>píngguǒ</t>
  </si>
  <si>
    <t>介绍</t>
  </si>
  <si>
    <t>táo</t>
  </si>
  <si>
    <t>道歉</t>
  </si>
  <si>
    <t>jièshào</t>
  </si>
  <si>
    <t>dào qiàn</t>
  </si>
  <si>
    <t>这个苹果很好吃。</t>
  </si>
  <si>
    <t>giới thiệu</t>
  </si>
  <si>
    <t>我向你道歉。</t>
  </si>
  <si>
    <t>请介绍一下你自己。</t>
  </si>
  <si>
    <t>分</t>
  </si>
  <si>
    <t>fēn</t>
  </si>
  <si>
    <t>phút, phân</t>
  </si>
  <si>
    <t>我们八点十分出发。</t>
  </si>
  <si>
    <t>得意</t>
  </si>
  <si>
    <t>dé yì</t>
  </si>
  <si>
    <t>đắc ý</t>
  </si>
  <si>
    <t>他很得意自己的成绩。</t>
  </si>
  <si>
    <t>七</t>
  </si>
  <si>
    <t>qī</t>
  </si>
  <si>
    <t>bảy</t>
  </si>
  <si>
    <t>我有七个朋友。</t>
  </si>
  <si>
    <t>进</t>
  </si>
  <si>
    <t>jìn</t>
  </si>
  <si>
    <t>vào</t>
  </si>
  <si>
    <t>请进，别客气。</t>
  </si>
  <si>
    <t>得（助动词）</t>
  </si>
  <si>
    <t>de （ zhù dòng cí ）</t>
  </si>
  <si>
    <t>trợ từ</t>
  </si>
  <si>
    <t>她学汉语学得很好。</t>
  </si>
  <si>
    <t>附近</t>
  </si>
  <si>
    <t>fùjìn</t>
  </si>
  <si>
    <t>gần đây, vùng lân cận</t>
  </si>
  <si>
    <t>我家附近有公园。</t>
  </si>
  <si>
    <t>登机牌</t>
  </si>
  <si>
    <t>dēng jī pái</t>
  </si>
  <si>
    <t>thẻ lên tàu</t>
  </si>
  <si>
    <t>请拿好你的登机牌。</t>
  </si>
  <si>
    <t>钱</t>
  </si>
  <si>
    <t>qián</t>
  </si>
  <si>
    <t>tiền</t>
  </si>
  <si>
    <t>近</t>
  </si>
  <si>
    <t>复习</t>
  </si>
  <si>
    <t>fùxí</t>
  </si>
  <si>
    <t>gần</t>
  </si>
  <si>
    <t>ôn tập</t>
  </si>
  <si>
    <t>学校离我家很近。</t>
  </si>
  <si>
    <t>我需要复习功课。</t>
  </si>
  <si>
    <t>等（助词）</t>
  </si>
  <si>
    <t>děng （ zhù cí ）</t>
  </si>
  <si>
    <t>vân vân</t>
  </si>
  <si>
    <t>我喜欢听音乐、看电影等等。</t>
  </si>
  <si>
    <t>等等</t>
  </si>
  <si>
    <t>前面</t>
  </si>
  <si>
    <t>干净</t>
  </si>
  <si>
    <t>qiánmiàn</t>
  </si>
  <si>
    <t>gānjìng</t>
  </si>
  <si>
    <t>sạch sẽ</t>
  </si>
  <si>
    <t>phía trước</t>
  </si>
  <si>
    <t>房间很干净。</t>
  </si>
  <si>
    <t>就</t>
  </si>
  <si>
    <t>一场大雨过后，地势低的地方积满了雨水。</t>
  </si>
  <si>
    <t>jiù</t>
  </si>
  <si>
    <t>thì, ngay</t>
  </si>
  <si>
    <t>他就住在我家旁边。</t>
  </si>
  <si>
    <t>底</t>
  </si>
  <si>
    <t>dǐ</t>
  </si>
  <si>
    <t>đáy</t>
  </si>
  <si>
    <t>请</t>
  </si>
  <si>
    <t>快到年底时谁都忙起来。</t>
  </si>
  <si>
    <t>敢</t>
  </si>
  <si>
    <t>qǐng</t>
  </si>
  <si>
    <t>gǎn</t>
  </si>
  <si>
    <t>dám</t>
  </si>
  <si>
    <t>xin vui lòng, mời</t>
  </si>
  <si>
    <t>我敢说你是对的。</t>
  </si>
  <si>
    <t>请给我菜单。</t>
  </si>
  <si>
    <t>觉得</t>
  </si>
  <si>
    <t>juéde</t>
  </si>
  <si>
    <t>cảm thấy</t>
  </si>
  <si>
    <t>地点</t>
  </si>
  <si>
    <t>dì diǎn</t>
  </si>
  <si>
    <t>我觉得今天很热。</t>
  </si>
  <si>
    <t>địa điểm</t>
  </si>
  <si>
    <t>会议地点在这里。</t>
  </si>
  <si>
    <t>感冒</t>
  </si>
  <si>
    <t>gǎnmào</t>
  </si>
  <si>
    <t>cảm mạo, cảm lạnh</t>
  </si>
  <si>
    <t>去</t>
  </si>
  <si>
    <t>他感冒了，不能来。</t>
  </si>
  <si>
    <t>qù</t>
  </si>
  <si>
    <t>đi</t>
  </si>
  <si>
    <t>我们要去商店。</t>
  </si>
  <si>
    <t>地球</t>
  </si>
  <si>
    <t>dì qiú</t>
  </si>
  <si>
    <t>địa cầu</t>
  </si>
  <si>
    <t>地球是圆的。</t>
  </si>
  <si>
    <t>咖啡</t>
  </si>
  <si>
    <t>kāfēi</t>
  </si>
  <si>
    <t>刚才</t>
  </si>
  <si>
    <t>cà phê</t>
  </si>
  <si>
    <t>gāngcái</t>
  </si>
  <si>
    <t>我每天早上喝咖啡。</t>
  </si>
  <si>
    <t>vừa mới</t>
  </si>
  <si>
    <t>刚才我看见他了。</t>
  </si>
  <si>
    <t>热</t>
  </si>
  <si>
    <t>地址</t>
  </si>
  <si>
    <t>rè</t>
  </si>
  <si>
    <t>dì zhǐ</t>
  </si>
  <si>
    <t>địa chỉ</t>
  </si>
  <si>
    <t>nóng</t>
  </si>
  <si>
    <t>请告诉我你的地址。</t>
  </si>
  <si>
    <t>天气很热。</t>
  </si>
  <si>
    <t>跟</t>
  </si>
  <si>
    <t>gēn</t>
  </si>
  <si>
    <t>cùng với</t>
  </si>
  <si>
    <t>我跟他一起去。</t>
  </si>
  <si>
    <t>调查</t>
  </si>
  <si>
    <t>diào chá</t>
  </si>
  <si>
    <t>điều tra</t>
  </si>
  <si>
    <t>开始</t>
  </si>
  <si>
    <t>我们需要进行调查。</t>
  </si>
  <si>
    <t>kāishǐ</t>
  </si>
  <si>
    <t>bắt đầu</t>
  </si>
  <si>
    <t>我们现在开始上课。</t>
  </si>
  <si>
    <t>人</t>
  </si>
  <si>
    <t>根据</t>
  </si>
  <si>
    <t>rén</t>
  </si>
  <si>
    <t>gēnjù</t>
  </si>
  <si>
    <t>căn cứ vào</t>
  </si>
  <si>
    <t>người</t>
  </si>
  <si>
    <t>根据天气预报，今天会下雨。</t>
  </si>
  <si>
    <t>这个人很友好。</t>
  </si>
  <si>
    <t>掉</t>
  </si>
  <si>
    <t>diào</t>
  </si>
  <si>
    <t>rơi</t>
  </si>
  <si>
    <t>他掉了钥匙。</t>
  </si>
  <si>
    <t>考试</t>
  </si>
  <si>
    <t>kǎoshì</t>
  </si>
  <si>
    <t>更</t>
  </si>
  <si>
    <t>thi</t>
  </si>
  <si>
    <t>gèng</t>
  </si>
  <si>
    <t>我准备好考试了。</t>
  </si>
  <si>
    <t>hơn, càng</t>
  </si>
  <si>
    <t>她比我更高。</t>
  </si>
  <si>
    <t>认识</t>
  </si>
  <si>
    <t>丢</t>
  </si>
  <si>
    <t>diū</t>
  </si>
  <si>
    <t>rènshi</t>
  </si>
  <si>
    <t>mất</t>
  </si>
  <si>
    <t>我的书丢了。</t>
  </si>
  <si>
    <t>quen biết</t>
  </si>
  <si>
    <t>我认识他。</t>
  </si>
  <si>
    <t>公园</t>
  </si>
  <si>
    <t>gōngyuán</t>
  </si>
  <si>
    <t>công viên</t>
  </si>
  <si>
    <t>动作</t>
  </si>
  <si>
    <t>我喜欢去公园散步。</t>
  </si>
  <si>
    <t>dòng zuò</t>
  </si>
  <si>
    <t>động tác</t>
  </si>
  <si>
    <t>他的动作很快。</t>
  </si>
  <si>
    <t>可能</t>
  </si>
  <si>
    <t>kěnéng</t>
  </si>
  <si>
    <t>日</t>
  </si>
  <si>
    <t>rì</t>
  </si>
  <si>
    <t>可能会下雨。</t>
  </si>
  <si>
    <t>ngày</t>
  </si>
  <si>
    <t>今天是几月几日？</t>
  </si>
  <si>
    <t>堵车</t>
  </si>
  <si>
    <t>dǔ chē</t>
  </si>
  <si>
    <t>故事</t>
  </si>
  <si>
    <t>tắc đường</t>
  </si>
  <si>
    <t>gùshì</t>
  </si>
  <si>
    <t>上班时间常常堵车。</t>
  </si>
  <si>
    <t>câu chuyện</t>
  </si>
  <si>
    <t>这个故事很有趣。</t>
  </si>
  <si>
    <t>三</t>
  </si>
  <si>
    <t>sān</t>
  </si>
  <si>
    <t>可以</t>
  </si>
  <si>
    <t>kěyǐ</t>
  </si>
  <si>
    <t>我有三本书。</t>
  </si>
  <si>
    <t>刮风</t>
  </si>
  <si>
    <t>肚子</t>
  </si>
  <si>
    <t>dù zi</t>
  </si>
  <si>
    <t>guā fēng</t>
  </si>
  <si>
    <t>你可以坐在这里。</t>
  </si>
  <si>
    <t>bụng</t>
  </si>
  <si>
    <t>gió thổi</t>
  </si>
  <si>
    <t>我肚子疼。</t>
  </si>
  <si>
    <t>今天刮风了。</t>
  </si>
  <si>
    <t>商店</t>
  </si>
  <si>
    <t>短信</t>
  </si>
  <si>
    <t>shāngdiàn</t>
  </si>
  <si>
    <t>duǎn xìn</t>
  </si>
  <si>
    <t>cửa hàng</t>
  </si>
  <si>
    <t>关</t>
  </si>
  <si>
    <t>tin nhắn</t>
  </si>
  <si>
    <t>这个商店很大。</t>
  </si>
  <si>
    <t>他发了一条短信。</t>
  </si>
  <si>
    <t>guān</t>
  </si>
  <si>
    <t>đóng, tắt</t>
  </si>
  <si>
    <t>请关门。</t>
  </si>
  <si>
    <t>课</t>
  </si>
  <si>
    <t>kè</t>
  </si>
  <si>
    <t>bài học</t>
  </si>
  <si>
    <t>我们今天有三节课。</t>
  </si>
  <si>
    <t>对话</t>
  </si>
  <si>
    <t>duì huà</t>
  </si>
  <si>
    <t>上</t>
  </si>
  <si>
    <t>hội thoại, đối thoại</t>
  </si>
  <si>
    <t>shàng</t>
  </si>
  <si>
    <t>他们在进行对话。</t>
  </si>
  <si>
    <t>关系</t>
  </si>
  <si>
    <t>lên</t>
  </si>
  <si>
    <t>guānxì</t>
  </si>
  <si>
    <t>他在上楼。</t>
  </si>
  <si>
    <t>quan hệ</t>
  </si>
  <si>
    <t>我们是好朋友，关系很好。</t>
  </si>
  <si>
    <t>快</t>
  </si>
  <si>
    <t>nhanh</t>
  </si>
  <si>
    <t>对面</t>
  </si>
  <si>
    <t>他跑得很快。</t>
  </si>
  <si>
    <t>duì miàn</t>
  </si>
  <si>
    <t>đối diện</t>
  </si>
  <si>
    <t>银行在街的对面。</t>
  </si>
  <si>
    <t>关心</t>
  </si>
  <si>
    <t>上午</t>
  </si>
  <si>
    <t>guānxīn</t>
  </si>
  <si>
    <t>quan tâm</t>
  </si>
  <si>
    <t>shàngwǔ</t>
  </si>
  <si>
    <t>她很关心我。</t>
  </si>
  <si>
    <t>buổi sáng</t>
  </si>
  <si>
    <t>上午我们去学校。</t>
  </si>
  <si>
    <t>对于</t>
  </si>
  <si>
    <t>duì yú</t>
  </si>
  <si>
    <t>về (vấn đề gì đó)</t>
  </si>
  <si>
    <t>对于这个问题，我有不同的看法。</t>
  </si>
  <si>
    <t>快乐</t>
  </si>
  <si>
    <t>kuàilè</t>
  </si>
  <si>
    <t>vui vẻ</t>
  </si>
  <si>
    <t>关于</t>
  </si>
  <si>
    <t>祝你生日快乐。</t>
  </si>
  <si>
    <t>guānyú</t>
  </si>
  <si>
    <t>về (liên quan đến)</t>
  </si>
  <si>
    <t>儿童</t>
  </si>
  <si>
    <t>这是关于旅行的书。</t>
  </si>
  <si>
    <t>ér tóng</t>
  </si>
  <si>
    <t>儿童需要很多关爱。</t>
  </si>
  <si>
    <t>少</t>
  </si>
  <si>
    <t>shǎo</t>
  </si>
  <si>
    <t>ít</t>
  </si>
  <si>
    <t>我们还少一个人。</t>
  </si>
  <si>
    <t>而</t>
  </si>
  <si>
    <t>ér</t>
  </si>
  <si>
    <t>còn</t>
  </si>
  <si>
    <t>他聪明而且努力。</t>
  </si>
  <si>
    <t>国家</t>
  </si>
  <si>
    <t>guójiā</t>
  </si>
  <si>
    <t>累</t>
  </si>
  <si>
    <t>quốc gia</t>
  </si>
  <si>
    <t>我爱我的国家。</t>
  </si>
  <si>
    <t>lèi</t>
  </si>
  <si>
    <t>mệt</t>
  </si>
  <si>
    <t>我累了，想休息一下。</t>
  </si>
  <si>
    <t>发生</t>
  </si>
  <si>
    <t>fā shēng</t>
  </si>
  <si>
    <t>xảy ra</t>
  </si>
  <si>
    <t>事故晚上发生。</t>
  </si>
  <si>
    <t>谁</t>
  </si>
  <si>
    <t xml:space="preserve">shuí/ shéi </t>
  </si>
  <si>
    <t>ai</t>
  </si>
  <si>
    <t>谁是你的老师？</t>
  </si>
  <si>
    <t>发展</t>
  </si>
  <si>
    <t>fā zhǎn</t>
  </si>
  <si>
    <t>phát triển</t>
  </si>
  <si>
    <t>城市在快速发展。</t>
  </si>
  <si>
    <t>果汁</t>
  </si>
  <si>
    <t>guǒzhī</t>
  </si>
  <si>
    <t>nước ép trái cây</t>
  </si>
  <si>
    <t>请给我一杯果汁。</t>
  </si>
  <si>
    <t>离</t>
  </si>
  <si>
    <t>法律</t>
  </si>
  <si>
    <t>lí</t>
  </si>
  <si>
    <t>fǎ lǜ</t>
  </si>
  <si>
    <t>pháp luật</t>
  </si>
  <si>
    <t>每个人都应该遵守法律。</t>
  </si>
  <si>
    <t>cách (khoảng cách), rời</t>
  </si>
  <si>
    <t>什么</t>
  </si>
  <si>
    <t>学校离我家不远。</t>
  </si>
  <si>
    <t>shénme</t>
  </si>
  <si>
    <t>cái gì</t>
  </si>
  <si>
    <t>你想吃什么？</t>
  </si>
  <si>
    <t>过去</t>
  </si>
  <si>
    <t>翻译</t>
  </si>
  <si>
    <t>guòqù</t>
  </si>
  <si>
    <t>fān yì</t>
  </si>
  <si>
    <t>phiên dịch</t>
  </si>
  <si>
    <t>quá khứ</t>
  </si>
  <si>
    <t>请把它翻译成越南语。</t>
  </si>
  <si>
    <t>我们过去是同学。</t>
  </si>
  <si>
    <t>烦恼</t>
  </si>
  <si>
    <t>fán nǎo</t>
  </si>
  <si>
    <t>两</t>
  </si>
  <si>
    <t>phiền não</t>
  </si>
  <si>
    <t>十</t>
  </si>
  <si>
    <t>我有些烦恼。</t>
  </si>
  <si>
    <t>liǎng</t>
  </si>
  <si>
    <t>shí</t>
  </si>
  <si>
    <t>hai (khi đếm số lượng)</t>
  </si>
  <si>
    <t>mười</t>
  </si>
  <si>
    <t>我有两个弟弟。</t>
  </si>
  <si>
    <t>我有十块钱。</t>
  </si>
  <si>
    <t>还是</t>
  </si>
  <si>
    <t>háishì</t>
  </si>
  <si>
    <t>vẫn còn, hay là</t>
  </si>
  <si>
    <t>你还是学生吗？</t>
  </si>
  <si>
    <t>反对</t>
  </si>
  <si>
    <t>fǎn duì</t>
  </si>
  <si>
    <t>phản đối</t>
  </si>
  <si>
    <t>他反对这个计划。</t>
  </si>
  <si>
    <t>时候</t>
  </si>
  <si>
    <t>方法</t>
  </si>
  <si>
    <t>fāng fǎ</t>
  </si>
  <si>
    <t>路</t>
  </si>
  <si>
    <t>shíhòu</t>
  </si>
  <si>
    <t>害怕</t>
  </si>
  <si>
    <t>lù</t>
  </si>
  <si>
    <t>lúc, khi</t>
  </si>
  <si>
    <t>phương pháp</t>
  </si>
  <si>
    <t>你什么时候来？</t>
  </si>
  <si>
    <t>他有很多方法。</t>
  </si>
  <si>
    <t>đường</t>
  </si>
  <si>
    <t>hàipà</t>
  </si>
  <si>
    <t>这条路很长。</t>
  </si>
  <si>
    <t>sợ</t>
  </si>
  <si>
    <t>我害怕黑暗。</t>
  </si>
  <si>
    <t>方面</t>
  </si>
  <si>
    <t>fāng miàn</t>
  </si>
  <si>
    <t>phương diện</t>
  </si>
  <si>
    <t>我们在这个方面有很多经验。</t>
  </si>
  <si>
    <t>是</t>
  </si>
  <si>
    <t>shì</t>
  </si>
  <si>
    <t>河</t>
  </si>
  <si>
    <t>là, thì</t>
  </si>
  <si>
    <t>方向</t>
  </si>
  <si>
    <t>这是一本好书。</t>
  </si>
  <si>
    <t>sông</t>
  </si>
  <si>
    <t>fāng xiàng</t>
  </si>
  <si>
    <t>河边有很多花。</t>
  </si>
  <si>
    <t>phương hướng</t>
  </si>
  <si>
    <t>旅游</t>
  </si>
  <si>
    <t>我们向北走，方向正确。</t>
  </si>
  <si>
    <t>lǚyóu</t>
  </si>
  <si>
    <t>du lịch</t>
  </si>
  <si>
    <t>我喜欢旅游。</t>
  </si>
  <si>
    <t>房东</t>
  </si>
  <si>
    <t>fáng dōng</t>
  </si>
  <si>
    <t>chủ nhà</t>
  </si>
  <si>
    <t>房东每天早上都来。</t>
  </si>
  <si>
    <t>书</t>
  </si>
  <si>
    <t>黑板</t>
  </si>
  <si>
    <t>shū</t>
  </si>
  <si>
    <t>hēibǎn</t>
  </si>
  <si>
    <t>sách</t>
  </si>
  <si>
    <t xml:space="preserve">bảng </t>
  </si>
  <si>
    <t>这本书很有意思。</t>
  </si>
  <si>
    <t>请在黑板上写字。</t>
  </si>
  <si>
    <t>放弃</t>
  </si>
  <si>
    <t>fàng qì</t>
  </si>
  <si>
    <t>vứt bỏ, từ bỏ</t>
  </si>
  <si>
    <t>卖</t>
  </si>
  <si>
    <t>他放弃了这个机会。</t>
  </si>
  <si>
    <t>mài</t>
  </si>
  <si>
    <t>bán</t>
  </si>
  <si>
    <t>他在商店里卖东西。</t>
  </si>
  <si>
    <t>护照</t>
  </si>
  <si>
    <t>hùzhào</t>
  </si>
  <si>
    <t>放暑假</t>
  </si>
  <si>
    <t>hộ chiếu</t>
  </si>
  <si>
    <t>fàng shǔ jià</t>
  </si>
  <si>
    <t>我需要护照去旅行。</t>
  </si>
  <si>
    <t>水</t>
  </si>
  <si>
    <t>nghỉ hè</t>
  </si>
  <si>
    <t>shuǐ</t>
  </si>
  <si>
    <t>我们放暑假了。</t>
  </si>
  <si>
    <t>nước</t>
  </si>
  <si>
    <t>慢</t>
  </si>
  <si>
    <t>màn</t>
  </si>
  <si>
    <t>放松</t>
  </si>
  <si>
    <t>fàng sōng</t>
  </si>
  <si>
    <t>chậm</t>
  </si>
  <si>
    <t>thư giãn, nhẹ nhàng</t>
  </si>
  <si>
    <t>他走得很慢。</t>
  </si>
  <si>
    <t>花</t>
  </si>
  <si>
    <t>放松一下，别紧张。</t>
  </si>
  <si>
    <t>huā</t>
  </si>
  <si>
    <t>hoa, tiêu (tiền, thời gian)</t>
  </si>
  <si>
    <t>这里的花开得很美。</t>
  </si>
  <si>
    <t>水果</t>
  </si>
  <si>
    <t>shuǐguǒ</t>
  </si>
  <si>
    <t>trái cây</t>
  </si>
  <si>
    <t>份</t>
  </si>
  <si>
    <t>fèn</t>
  </si>
  <si>
    <t>phần</t>
  </si>
  <si>
    <t>她喜欢吃水果。</t>
  </si>
  <si>
    <t>这是一份礼物。</t>
  </si>
  <si>
    <t>忙</t>
  </si>
  <si>
    <t>máng</t>
  </si>
  <si>
    <t>丰富</t>
  </si>
  <si>
    <t>fēng fù</t>
  </si>
  <si>
    <t>bận</t>
  </si>
  <si>
    <t>phong phú</t>
  </si>
  <si>
    <t>我今天很忙。</t>
  </si>
  <si>
    <t>他有丰富的经验。</t>
  </si>
  <si>
    <t>花园</t>
  </si>
  <si>
    <t>huāyuán</t>
  </si>
  <si>
    <t>vườn hoa</t>
  </si>
  <si>
    <t>我们在花园里玩。</t>
  </si>
  <si>
    <t>睡觉</t>
  </si>
  <si>
    <t>shuìjiào</t>
  </si>
  <si>
    <t>否则</t>
  </si>
  <si>
    <t>fǒu zé</t>
  </si>
  <si>
    <t>nếu không thì</t>
  </si>
  <si>
    <t>ngủ</t>
  </si>
  <si>
    <t>你得早点起床，否则会迟到。</t>
  </si>
  <si>
    <t>他每天晚上十点睡觉。</t>
  </si>
  <si>
    <t>画</t>
  </si>
  <si>
    <t>说话</t>
  </si>
  <si>
    <t>符合</t>
  </si>
  <si>
    <t>fú hé</t>
  </si>
  <si>
    <t>phù hợp</t>
  </si>
  <si>
    <t>你的答案符合要求。</t>
  </si>
  <si>
    <t>huà</t>
  </si>
  <si>
    <t>vẽ, tranh</t>
  </si>
  <si>
    <t>他喜欢画画儿。</t>
  </si>
  <si>
    <t>shuōhuà</t>
  </si>
  <si>
    <t>nói chuyện</t>
  </si>
  <si>
    <t>你怎么不说话？</t>
  </si>
  <si>
    <t>父亲</t>
  </si>
  <si>
    <t>fù qīn</t>
  </si>
  <si>
    <t>我的父亲很勤劳。</t>
  </si>
  <si>
    <t>每</t>
  </si>
  <si>
    <t>付款</t>
  </si>
  <si>
    <t>fù kuǎn</t>
  </si>
  <si>
    <t>四</t>
  </si>
  <si>
    <t>thanh toán</t>
  </si>
  <si>
    <t>我们可以用信用卡付款。</t>
  </si>
  <si>
    <t>sì</t>
  </si>
  <si>
    <t>měi</t>
  </si>
  <si>
    <t>bốn</t>
  </si>
  <si>
    <t>mỗi</t>
  </si>
  <si>
    <t>他们四个人去旅行。</t>
  </si>
  <si>
    <t>每个人都有机会。</t>
  </si>
  <si>
    <t>负责</t>
  </si>
  <si>
    <t>fù zé</t>
  </si>
  <si>
    <t>phụ trách</t>
  </si>
  <si>
    <t>他负责这项工作。</t>
  </si>
  <si>
    <t>复印</t>
  </si>
  <si>
    <t>fù yìn</t>
  </si>
  <si>
    <t>phô tô</t>
  </si>
  <si>
    <t>岁</t>
  </si>
  <si>
    <t>请帮我复印这份文件。</t>
  </si>
  <si>
    <t>suì</t>
  </si>
  <si>
    <t>tuổi</t>
  </si>
  <si>
    <t>我今年二十五岁。</t>
  </si>
  <si>
    <t>复杂</t>
  </si>
  <si>
    <t>坏</t>
  </si>
  <si>
    <t>fù zá</t>
  </si>
  <si>
    <t>phức tạp</t>
  </si>
  <si>
    <t>这个问题很复杂。</t>
  </si>
  <si>
    <t>huài</t>
  </si>
  <si>
    <t>hỏng, xấu</t>
  </si>
  <si>
    <t>我的手机坏了。</t>
  </si>
  <si>
    <t>妹妹</t>
  </si>
  <si>
    <t>他</t>
  </si>
  <si>
    <t>mèimei</t>
  </si>
  <si>
    <t>tā</t>
  </si>
  <si>
    <t>富</t>
  </si>
  <si>
    <t>em gái</t>
  </si>
  <si>
    <t>anh ấy, ông ấy</t>
  </si>
  <si>
    <t>fù</t>
  </si>
  <si>
    <t>妹妹在唱歌。</t>
  </si>
  <si>
    <t>giàu</t>
  </si>
  <si>
    <t>他是我的朋友。</t>
  </si>
  <si>
    <t>他们家很富。</t>
  </si>
  <si>
    <t>改变</t>
  </si>
  <si>
    <t>gǎi biàn</t>
  </si>
  <si>
    <t>我们需要改变计划。</t>
  </si>
  <si>
    <t>她</t>
  </si>
  <si>
    <t>huán</t>
  </si>
  <si>
    <t>cô ấy, bà ấy</t>
  </si>
  <si>
    <t>trả lại, hoàn</t>
  </si>
  <si>
    <t>她在家里。</t>
  </si>
  <si>
    <t>你什么时候把钱还给我?</t>
  </si>
  <si>
    <t>门</t>
  </si>
  <si>
    <t>mén</t>
  </si>
  <si>
    <t>干杯</t>
  </si>
  <si>
    <t>cửa</t>
  </si>
  <si>
    <t>gān bēi</t>
  </si>
  <si>
    <t>他站在门口。</t>
  </si>
  <si>
    <t>cạn ly</t>
  </si>
  <si>
    <t>为我们的成功干杯！</t>
  </si>
  <si>
    <t>太</t>
  </si>
  <si>
    <t>tài</t>
  </si>
  <si>
    <t>quá</t>
  </si>
  <si>
    <t>赶</t>
  </si>
  <si>
    <t>今天太热了。</t>
  </si>
  <si>
    <t>环境</t>
  </si>
  <si>
    <t>đuổi theo</t>
  </si>
  <si>
    <t>我们必须赶上火车。</t>
  </si>
  <si>
    <t>huánjìng</t>
  </si>
  <si>
    <t>môi trường</t>
  </si>
  <si>
    <t>我喜欢安静的环境。</t>
  </si>
  <si>
    <t>男人</t>
  </si>
  <si>
    <t>nánrén</t>
  </si>
  <si>
    <t>đàn ông</t>
  </si>
  <si>
    <t>那个男人很高。</t>
  </si>
  <si>
    <t>我不敢说。</t>
  </si>
  <si>
    <t>天气</t>
  </si>
  <si>
    <t>tiānqì</t>
  </si>
  <si>
    <t>thời tiết</t>
  </si>
  <si>
    <t>今天天气很好。</t>
  </si>
  <si>
    <t>换</t>
  </si>
  <si>
    <t>感动</t>
  </si>
  <si>
    <t>gǎn dòng</t>
  </si>
  <si>
    <t>huàn</t>
  </si>
  <si>
    <t>cảm động</t>
  </si>
  <si>
    <t>她的故事让我很感动。</t>
  </si>
  <si>
    <t>đổi</t>
  </si>
  <si>
    <t>我想换工作。</t>
  </si>
  <si>
    <t>您</t>
  </si>
  <si>
    <t>感觉</t>
  </si>
  <si>
    <t>gǎn jué</t>
  </si>
  <si>
    <t>nín</t>
  </si>
  <si>
    <t>cảm giác</t>
  </si>
  <si>
    <t>我感觉很累。</t>
  </si>
  <si>
    <t>听</t>
  </si>
  <si>
    <t>tīng</t>
  </si>
  <si>
    <t>bạn (dùng lịch sự)</t>
  </si>
  <si>
    <t>nghe</t>
  </si>
  <si>
    <t>您好，请进。</t>
  </si>
  <si>
    <t>我喜欢听音乐。</t>
  </si>
  <si>
    <t>黄</t>
  </si>
  <si>
    <t>huáng</t>
  </si>
  <si>
    <t>感情</t>
  </si>
  <si>
    <t>màu vàng</t>
  </si>
  <si>
    <t>gǎn qíng</t>
  </si>
  <si>
    <t>tình cảm</t>
  </si>
  <si>
    <t>这条裙子是黄色的。</t>
  </si>
  <si>
    <t>他们之间有很深的感情。</t>
  </si>
  <si>
    <t>同学</t>
  </si>
  <si>
    <t>tóngxué</t>
  </si>
  <si>
    <t>bạn học</t>
  </si>
  <si>
    <t>我们是同学。</t>
  </si>
  <si>
    <t>感谢</t>
  </si>
  <si>
    <t>牛奶</t>
  </si>
  <si>
    <t>gǎn xiè</t>
  </si>
  <si>
    <t>niúnǎi</t>
  </si>
  <si>
    <t>cảm ơn</t>
  </si>
  <si>
    <t>非常感谢你的帮助。</t>
  </si>
  <si>
    <t>sữa bò</t>
  </si>
  <si>
    <t>我每天早上喝牛奶。</t>
  </si>
  <si>
    <t>会议</t>
  </si>
  <si>
    <t>huìyì</t>
  </si>
  <si>
    <t>hội nghị, cuộc họp</t>
  </si>
  <si>
    <t>会议将在下午三点开始。</t>
  </si>
  <si>
    <t>干</t>
  </si>
  <si>
    <t>喂</t>
  </si>
  <si>
    <t>gān</t>
  </si>
  <si>
    <t>wèi</t>
  </si>
  <si>
    <t>khô</t>
  </si>
  <si>
    <t>天气干燥。</t>
  </si>
  <si>
    <t>alo</t>
  </si>
  <si>
    <t>喂，你好吗？</t>
  </si>
  <si>
    <t>女人</t>
  </si>
  <si>
    <t>nǚrén</t>
  </si>
  <si>
    <t>phụ nữ</t>
  </si>
  <si>
    <t>那个女人是我妈妈。</t>
  </si>
  <si>
    <t>刚</t>
  </si>
  <si>
    <t>gāng</t>
  </si>
  <si>
    <t>或者</t>
  </si>
  <si>
    <t>我刚到家。</t>
  </si>
  <si>
    <t>huòzhě</t>
  </si>
  <si>
    <t>hoặc là</t>
  </si>
  <si>
    <t>你可以选择苹果或者香蕉。</t>
  </si>
  <si>
    <t>我</t>
  </si>
  <si>
    <t>wǒ</t>
  </si>
  <si>
    <t>tôi</t>
  </si>
  <si>
    <t>我想喝水。</t>
  </si>
  <si>
    <t>高速公路</t>
  </si>
  <si>
    <t>gāo sù gōng lù</t>
  </si>
  <si>
    <t>đường cao tốc</t>
  </si>
  <si>
    <t>我们在高速公路上开车。</t>
  </si>
  <si>
    <t>旁边</t>
  </si>
  <si>
    <t>pángbiān</t>
  </si>
  <si>
    <t>bên cạnh</t>
  </si>
  <si>
    <t>机会</t>
  </si>
  <si>
    <t>学校在我家旁边。</t>
  </si>
  <si>
    <t>jīhuì</t>
  </si>
  <si>
    <t>胳膊</t>
  </si>
  <si>
    <t>我们</t>
  </si>
  <si>
    <t>cơ hội</t>
  </si>
  <si>
    <t>gē bo</t>
  </si>
  <si>
    <t>wǒmen</t>
  </si>
  <si>
    <t>cánh tay</t>
  </si>
  <si>
    <t>这是一个好机会。</t>
  </si>
  <si>
    <t>我的胳膊疼。</t>
  </si>
  <si>
    <t>chúng tôi, chúng ta</t>
  </si>
  <si>
    <t>各</t>
  </si>
  <si>
    <t>các</t>
  </si>
  <si>
    <t>各种水果都很好吃。</t>
  </si>
  <si>
    <t>跑步</t>
  </si>
  <si>
    <t>pǎobù</t>
  </si>
  <si>
    <t>chạy bộ</t>
  </si>
  <si>
    <t>工资</t>
  </si>
  <si>
    <t>我每天早上跑步。</t>
  </si>
  <si>
    <t>几乎</t>
  </si>
  <si>
    <t>gōng zī</t>
  </si>
  <si>
    <t>lương</t>
  </si>
  <si>
    <t>他每个月的工资很高。</t>
  </si>
  <si>
    <t>jīhū</t>
  </si>
  <si>
    <t>hầu như, gần như</t>
  </si>
  <si>
    <t>他几乎每天都锻炼。</t>
  </si>
  <si>
    <t>我们一起去吧。</t>
  </si>
  <si>
    <t>公里</t>
  </si>
  <si>
    <t>gōng lǐ</t>
  </si>
  <si>
    <t>km</t>
  </si>
  <si>
    <t>我们走了一公里。</t>
  </si>
  <si>
    <t>便宜</t>
  </si>
  <si>
    <t>功夫</t>
  </si>
  <si>
    <t>piányí</t>
  </si>
  <si>
    <t>gōng fū</t>
  </si>
  <si>
    <t>极</t>
  </si>
  <si>
    <t>rẻ</t>
  </si>
  <si>
    <t>công phu</t>
  </si>
  <si>
    <t>他功夫很好。</t>
  </si>
  <si>
    <t>五</t>
  </si>
  <si>
    <t>这件衣服很便宜。</t>
  </si>
  <si>
    <t>jí</t>
  </si>
  <si>
    <t>wǔ</t>
  </si>
  <si>
    <t>cực kỳ</t>
  </si>
  <si>
    <t>这个菜的味道好极了。</t>
  </si>
  <si>
    <t>他有五本书。</t>
  </si>
  <si>
    <t>共同</t>
  </si>
  <si>
    <t>gòng tóng</t>
  </si>
  <si>
    <t>giống nhau</t>
  </si>
  <si>
    <t>我们有共同的兴趣爱好。</t>
  </si>
  <si>
    <t>喜欢</t>
  </si>
  <si>
    <t>xǐhuān</t>
  </si>
  <si>
    <t>thích</t>
  </si>
  <si>
    <t>我喜欢喝咖啡。</t>
  </si>
  <si>
    <t>购物</t>
  </si>
  <si>
    <t>gòu wù</t>
  </si>
  <si>
    <t>mua sắm</t>
  </si>
  <si>
    <t>记得</t>
  </si>
  <si>
    <t>我喜欢购物。</t>
  </si>
  <si>
    <t>jìdé</t>
  </si>
  <si>
    <t>nhớ, nhớ đến</t>
  </si>
  <si>
    <t>请记得带钥匙。</t>
  </si>
  <si>
    <t>票</t>
  </si>
  <si>
    <t>piào</t>
  </si>
  <si>
    <t>vé</t>
  </si>
  <si>
    <t>我买了两张电影票。</t>
  </si>
  <si>
    <t>够</t>
  </si>
  <si>
    <t>gòu</t>
  </si>
  <si>
    <t>đủ</t>
  </si>
  <si>
    <t>这些水果够我们吃了。</t>
  </si>
  <si>
    <t>下</t>
  </si>
  <si>
    <t>xià</t>
  </si>
  <si>
    <t>xuống</t>
  </si>
  <si>
    <t>我在下楼。</t>
  </si>
  <si>
    <t>季节</t>
  </si>
  <si>
    <t>jìjié</t>
  </si>
  <si>
    <t>mùa</t>
  </si>
  <si>
    <t>我最喜欢的季节是春天。</t>
  </si>
  <si>
    <t>下午</t>
  </si>
  <si>
    <t>妻子</t>
  </si>
  <si>
    <t>xiàwǔ</t>
  </si>
  <si>
    <t>qīzi</t>
  </si>
  <si>
    <t>buổi chiều</t>
  </si>
  <si>
    <t>下午我们去逛街。</t>
  </si>
  <si>
    <t>vợ</t>
  </si>
  <si>
    <t>这是我的妻子。</t>
  </si>
  <si>
    <t>检查</t>
  </si>
  <si>
    <t>估计</t>
  </si>
  <si>
    <t>jiǎnchá</t>
  </si>
  <si>
    <t>gū jì</t>
  </si>
  <si>
    <t>ước lượng</t>
  </si>
  <si>
    <t>kiểm tra</t>
  </si>
  <si>
    <t>我估计他今天不会来了。</t>
  </si>
  <si>
    <t>老师检查了我们的作业。</t>
  </si>
  <si>
    <t>鼓励</t>
  </si>
  <si>
    <t>起床</t>
  </si>
  <si>
    <t>gǔ lì</t>
  </si>
  <si>
    <t>qǐchuáng</t>
  </si>
  <si>
    <t>cổ vũ</t>
  </si>
  <si>
    <t>他经常鼓励我。</t>
  </si>
  <si>
    <t>dậy (rời khỏi giường)</t>
  </si>
  <si>
    <t>我每天六点起床。</t>
  </si>
  <si>
    <t>简单</t>
  </si>
  <si>
    <t>jiǎndān</t>
  </si>
  <si>
    <t>đơn giản</t>
  </si>
  <si>
    <t>这个问题很简单。</t>
  </si>
  <si>
    <t>故意</t>
  </si>
  <si>
    <t>gù yì</t>
  </si>
  <si>
    <t>cố ý</t>
  </si>
  <si>
    <t>他故意不回答我的问题。</t>
  </si>
  <si>
    <t>健康</t>
  </si>
  <si>
    <t>千</t>
  </si>
  <si>
    <t>qiān</t>
  </si>
  <si>
    <t>jiànkāng</t>
  </si>
  <si>
    <t>khỏe mạnh</t>
  </si>
  <si>
    <t>nghìn</t>
  </si>
  <si>
    <t>健康比什么都重要。</t>
  </si>
  <si>
    <t>我有一千块钱。</t>
  </si>
  <si>
    <t>顾客</t>
  </si>
  <si>
    <t>gù kè</t>
  </si>
  <si>
    <t>khách hàng</t>
  </si>
  <si>
    <t>这个商店的顾客很多。</t>
  </si>
  <si>
    <t>下雨</t>
  </si>
  <si>
    <t>xià yǔ</t>
  </si>
  <si>
    <t>mưa</t>
  </si>
  <si>
    <t>外面下雨了，记得带伞。</t>
  </si>
  <si>
    <t>挂</t>
  </si>
  <si>
    <t>见面</t>
  </si>
  <si>
    <t>guà</t>
  </si>
  <si>
    <t>jiànmiàn</t>
  </si>
  <si>
    <t>treo, ngắt điện thoại</t>
  </si>
  <si>
    <t>gặp mặt</t>
  </si>
  <si>
    <t>我们明天见面吧。</t>
  </si>
  <si>
    <t>请把衣服挂起来。</t>
  </si>
  <si>
    <t>晴</t>
  </si>
  <si>
    <t>qíng</t>
  </si>
  <si>
    <t>nắng, quang đãng</t>
  </si>
  <si>
    <t>今天是晴天。</t>
  </si>
  <si>
    <t>先生</t>
  </si>
  <si>
    <t>xiānshēng</t>
  </si>
  <si>
    <t>ông, ngài</t>
  </si>
  <si>
    <t>先生，这边请。</t>
  </si>
  <si>
    <t>关键</t>
  </si>
  <si>
    <t>讲</t>
  </si>
  <si>
    <t>guān jiàn</t>
  </si>
  <si>
    <t>jiǎng</t>
  </si>
  <si>
    <t>mấu chốt</t>
  </si>
  <si>
    <t>这是问题的关键。</t>
  </si>
  <si>
    <t>nói, giảng</t>
  </si>
  <si>
    <t>他喜欢讲故事。</t>
  </si>
  <si>
    <t>去年</t>
  </si>
  <si>
    <t>qùnián</t>
  </si>
  <si>
    <t>观众</t>
  </si>
  <si>
    <t>năm ngoái</t>
  </si>
  <si>
    <t>guān zhòng</t>
  </si>
  <si>
    <t>我去年去了中国。</t>
  </si>
  <si>
    <t>khán giả</t>
  </si>
  <si>
    <t>现在</t>
  </si>
  <si>
    <t>观众们都很满意。</t>
  </si>
  <si>
    <t>教</t>
  </si>
  <si>
    <t>xiànzài</t>
  </si>
  <si>
    <t>jiāo</t>
  </si>
  <si>
    <t>bây giờ</t>
  </si>
  <si>
    <t>dạy</t>
  </si>
  <si>
    <t>他教我们汉语。</t>
  </si>
  <si>
    <t>我现在很累。</t>
  </si>
  <si>
    <t>管理</t>
  </si>
  <si>
    <t>guǎn lǐ</t>
  </si>
  <si>
    <t>quản lý</t>
  </si>
  <si>
    <t>他负责管理这个项目。</t>
  </si>
  <si>
    <t>角</t>
  </si>
  <si>
    <t>jiǎo</t>
  </si>
  <si>
    <t>góc</t>
  </si>
  <si>
    <t>猫在桌子的角落里。</t>
  </si>
  <si>
    <t>让</t>
  </si>
  <si>
    <t>ràng</t>
  </si>
  <si>
    <t>想</t>
  </si>
  <si>
    <t>để, làm cho, nhường</t>
  </si>
  <si>
    <t>xiǎng</t>
  </si>
  <si>
    <t>请让他进来。</t>
  </si>
  <si>
    <t>nghĩ, muốn</t>
  </si>
  <si>
    <t>我想去看电影。</t>
  </si>
  <si>
    <t>光</t>
  </si>
  <si>
    <t>guāng</t>
  </si>
  <si>
    <t>chỉ, hết</t>
  </si>
  <si>
    <t>我们都吃光了你才来。</t>
  </si>
  <si>
    <t>脚</t>
  </si>
  <si>
    <t>chân</t>
  </si>
  <si>
    <t>我的脚很疼。</t>
  </si>
  <si>
    <t>广播</t>
  </si>
  <si>
    <t>guǎng bō</t>
  </si>
  <si>
    <t>phát thanh</t>
  </si>
  <si>
    <t>我每天听广播。</t>
  </si>
  <si>
    <t>小</t>
  </si>
  <si>
    <t>xiǎo</t>
  </si>
  <si>
    <t>上班</t>
  </si>
  <si>
    <t>nhỏ</t>
  </si>
  <si>
    <t>shàngbān</t>
  </si>
  <si>
    <t>接</t>
  </si>
  <si>
    <t>这是一只小狗。</t>
  </si>
  <si>
    <t>đi làm</t>
  </si>
  <si>
    <t>jiē</t>
  </si>
  <si>
    <t>我每天八点上班。</t>
  </si>
  <si>
    <t>nhận, tiếp</t>
  </si>
  <si>
    <t>请接电话。</t>
  </si>
  <si>
    <t>广告</t>
  </si>
  <si>
    <t>guǎng gào</t>
  </si>
  <si>
    <t>quảng cáo</t>
  </si>
  <si>
    <t>电视上有很多广告。</t>
  </si>
  <si>
    <t>街道</t>
  </si>
  <si>
    <t>jiēdào</t>
  </si>
  <si>
    <t>đường phố</t>
  </si>
  <si>
    <t>这条街道很宽。</t>
  </si>
  <si>
    <t>小姐</t>
  </si>
  <si>
    <t>xiǎojiě</t>
  </si>
  <si>
    <t>cô (trong cách gọi)</t>
  </si>
  <si>
    <t>逛</t>
  </si>
  <si>
    <t>guàng</t>
  </si>
  <si>
    <t>小姐，请问这里有洗手间吗？</t>
  </si>
  <si>
    <t>đi dạo</t>
  </si>
  <si>
    <t>身体</t>
  </si>
  <si>
    <t>我喜欢逛街。</t>
  </si>
  <si>
    <t>shēntǐ</t>
  </si>
  <si>
    <t>cơ thể</t>
  </si>
  <si>
    <t>你的身体怎么样？</t>
  </si>
  <si>
    <t>结婚</t>
  </si>
  <si>
    <t>jiéhūn</t>
  </si>
  <si>
    <t>kết hôn</t>
  </si>
  <si>
    <t>他们结婚了。</t>
  </si>
  <si>
    <t>规定</t>
  </si>
  <si>
    <t>guī dìng</t>
  </si>
  <si>
    <t>qui định</t>
  </si>
  <si>
    <t>我们需要遵守规定。</t>
  </si>
  <si>
    <t>些</t>
  </si>
  <si>
    <t>xiē</t>
  </si>
  <si>
    <t>vài</t>
  </si>
  <si>
    <t>我们买了一些水果。</t>
  </si>
  <si>
    <t>结束</t>
  </si>
  <si>
    <t>jiéshù</t>
  </si>
  <si>
    <t>kết thúc</t>
  </si>
  <si>
    <t>会议结束了。</t>
  </si>
  <si>
    <t>国籍</t>
  </si>
  <si>
    <t>guó jí</t>
  </si>
  <si>
    <t>quốc tịch</t>
  </si>
  <si>
    <t>你的国籍是什么？</t>
  </si>
  <si>
    <t>生病</t>
  </si>
  <si>
    <t>shēngbìng</t>
  </si>
  <si>
    <t>bị bệnh</t>
  </si>
  <si>
    <t>他生病了，不能来上课。</t>
  </si>
  <si>
    <t>节目</t>
  </si>
  <si>
    <t>写</t>
  </si>
  <si>
    <t>jiémù</t>
  </si>
  <si>
    <t>xiě</t>
  </si>
  <si>
    <t>国际</t>
  </si>
  <si>
    <t>chương trình</t>
  </si>
  <si>
    <t>viết</t>
  </si>
  <si>
    <t>我喜欢这个节目。</t>
  </si>
  <si>
    <t>guó jì</t>
  </si>
  <si>
    <t>我正在写信。</t>
  </si>
  <si>
    <t>quốc tế</t>
  </si>
  <si>
    <t>这是一个国际会议。</t>
  </si>
  <si>
    <t>节日</t>
  </si>
  <si>
    <t>guǒ zhī</t>
  </si>
  <si>
    <t>jiérì</t>
  </si>
  <si>
    <t>nước hoa quả</t>
  </si>
  <si>
    <t>ngày lễ</t>
  </si>
  <si>
    <t>生日</t>
  </si>
  <si>
    <t>我喜欢喝果汁。</t>
  </si>
  <si>
    <t>春节是中国的传统节日。</t>
  </si>
  <si>
    <t>shēngrì</t>
  </si>
  <si>
    <t>谢谢</t>
  </si>
  <si>
    <t>sinh nhật</t>
  </si>
  <si>
    <t>xièxiè</t>
  </si>
  <si>
    <t>今天是我的生日。</t>
  </si>
  <si>
    <t>谢谢你的帮助。</t>
  </si>
  <si>
    <t>过程</t>
  </si>
  <si>
    <t>guò chéng</t>
  </si>
  <si>
    <t>quá trình</t>
  </si>
  <si>
    <t>解决</t>
  </si>
  <si>
    <t>整个过程很复杂。</t>
  </si>
  <si>
    <t>jiějué</t>
  </si>
  <si>
    <t>giải quyết</t>
  </si>
  <si>
    <t>我们需要解决这个问题。</t>
  </si>
  <si>
    <t>星期</t>
  </si>
  <si>
    <t>xīngqī</t>
  </si>
  <si>
    <t>tuần</t>
  </si>
  <si>
    <t>一个星期就好。</t>
  </si>
  <si>
    <t>时间</t>
  </si>
  <si>
    <t>shíjiān</t>
  </si>
  <si>
    <t>海洋</t>
  </si>
  <si>
    <t>thời gian</t>
  </si>
  <si>
    <t>hǎi yáng</t>
  </si>
  <si>
    <t>现在我没有时间。</t>
  </si>
  <si>
    <t>đại dương</t>
  </si>
  <si>
    <t>海洋很广阔。</t>
  </si>
  <si>
    <t>借</t>
  </si>
  <si>
    <t>jiè</t>
  </si>
  <si>
    <t>mượn</t>
  </si>
  <si>
    <t>我可以借你的书吗？</t>
  </si>
  <si>
    <t>学生</t>
  </si>
  <si>
    <t>害羞</t>
  </si>
  <si>
    <t>xuéshēng</t>
  </si>
  <si>
    <t>hài xiū</t>
  </si>
  <si>
    <t>học sinh</t>
  </si>
  <si>
    <t>xấu hổ</t>
  </si>
  <si>
    <t>他是一个好学生。</t>
  </si>
  <si>
    <t>经常</t>
  </si>
  <si>
    <t>他很害羞。</t>
  </si>
  <si>
    <t>事情</t>
  </si>
  <si>
    <t>jīngcháng</t>
  </si>
  <si>
    <t>shìqíng</t>
  </si>
  <si>
    <t>thường xuyên</t>
  </si>
  <si>
    <t>việc</t>
  </si>
  <si>
    <t>我经常去图书馆。</t>
  </si>
  <si>
    <t>你在做什么事情？</t>
  </si>
  <si>
    <t>寒假</t>
  </si>
  <si>
    <t>hán jià</t>
  </si>
  <si>
    <t>kì nghỉ đông</t>
  </si>
  <si>
    <t>寒假我们去旅行。</t>
  </si>
  <si>
    <t>学习</t>
  </si>
  <si>
    <t>经过</t>
  </si>
  <si>
    <t>xuéxí</t>
  </si>
  <si>
    <t>jīngguò</t>
  </si>
  <si>
    <t>học tập</t>
  </si>
  <si>
    <t>trải qua</t>
  </si>
  <si>
    <t>汗</t>
  </si>
  <si>
    <t>他经过我家门口。</t>
  </si>
  <si>
    <t>hàn</t>
  </si>
  <si>
    <t>学习中文很有趣。</t>
  </si>
  <si>
    <t>手表</t>
  </si>
  <si>
    <t>mồ hôi</t>
  </si>
  <si>
    <t>他流了很多汗。</t>
  </si>
  <si>
    <t>shǒubiǎo</t>
  </si>
  <si>
    <t>đồng hồ đeo tay</t>
  </si>
  <si>
    <t>航班</t>
  </si>
  <si>
    <t>háng bān</t>
  </si>
  <si>
    <t>chuyến bay</t>
  </si>
  <si>
    <t>我们的航班延误了。</t>
  </si>
  <si>
    <t>经历</t>
  </si>
  <si>
    <t>jīnglì</t>
  </si>
  <si>
    <t>学校</t>
  </si>
  <si>
    <t xml:space="preserve">từng, trải nghiệm, từng trải </t>
  </si>
  <si>
    <t>xuéxiào</t>
  </si>
  <si>
    <t>这是一段难忘的经历。</t>
  </si>
  <si>
    <t>trường học</t>
  </si>
  <si>
    <t>我在学校学习中文。</t>
  </si>
  <si>
    <t>好处</t>
  </si>
  <si>
    <t>hǎo chù</t>
  </si>
  <si>
    <t>cái tốt</t>
  </si>
  <si>
    <t>久</t>
  </si>
  <si>
    <t>这样做有很多好处。</t>
  </si>
  <si>
    <t>这块手表很贵。</t>
  </si>
  <si>
    <t>lâu</t>
  </si>
  <si>
    <t>我等了很久。</t>
  </si>
  <si>
    <t>一</t>
  </si>
  <si>
    <t>yī</t>
  </si>
  <si>
    <t>một</t>
  </si>
  <si>
    <t>一个人在公园散步。</t>
  </si>
  <si>
    <t>好像</t>
  </si>
  <si>
    <t>hǎo xiàng</t>
  </si>
  <si>
    <t>dường như</t>
  </si>
  <si>
    <t>他好像生病了。</t>
  </si>
  <si>
    <t>旧</t>
  </si>
  <si>
    <t>cũ</t>
  </si>
  <si>
    <t>这本书很旧。</t>
  </si>
  <si>
    <t>手机</t>
  </si>
  <si>
    <t>shǒujī</t>
  </si>
  <si>
    <t>điện thoại di động</t>
  </si>
  <si>
    <t>号码</t>
  </si>
  <si>
    <t>我的手机没电了。</t>
  </si>
  <si>
    <t>hào mǎ</t>
  </si>
  <si>
    <t>衣服</t>
  </si>
  <si>
    <t>số</t>
  </si>
  <si>
    <t>yīfu</t>
  </si>
  <si>
    <t>请告诉我你的电话号码。</t>
  </si>
  <si>
    <t>quần áo</t>
  </si>
  <si>
    <t>这件衣服很漂亮。</t>
  </si>
  <si>
    <t>举行</t>
  </si>
  <si>
    <t>jǔxíng</t>
  </si>
  <si>
    <t>tổ chức</t>
  </si>
  <si>
    <t>学校将举行运动会。</t>
  </si>
  <si>
    <t>合格</t>
  </si>
  <si>
    <t>hé gé</t>
  </si>
  <si>
    <t>đạt yêu cầu</t>
  </si>
  <si>
    <t>他的成绩很合格。</t>
  </si>
  <si>
    <t>送</t>
  </si>
  <si>
    <t>sòng</t>
  </si>
  <si>
    <t>医生</t>
  </si>
  <si>
    <t>句子</t>
  </si>
  <si>
    <t>tặng</t>
  </si>
  <si>
    <t>yīshēng</t>
  </si>
  <si>
    <t>jùzi</t>
  </si>
  <si>
    <t>我送你一本书。</t>
  </si>
  <si>
    <t>câu</t>
  </si>
  <si>
    <t>bác sĩ</t>
  </si>
  <si>
    <t>请你用这个词语造句子。</t>
  </si>
  <si>
    <t>合适</t>
  </si>
  <si>
    <t>他是一位医生。</t>
  </si>
  <si>
    <t>hé shì</t>
  </si>
  <si>
    <t>thích hợp</t>
  </si>
  <si>
    <t>这件衣服很合适。</t>
  </si>
  <si>
    <t>决定</t>
  </si>
  <si>
    <t>盒子</t>
  </si>
  <si>
    <t>juédìng</t>
  </si>
  <si>
    <t>hé zi</t>
  </si>
  <si>
    <t>quyết định</t>
  </si>
  <si>
    <t>cái hộp</t>
  </si>
  <si>
    <t>我决定明天去旅行。</t>
  </si>
  <si>
    <t>他打开了盒子。</t>
  </si>
  <si>
    <t>医院</t>
  </si>
  <si>
    <t>所以</t>
  </si>
  <si>
    <t>yīyuàn</t>
  </si>
  <si>
    <t>suǒyǐ</t>
  </si>
  <si>
    <t>bệnh viện</t>
  </si>
  <si>
    <t>vì vậy</t>
  </si>
  <si>
    <t>我们去医院看病。</t>
  </si>
  <si>
    <t>他很累，所以休息了。</t>
  </si>
  <si>
    <t>可爱</t>
  </si>
  <si>
    <t>kě'ài</t>
  </si>
  <si>
    <t>đáng yêu</t>
  </si>
  <si>
    <t>后悔</t>
  </si>
  <si>
    <t>hòu huǐ</t>
  </si>
  <si>
    <t>hối hận</t>
  </si>
  <si>
    <t>我后悔没去旅行。</t>
  </si>
  <si>
    <t>椅子</t>
  </si>
  <si>
    <t>yǐzi</t>
  </si>
  <si>
    <t>ghế</t>
  </si>
  <si>
    <t>厚</t>
  </si>
  <si>
    <t>刻</t>
  </si>
  <si>
    <t>它</t>
  </si>
  <si>
    <t>hòu</t>
  </si>
  <si>
    <t>请坐在椅子上。</t>
  </si>
  <si>
    <t>dày</t>
  </si>
  <si>
    <t>这本书很厚。</t>
  </si>
  <si>
    <t>nó (cho vật, động vật)</t>
  </si>
  <si>
    <t>khắc (15 phút)</t>
  </si>
  <si>
    <t>它是一只可爱的小猫。</t>
  </si>
  <si>
    <t>八点一刻我来。</t>
  </si>
  <si>
    <t>互联网</t>
  </si>
  <si>
    <t>hù lián wǎng</t>
  </si>
  <si>
    <t>mạng internet</t>
  </si>
  <si>
    <t>互联网改变了我们的生活。</t>
  </si>
  <si>
    <t>客人</t>
  </si>
  <si>
    <t>月</t>
  </si>
  <si>
    <t>kèrén</t>
  </si>
  <si>
    <t>yuè</t>
  </si>
  <si>
    <t>khách</t>
  </si>
  <si>
    <t>客人已经来了。</t>
  </si>
  <si>
    <t>tháng, mặt trăng</t>
  </si>
  <si>
    <t>这个月我很忙。</t>
  </si>
  <si>
    <t>踢足球</t>
  </si>
  <si>
    <t>tī zúqiú</t>
  </si>
  <si>
    <t>đá bóng</t>
  </si>
  <si>
    <t>互相</t>
  </si>
  <si>
    <t>我们一起踢足球吧。</t>
  </si>
  <si>
    <t>hù xiāng</t>
  </si>
  <si>
    <t>lẫn nhau</t>
  </si>
  <si>
    <t>他们互相帮助。</t>
  </si>
  <si>
    <t>空调</t>
  </si>
  <si>
    <t>kòngtiáo</t>
  </si>
  <si>
    <t>máy điều hòa</t>
  </si>
  <si>
    <t>房间里有空调。</t>
  </si>
  <si>
    <t>护士</t>
  </si>
  <si>
    <t>hù shì</t>
  </si>
  <si>
    <t>y tá</t>
  </si>
  <si>
    <t>护士很辛苦。</t>
  </si>
  <si>
    <t>在</t>
  </si>
  <si>
    <t>zài</t>
  </si>
  <si>
    <t>口</t>
  </si>
  <si>
    <t>kǒu</t>
  </si>
  <si>
    <t>ở, tại</t>
  </si>
  <si>
    <t>miệng, khẩu</t>
  </si>
  <si>
    <t>题</t>
  </si>
  <si>
    <t>他在学校学习。</t>
  </si>
  <si>
    <t>tí</t>
  </si>
  <si>
    <t>怀疑</t>
  </si>
  <si>
    <t>câu hỏi, đề bài</t>
  </si>
  <si>
    <r>
      <rPr>
        <rFont val="Times New Roman"/>
        <color rgb="FF000000"/>
        <sz val="12.0"/>
      </rPr>
      <t>请你张开嘴巴。</t>
    </r>
  </si>
  <si>
    <t>这道题很难。</t>
  </si>
  <si>
    <t>huái yí</t>
  </si>
  <si>
    <t>nghi ngờ</t>
  </si>
  <si>
    <t>我怀疑他在撒谎。</t>
  </si>
  <si>
    <t>哭</t>
  </si>
  <si>
    <t>kū</t>
  </si>
  <si>
    <t>khóc</t>
  </si>
  <si>
    <t>回忆</t>
  </si>
  <si>
    <t>孩子们在哭。</t>
  </si>
  <si>
    <t>huí yì</t>
  </si>
  <si>
    <t>hồi ức, nhớ lại</t>
  </si>
  <si>
    <t>这些都是美好的回忆。</t>
  </si>
  <si>
    <t>再见</t>
  </si>
  <si>
    <t>zàijiàn</t>
  </si>
  <si>
    <t>跳舞</t>
  </si>
  <si>
    <t>tạm biệt</t>
  </si>
  <si>
    <t>tiàowǔ</t>
  </si>
  <si>
    <t>我们明天再见。</t>
  </si>
  <si>
    <t>nhảy múa</t>
  </si>
  <si>
    <t>我喜欢跳舞。</t>
  </si>
  <si>
    <t>活动</t>
  </si>
  <si>
    <t>裤子</t>
  </si>
  <si>
    <t>huó dòng</t>
  </si>
  <si>
    <t>kùzi</t>
  </si>
  <si>
    <t>hoạt động</t>
  </si>
  <si>
    <t>quần</t>
  </si>
  <si>
    <t>学校组织了很多活动。</t>
  </si>
  <si>
    <t>他穿了一条新裤子。</t>
  </si>
  <si>
    <t>活泼</t>
  </si>
  <si>
    <t>huó pō</t>
  </si>
  <si>
    <t>hoạt bát</t>
  </si>
  <si>
    <t>她很活泼。</t>
  </si>
  <si>
    <t>筷子</t>
  </si>
  <si>
    <t>kuàizi</t>
  </si>
  <si>
    <t>đũa</t>
  </si>
  <si>
    <t>我用筷子吃饭。</t>
  </si>
  <si>
    <t>外</t>
  </si>
  <si>
    <t>怎么</t>
  </si>
  <si>
    <t>火</t>
  </si>
  <si>
    <t>wài</t>
  </si>
  <si>
    <t>huǒ</t>
  </si>
  <si>
    <t>ngoài</t>
  </si>
  <si>
    <t>lửa</t>
  </si>
  <si>
    <t>zěnme</t>
  </si>
  <si>
    <t>他在外面等你。</t>
  </si>
  <si>
    <t>火很危险。</t>
  </si>
  <si>
    <t>làm sao</t>
  </si>
  <si>
    <t>蓝</t>
  </si>
  <si>
    <t>lán</t>
  </si>
  <si>
    <t>你怎么了？</t>
  </si>
  <si>
    <t>màu xanh</t>
  </si>
  <si>
    <t>天空是蓝色的。</t>
  </si>
  <si>
    <t>获得</t>
  </si>
  <si>
    <t>huò dé</t>
  </si>
  <si>
    <t>老</t>
  </si>
  <si>
    <t>lǎo</t>
  </si>
  <si>
    <t>giành được</t>
  </si>
  <si>
    <t>già, cũ</t>
  </si>
  <si>
    <t>他获得了奖学金。</t>
  </si>
  <si>
    <t>他是个老朋友。</t>
  </si>
  <si>
    <t>玩</t>
  </si>
  <si>
    <t>怎么样</t>
  </si>
  <si>
    <t>wán</t>
  </si>
  <si>
    <t>chơi</t>
  </si>
  <si>
    <t>zěnmeyàng</t>
  </si>
  <si>
    <t>小孩子们在玩游戏。</t>
  </si>
  <si>
    <t>như thế nào</t>
  </si>
  <si>
    <t>你的工作怎么样？</t>
  </si>
  <si>
    <t>离开</t>
  </si>
  <si>
    <t>积极</t>
  </si>
  <si>
    <t>líkāi</t>
  </si>
  <si>
    <t>jī jí</t>
  </si>
  <si>
    <t>rời khỏi</t>
  </si>
  <si>
    <t>tích cực</t>
  </si>
  <si>
    <t>他已经离开了。</t>
  </si>
  <si>
    <t>我们应该积极面对生活。</t>
  </si>
  <si>
    <t>礼物</t>
  </si>
  <si>
    <t>lǐwù</t>
  </si>
  <si>
    <t>quà</t>
  </si>
  <si>
    <t>完</t>
  </si>
  <si>
    <t>这是我的生日礼物。</t>
  </si>
  <si>
    <t>积累</t>
  </si>
  <si>
    <t>jī lěi</t>
  </si>
  <si>
    <t>这</t>
  </si>
  <si>
    <t>tích lũy</t>
  </si>
  <si>
    <t>他积累了很多经验。</t>
  </si>
  <si>
    <t xml:space="preserve">zhè </t>
  </si>
  <si>
    <t>xong, hoàn thành</t>
  </si>
  <si>
    <t>Đây, này</t>
  </si>
  <si>
    <t>我已经做完了作业。</t>
  </si>
  <si>
    <t>这件事怎么样？</t>
  </si>
  <si>
    <t>历史</t>
  </si>
  <si>
    <t>基础</t>
  </si>
  <si>
    <t>lìshǐ</t>
  </si>
  <si>
    <t>jī chǔ</t>
  </si>
  <si>
    <t>cơ sở, căn bản</t>
  </si>
  <si>
    <t>lịch sử</t>
  </si>
  <si>
    <t>基础知识很重要。</t>
  </si>
  <si>
    <t>他喜欢学习历史。</t>
  </si>
  <si>
    <t>激动</t>
  </si>
  <si>
    <t>jī dòng</t>
  </si>
  <si>
    <t>中国</t>
  </si>
  <si>
    <t>xúc động</t>
  </si>
  <si>
    <t>听到这个消息我很激动。</t>
  </si>
  <si>
    <t>Zhōngguó</t>
  </si>
  <si>
    <t>脸</t>
  </si>
  <si>
    <t>liǎn</t>
  </si>
  <si>
    <t>Trung Quốc</t>
  </si>
  <si>
    <t>晚上</t>
  </si>
  <si>
    <t>mặt</t>
  </si>
  <si>
    <t>wǎnshàng</t>
  </si>
  <si>
    <t>她的脸很漂亮。</t>
  </si>
  <si>
    <t>中国有很多美丽的风景。</t>
  </si>
  <si>
    <t>buổi tối</t>
  </si>
  <si>
    <t>我晚上九点睡觉。</t>
  </si>
  <si>
    <t>及时</t>
  </si>
  <si>
    <t>jí shí</t>
  </si>
  <si>
    <t>kịp thời</t>
  </si>
  <si>
    <t>他及时完成了任务。</t>
  </si>
  <si>
    <t>练习</t>
  </si>
  <si>
    <t>liànxí</t>
  </si>
  <si>
    <t>luyện tập</t>
  </si>
  <si>
    <t>我每天练习中文。</t>
  </si>
  <si>
    <t>即使</t>
  </si>
  <si>
    <t>jí shǐ</t>
  </si>
  <si>
    <t>cho dù</t>
  </si>
  <si>
    <t>即使下雨我们也去。</t>
  </si>
  <si>
    <t>中午</t>
  </si>
  <si>
    <t>zhōngwǔ</t>
  </si>
  <si>
    <t>buổi trưa</t>
  </si>
  <si>
    <t>中午我们去吃饭吧。</t>
  </si>
  <si>
    <t>辆</t>
  </si>
  <si>
    <t>liàng</t>
  </si>
  <si>
    <t>为什么</t>
  </si>
  <si>
    <t>chiếc (xe)</t>
  </si>
  <si>
    <t>wèishénme</t>
  </si>
  <si>
    <t>他有一辆新车。</t>
  </si>
  <si>
    <t>tại sao</t>
  </si>
  <si>
    <t>计划</t>
  </si>
  <si>
    <t>你为什么不来？</t>
  </si>
  <si>
    <t>jì huà</t>
  </si>
  <si>
    <t>kế hoạch</t>
  </si>
  <si>
    <t>我们需要制定计划。</t>
  </si>
  <si>
    <t>了解</t>
  </si>
  <si>
    <t>liǎojiě</t>
  </si>
  <si>
    <t>hiểu rõ</t>
  </si>
  <si>
    <t>我了解你的意思。</t>
  </si>
  <si>
    <t>记者</t>
  </si>
  <si>
    <t>jì zhě</t>
  </si>
  <si>
    <t>phóng viên</t>
  </si>
  <si>
    <t>住</t>
  </si>
  <si>
    <t>记者在现场报道。</t>
  </si>
  <si>
    <t>zhù</t>
  </si>
  <si>
    <t>sống, cư trú</t>
  </si>
  <si>
    <t>我住在一个很安静的地方。</t>
  </si>
  <si>
    <t>问</t>
  </si>
  <si>
    <t>wèn</t>
  </si>
  <si>
    <t>hỏi</t>
  </si>
  <si>
    <t>邻居</t>
  </si>
  <si>
    <t>línjū</t>
  </si>
  <si>
    <t>hàng xóm</t>
  </si>
  <si>
    <t>请问你叫什么名字？</t>
  </si>
  <si>
    <t>技术</t>
  </si>
  <si>
    <t>jì shù</t>
  </si>
  <si>
    <t>kỹ thuật</t>
  </si>
  <si>
    <t>他对技术很感兴趣。</t>
  </si>
  <si>
    <t>桌子</t>
  </si>
  <si>
    <t>zhuōzi</t>
  </si>
  <si>
    <t>既然</t>
  </si>
  <si>
    <t>jì rán</t>
  </si>
  <si>
    <t>我的邻居很友好。</t>
  </si>
  <si>
    <t>đã….</t>
  </si>
  <si>
    <t>问题</t>
  </si>
  <si>
    <t>既然你来了，就一起吃饭吧。</t>
  </si>
  <si>
    <t>wèntí</t>
  </si>
  <si>
    <t>vấn đề</t>
  </si>
  <si>
    <t>这个问题很重要。</t>
  </si>
  <si>
    <t>楼</t>
  </si>
  <si>
    <t>lóu</t>
  </si>
  <si>
    <t>继续</t>
  </si>
  <si>
    <t>tòa nhà</t>
  </si>
  <si>
    <t>jì xù</t>
  </si>
  <si>
    <t>我们住在三楼。</t>
  </si>
  <si>
    <t>tiếp tục</t>
  </si>
  <si>
    <t>我们继续学习。</t>
  </si>
  <si>
    <t>桌子上放着一本书。</t>
  </si>
  <si>
    <t>西瓜</t>
  </si>
  <si>
    <t>xīguā</t>
  </si>
  <si>
    <t>dưa hấu</t>
  </si>
  <si>
    <t>我喜欢吃西瓜。</t>
  </si>
  <si>
    <t>寄</t>
  </si>
  <si>
    <t>马</t>
  </si>
  <si>
    <t>jì</t>
  </si>
  <si>
    <t>mǎ</t>
  </si>
  <si>
    <t>gửi</t>
  </si>
  <si>
    <t>con ngựa</t>
  </si>
  <si>
    <t>他给朋友寄了封信。</t>
  </si>
  <si>
    <t>马跑得很快。</t>
  </si>
  <si>
    <t>字</t>
  </si>
  <si>
    <t>zì</t>
  </si>
  <si>
    <t>chữ</t>
  </si>
  <si>
    <t>加班</t>
  </si>
  <si>
    <t>马上</t>
  </si>
  <si>
    <t>我们要学会写字。</t>
  </si>
  <si>
    <t>mǎshàng</t>
  </si>
  <si>
    <t>jiā bān</t>
  </si>
  <si>
    <t>ngay lập tức</t>
  </si>
  <si>
    <t>希望</t>
  </si>
  <si>
    <t>tăng ca</t>
  </si>
  <si>
    <t>我马上就来。</t>
  </si>
  <si>
    <t>xīwàng</t>
  </si>
  <si>
    <t>他常常加班。</t>
  </si>
  <si>
    <t>hy vọng</t>
  </si>
  <si>
    <t>我希望你能来。</t>
  </si>
  <si>
    <t>加油站</t>
  </si>
  <si>
    <t>jiā yóu zhàn</t>
  </si>
  <si>
    <t>cây xăng</t>
  </si>
  <si>
    <t>我们在加油站加油。</t>
  </si>
  <si>
    <t>昨天</t>
  </si>
  <si>
    <t>满意</t>
  </si>
  <si>
    <t>zuótiān</t>
  </si>
  <si>
    <t>mǎnyì</t>
  </si>
  <si>
    <t>hôm qua</t>
  </si>
  <si>
    <t>hài lòng</t>
  </si>
  <si>
    <t>我对结果很满意。</t>
  </si>
  <si>
    <t>昨天我去看了一部电影。</t>
  </si>
  <si>
    <t>洗</t>
  </si>
  <si>
    <t>xǐ</t>
  </si>
  <si>
    <t>rửa</t>
  </si>
  <si>
    <t>请洗手。</t>
  </si>
  <si>
    <t>家具</t>
  </si>
  <si>
    <t>jiā jù</t>
  </si>
  <si>
    <t>đồ gia dụng</t>
  </si>
  <si>
    <t>这家店卖很多家具。</t>
  </si>
  <si>
    <t>帽子</t>
  </si>
  <si>
    <t>màozi</t>
  </si>
  <si>
    <t>mũ</t>
  </si>
  <si>
    <t>这顶帽子很漂亮。</t>
  </si>
  <si>
    <t>坐</t>
  </si>
  <si>
    <t>zuò</t>
  </si>
  <si>
    <t>ngồi</t>
  </si>
  <si>
    <t>假</t>
  </si>
  <si>
    <t>jiǎ</t>
  </si>
  <si>
    <t>我们在公园里坐了一会儿。</t>
  </si>
  <si>
    <t>giả</t>
  </si>
  <si>
    <t>这个是假货。</t>
  </si>
  <si>
    <t>向</t>
  </si>
  <si>
    <t>xiàng</t>
  </si>
  <si>
    <t>hướng về, đối với</t>
  </si>
  <si>
    <t>向左走。</t>
  </si>
  <si>
    <t>价格</t>
  </si>
  <si>
    <t>jià gé</t>
  </si>
  <si>
    <t>giá cả</t>
  </si>
  <si>
    <t>这个产品的价格很高。</t>
  </si>
  <si>
    <t>做</t>
  </si>
  <si>
    <t>他正在做作业。</t>
  </si>
  <si>
    <t>米</t>
  </si>
  <si>
    <t>mǐ</t>
  </si>
  <si>
    <t>gạo, mét</t>
  </si>
  <si>
    <t>我吃了一碗米饭。</t>
  </si>
  <si>
    <t>坚持</t>
  </si>
  <si>
    <t>jiān chí</t>
  </si>
  <si>
    <t>kiên trì</t>
  </si>
  <si>
    <t>小时</t>
  </si>
  <si>
    <t>我每天坚持跑步。</t>
  </si>
  <si>
    <t>xiǎoshí</t>
  </si>
  <si>
    <t>tiếng đồng hồ</t>
  </si>
  <si>
    <t>我每天学习一个小时。</t>
  </si>
  <si>
    <t>面包</t>
  </si>
  <si>
    <t>miànbāo</t>
  </si>
  <si>
    <t>bánh mì</t>
  </si>
  <si>
    <t>我每天早餐都吃面包。</t>
  </si>
  <si>
    <t>减肥</t>
  </si>
  <si>
    <t>jiǎn féi</t>
  </si>
  <si>
    <t>giảm béo</t>
  </si>
  <si>
    <t>她正在努力减肥。</t>
  </si>
  <si>
    <t>面条</t>
  </si>
  <si>
    <t>miàntiáo</t>
  </si>
  <si>
    <t>mì sợi</t>
  </si>
  <si>
    <t>他喜欢吃面条。</t>
  </si>
  <si>
    <t>减少</t>
  </si>
  <si>
    <t>jiǎn shǎo</t>
  </si>
  <si>
    <t>笑</t>
  </si>
  <si>
    <t>cắt giảm</t>
  </si>
  <si>
    <t>xiào</t>
  </si>
  <si>
    <t>我们应该减少浪费。</t>
  </si>
  <si>
    <t>cười</t>
  </si>
  <si>
    <t>他在笑什么？</t>
  </si>
  <si>
    <t>明白</t>
  </si>
  <si>
    <t>míngbái</t>
  </si>
  <si>
    <t>我明白你的意思。</t>
  </si>
  <si>
    <t>建议</t>
  </si>
  <si>
    <t>jiàn yì</t>
  </si>
  <si>
    <t>kiến nghị</t>
  </si>
  <si>
    <t>我有一个建议。</t>
  </si>
  <si>
    <t>拿</t>
  </si>
  <si>
    <t>ná</t>
  </si>
  <si>
    <t>cầm, lấy</t>
  </si>
  <si>
    <t>新</t>
  </si>
  <si>
    <t>请你帮我拿一下书。</t>
  </si>
  <si>
    <t>xīn</t>
  </si>
  <si>
    <t>mới</t>
  </si>
  <si>
    <t>我有一个新手机。</t>
  </si>
  <si>
    <t>将来</t>
  </si>
  <si>
    <t>jiāng lái</t>
  </si>
  <si>
    <t>tương lai</t>
  </si>
  <si>
    <t>将来我要当医生。</t>
  </si>
  <si>
    <t>奶奶</t>
  </si>
  <si>
    <t>nǎinai</t>
  </si>
  <si>
    <t>bà nội</t>
  </si>
  <si>
    <t>我奶奶住在乡下。</t>
  </si>
  <si>
    <t>奖金</t>
  </si>
  <si>
    <t>jiǎng jīn</t>
  </si>
  <si>
    <t>học bổng</t>
  </si>
  <si>
    <t>公司给了他奖金。</t>
  </si>
  <si>
    <t>南</t>
  </si>
  <si>
    <t>姓</t>
  </si>
  <si>
    <t>nán</t>
  </si>
  <si>
    <t>xìng</t>
  </si>
  <si>
    <t>phía nam</t>
  </si>
  <si>
    <t>我们往南走。</t>
  </si>
  <si>
    <t>họ ( nhân xưng)</t>
  </si>
  <si>
    <t>你姓什么？</t>
  </si>
  <si>
    <t>降低</t>
  </si>
  <si>
    <t>jiàng dī</t>
  </si>
  <si>
    <t>hạ thấp</t>
  </si>
  <si>
    <t>他们降低了价格。</t>
  </si>
  <si>
    <t>难</t>
  </si>
  <si>
    <t>khó</t>
  </si>
  <si>
    <t>这个问题很难。</t>
  </si>
  <si>
    <t>降落</t>
  </si>
  <si>
    <t>jiàng luò</t>
  </si>
  <si>
    <t>hạ cánh</t>
  </si>
  <si>
    <t>休息</t>
  </si>
  <si>
    <t>难过</t>
  </si>
  <si>
    <t>xiūxi</t>
  </si>
  <si>
    <t>飞机准时降落。</t>
  </si>
  <si>
    <t>nánguò</t>
  </si>
  <si>
    <t>nghỉ ngơi</t>
  </si>
  <si>
    <t>buồn</t>
  </si>
  <si>
    <t>我累了，需要休息。</t>
  </si>
  <si>
    <t>他听到这个消息很难过。</t>
  </si>
  <si>
    <t>年级</t>
  </si>
  <si>
    <t>niánjí</t>
  </si>
  <si>
    <t>lớp, năm học</t>
  </si>
  <si>
    <t>我今年上三年级。</t>
  </si>
  <si>
    <t>交</t>
  </si>
  <si>
    <t>giao</t>
  </si>
  <si>
    <t>我交了作业。</t>
  </si>
  <si>
    <t>雪</t>
  </si>
  <si>
    <t>xuě</t>
  </si>
  <si>
    <t>年轻</t>
  </si>
  <si>
    <t>niánqīng</t>
  </si>
  <si>
    <t>tuyết</t>
  </si>
  <si>
    <t>trẻ</t>
  </si>
  <si>
    <t>明天会下雪。</t>
  </si>
  <si>
    <t>她很年轻。</t>
  </si>
  <si>
    <t>交流</t>
  </si>
  <si>
    <t>jiāo liú</t>
  </si>
  <si>
    <t>giao lưu</t>
  </si>
  <si>
    <t>我们经常交流经验。</t>
  </si>
  <si>
    <t>鸟</t>
  </si>
  <si>
    <t>颜色</t>
  </si>
  <si>
    <t>niǎo</t>
  </si>
  <si>
    <t>chim</t>
  </si>
  <si>
    <t>yánsè</t>
  </si>
  <si>
    <t>树上有很多鸟。</t>
  </si>
  <si>
    <t>màu sắc</t>
  </si>
  <si>
    <t>你喜欢什么颜色？</t>
  </si>
  <si>
    <t>努力</t>
  </si>
  <si>
    <t>nǔlì</t>
  </si>
  <si>
    <t>nỗ lực, chăm chỉ</t>
  </si>
  <si>
    <t>他学习很努力。</t>
  </si>
  <si>
    <t>眼睛</t>
  </si>
  <si>
    <t>yǎnjing</t>
  </si>
  <si>
    <t>mắt</t>
  </si>
  <si>
    <t>爬山</t>
  </si>
  <si>
    <t>他的眼睛很大。</t>
  </si>
  <si>
    <t>páshān</t>
  </si>
  <si>
    <t>leo núi</t>
  </si>
  <si>
    <t>周末我们去爬山吧。</t>
  </si>
  <si>
    <t>盘子</t>
  </si>
  <si>
    <t>pánzi</t>
  </si>
  <si>
    <t>đĩa</t>
  </si>
  <si>
    <t>请把盘子放在桌子上。</t>
  </si>
  <si>
    <t>羊肉</t>
  </si>
  <si>
    <t>胖</t>
  </si>
  <si>
    <t>yángròu</t>
  </si>
  <si>
    <t>pàng</t>
  </si>
  <si>
    <t>béo</t>
  </si>
  <si>
    <t>thịt cừu</t>
  </si>
  <si>
    <t>这个小孩有点儿胖。</t>
  </si>
  <si>
    <t>我喜欢吃羊肉。</t>
  </si>
  <si>
    <t>啤酒</t>
  </si>
  <si>
    <t>píjiǔ</t>
  </si>
  <si>
    <t>bia</t>
  </si>
  <si>
    <t>我不喝啤酒。</t>
  </si>
  <si>
    <t>要</t>
  </si>
  <si>
    <t>yào</t>
  </si>
  <si>
    <t>muốn, cần</t>
  </si>
  <si>
    <t>葡萄</t>
  </si>
  <si>
    <t>我要一杯水。</t>
  </si>
  <si>
    <t>pútao</t>
  </si>
  <si>
    <t>nho</t>
  </si>
  <si>
    <t>我喜欢吃葡萄。</t>
  </si>
  <si>
    <t>普通话</t>
  </si>
  <si>
    <t>pǔtōnghuà</t>
  </si>
  <si>
    <t>tiếng Phổ thông (tiếng Trung chuẩn)</t>
  </si>
  <si>
    <t>他说普通话说得很流利。</t>
  </si>
  <si>
    <t>药</t>
  </si>
  <si>
    <t>thuốc</t>
  </si>
  <si>
    <t>我生病了，要吃药。</t>
  </si>
  <si>
    <t>骑</t>
  </si>
  <si>
    <t>qí</t>
  </si>
  <si>
    <t>cưỡi, đi (xe đạp, xe máy)</t>
  </si>
  <si>
    <t>我喜欢骑自行车。</t>
  </si>
  <si>
    <t>其实</t>
  </si>
  <si>
    <t>qíshí</t>
  </si>
  <si>
    <t>thực ra</t>
  </si>
  <si>
    <t>其实我不太喜欢吃辣。</t>
  </si>
  <si>
    <t>也</t>
  </si>
  <si>
    <t>yě</t>
  </si>
  <si>
    <t>其他</t>
  </si>
  <si>
    <t>cũng</t>
  </si>
  <si>
    <t>qítā</t>
  </si>
  <si>
    <t>他也喜欢游泳。</t>
  </si>
  <si>
    <t>khác</t>
  </si>
  <si>
    <t>其他人都已经走了。</t>
  </si>
  <si>
    <t>奇怪</t>
  </si>
  <si>
    <t>qíguài</t>
  </si>
  <si>
    <t>kỳ lạ</t>
  </si>
  <si>
    <t>这个事情很奇怪。</t>
  </si>
  <si>
    <t>铅笔</t>
  </si>
  <si>
    <t>已经</t>
  </si>
  <si>
    <t>qiānbǐ</t>
  </si>
  <si>
    <t>yǐjīng</t>
  </si>
  <si>
    <t>bút chì</t>
  </si>
  <si>
    <t>我需要一支铅笔。</t>
  </si>
  <si>
    <t>đã</t>
  </si>
  <si>
    <t>我已经吃过饭了。</t>
  </si>
  <si>
    <t>交通</t>
  </si>
  <si>
    <t>jiāo tōng</t>
  </si>
  <si>
    <t>giao thông</t>
  </si>
  <si>
    <t>交通很拥挤。</t>
  </si>
  <si>
    <t>清楚</t>
  </si>
  <si>
    <t>qīngchǔ</t>
  </si>
  <si>
    <t>rõ ràng</t>
  </si>
  <si>
    <t>我不太清楚他的名字。</t>
  </si>
  <si>
    <t>一起</t>
  </si>
  <si>
    <t>秋</t>
  </si>
  <si>
    <t>yìqǐ</t>
  </si>
  <si>
    <t>qiū</t>
  </si>
  <si>
    <t>郊区</t>
  </si>
  <si>
    <t>mùa thu</t>
  </si>
  <si>
    <t>jiāo qū</t>
  </si>
  <si>
    <t>cùng nhau</t>
  </si>
  <si>
    <t>秋天是我最喜欢的季节。</t>
  </si>
  <si>
    <t>ngoại ô</t>
  </si>
  <si>
    <t>我们一起去看电影吧。</t>
  </si>
  <si>
    <t>我住在郊区。</t>
  </si>
  <si>
    <t>裙子</t>
  </si>
  <si>
    <t>骄傲</t>
  </si>
  <si>
    <t>jiāo ào</t>
  </si>
  <si>
    <t>qúnzi</t>
  </si>
  <si>
    <t>tự hào, kiêu ngạo</t>
  </si>
  <si>
    <t>váy</t>
  </si>
  <si>
    <t>他很骄傲。</t>
  </si>
  <si>
    <t>她穿了一条红色的裙子。</t>
  </si>
  <si>
    <t>意思</t>
  </si>
  <si>
    <t>yìsi</t>
  </si>
  <si>
    <t>ý nghĩa</t>
  </si>
  <si>
    <t>饺子</t>
  </si>
  <si>
    <t>这是什么意思？</t>
  </si>
  <si>
    <t>jiǎo zi</t>
  </si>
  <si>
    <t>sủi cảo</t>
  </si>
  <si>
    <t>然后</t>
  </si>
  <si>
    <t>我喜欢吃饺子。</t>
  </si>
  <si>
    <t>ránhòu</t>
  </si>
  <si>
    <t>sau đó</t>
  </si>
  <si>
    <t>我们吃完饭然后去看电影。</t>
  </si>
  <si>
    <t>教授</t>
  </si>
  <si>
    <t>jiào shòu</t>
  </si>
  <si>
    <t>giáo sư</t>
  </si>
  <si>
    <t>他是大学教授。</t>
  </si>
  <si>
    <t>热情</t>
  </si>
  <si>
    <t>rèqíng</t>
  </si>
  <si>
    <t>nhiệt tình</t>
  </si>
  <si>
    <t>他对人很热情。</t>
  </si>
  <si>
    <t>阴</t>
  </si>
  <si>
    <t>yīn</t>
  </si>
  <si>
    <t>âm u, trời nhiều mây</t>
  </si>
  <si>
    <t>教育</t>
  </si>
  <si>
    <t>今天是阴天。</t>
  </si>
  <si>
    <t>jiào yù</t>
  </si>
  <si>
    <t>giáo dục</t>
  </si>
  <si>
    <t>教育很重要。</t>
  </si>
  <si>
    <t>认为</t>
  </si>
  <si>
    <t>rènwéi</t>
  </si>
  <si>
    <t>cho rằng</t>
  </si>
  <si>
    <t>我认为他是对的。</t>
  </si>
  <si>
    <t>接受</t>
  </si>
  <si>
    <t>jiē shòu</t>
  </si>
  <si>
    <t>tiếp nhận</t>
  </si>
  <si>
    <t>我接受了他的邀请。</t>
  </si>
  <si>
    <t>认真</t>
  </si>
  <si>
    <t>rènzhēn</t>
  </si>
  <si>
    <t>nghiêm túc</t>
  </si>
  <si>
    <t>她学习很认真。</t>
  </si>
  <si>
    <t>因为</t>
  </si>
  <si>
    <t>yīnwèi</t>
  </si>
  <si>
    <t>接着</t>
  </si>
  <si>
    <t>vì</t>
  </si>
  <si>
    <t>jiē zhe</t>
  </si>
  <si>
    <t>因为下雨，我不去跑步。</t>
  </si>
  <si>
    <t>tiếp theo</t>
  </si>
  <si>
    <t>接着，我们去吃饭吧。</t>
  </si>
  <si>
    <t>容易</t>
  </si>
  <si>
    <t>róngyì</t>
  </si>
  <si>
    <t>dễ dàng</t>
  </si>
  <si>
    <t>这个问题很容易解决。</t>
  </si>
  <si>
    <t>节</t>
  </si>
  <si>
    <t>jié</t>
  </si>
  <si>
    <t>tiết</t>
  </si>
  <si>
    <t>如果</t>
  </si>
  <si>
    <t>rúguǒ</t>
  </si>
  <si>
    <t>nếu như</t>
  </si>
  <si>
    <t>如果你有时间，请来我家。</t>
  </si>
  <si>
    <t>节约</t>
  </si>
  <si>
    <t>伞</t>
  </si>
  <si>
    <t>jié yuē</t>
  </si>
  <si>
    <t>sǎn</t>
  </si>
  <si>
    <t>tiết kiệm</t>
  </si>
  <si>
    <t>ô, dù</t>
  </si>
  <si>
    <t>我们要节约用水。</t>
  </si>
  <si>
    <t>下雨了，带上伞吧。</t>
  </si>
  <si>
    <t>游泳</t>
  </si>
  <si>
    <t>yóuyǒng</t>
  </si>
  <si>
    <t>bơi</t>
  </si>
  <si>
    <t>我喜欢游泳。</t>
  </si>
  <si>
    <t>结果</t>
  </si>
  <si>
    <t>jié guǒ</t>
  </si>
  <si>
    <t>kết quả</t>
  </si>
  <si>
    <t>结果他成功了。</t>
  </si>
  <si>
    <t>上网</t>
  </si>
  <si>
    <t>shàngwǎng</t>
  </si>
  <si>
    <t>lên mạng</t>
  </si>
  <si>
    <t>我喜欢上网看新闻。</t>
  </si>
  <si>
    <t>解释</t>
  </si>
  <si>
    <t>jiě shì</t>
  </si>
  <si>
    <t>giải thích</t>
  </si>
  <si>
    <t>他解释了这个问题。</t>
  </si>
  <si>
    <t>生气</t>
  </si>
  <si>
    <t>shēngqì</t>
  </si>
  <si>
    <t>giận dữ</t>
  </si>
  <si>
    <t>她生气了，因为你迟到了。</t>
  </si>
  <si>
    <t>右边</t>
  </si>
  <si>
    <t>yòubiān</t>
  </si>
  <si>
    <t>尽管</t>
  </si>
  <si>
    <t>bên phải</t>
  </si>
  <si>
    <t>jǐn guǎn</t>
  </si>
  <si>
    <t>他坐在我右边。</t>
  </si>
  <si>
    <t>tuy rằng</t>
  </si>
  <si>
    <t>尽管下雨，他还是来了。</t>
  </si>
  <si>
    <t>声音</t>
  </si>
  <si>
    <t>shēngyīn</t>
  </si>
  <si>
    <t>âm thanh</t>
  </si>
  <si>
    <t>我听不到他的声音。</t>
  </si>
  <si>
    <t>紧张</t>
  </si>
  <si>
    <t>jǐn zhāng</t>
  </si>
  <si>
    <t>căng thẳng</t>
  </si>
  <si>
    <t>我感到很紧张。</t>
  </si>
  <si>
    <t>使</t>
  </si>
  <si>
    <t>shǐ</t>
  </si>
  <si>
    <t>khiến, làm cho</t>
  </si>
  <si>
    <t>他使我非常生气。</t>
  </si>
  <si>
    <t>进行</t>
  </si>
  <si>
    <t>jìn xíng</t>
  </si>
  <si>
    <t>tiến hành</t>
  </si>
  <si>
    <t>我们正在进行讨论。</t>
  </si>
  <si>
    <t>世界</t>
  </si>
  <si>
    <t>shìjiè</t>
  </si>
  <si>
    <t>thế giới</t>
  </si>
  <si>
    <t>世界很大。</t>
  </si>
  <si>
    <t>鱼</t>
  </si>
  <si>
    <t>禁止</t>
  </si>
  <si>
    <t>yú</t>
  </si>
  <si>
    <t>jìn zhǐ</t>
  </si>
  <si>
    <t>cấm</t>
  </si>
  <si>
    <t>cá</t>
  </si>
  <si>
    <t>这里禁止吸烟。</t>
  </si>
  <si>
    <t>我们晚饭吃鱼。</t>
  </si>
  <si>
    <t>瘦</t>
  </si>
  <si>
    <t>shòu</t>
  </si>
  <si>
    <t>gầy</t>
  </si>
  <si>
    <t>京剧</t>
  </si>
  <si>
    <t>我觉得他越来越瘦了。</t>
  </si>
  <si>
    <t>jīng jù</t>
  </si>
  <si>
    <t>kinh kịch</t>
  </si>
  <si>
    <t>我喜欢看京剧。</t>
  </si>
  <si>
    <t>舒服</t>
  </si>
  <si>
    <t>shūfu</t>
  </si>
  <si>
    <t>thoải mái</t>
  </si>
  <si>
    <t>元</t>
  </si>
  <si>
    <t>这张椅子很舒服。</t>
  </si>
  <si>
    <t>yuán</t>
  </si>
  <si>
    <t>经济</t>
  </si>
  <si>
    <t>jīng jì</t>
  </si>
  <si>
    <t>Đồng (đơn vị tiền tệ)</t>
  </si>
  <si>
    <t>kinh tế</t>
  </si>
  <si>
    <t>这本书要十元。</t>
  </si>
  <si>
    <t>经济发展很快。</t>
  </si>
  <si>
    <t>叔叔</t>
  </si>
  <si>
    <t>shūshu</t>
  </si>
  <si>
    <t>chú</t>
  </si>
  <si>
    <t>我的叔叔很高。</t>
  </si>
  <si>
    <t>jīng lì</t>
  </si>
  <si>
    <t>trải qua, kinh qua</t>
  </si>
  <si>
    <t>他有丰富的经历。</t>
  </si>
  <si>
    <t>远</t>
  </si>
  <si>
    <t>树</t>
  </si>
  <si>
    <t>shù</t>
  </si>
  <si>
    <t>yuǎn</t>
  </si>
  <si>
    <t>cây</t>
  </si>
  <si>
    <t>xa</t>
  </si>
  <si>
    <t>树上的鸟在唱歌。</t>
  </si>
  <si>
    <t>他家离学校很远。</t>
  </si>
  <si>
    <t>经验</t>
  </si>
  <si>
    <t>jīng yàn</t>
  </si>
  <si>
    <t>kinh nghiệm</t>
  </si>
  <si>
    <t>他的经验很丰富。</t>
  </si>
  <si>
    <t>数学</t>
  </si>
  <si>
    <t>shùxué</t>
  </si>
  <si>
    <t>toán học</t>
  </si>
  <si>
    <t>他数学很好。</t>
  </si>
  <si>
    <t>精彩</t>
  </si>
  <si>
    <t>运动</t>
  </si>
  <si>
    <t>jīng cǎi</t>
  </si>
  <si>
    <t>hấp dẫn</t>
  </si>
  <si>
    <t>yùndòng</t>
  </si>
  <si>
    <t>比赛非常精彩。</t>
  </si>
  <si>
    <t xml:space="preserve">vận động </t>
  </si>
  <si>
    <t>我每天都运动。</t>
  </si>
  <si>
    <t>刷牙</t>
  </si>
  <si>
    <t>shuāyá</t>
  </si>
  <si>
    <t>đánh răng</t>
  </si>
  <si>
    <t>我每天刷两次牙。</t>
  </si>
  <si>
    <t>景色</t>
  </si>
  <si>
    <t>jǐng sè</t>
  </si>
  <si>
    <t>cảnh sắc</t>
  </si>
  <si>
    <t>山上的景色很美。</t>
  </si>
  <si>
    <t>警察</t>
  </si>
  <si>
    <t>jǐng chá</t>
  </si>
  <si>
    <t>再</t>
  </si>
  <si>
    <t>cảnh sát</t>
  </si>
  <si>
    <t>警察在调查案件。</t>
  </si>
  <si>
    <t>双</t>
  </si>
  <si>
    <t>lại</t>
  </si>
  <si>
    <t>shuāng</t>
  </si>
  <si>
    <t>请再说一遍。</t>
  </si>
  <si>
    <t>đôi</t>
  </si>
  <si>
    <t>我买了一双鞋。</t>
  </si>
  <si>
    <t>竞争</t>
  </si>
  <si>
    <t>jìng zhēng</t>
  </si>
  <si>
    <t>cạnh tranh</t>
  </si>
  <si>
    <t>公司之间竞争激烈。</t>
  </si>
  <si>
    <t>水平</t>
  </si>
  <si>
    <t>shuǐpíng</t>
  </si>
  <si>
    <t>trình độ</t>
  </si>
  <si>
    <t>他的游泳水平很高。</t>
  </si>
  <si>
    <t>早上</t>
  </si>
  <si>
    <t>zǎoshàng</t>
  </si>
  <si>
    <t>我每天早上六点起床。</t>
  </si>
  <si>
    <t>竟然</t>
  </si>
  <si>
    <t>jìng rán</t>
  </si>
  <si>
    <t>vậy mà lại</t>
  </si>
  <si>
    <t>他竟然赢了比赛。</t>
  </si>
  <si>
    <t>司机</t>
  </si>
  <si>
    <t>sījī</t>
  </si>
  <si>
    <t>lái xe, tài xế</t>
  </si>
  <si>
    <t>他是我们的司机。</t>
  </si>
  <si>
    <t>镜子</t>
  </si>
  <si>
    <t>jìng zi</t>
  </si>
  <si>
    <t>kính, gương</t>
  </si>
  <si>
    <t>镜子里有个陌生人。</t>
  </si>
  <si>
    <t>虽然</t>
  </si>
  <si>
    <t>suīrán</t>
  </si>
  <si>
    <t>虽然他很忙，但他还是来了。</t>
  </si>
  <si>
    <t>张</t>
  </si>
  <si>
    <t>zhāng</t>
  </si>
  <si>
    <t>tờ, bức (dùng cho vật phẳng, giấy, tranh, bàn)</t>
  </si>
  <si>
    <t>这是一张照片。</t>
  </si>
  <si>
    <t>究竟</t>
  </si>
  <si>
    <t>jiū jìng</t>
  </si>
  <si>
    <t>rốt cuộc</t>
  </si>
  <si>
    <t>究竟发生了什么事？</t>
  </si>
  <si>
    <t>太阳</t>
  </si>
  <si>
    <t>tàiyáng</t>
  </si>
  <si>
    <t>mặt trời</t>
  </si>
  <si>
    <t>太阳出来了。</t>
  </si>
  <si>
    <t>丈夫</t>
  </si>
  <si>
    <t>zhàngfu</t>
  </si>
  <si>
    <t>chồng</t>
  </si>
  <si>
    <t>这是我的丈夫。</t>
  </si>
  <si>
    <t>糖</t>
  </si>
  <si>
    <t>táng</t>
  </si>
  <si>
    <t>kẹo, đường</t>
  </si>
  <si>
    <t>我不喜欢吃糖。</t>
  </si>
  <si>
    <t>举</t>
  </si>
  <si>
    <t>jǔ</t>
  </si>
  <si>
    <t>giơ, nâng</t>
  </si>
  <si>
    <t>他举手回答问题。</t>
  </si>
  <si>
    <t>特别</t>
  </si>
  <si>
    <t>找</t>
  </si>
  <si>
    <t>tèbié</t>
  </si>
  <si>
    <t>zhǎo</t>
  </si>
  <si>
    <t>đặc biệt</t>
  </si>
  <si>
    <t>tìm</t>
  </si>
  <si>
    <t>他特别喜欢跑步。</t>
  </si>
  <si>
    <t>我在找我的钥匙。</t>
  </si>
  <si>
    <t>举办</t>
  </si>
  <si>
    <t>jǔ bàn</t>
  </si>
  <si>
    <t>学校举办了一个音乐会。</t>
  </si>
  <si>
    <t>疼</t>
  </si>
  <si>
    <t>téng</t>
  </si>
  <si>
    <t>đau</t>
  </si>
  <si>
    <t>我的头很疼。</t>
  </si>
  <si>
    <t>着</t>
  </si>
  <si>
    <t>zhe</t>
  </si>
  <si>
    <t>đang (dùng để chỉ trạng thái hiện tại)</t>
  </si>
  <si>
    <t>他在吃着饭呢。</t>
  </si>
  <si>
    <t>jǔ xíng</t>
  </si>
  <si>
    <t>会议在北京举行。</t>
  </si>
  <si>
    <t>提高</t>
  </si>
  <si>
    <t>tígāo</t>
  </si>
  <si>
    <t>nâng cao</t>
  </si>
  <si>
    <t>我们要提高汉语水平。</t>
  </si>
  <si>
    <t>拒绝</t>
  </si>
  <si>
    <t>jù jué</t>
  </si>
  <si>
    <t>từ chối</t>
  </si>
  <si>
    <t>他拒绝了我的邀请。</t>
  </si>
  <si>
    <t>体育</t>
  </si>
  <si>
    <t>tǐyù</t>
  </si>
  <si>
    <t>thể dục, thể thao</t>
  </si>
  <si>
    <t>我喜欢体育运动。</t>
  </si>
  <si>
    <t>距离</t>
  </si>
  <si>
    <t>jù lí</t>
  </si>
  <si>
    <t>khoảng cách</t>
  </si>
  <si>
    <t>学校到我们家的距离很远。</t>
  </si>
  <si>
    <t>甜</t>
  </si>
  <si>
    <t>真</t>
  </si>
  <si>
    <t>tián</t>
  </si>
  <si>
    <t>聚会</t>
  </si>
  <si>
    <t>zhēn</t>
  </si>
  <si>
    <t>ngọt</t>
  </si>
  <si>
    <t>thật</t>
  </si>
  <si>
    <t>jù huì</t>
  </si>
  <si>
    <t>这个蛋糕很甜。</t>
  </si>
  <si>
    <t>tụ tập</t>
  </si>
  <si>
    <t>这个苹果真好吃。</t>
  </si>
  <si>
    <t>我们下个星期有个聚会。</t>
  </si>
  <si>
    <t>条</t>
  </si>
  <si>
    <t>tiáo</t>
  </si>
  <si>
    <t>开玩笑</t>
  </si>
  <si>
    <t>sợi, cái</t>
  </si>
  <si>
    <t>kāi wán xiào</t>
  </si>
  <si>
    <t>他买了一条裤子。</t>
  </si>
  <si>
    <t>đùa</t>
  </si>
  <si>
    <t>他喜欢开玩笑。</t>
  </si>
  <si>
    <t>正在</t>
  </si>
  <si>
    <t>zhèngzài</t>
  </si>
  <si>
    <t>đang</t>
  </si>
  <si>
    <t xml:space="preserve">妈妈正在打电话。        </t>
  </si>
  <si>
    <t>开心</t>
  </si>
  <si>
    <t>kāi xīn</t>
  </si>
  <si>
    <t>同事</t>
  </si>
  <si>
    <t>今天我很开心。</t>
  </si>
  <si>
    <t>tóngshì</t>
  </si>
  <si>
    <t>đồng nghiệp</t>
  </si>
  <si>
    <t>他是我的同事。</t>
  </si>
  <si>
    <t>看法</t>
  </si>
  <si>
    <t>kàn fǎ</t>
  </si>
  <si>
    <t>quan điểm</t>
  </si>
  <si>
    <t>你的看法是什么？</t>
  </si>
  <si>
    <t>知道</t>
  </si>
  <si>
    <t>zhīdào</t>
  </si>
  <si>
    <t>biết</t>
  </si>
  <si>
    <t>我知道他是谁。</t>
  </si>
  <si>
    <t>同意</t>
  </si>
  <si>
    <t>tóngyì</t>
  </si>
  <si>
    <t>đồng ý</t>
  </si>
  <si>
    <t>我同意你的看法。</t>
  </si>
  <si>
    <t>考虑</t>
  </si>
  <si>
    <t>kǎo lǜ</t>
  </si>
  <si>
    <t>suy nghĩ</t>
  </si>
  <si>
    <t>我会考虑你的建议。</t>
  </si>
  <si>
    <t>头发</t>
  </si>
  <si>
    <t>准备</t>
  </si>
  <si>
    <t>tóufa</t>
  </si>
  <si>
    <t>zhǔnbèi</t>
  </si>
  <si>
    <t>tóc</t>
  </si>
  <si>
    <t>chuẩn bị</t>
  </si>
  <si>
    <t>我正在准备考试。</t>
  </si>
  <si>
    <t>烤鸭</t>
  </si>
  <si>
    <t>kǎo yā</t>
  </si>
  <si>
    <t>vịt quay</t>
  </si>
  <si>
    <t>北京烤鸭很好吃。</t>
  </si>
  <si>
    <t>突然</t>
  </si>
  <si>
    <t>tūrán</t>
  </si>
  <si>
    <t>科学</t>
  </si>
  <si>
    <t>đột nhiên</t>
  </si>
  <si>
    <t>kē xué</t>
  </si>
  <si>
    <t>他突然离开了。</t>
  </si>
  <si>
    <t>khoa học</t>
  </si>
  <si>
    <t>自行车</t>
  </si>
  <si>
    <t>科学是非常重要的学科。</t>
  </si>
  <si>
    <t>zìxíngchē</t>
  </si>
  <si>
    <t>xe đạp</t>
  </si>
  <si>
    <t>他骑自行车去上班。</t>
  </si>
  <si>
    <t>图书馆</t>
  </si>
  <si>
    <t>túshūguǎn</t>
  </si>
  <si>
    <t>thư viện</t>
  </si>
  <si>
    <t>棵</t>
  </si>
  <si>
    <t>我们去图书馆看书吧。</t>
  </si>
  <si>
    <t>kē</t>
  </si>
  <si>
    <t>lượng từ cho cây</t>
  </si>
  <si>
    <t>花园里有很多棵树。</t>
  </si>
  <si>
    <t>走</t>
  </si>
  <si>
    <t>zǒu</t>
  </si>
  <si>
    <t>我们一起走吧。</t>
  </si>
  <si>
    <t>咳嗽</t>
  </si>
  <si>
    <t>ké sou</t>
  </si>
  <si>
    <t>ho</t>
  </si>
  <si>
    <t>我感冒了，咳嗽很厉害。</t>
  </si>
  <si>
    <t>腿</t>
  </si>
  <si>
    <t>tuǐ</t>
  </si>
  <si>
    <t>他的腿很长。</t>
  </si>
  <si>
    <t>可怜</t>
  </si>
  <si>
    <t>kě lián</t>
  </si>
  <si>
    <t>đáng thương</t>
  </si>
  <si>
    <t>最</t>
  </si>
  <si>
    <t>他很可怜，需要帮助。</t>
  </si>
  <si>
    <t>zuì</t>
  </si>
  <si>
    <t>nhất (so sánh nhất)</t>
  </si>
  <si>
    <t>完成</t>
  </si>
  <si>
    <t>wánchéng</t>
  </si>
  <si>
    <t>hoàn thành</t>
  </si>
  <si>
    <t>我完成了作业。</t>
  </si>
  <si>
    <t>这是我最喜欢的书。</t>
  </si>
  <si>
    <t>可是</t>
  </si>
  <si>
    <t>kě shì</t>
  </si>
  <si>
    <t>我很想去，可是没有时间。</t>
  </si>
  <si>
    <t>碗</t>
  </si>
  <si>
    <t>wǎn</t>
  </si>
  <si>
    <t>bát</t>
  </si>
  <si>
    <t>他吃了三碗饭。</t>
  </si>
  <si>
    <t>可惜</t>
  </si>
  <si>
    <t>kě xī</t>
  </si>
  <si>
    <t>đáng tiếc</t>
  </si>
  <si>
    <t>太可惜了，我没看到。</t>
  </si>
  <si>
    <t>左边</t>
  </si>
  <si>
    <t>zuǒbiān</t>
  </si>
  <si>
    <t>bên trái</t>
  </si>
  <si>
    <t>他坐在我左边。</t>
  </si>
  <si>
    <t>客厅</t>
  </si>
  <si>
    <t>kè tīng</t>
  </si>
  <si>
    <t>phòng khách</t>
  </si>
  <si>
    <t>万</t>
  </si>
  <si>
    <t>客厅里有很多家具。</t>
  </si>
  <si>
    <t>wàn</t>
  </si>
  <si>
    <t>vạn, mười nghìn</t>
  </si>
  <si>
    <t>一万个人参加了比赛。</t>
  </si>
  <si>
    <t>肯定</t>
  </si>
  <si>
    <t>kěn dìng</t>
  </si>
  <si>
    <t>khẳng định</t>
  </si>
  <si>
    <t>这件事肯定是真的。</t>
  </si>
  <si>
    <t>忘记</t>
  </si>
  <si>
    <t>wàngjì</t>
  </si>
  <si>
    <t>quên</t>
  </si>
  <si>
    <t>请不要忘记带书。</t>
  </si>
  <si>
    <t>空</t>
  </si>
  <si>
    <t>kōng</t>
  </si>
  <si>
    <t>trống rỗng</t>
  </si>
  <si>
    <t>房间里空无一人。</t>
  </si>
  <si>
    <t>位</t>
  </si>
  <si>
    <t>空气</t>
  </si>
  <si>
    <t>kōng qì</t>
  </si>
  <si>
    <t>vị, ngài</t>
  </si>
  <si>
    <t>请坐在这位先生旁边。</t>
  </si>
  <si>
    <t>为</t>
  </si>
  <si>
    <t>我为你感到骄傲。</t>
  </si>
  <si>
    <t>không khí</t>
  </si>
  <si>
    <t>为了</t>
  </si>
  <si>
    <t>wèile</t>
  </si>
  <si>
    <t>để, vì</t>
  </si>
  <si>
    <t>我来中国是为了学习汉语。</t>
  </si>
  <si>
    <t>文化</t>
  </si>
  <si>
    <t>wénhuà</t>
  </si>
  <si>
    <t>văn hóa</t>
  </si>
  <si>
    <t>他对中国文化很感兴趣。</t>
  </si>
  <si>
    <t>西</t>
  </si>
  <si>
    <t>xī</t>
  </si>
  <si>
    <t>phía tây</t>
  </si>
  <si>
    <t>我住在西边。</t>
  </si>
  <si>
    <t>习惯</t>
  </si>
  <si>
    <t>xíguàn</t>
  </si>
  <si>
    <t>thói quen</t>
  </si>
  <si>
    <t>他习惯早起。</t>
  </si>
  <si>
    <t>洗手间</t>
  </si>
  <si>
    <t>xǐshǒujiān</t>
  </si>
  <si>
    <t>nhà vệ sinh</t>
  </si>
  <si>
    <t>洗手间在那边。</t>
  </si>
  <si>
    <t>山上的空气很新鲜。</t>
  </si>
  <si>
    <t>洗澡</t>
  </si>
  <si>
    <t>xǐzǎo</t>
  </si>
  <si>
    <t>tắm</t>
  </si>
  <si>
    <t>我每天早上都洗澡。</t>
  </si>
  <si>
    <t>我喜欢这个颜色。</t>
  </si>
  <si>
    <t xml:space="preserve">xiànzài </t>
  </si>
  <si>
    <t>hiện tại , bây giờ</t>
  </si>
  <si>
    <t>现在是八点。</t>
  </si>
  <si>
    <t>香蕉</t>
  </si>
  <si>
    <t>xiāngjiāo</t>
  </si>
  <si>
    <t>chuối</t>
  </si>
  <si>
    <t>香蕉是黄色的。</t>
  </si>
  <si>
    <t>相同</t>
  </si>
  <si>
    <t>xiāngtóng</t>
  </si>
  <si>
    <t>我们的看法相同。</t>
  </si>
  <si>
    <t>相信</t>
  </si>
  <si>
    <t>xiāngxìn</t>
  </si>
  <si>
    <t>tin tưởng</t>
  </si>
  <si>
    <t>我相信他的话。</t>
  </si>
  <si>
    <t>恐怕</t>
  </si>
  <si>
    <t>像</t>
  </si>
  <si>
    <t>giống</t>
  </si>
  <si>
    <t>他像他爸爸一样高。</t>
  </si>
  <si>
    <t>kǒng pà</t>
  </si>
  <si>
    <t>e rằng</t>
  </si>
  <si>
    <t>我恐怕他不会来了。</t>
  </si>
  <si>
    <t>小心</t>
  </si>
  <si>
    <t>xiǎoxīn</t>
  </si>
  <si>
    <t>cẩn thận</t>
  </si>
  <si>
    <t>请小心地走路。</t>
  </si>
  <si>
    <t>苦</t>
  </si>
  <si>
    <t>校长</t>
  </si>
  <si>
    <t>kǔ</t>
  </si>
  <si>
    <t>xiàozhǎng</t>
  </si>
  <si>
    <t>khổ, đắng</t>
  </si>
  <si>
    <t>hiệu trưởng</t>
  </si>
  <si>
    <t>这个药很苦。</t>
  </si>
  <si>
    <t>校长在办公室工作。</t>
  </si>
  <si>
    <t>鞋</t>
  </si>
  <si>
    <t>xié</t>
  </si>
  <si>
    <t>giày</t>
  </si>
  <si>
    <t>我买了一双新鞋。</t>
  </si>
  <si>
    <t>新闻</t>
  </si>
  <si>
    <t>xīnwén</t>
  </si>
  <si>
    <t>tin tức</t>
  </si>
  <si>
    <t>我每天都看新闻。</t>
  </si>
  <si>
    <t>矿泉水</t>
  </si>
  <si>
    <t>kuàng quán shuǐ</t>
  </si>
  <si>
    <t>nước khoáng</t>
  </si>
  <si>
    <t>我喜欢喝矿泉水。</t>
  </si>
  <si>
    <t>新鲜</t>
  </si>
  <si>
    <t>xīnxiān</t>
  </si>
  <si>
    <t>tươi mới</t>
  </si>
  <si>
    <t>这些水果很新鲜。</t>
  </si>
  <si>
    <t>困</t>
  </si>
  <si>
    <t>kùn</t>
  </si>
  <si>
    <t>buồn ngủ</t>
  </si>
  <si>
    <t>我昨晚没睡好，很困。</t>
  </si>
  <si>
    <t>信</t>
  </si>
  <si>
    <t>xìn</t>
  </si>
  <si>
    <t>thư, tin tưởng</t>
  </si>
  <si>
    <t>我给你写了一封信。</t>
  </si>
  <si>
    <t>困难</t>
  </si>
  <si>
    <t>kùn nán</t>
  </si>
  <si>
    <t>khó khăn</t>
  </si>
  <si>
    <t>学习汉语很困难。</t>
  </si>
  <si>
    <t>行李箱</t>
  </si>
  <si>
    <t>xínglǐxiāng</t>
  </si>
  <si>
    <t>vali</t>
  </si>
  <si>
    <t>我的行李箱很重。</t>
  </si>
  <si>
    <t>兴趣</t>
  </si>
  <si>
    <t>xìngqù</t>
  </si>
  <si>
    <t>垃圾桶</t>
  </si>
  <si>
    <t>hứng thú</t>
  </si>
  <si>
    <t>lā jī tǒng</t>
  </si>
  <si>
    <t>我对中国文化有兴趣。</t>
  </si>
  <si>
    <t>thùng rác</t>
  </si>
  <si>
    <t>请把垃圾扔进垃圾桶。</t>
  </si>
  <si>
    <t>拉</t>
  </si>
  <si>
    <t>lā</t>
  </si>
  <si>
    <t>kéo</t>
  </si>
  <si>
    <t>他把箱子拉到房间里。</t>
  </si>
  <si>
    <t>熊猫</t>
  </si>
  <si>
    <t>xióngmāo</t>
  </si>
  <si>
    <t>gấu trúc</t>
  </si>
  <si>
    <t>熊猫是中国的国宝。</t>
  </si>
  <si>
    <t>需要</t>
  </si>
  <si>
    <t>xūyào</t>
  </si>
  <si>
    <t>cần</t>
  </si>
  <si>
    <t>我需要一杯水。</t>
  </si>
  <si>
    <t>辣</t>
  </si>
  <si>
    <t>là</t>
  </si>
  <si>
    <t>cay</t>
  </si>
  <si>
    <t>我不喜欢吃辣的东西。</t>
  </si>
  <si>
    <t>选择</t>
  </si>
  <si>
    <t>xuǎnzé</t>
  </si>
  <si>
    <t>lựa chọn</t>
  </si>
  <si>
    <t>你可以选择一个礼物。</t>
  </si>
  <si>
    <t>来不及</t>
  </si>
  <si>
    <t>lái bù jí</t>
  </si>
  <si>
    <t>không kịp</t>
  </si>
  <si>
    <t>我们来不及赶飞机了。</t>
  </si>
  <si>
    <t>来得及</t>
  </si>
  <si>
    <t>lái de jí</t>
  </si>
  <si>
    <t>kịp</t>
  </si>
  <si>
    <t>你来得及去火车站。</t>
  </si>
  <si>
    <t>眼镜</t>
  </si>
  <si>
    <t>yǎnjìng</t>
  </si>
  <si>
    <t>kính</t>
  </si>
  <si>
    <t>他戴着一副眼镜。</t>
  </si>
  <si>
    <t>来自</t>
  </si>
  <si>
    <t>lái zì</t>
  </si>
  <si>
    <t>đến từ</t>
  </si>
  <si>
    <t>他来自中国。</t>
  </si>
  <si>
    <t>要求</t>
  </si>
  <si>
    <t>yāoqiú</t>
  </si>
  <si>
    <t>yêu cầu</t>
  </si>
  <si>
    <t>老师对学生有很高的要求。</t>
  </si>
  <si>
    <t>懒</t>
  </si>
  <si>
    <t>lǎn</t>
  </si>
  <si>
    <t>lười biếng</t>
  </si>
  <si>
    <t>他很懒，不喜欢工作。</t>
  </si>
  <si>
    <t>爷爷</t>
  </si>
  <si>
    <t>yéye</t>
  </si>
  <si>
    <t>ông nội</t>
  </si>
  <si>
    <t>我爷爷很喜欢看书。</t>
  </si>
  <si>
    <t>浪费</t>
  </si>
  <si>
    <t>làng fèi</t>
  </si>
  <si>
    <t>lãng phí</t>
  </si>
  <si>
    <t>我们应该避免浪费时间。</t>
  </si>
  <si>
    <t>一定</t>
  </si>
  <si>
    <t>yīdìng</t>
  </si>
  <si>
    <t>nhất định</t>
  </si>
  <si>
    <t>我一定会努力学习。</t>
  </si>
  <si>
    <t>浪漫</t>
  </si>
  <si>
    <t>làng màn</t>
  </si>
  <si>
    <t>lãng mạn</t>
  </si>
  <si>
    <t>他们的故事很浪漫。</t>
  </si>
  <si>
    <t>一共</t>
  </si>
  <si>
    <t>yīgòng</t>
  </si>
  <si>
    <t>tổng cộng</t>
  </si>
  <si>
    <t>我们一共有五个人。</t>
  </si>
  <si>
    <t>老虎</t>
  </si>
  <si>
    <t>lǎo hǔ</t>
  </si>
  <si>
    <t>hổ</t>
  </si>
  <si>
    <t>动物园里有一只老虎。</t>
  </si>
  <si>
    <t>一会儿</t>
  </si>
  <si>
    <t>yīhuìr</t>
  </si>
  <si>
    <t>một lát</t>
  </si>
  <si>
    <t>请等我一会儿。</t>
  </si>
  <si>
    <t>冷静</t>
  </si>
  <si>
    <t>lěng jìng</t>
  </si>
  <si>
    <t>bình tĩnh</t>
  </si>
  <si>
    <t>请冷静下来，不要生气。</t>
  </si>
  <si>
    <t>一样</t>
  </si>
  <si>
    <t>yīyàng</t>
  </si>
  <si>
    <t>他们和我们一样高。</t>
  </si>
  <si>
    <t>礼拜天</t>
  </si>
  <si>
    <t>lǐ bài tiān</t>
  </si>
  <si>
    <t>chủ nhật</t>
  </si>
  <si>
    <t>我们星期天去公园。</t>
  </si>
  <si>
    <t>以后</t>
  </si>
  <si>
    <t>yǐhòu</t>
  </si>
  <si>
    <t>sau này</t>
  </si>
  <si>
    <t>我以后再来。</t>
  </si>
  <si>
    <t>礼貌</t>
  </si>
  <si>
    <t>lǐ mào</t>
  </si>
  <si>
    <t>lễ phép, lịch sự</t>
  </si>
  <si>
    <t>他对人很有礼貌。</t>
  </si>
  <si>
    <t>理发</t>
  </si>
  <si>
    <t>lǐ fà</t>
  </si>
  <si>
    <t>cắt tóc</t>
  </si>
  <si>
    <t>今天我要去理发。</t>
  </si>
  <si>
    <t>理解</t>
  </si>
  <si>
    <t>lǐ jiě</t>
  </si>
  <si>
    <t>lý giải, hiểu</t>
  </si>
  <si>
    <t>我不理解你的意思。</t>
  </si>
  <si>
    <t>理想</t>
  </si>
  <si>
    <t>lǐ xiǎng</t>
  </si>
  <si>
    <t>lý tưởng</t>
  </si>
  <si>
    <t>他的理想是当医生。</t>
  </si>
  <si>
    <t>力气</t>
  </si>
  <si>
    <t>lì qì</t>
  </si>
  <si>
    <t>sức lực</t>
  </si>
  <si>
    <t>我没有力气搬动这张桌子。</t>
  </si>
  <si>
    <t>厉害</t>
  </si>
  <si>
    <t>lì hài</t>
  </si>
  <si>
    <t>lợi hại</t>
  </si>
  <si>
    <t>他的汉语说得很厉害。</t>
  </si>
  <si>
    <t>以前</t>
  </si>
  <si>
    <t>例如</t>
  </si>
  <si>
    <t>lì rú</t>
  </si>
  <si>
    <t>ví dụ</t>
  </si>
  <si>
    <t>例如，苹果和香蕉都是水果。</t>
  </si>
  <si>
    <t>yǐqián</t>
  </si>
  <si>
    <t>trước đây</t>
  </si>
  <si>
    <t>俩</t>
  </si>
  <si>
    <t>liǎ</t>
  </si>
  <si>
    <t>hai người</t>
  </si>
  <si>
    <t>我们俩是好朋友。</t>
  </si>
  <si>
    <t>我以前住在北京。</t>
  </si>
  <si>
    <t>连</t>
  </si>
  <si>
    <t>lián</t>
  </si>
  <si>
    <t>liên kết, nối</t>
  </si>
  <si>
    <t>他连书都没带。</t>
  </si>
  <si>
    <t>联系</t>
  </si>
  <si>
    <t>lián xì</t>
  </si>
  <si>
    <t>liên hệ</t>
  </si>
  <si>
    <t>我会联系你。</t>
  </si>
  <si>
    <t>凉快</t>
  </si>
  <si>
    <t>liáng kuài</t>
  </si>
  <si>
    <t>mát mẻ</t>
  </si>
  <si>
    <t>今天很凉快。</t>
  </si>
  <si>
    <t>零钱</t>
  </si>
  <si>
    <t>líng qián</t>
  </si>
  <si>
    <t>tiền lẻ</t>
  </si>
  <si>
    <t>我有一些零钱。</t>
  </si>
  <si>
    <t>另外</t>
  </si>
  <si>
    <t>lìng wài</t>
  </si>
  <si>
    <t>ngoài ra, còn lại</t>
  </si>
  <si>
    <t>我们还有另外一个问题要解决。</t>
  </si>
  <si>
    <t>留</t>
  </si>
  <si>
    <t>liú</t>
  </si>
  <si>
    <t>lưu lại, ở lại</t>
  </si>
  <si>
    <t>请把文件留在桌上。</t>
  </si>
  <si>
    <t>流利</t>
  </si>
  <si>
    <t>liú lì</t>
  </si>
  <si>
    <t>lưu loát</t>
  </si>
  <si>
    <t>他的汉语说得很流利。</t>
  </si>
  <si>
    <t>以为</t>
  </si>
  <si>
    <t>yǐwéi</t>
  </si>
  <si>
    <t>我以为你不来了。</t>
  </si>
  <si>
    <t>流行</t>
  </si>
  <si>
    <t>liú xíng</t>
  </si>
  <si>
    <t>thịnh hành</t>
  </si>
  <si>
    <t>这首歌很流行。</t>
  </si>
  <si>
    <t>一般</t>
  </si>
  <si>
    <t>yībān</t>
  </si>
  <si>
    <t>thông thường</t>
  </si>
  <si>
    <t>这个饭馆很一般。</t>
  </si>
  <si>
    <t>旅行</t>
  </si>
  <si>
    <t>lǚ xíng</t>
  </si>
  <si>
    <t>我们打算去旅行。</t>
  </si>
  <si>
    <t>一边</t>
  </si>
  <si>
    <t>yībiān</t>
  </si>
  <si>
    <t>vừa ... vừa ...</t>
  </si>
  <si>
    <t>他一边吃饭一边看电视。</t>
  </si>
  <si>
    <t>律师</t>
  </si>
  <si>
    <t>lǜ shī</t>
  </si>
  <si>
    <t>luật sư</t>
  </si>
  <si>
    <t>他是一名律师。</t>
  </si>
  <si>
    <t>一直</t>
  </si>
  <si>
    <t>乱</t>
  </si>
  <si>
    <t>yīzhí</t>
  </si>
  <si>
    <t>luàn</t>
  </si>
  <si>
    <t>luôn luôn</t>
  </si>
  <si>
    <t>loạn</t>
  </si>
  <si>
    <t>他一直在学习。</t>
  </si>
  <si>
    <t>房间里很乱。</t>
  </si>
  <si>
    <t>音乐</t>
  </si>
  <si>
    <t>yīnyuè</t>
  </si>
  <si>
    <t>麻烦</t>
  </si>
  <si>
    <t>âm nhạc</t>
  </si>
  <si>
    <t>má fan</t>
  </si>
  <si>
    <t>phiền phức, làm phiền</t>
  </si>
  <si>
    <t>麻烦你帮我拿一下。</t>
  </si>
  <si>
    <t>银行</t>
  </si>
  <si>
    <t>yínháng</t>
  </si>
  <si>
    <t>ngân hàng</t>
  </si>
  <si>
    <t>我去银行取钱。</t>
  </si>
  <si>
    <t>马虎</t>
  </si>
  <si>
    <t>mǎ hu</t>
  </si>
  <si>
    <t>qua loa</t>
  </si>
  <si>
    <t>他做事很马虎。</t>
  </si>
  <si>
    <t>应该</t>
  </si>
  <si>
    <t>yīnggāi</t>
  </si>
  <si>
    <t>nên</t>
  </si>
  <si>
    <t>你应该多休息。</t>
  </si>
  <si>
    <t>满</t>
  </si>
  <si>
    <t>mǎn</t>
  </si>
  <si>
    <t>đầy</t>
  </si>
  <si>
    <t>我的行李箱装满了。</t>
  </si>
  <si>
    <t>影响</t>
  </si>
  <si>
    <t>yǐngxiǎng</t>
  </si>
  <si>
    <t>ảnh hưởng</t>
  </si>
  <si>
    <t>这个电影对我影响很大。</t>
  </si>
  <si>
    <t>毛</t>
  </si>
  <si>
    <t>máo</t>
  </si>
  <si>
    <t>lông</t>
  </si>
  <si>
    <t>我不喜欢穿毛衣。</t>
  </si>
  <si>
    <t>用</t>
  </si>
  <si>
    <t>yòng</t>
  </si>
  <si>
    <t>dùng</t>
  </si>
  <si>
    <t>请不要用手机。</t>
  </si>
  <si>
    <t>毛巾</t>
  </si>
  <si>
    <t>máo jīn</t>
  </si>
  <si>
    <t>khăn bông</t>
  </si>
  <si>
    <t>请给我一条毛巾。</t>
  </si>
  <si>
    <t>游戏</t>
  </si>
  <si>
    <t>yóuxì</t>
  </si>
  <si>
    <t>trò chơi</t>
  </si>
  <si>
    <t>我喜欢玩游戏。</t>
  </si>
  <si>
    <t>美丽</t>
  </si>
  <si>
    <t>měi lì</t>
  </si>
  <si>
    <t>这个地方很美丽。</t>
  </si>
  <si>
    <t>又</t>
  </si>
  <si>
    <t>梦</t>
  </si>
  <si>
    <t>mèng</t>
  </si>
  <si>
    <t>yòu</t>
  </si>
  <si>
    <t>giấc mơ, mơ</t>
  </si>
  <si>
    <t>lại, vừa</t>
  </si>
  <si>
    <t>我昨晚做了一个好梦。</t>
  </si>
  <si>
    <t>他又来了。</t>
  </si>
  <si>
    <t>迷路</t>
  </si>
  <si>
    <t>mí lù</t>
  </si>
  <si>
    <t>lạc đường</t>
  </si>
  <si>
    <t>我迷路了，找不到回家的路。</t>
  </si>
  <si>
    <t>有名</t>
  </si>
  <si>
    <t>yǒumíng</t>
  </si>
  <si>
    <t>nổi tiếng</t>
  </si>
  <si>
    <t>他是一个有名的歌手。</t>
  </si>
  <si>
    <t>密码</t>
  </si>
  <si>
    <t>mì mǎ</t>
  </si>
  <si>
    <t>mật khẩu</t>
  </si>
  <si>
    <t>请不要告诉别人我的密码。</t>
  </si>
  <si>
    <t>遇到</t>
  </si>
  <si>
    <t>免费</t>
  </si>
  <si>
    <t>yùdào</t>
  </si>
  <si>
    <t>miǎn fèi</t>
  </si>
  <si>
    <t>gặp phải</t>
  </si>
  <si>
    <t>miễn phí</t>
  </si>
  <si>
    <t>我在路上遇到他了。</t>
  </si>
  <si>
    <t>这家博物馆是免费的。</t>
  </si>
  <si>
    <t>秒</t>
  </si>
  <si>
    <t>miǎo</t>
  </si>
  <si>
    <t>giây</t>
  </si>
  <si>
    <t>我们需要等几秒钟。</t>
  </si>
  <si>
    <t>民族</t>
  </si>
  <si>
    <t>mín zú</t>
  </si>
  <si>
    <t>dân tộc</t>
  </si>
  <si>
    <t>中国是一个多民族的国家。</t>
  </si>
  <si>
    <t>母亲</t>
  </si>
  <si>
    <t>mǔ qin</t>
  </si>
  <si>
    <t>我的母亲很善良。</t>
  </si>
  <si>
    <t>目的</t>
  </si>
  <si>
    <t>mù dì</t>
  </si>
  <si>
    <t>mục đích</t>
  </si>
  <si>
    <t>我的目的是学好汉语。</t>
  </si>
  <si>
    <t>月亮</t>
  </si>
  <si>
    <t>yuèliàng</t>
  </si>
  <si>
    <t>mặt trăng</t>
  </si>
  <si>
    <t>今天晚上的月亮很圆。</t>
  </si>
  <si>
    <t>耐心</t>
  </si>
  <si>
    <t>nài xīn</t>
  </si>
  <si>
    <t>nhẫn nại</t>
  </si>
  <si>
    <t>请耐心一点。</t>
  </si>
  <si>
    <t>云</t>
  </si>
  <si>
    <t>yún</t>
  </si>
  <si>
    <t>mây</t>
  </si>
  <si>
    <t>天上的云很美。</t>
  </si>
  <si>
    <t>难道</t>
  </si>
  <si>
    <t>nán dào</t>
  </si>
  <si>
    <t>lẽ nào</t>
  </si>
  <si>
    <t>难道你不想去吗？</t>
  </si>
  <si>
    <t>难受</t>
  </si>
  <si>
    <t>站</t>
  </si>
  <si>
    <t>nán shòu</t>
  </si>
  <si>
    <t>zhàn</t>
  </si>
  <si>
    <t>đứng, trạm</t>
  </si>
  <si>
    <t>他觉得很难受。</t>
  </si>
  <si>
    <t>请站在这儿。</t>
  </si>
  <si>
    <t>内</t>
  </si>
  <si>
    <t>nèi</t>
  </si>
  <si>
    <t>bên trong</t>
  </si>
  <si>
    <t>他住在城市内。</t>
  </si>
  <si>
    <t>zhǎng</t>
  </si>
  <si>
    <t>内容</t>
  </si>
  <si>
    <t>nèi róng</t>
  </si>
  <si>
    <t>他长得很高。</t>
  </si>
  <si>
    <t>nội dung</t>
  </si>
  <si>
    <t>这本书的内容很有趣。</t>
  </si>
  <si>
    <t>能力</t>
  </si>
  <si>
    <t>néng lì</t>
  </si>
  <si>
    <t>năng lực</t>
  </si>
  <si>
    <t>他有很强的工作能力。</t>
  </si>
  <si>
    <t>年龄</t>
  </si>
  <si>
    <t>nián líng</t>
  </si>
  <si>
    <t>tuổi tác</t>
  </si>
  <si>
    <t>她的年龄是25岁。</t>
  </si>
  <si>
    <t>弄</t>
  </si>
  <si>
    <t>nòng</t>
  </si>
  <si>
    <t>别弄坏了我的手机。</t>
  </si>
  <si>
    <t>暖和</t>
  </si>
  <si>
    <t>nuǎn huo</t>
  </si>
  <si>
    <t>ấm áp</t>
  </si>
  <si>
    <t>今天天气很暖和。</t>
  </si>
  <si>
    <t>偶尔</t>
  </si>
  <si>
    <t>ǒu ěr</t>
  </si>
  <si>
    <t>đôi khi</t>
  </si>
  <si>
    <t>我偶尔会去图书馆。</t>
  </si>
  <si>
    <t>排队</t>
  </si>
  <si>
    <t>pái duì</t>
  </si>
  <si>
    <t>xếp hàng</t>
  </si>
  <si>
    <t>请大家排队等候。</t>
  </si>
  <si>
    <t>着急</t>
  </si>
  <si>
    <t>zhāojí</t>
  </si>
  <si>
    <t>他很着急。</t>
  </si>
  <si>
    <t>排列</t>
  </si>
  <si>
    <t>pái liè</t>
  </si>
  <si>
    <t>sắp xếp, xếp</t>
  </si>
  <si>
    <t>书架上的书排列的非常整齐。</t>
  </si>
  <si>
    <t>照顾</t>
  </si>
  <si>
    <t>判断</t>
  </si>
  <si>
    <t>pàn duàn</t>
  </si>
  <si>
    <t>phán đoán</t>
  </si>
  <si>
    <t>我无法判断他是否说真话。</t>
  </si>
  <si>
    <t>zhàogu</t>
  </si>
  <si>
    <t>chăm sóc</t>
  </si>
  <si>
    <t>我会照顾你。</t>
  </si>
  <si>
    <t>陪</t>
  </si>
  <si>
    <t>péi</t>
  </si>
  <si>
    <t>cùng</t>
  </si>
  <si>
    <t>她陪我去看医生。</t>
  </si>
  <si>
    <t>照片</t>
  </si>
  <si>
    <t>zhàopiàn</t>
  </si>
  <si>
    <t>bức ảnh</t>
  </si>
  <si>
    <t>这张照片很好看。</t>
  </si>
  <si>
    <t>批评</t>
  </si>
  <si>
    <t>pī píng</t>
  </si>
  <si>
    <t>phê bình</t>
  </si>
  <si>
    <t>他总是批评我的工作。</t>
  </si>
  <si>
    <t>皮肤</t>
  </si>
  <si>
    <t>pí fū</t>
  </si>
  <si>
    <t>照相机</t>
  </si>
  <si>
    <t>da</t>
  </si>
  <si>
    <t>她的皮肤很白。</t>
  </si>
  <si>
    <t>zhàoxiàngjī</t>
  </si>
  <si>
    <t>máy ảnh</t>
  </si>
  <si>
    <t>我有一台新的照相机。</t>
  </si>
  <si>
    <t>脾气</t>
  </si>
  <si>
    <t>pí qì</t>
  </si>
  <si>
    <t>tính khí</t>
  </si>
  <si>
    <t>他的脾气很坏。</t>
  </si>
  <si>
    <t>只</t>
  </si>
  <si>
    <t>zhǐ</t>
  </si>
  <si>
    <t>chỉ</t>
  </si>
  <si>
    <t>我只吃了一点儿。</t>
  </si>
  <si>
    <t>篇</t>
  </si>
  <si>
    <t>piān</t>
  </si>
  <si>
    <t>lượng từ cho bài viết</t>
  </si>
  <si>
    <t>我读了一篇有趣的文章。</t>
  </si>
  <si>
    <t>中间</t>
  </si>
  <si>
    <t>zhōngjiān</t>
  </si>
  <si>
    <t>ở giữa</t>
  </si>
  <si>
    <t>他站在房间的中间。</t>
  </si>
  <si>
    <t>骗</t>
  </si>
  <si>
    <t>piàn</t>
  </si>
  <si>
    <t>lừa</t>
  </si>
  <si>
    <t>别骗我。</t>
  </si>
  <si>
    <t>乒乓球</t>
  </si>
  <si>
    <t>pīng pāng qiú</t>
  </si>
  <si>
    <t>终于</t>
  </si>
  <si>
    <t>bóng bàn</t>
  </si>
  <si>
    <t>zhōngyú</t>
  </si>
  <si>
    <t>我喜欢打乒乓球。</t>
  </si>
  <si>
    <t>我终于完成了作业。</t>
  </si>
  <si>
    <t>平时</t>
  </si>
  <si>
    <t>píng shí</t>
  </si>
  <si>
    <t>bình thường</t>
  </si>
  <si>
    <t>平时他很少运动。</t>
  </si>
  <si>
    <t>种</t>
  </si>
  <si>
    <t>zhǒng</t>
  </si>
  <si>
    <t>loại, hạt giống</t>
  </si>
  <si>
    <t>他喜欢这种花。</t>
  </si>
  <si>
    <t>破</t>
  </si>
  <si>
    <t>pò</t>
  </si>
  <si>
    <t>rách, nổ</t>
  </si>
  <si>
    <t>我的鞋子破了。</t>
  </si>
  <si>
    <t>重要</t>
  </si>
  <si>
    <t>zhòngyào</t>
  </si>
  <si>
    <t>quan trọng</t>
  </si>
  <si>
    <t>这件事很重要。</t>
  </si>
  <si>
    <t>pú táo</t>
  </si>
  <si>
    <t>这些葡萄很好吃。</t>
  </si>
  <si>
    <t>主要</t>
  </si>
  <si>
    <t>zhǔyào</t>
  </si>
  <si>
    <t>chủ yếu</t>
  </si>
  <si>
    <t>主要问题是时间不够。</t>
  </si>
  <si>
    <t>普遍</t>
  </si>
  <si>
    <t>pǔ biàn</t>
  </si>
  <si>
    <t>phổ biến</t>
  </si>
  <si>
    <t>这种现象很普遍。</t>
  </si>
  <si>
    <t>周末</t>
  </si>
  <si>
    <t>zhōumò</t>
  </si>
  <si>
    <t>cuối tuần</t>
  </si>
  <si>
    <t>pǔ tōng huà</t>
  </si>
  <si>
    <t>周末我去公园玩。</t>
  </si>
  <si>
    <t>tiếng phổ thông</t>
  </si>
  <si>
    <t>他说普通话说得很好。</t>
  </si>
  <si>
    <t>其次</t>
  </si>
  <si>
    <t>祝</t>
  </si>
  <si>
    <t>qí cì</t>
  </si>
  <si>
    <t>chúc</t>
  </si>
  <si>
    <t>首先要努力，其次要坚持。</t>
  </si>
  <si>
    <t>其中</t>
  </si>
  <si>
    <t>注意</t>
  </si>
  <si>
    <t>qí zhōng</t>
  </si>
  <si>
    <t>zhùyì</t>
  </si>
  <si>
    <t>trong đó</t>
  </si>
  <si>
    <t>chú ý</t>
  </si>
  <si>
    <t>在所有的人群中，其中有一个人是我认识的人。</t>
  </si>
  <si>
    <t>请注意安全。</t>
  </si>
  <si>
    <t>字典</t>
  </si>
  <si>
    <t>zìdiǎn</t>
  </si>
  <si>
    <t>từ điển</t>
  </si>
  <si>
    <t>我需要一本字典。</t>
  </si>
  <si>
    <t>自己</t>
  </si>
  <si>
    <t>zìjǐ</t>
  </si>
  <si>
    <t>bản thân</t>
  </si>
  <si>
    <t>这是我自己的问题。</t>
  </si>
  <si>
    <t>气候</t>
  </si>
  <si>
    <t>qì hòu</t>
  </si>
  <si>
    <t>khí hậu</t>
  </si>
  <si>
    <t>这个地方的气候很宜人。</t>
  </si>
  <si>
    <t>总是</t>
  </si>
  <si>
    <t>zǒngshì</t>
  </si>
  <si>
    <t>他总是很忙。</t>
  </si>
  <si>
    <t>千万</t>
  </si>
  <si>
    <t>qiān wàn</t>
  </si>
  <si>
    <t>nhất thiết</t>
  </si>
  <si>
    <t>你千万不要忘记。</t>
  </si>
  <si>
    <t>最近</t>
  </si>
  <si>
    <t>zuìjìn</t>
  </si>
  <si>
    <t>gần đây</t>
  </si>
  <si>
    <t>最近我很忙。</t>
  </si>
  <si>
    <t>签证</t>
  </si>
  <si>
    <t>qiān zhèng</t>
  </si>
  <si>
    <t>visa</t>
  </si>
  <si>
    <t>我需要办理签证。</t>
  </si>
  <si>
    <t>作业</t>
  </si>
  <si>
    <t>zuòyè</t>
  </si>
  <si>
    <t>bài tập về nhà</t>
  </si>
  <si>
    <t>我已经做完作业了。</t>
  </si>
  <si>
    <t>敲</t>
  </si>
  <si>
    <t>qiāo</t>
  </si>
  <si>
    <t>gõ</t>
  </si>
  <si>
    <t>他敲门进来了。</t>
  </si>
  <si>
    <t>作用</t>
  </si>
  <si>
    <t>zuòyòng</t>
  </si>
  <si>
    <t>tác dụng</t>
  </si>
  <si>
    <t>这个词的作用是什么？</t>
  </si>
  <si>
    <t>桥</t>
  </si>
  <si>
    <t>qiáo</t>
  </si>
  <si>
    <t>cầu</t>
  </si>
  <si>
    <t>他们在桥上拍照。</t>
  </si>
  <si>
    <t>巧克力</t>
  </si>
  <si>
    <t>qiǎo kè lì</t>
  </si>
  <si>
    <t>sô cô la</t>
  </si>
  <si>
    <t>她给了我一块巧克力。</t>
  </si>
  <si>
    <t>亲戚</t>
  </si>
  <si>
    <t>qīn qi</t>
  </si>
  <si>
    <t>họ hàng</t>
  </si>
  <si>
    <t>我有很多亲戚住在国外。</t>
  </si>
  <si>
    <t>轻</t>
  </si>
  <si>
    <t>qīng</t>
  </si>
  <si>
    <t>nhẹ</t>
  </si>
  <si>
    <t>这本书很轻。</t>
  </si>
  <si>
    <t>轻松</t>
  </si>
  <si>
    <t>qīng sōng</t>
  </si>
  <si>
    <t>他觉得工作很轻松。</t>
  </si>
  <si>
    <t>情况</t>
  </si>
  <si>
    <t>qíng kuàng</t>
  </si>
  <si>
    <t>tình hình</t>
  </si>
  <si>
    <t>目前的情况很复杂。</t>
  </si>
  <si>
    <t>穷</t>
  </si>
  <si>
    <t>qióng</t>
  </si>
  <si>
    <t>nghèo</t>
  </si>
  <si>
    <t>他家很穷。</t>
  </si>
  <si>
    <t>区别</t>
  </si>
  <si>
    <t>qū bié</t>
  </si>
  <si>
    <t>khác biệt</t>
  </si>
  <si>
    <t>这个问题有很多区别。</t>
  </si>
  <si>
    <t>取</t>
  </si>
  <si>
    <t>qǔ</t>
  </si>
  <si>
    <t>lấy</t>
  </si>
  <si>
    <t>请把书取出来。</t>
  </si>
  <si>
    <t>全部</t>
  </si>
  <si>
    <t>quán bù</t>
  </si>
  <si>
    <t>toàn bộ</t>
  </si>
  <si>
    <t>我们全部完成了任务。</t>
  </si>
  <si>
    <t>缺点</t>
  </si>
  <si>
    <t>quē diǎn</t>
  </si>
  <si>
    <t>khuyết điểm</t>
  </si>
  <si>
    <t>他有很多缺点。</t>
  </si>
  <si>
    <t>缺少</t>
  </si>
  <si>
    <t>quē shǎo</t>
  </si>
  <si>
    <t>thiếu</t>
  </si>
  <si>
    <t>这里缺少水。</t>
  </si>
  <si>
    <t>却</t>
  </si>
  <si>
    <t>què</t>
  </si>
  <si>
    <t>lại, nhưng</t>
  </si>
  <si>
    <t>他很想去，却不能去。</t>
  </si>
  <si>
    <t>确实</t>
  </si>
  <si>
    <t>què shí</t>
  </si>
  <si>
    <t>thật sự</t>
  </si>
  <si>
    <t>这次确实是我的错。</t>
  </si>
  <si>
    <t>然而</t>
  </si>
  <si>
    <t>rán ér</t>
  </si>
  <si>
    <t>vậy mà</t>
  </si>
  <si>
    <t>然而，他并没有成功。</t>
  </si>
  <si>
    <t>热闹</t>
  </si>
  <si>
    <t>rè nào</t>
  </si>
  <si>
    <t>náo nhiệt</t>
  </si>
  <si>
    <t>市场很热闹。</t>
  </si>
  <si>
    <t>任何</t>
  </si>
  <si>
    <t>rèn hé</t>
  </si>
  <si>
    <t>bất kì</t>
  </si>
  <si>
    <t>任何人都可以参加。</t>
  </si>
  <si>
    <t>任务</t>
  </si>
  <si>
    <t>rèn wù</t>
  </si>
  <si>
    <t>nhiệm vụ</t>
  </si>
  <si>
    <t>我们的任务是保护环境。</t>
  </si>
  <si>
    <t>扔</t>
  </si>
  <si>
    <t>rēng</t>
  </si>
  <si>
    <t>ném</t>
  </si>
  <si>
    <t>请不要随便扔垃圾。</t>
  </si>
  <si>
    <t>仍然</t>
  </si>
  <si>
    <t>réng rán</t>
  </si>
  <si>
    <t>vẫn</t>
  </si>
  <si>
    <t>他仍然在等你。</t>
  </si>
  <si>
    <t>日记</t>
  </si>
  <si>
    <t>rì jì</t>
  </si>
  <si>
    <t>nhật kí</t>
  </si>
  <si>
    <t>我每天都写日记。</t>
  </si>
  <si>
    <t>入口</t>
  </si>
  <si>
    <t>rù kǒu</t>
  </si>
  <si>
    <t>cửa vào</t>
  </si>
  <si>
    <t>这是超市的入口。</t>
  </si>
  <si>
    <t>散步</t>
  </si>
  <si>
    <t>sàn bù</t>
  </si>
  <si>
    <t>tản bộ</t>
  </si>
  <si>
    <t>我喜欢晚上散步。</t>
  </si>
  <si>
    <t>森林</t>
  </si>
  <si>
    <t>sēn lín</t>
  </si>
  <si>
    <t>rừng sâu</t>
  </si>
  <si>
    <t>森林里有很多动物。</t>
  </si>
  <si>
    <t>沙发</t>
  </si>
  <si>
    <t>shā fā</t>
  </si>
  <si>
    <t>ghế sô pha</t>
  </si>
  <si>
    <t>我家有一张沙发。</t>
  </si>
  <si>
    <t>伤心</t>
  </si>
  <si>
    <t>shāng xīn</t>
  </si>
  <si>
    <t>tổn thương</t>
  </si>
  <si>
    <t>他听到这个消息很伤心。</t>
  </si>
  <si>
    <t>商量</t>
  </si>
  <si>
    <t>shāng liáng</t>
  </si>
  <si>
    <t>thương lượng, bàn bạc</t>
  </si>
  <si>
    <t>我们需要商量一下计划。</t>
  </si>
  <si>
    <t>稍微</t>
  </si>
  <si>
    <t>shāo wēi</t>
  </si>
  <si>
    <t>một chút</t>
  </si>
  <si>
    <t>你稍微等一下。</t>
  </si>
  <si>
    <t>勺子</t>
  </si>
  <si>
    <t>sháo zi</t>
  </si>
  <si>
    <t>cái thìa</t>
  </si>
  <si>
    <t>请给我一把勺子。</t>
  </si>
  <si>
    <t>社会</t>
  </si>
  <si>
    <t>shè huì</t>
  </si>
  <si>
    <t>xã hội</t>
  </si>
  <si>
    <t>这个社会变化很快。</t>
  </si>
  <si>
    <t>申请</t>
  </si>
  <si>
    <t>shēn qǐng</t>
  </si>
  <si>
    <t>xin</t>
  </si>
  <si>
    <t>我申请了一个新工作。</t>
  </si>
  <si>
    <t>深</t>
  </si>
  <si>
    <t>shēn</t>
  </si>
  <si>
    <t>sâu</t>
  </si>
  <si>
    <t>湖水很深。</t>
  </si>
  <si>
    <t>甚至</t>
  </si>
  <si>
    <t>shèn zhì</t>
  </si>
  <si>
    <t>thậm chí</t>
  </si>
  <si>
    <t>他甚至不知道我的名字。</t>
  </si>
  <si>
    <t>生活</t>
  </si>
  <si>
    <t>shēng huó</t>
  </si>
  <si>
    <t>cuộc sống</t>
  </si>
  <si>
    <t>我们的生活很幸福。</t>
  </si>
  <si>
    <t>生命</t>
  </si>
  <si>
    <t>shēng mìng</t>
  </si>
  <si>
    <t>tính mạng</t>
  </si>
  <si>
    <t>生命很宝贵。</t>
  </si>
  <si>
    <t>生意</t>
  </si>
  <si>
    <t>shēng yì</t>
  </si>
  <si>
    <t>kinh doanh</t>
  </si>
  <si>
    <t>他的生意做得很好。</t>
  </si>
  <si>
    <t>省</t>
  </si>
  <si>
    <t>shěng</t>
  </si>
  <si>
    <t>tỉnh thành</t>
  </si>
  <si>
    <t>我们住在北江省。</t>
  </si>
  <si>
    <t>剩</t>
  </si>
  <si>
    <t>shèng</t>
  </si>
  <si>
    <t>thừa</t>
  </si>
  <si>
    <t>剩下的路程只能靠我们自己了。</t>
  </si>
  <si>
    <t>失败</t>
  </si>
  <si>
    <t>shī bài</t>
  </si>
  <si>
    <t>thất bại</t>
  </si>
  <si>
    <t>他没有失败过。</t>
  </si>
  <si>
    <t>失望</t>
  </si>
  <si>
    <t>shī wàng</t>
  </si>
  <si>
    <t>thất vọng</t>
  </si>
  <si>
    <t>结果让我很失望。</t>
  </si>
  <si>
    <t>师傅</t>
  </si>
  <si>
    <t>shī fù</t>
  </si>
  <si>
    <t>sư phụ</t>
  </si>
  <si>
    <t>师傅，请教我开车。</t>
  </si>
  <si>
    <t>十分</t>
  </si>
  <si>
    <t>shí fēn</t>
  </si>
  <si>
    <t>vô cùng</t>
  </si>
  <si>
    <t>他十分聪明。</t>
  </si>
  <si>
    <t>实际</t>
  </si>
  <si>
    <t>shí jì</t>
  </si>
  <si>
    <t>thực tế</t>
  </si>
  <si>
    <t>他的建议很实际。</t>
  </si>
  <si>
    <t>实在</t>
  </si>
  <si>
    <t>shí zài</t>
  </si>
  <si>
    <t>这个故事实在太感人了。</t>
  </si>
  <si>
    <t>khiến cho</t>
  </si>
  <si>
    <t>她的表现使观众们非常兴奋。</t>
  </si>
  <si>
    <t>使用</t>
  </si>
  <si>
    <t>shǐ yòng</t>
  </si>
  <si>
    <t>sử dụng</t>
  </si>
  <si>
    <t>请不要随便使用别人的东西。</t>
  </si>
  <si>
    <t>世纪</t>
  </si>
  <si>
    <t>shì jì</t>
  </si>
  <si>
    <t>thế kỉ</t>
  </si>
  <si>
    <t>这是二十一世纪的科技。</t>
  </si>
  <si>
    <t>是否</t>
  </si>
  <si>
    <t>shì fǒu</t>
  </si>
  <si>
    <t>liệu có phải</t>
  </si>
  <si>
    <t>他是否同意还不确定。</t>
  </si>
  <si>
    <t>适合</t>
  </si>
  <si>
    <t>shì hé</t>
  </si>
  <si>
    <t>这件衣服适合你。</t>
  </si>
  <si>
    <t>适应</t>
  </si>
  <si>
    <t>shì yìng</t>
  </si>
  <si>
    <t>thích nghi</t>
  </si>
  <si>
    <t>他适应了新的环境。</t>
  </si>
  <si>
    <t>收</t>
  </si>
  <si>
    <t>shōu</t>
  </si>
  <si>
    <t>nhận</t>
  </si>
  <si>
    <t>请收这个包裹。</t>
  </si>
  <si>
    <t>收入</t>
  </si>
  <si>
    <t>shōu rù</t>
  </si>
  <si>
    <t>thu nhập</t>
  </si>
  <si>
    <t>他的收入很高。</t>
  </si>
  <si>
    <t>收拾</t>
  </si>
  <si>
    <t>shōu shí</t>
  </si>
  <si>
    <t>dọn dẹp</t>
  </si>
  <si>
    <t>请把房间收拾干净。</t>
  </si>
  <si>
    <t>首都</t>
  </si>
  <si>
    <t>shǒu dū</t>
  </si>
  <si>
    <t>thủ đô</t>
  </si>
  <si>
    <t>北京是中国的首都。</t>
  </si>
  <si>
    <t>首先</t>
  </si>
  <si>
    <t>shǒu xiān</t>
  </si>
  <si>
    <t>首先要学习，其次要实践。</t>
  </si>
  <si>
    <t>受不了</t>
  </si>
  <si>
    <t>shòu bù liǎo</t>
  </si>
  <si>
    <t>không chịu nổi</t>
  </si>
  <si>
    <t>我受不了这么热的天气。</t>
  </si>
  <si>
    <t>受到</t>
  </si>
  <si>
    <t>shòu dào</t>
  </si>
  <si>
    <t>nhận được</t>
  </si>
  <si>
    <t>我受到了一封信。</t>
  </si>
  <si>
    <t>售货员</t>
  </si>
  <si>
    <t>shòu huò yuán</t>
  </si>
  <si>
    <t>nhân viên bán vé</t>
  </si>
  <si>
    <t>售货员向我介绍了这款手机。</t>
  </si>
  <si>
    <t>输</t>
  </si>
  <si>
    <t>thua</t>
  </si>
  <si>
    <t>我们输了比赛。</t>
  </si>
  <si>
    <t>熟悉</t>
  </si>
  <si>
    <t>shú xī</t>
  </si>
  <si>
    <t>quen thuộc</t>
  </si>
  <si>
    <t>我对这儿很熟悉。</t>
  </si>
  <si>
    <t>数量</t>
  </si>
  <si>
    <t>shù liàng</t>
  </si>
  <si>
    <t>số lượng</t>
  </si>
  <si>
    <t>这里的学生数量很多。</t>
  </si>
  <si>
    <t>数字</t>
  </si>
  <si>
    <t>shù zi</t>
  </si>
  <si>
    <t>con số</t>
  </si>
  <si>
    <t>这个数字很大。</t>
  </si>
  <si>
    <t>帅</t>
  </si>
  <si>
    <t>shuài</t>
  </si>
  <si>
    <t>đẹp trai</t>
  </si>
  <si>
    <t>他很帅。</t>
  </si>
  <si>
    <t>顺便</t>
  </si>
  <si>
    <t>shùn biàn</t>
  </si>
  <si>
    <t>nhân tiện</t>
  </si>
  <si>
    <t>我顺便买了些水果。</t>
  </si>
  <si>
    <t>顺利</t>
  </si>
  <si>
    <t>shùn lì</t>
  </si>
  <si>
    <t>thuận lợi</t>
  </si>
  <si>
    <t>事情进行得很顺利。</t>
  </si>
  <si>
    <t>顺序</t>
  </si>
  <si>
    <t>shùn xù</t>
  </si>
  <si>
    <t>thứ tự</t>
  </si>
  <si>
    <t>请按顺序排队。</t>
  </si>
  <si>
    <t>说明</t>
  </si>
  <si>
    <t>shuō míng</t>
  </si>
  <si>
    <t>nói rõ</t>
  </si>
  <si>
    <t>请说明一下原因。</t>
  </si>
  <si>
    <t>硕士</t>
  </si>
  <si>
    <t>shuò shì</t>
  </si>
  <si>
    <t>thạc sĩ</t>
  </si>
  <si>
    <t>他是硕士毕业。</t>
  </si>
  <si>
    <t>死</t>
  </si>
  <si>
    <t>sǐ</t>
  </si>
  <si>
    <t>chết</t>
  </si>
  <si>
    <t>他突然死了。</t>
  </si>
  <si>
    <t>速度</t>
  </si>
  <si>
    <t>sù dù</t>
  </si>
  <si>
    <t>tốc độ</t>
  </si>
  <si>
    <t>请提高速度。</t>
  </si>
  <si>
    <t>塑料袋</t>
  </si>
  <si>
    <t>sù liào dài</t>
  </si>
  <si>
    <t>túi ni lông</t>
  </si>
  <si>
    <t>请不要使用塑料袋。</t>
  </si>
  <si>
    <t>酸</t>
  </si>
  <si>
    <t>suān</t>
  </si>
  <si>
    <t>chua</t>
  </si>
  <si>
    <t>这道菜有点酸。</t>
  </si>
  <si>
    <t>随便</t>
  </si>
  <si>
    <t>suí biàn</t>
  </si>
  <si>
    <t>tùy tiện, tự nhiên</t>
  </si>
  <si>
    <t>请随便坐。</t>
  </si>
  <si>
    <t>随着</t>
  </si>
  <si>
    <t>suí zhe</t>
  </si>
  <si>
    <t>随着时间的流逝，他变得成熟了。</t>
  </si>
  <si>
    <t>孙子</t>
  </si>
  <si>
    <t>sūn zi</t>
  </si>
  <si>
    <t>cháu trai</t>
  </si>
  <si>
    <t>我有两个孙子。</t>
  </si>
  <si>
    <t>所有</t>
  </si>
  <si>
    <t>suǒ yǒu</t>
  </si>
  <si>
    <t>tất cả</t>
  </si>
  <si>
    <t>所有的人都来了。</t>
  </si>
  <si>
    <t>台</t>
  </si>
  <si>
    <t>tái</t>
  </si>
  <si>
    <t>cái, chiếc</t>
  </si>
  <si>
    <t>他站在台上。</t>
  </si>
  <si>
    <t>抬</t>
  </si>
  <si>
    <t>ngẩng</t>
  </si>
  <si>
    <t>请抬一下这个箱子。</t>
  </si>
  <si>
    <t>态度</t>
  </si>
  <si>
    <t>tài dù</t>
  </si>
  <si>
    <t>thái độ</t>
  </si>
  <si>
    <t>他的态度很不好。</t>
  </si>
  <si>
    <t>谈</t>
  </si>
  <si>
    <t>tán</t>
  </si>
  <si>
    <t>我们谈了很多事情。</t>
  </si>
  <si>
    <t>弹钢琴</t>
  </si>
  <si>
    <t>tán gāng qín</t>
  </si>
  <si>
    <t>chơi piano</t>
  </si>
  <si>
    <t>她会弹钢琴。</t>
  </si>
  <si>
    <t>汤</t>
  </si>
  <si>
    <t>tāng</t>
  </si>
  <si>
    <t>canh</t>
  </si>
  <si>
    <t>我喜欢喝鸡汤。</t>
  </si>
  <si>
    <t>我不喜欢吃太多糖。</t>
  </si>
  <si>
    <t>躺</t>
  </si>
  <si>
    <t>tǎng</t>
  </si>
  <si>
    <t>nằm</t>
  </si>
  <si>
    <t>我喜欢躺在沙发上看书。</t>
  </si>
  <si>
    <t>趟</t>
  </si>
  <si>
    <t>tàng</t>
  </si>
  <si>
    <t>chuyến</t>
  </si>
  <si>
    <t>我刚刚去了一趟商店。</t>
  </si>
  <si>
    <t>讨论</t>
  </si>
  <si>
    <t>tǎo lùn</t>
  </si>
  <si>
    <t>thảo luận</t>
  </si>
  <si>
    <t>我们在会议上讨论了这个问题。</t>
  </si>
  <si>
    <t>讨厌</t>
  </si>
  <si>
    <t>tǎo yàn</t>
  </si>
  <si>
    <t>ghét</t>
  </si>
  <si>
    <t>我讨厌吃苦瓜。</t>
  </si>
  <si>
    <t>特点</t>
  </si>
  <si>
    <t>tè diǎn</t>
  </si>
  <si>
    <t>đặc điểm</t>
  </si>
  <si>
    <t>这个产品的特点是什么？</t>
  </si>
  <si>
    <t>提</t>
  </si>
  <si>
    <t>đề ra</t>
  </si>
  <si>
    <t>请提一些建议。</t>
  </si>
  <si>
    <t>提供</t>
  </si>
  <si>
    <t>tí gōng</t>
  </si>
  <si>
    <t>cung cấp</t>
  </si>
  <si>
    <t>我们提供免费早餐。</t>
  </si>
  <si>
    <t>提前</t>
  </si>
  <si>
    <t>tí qián</t>
  </si>
  <si>
    <t>trước thời hạn</t>
  </si>
  <si>
    <t>请提前告诉我。</t>
  </si>
  <si>
    <t>提醒</t>
  </si>
  <si>
    <t>tí xǐng</t>
  </si>
  <si>
    <t>nhắc nhở</t>
  </si>
  <si>
    <t>他提醒我明天开会。</t>
  </si>
  <si>
    <t>填空</t>
  </si>
  <si>
    <t>tián kòng</t>
  </si>
  <si>
    <t>điền trống</t>
  </si>
  <si>
    <t>请在填空处写上答案。</t>
  </si>
  <si>
    <t>条件</t>
  </si>
  <si>
    <t>tiáo jiàn</t>
  </si>
  <si>
    <t>điều kiện</t>
  </si>
  <si>
    <t>这个工作条件很好。</t>
  </si>
  <si>
    <t>停</t>
  </si>
  <si>
    <t>tíng</t>
  </si>
  <si>
    <t>dừng</t>
  </si>
  <si>
    <t>请停车。</t>
  </si>
  <si>
    <t>挺</t>
  </si>
  <si>
    <t>tǐng</t>
  </si>
  <si>
    <t>他挺高的。</t>
  </si>
  <si>
    <t>通过</t>
  </si>
  <si>
    <t>tōng guò</t>
  </si>
  <si>
    <t>thông qua</t>
  </si>
  <si>
    <t>我通过了考试。</t>
  </si>
  <si>
    <t>通知</t>
  </si>
  <si>
    <t>tōng zhī</t>
  </si>
  <si>
    <t>thông báo</t>
  </si>
  <si>
    <t>请通知大家明天的会议。</t>
  </si>
  <si>
    <t>同情</t>
  </si>
  <si>
    <t>tóng qíng</t>
  </si>
  <si>
    <t>đồng tình</t>
  </si>
  <si>
    <t>我们都很同情他。</t>
  </si>
  <si>
    <t>同时</t>
  </si>
  <si>
    <t>tóng shí</t>
  </si>
  <si>
    <t>他同时做两份工作。</t>
  </si>
  <si>
    <t>推</t>
  </si>
  <si>
    <t>tuī</t>
  </si>
  <si>
    <t>đẩy</t>
  </si>
  <si>
    <t>请帮我推一下门。</t>
  </si>
  <si>
    <t>推迟</t>
  </si>
  <si>
    <t>tuī chí</t>
  </si>
  <si>
    <t>kéo dài thời gian</t>
  </si>
  <si>
    <t>会议推迟到明天。</t>
  </si>
  <si>
    <t>脱</t>
  </si>
  <si>
    <t>tuō</t>
  </si>
  <si>
    <t>cởi</t>
  </si>
  <si>
    <t>请脱下你的外套。</t>
  </si>
  <si>
    <t>袜子</t>
  </si>
  <si>
    <t>wà zi</t>
  </si>
  <si>
    <t>tất chân</t>
  </si>
  <si>
    <t>我需要一双新的袜子。</t>
  </si>
  <si>
    <t>完全</t>
  </si>
  <si>
    <t>wán quán</t>
  </si>
  <si>
    <t>hoàn toàn</t>
  </si>
  <si>
    <t>我完全同意你的看法。</t>
  </si>
  <si>
    <t>网球</t>
  </si>
  <si>
    <t>wǎng qiú</t>
  </si>
  <si>
    <t>tennis</t>
  </si>
  <si>
    <t>我喜欢打网球。</t>
  </si>
  <si>
    <t>网站</t>
  </si>
  <si>
    <t>wǎng zhàn</t>
  </si>
  <si>
    <t>trang mạng</t>
  </si>
  <si>
    <t>这个网站很好用。</t>
  </si>
  <si>
    <t>往往</t>
  </si>
  <si>
    <t>wǎng wǎng</t>
  </si>
  <si>
    <t>thường (quá khứ)</t>
  </si>
  <si>
    <t>他往往迟到。</t>
  </si>
  <si>
    <t>危险</t>
  </si>
  <si>
    <t>wēi xiǎn</t>
  </si>
  <si>
    <t>nguy hiểm</t>
  </si>
  <si>
    <t>小心，这里很危险。</t>
  </si>
  <si>
    <t>卫生间</t>
  </si>
  <si>
    <t>wèi shēng jiān</t>
  </si>
  <si>
    <t>卫生间在哪里？</t>
  </si>
  <si>
    <t>味道</t>
  </si>
  <si>
    <t>wèi dào</t>
  </si>
  <si>
    <t>mùi vị</t>
  </si>
  <si>
    <t>这个菜的味道很好。</t>
  </si>
  <si>
    <t>温度</t>
  </si>
  <si>
    <t>wēn dù</t>
  </si>
  <si>
    <t>nhiệt độ</t>
  </si>
  <si>
    <t>今天的温度很高。</t>
  </si>
  <si>
    <t>文章</t>
  </si>
  <si>
    <t>wén zhāng</t>
  </si>
  <si>
    <t>bài văn</t>
  </si>
  <si>
    <t>这篇文章写得很好。</t>
  </si>
  <si>
    <t>污染</t>
  </si>
  <si>
    <t>wū rǎn</t>
  </si>
  <si>
    <t>ô nhiễm</t>
  </si>
  <si>
    <t>这里的污染很严重。</t>
  </si>
  <si>
    <t>无</t>
  </si>
  <si>
    <t>wú</t>
  </si>
  <si>
    <t>他无话可说。</t>
  </si>
  <si>
    <t>无聊</t>
  </si>
  <si>
    <t>wú liáo</t>
  </si>
  <si>
    <t>nhàm chán</t>
  </si>
  <si>
    <t>这本书很无聊。</t>
  </si>
  <si>
    <t>无论</t>
  </si>
  <si>
    <t>wú lùn</t>
  </si>
  <si>
    <t>bất luận</t>
  </si>
  <si>
    <t>无论天气如何，我们都去。</t>
  </si>
  <si>
    <t>误会</t>
  </si>
  <si>
    <t>wù huì</t>
  </si>
  <si>
    <t>hiểu lầm</t>
  </si>
  <si>
    <t>我误会了他的意思。</t>
  </si>
  <si>
    <t>西红柿</t>
  </si>
  <si>
    <t>xī hóng shì</t>
  </si>
  <si>
    <t>cà chua</t>
  </si>
  <si>
    <t>我喜欢吃西红柿。</t>
  </si>
  <si>
    <t>吸引</t>
  </si>
  <si>
    <t>xī yǐn</t>
  </si>
  <si>
    <t>thu hút</t>
  </si>
  <si>
    <t>他的表演吸引了很多人。</t>
  </si>
  <si>
    <t>咸</t>
  </si>
  <si>
    <t>xián</t>
  </si>
  <si>
    <t>mặn</t>
  </si>
  <si>
    <t>这个菜有点咸。</t>
  </si>
  <si>
    <t>现金</t>
  </si>
  <si>
    <t>xiàn jīn</t>
  </si>
  <si>
    <t>tiền mặt</t>
  </si>
  <si>
    <t>请用现金付款。</t>
  </si>
  <si>
    <t>羡慕</t>
  </si>
  <si>
    <t>xiàn mù</t>
  </si>
  <si>
    <t>ngưỡng mộ</t>
  </si>
  <si>
    <t>我羡慕他的生活。</t>
  </si>
  <si>
    <t>相反</t>
  </si>
  <si>
    <t>xiāng fǎn</t>
  </si>
  <si>
    <t>ngược lại</t>
  </si>
  <si>
    <t>他的意见和我的相反。</t>
  </si>
  <si>
    <t>xiāng tóng</t>
  </si>
  <si>
    <t>他们有相同的爱好。</t>
  </si>
  <si>
    <t>香</t>
  </si>
  <si>
    <t>xiāng</t>
  </si>
  <si>
    <t>thơm</t>
  </si>
  <si>
    <t>这朵花很香。</t>
  </si>
  <si>
    <t>详细</t>
  </si>
  <si>
    <t>xiáng xì</t>
  </si>
  <si>
    <t>tỉ mỉ</t>
  </si>
  <si>
    <t>他给我详细地解释了这个问题。</t>
  </si>
  <si>
    <t>响</t>
  </si>
  <si>
    <t>kêu</t>
  </si>
  <si>
    <t>门铃响了。</t>
  </si>
  <si>
    <t>橡皮</t>
  </si>
  <si>
    <t>xiàng pí</t>
  </si>
  <si>
    <t>cục tẩy</t>
  </si>
  <si>
    <t>我需要一块橡皮。</t>
  </si>
  <si>
    <t>消息</t>
  </si>
  <si>
    <t>xiāo xi</t>
  </si>
  <si>
    <t>thông tin, tin</t>
  </si>
  <si>
    <t>你听到了什么消息？</t>
  </si>
  <si>
    <t>小吃</t>
  </si>
  <si>
    <t>xiǎo chī</t>
  </si>
  <si>
    <t>đồ ăn vặt</t>
  </si>
  <si>
    <t>北京的小吃很有名。</t>
  </si>
  <si>
    <t>小伙子</t>
  </si>
  <si>
    <t>xiǎo huǒ zi</t>
  </si>
  <si>
    <t>anh chàng</t>
  </si>
  <si>
    <t>他是一个很勤快的小伙子。</t>
  </si>
  <si>
    <t>小说</t>
  </si>
  <si>
    <t>xiǎo shuō</t>
  </si>
  <si>
    <t>tiểu thuyết</t>
  </si>
  <si>
    <t>这本小说很有意思。</t>
  </si>
  <si>
    <t>笑话</t>
  </si>
  <si>
    <t>xiào huà</t>
  </si>
  <si>
    <t>truyện cười</t>
  </si>
  <si>
    <t>你的笑话很好笑。</t>
  </si>
  <si>
    <t>效果</t>
  </si>
  <si>
    <t>xiào guǒ</t>
  </si>
  <si>
    <t>hiệu quả</t>
  </si>
  <si>
    <t>新政策的效果很好。</t>
  </si>
  <si>
    <t>心情</t>
  </si>
  <si>
    <t>xīn qíng</t>
  </si>
  <si>
    <t>tâm trạng</t>
  </si>
  <si>
    <t>我的心情很好。</t>
  </si>
  <si>
    <t>辛苦</t>
  </si>
  <si>
    <t>xīn kǔ</t>
  </si>
  <si>
    <t>vất vả</t>
  </si>
  <si>
    <t>工作很辛苦，但很值得。</t>
  </si>
  <si>
    <t>信封</t>
  </si>
  <si>
    <t>xìn fēng</t>
  </si>
  <si>
    <t>bức thư</t>
  </si>
  <si>
    <t>我需要一个信封。</t>
  </si>
  <si>
    <t>信息</t>
  </si>
  <si>
    <t>xìn xī</t>
  </si>
  <si>
    <t>thông tin</t>
  </si>
  <si>
    <t>我们需要更多的信息。</t>
  </si>
  <si>
    <t>信心</t>
  </si>
  <si>
    <t>xìn xīn</t>
  </si>
  <si>
    <t>niềm tin</t>
  </si>
  <si>
    <t>我对自己有信心。</t>
  </si>
  <si>
    <t>兴奋</t>
  </si>
  <si>
    <t>xīng fèn</t>
  </si>
  <si>
    <t>hưng phấn, hứng khởi</t>
  </si>
  <si>
    <t>见到你，我很兴奋。</t>
  </si>
  <si>
    <t>行</t>
  </si>
  <si>
    <t>xíng</t>
  </si>
  <si>
    <t>được</t>
  </si>
  <si>
    <t>这条路,行吗？</t>
  </si>
  <si>
    <t>醒</t>
  </si>
  <si>
    <t>xǐng</t>
  </si>
  <si>
    <t>tỉnh</t>
  </si>
  <si>
    <t>他醒了。</t>
  </si>
  <si>
    <t>幸福</t>
  </si>
  <si>
    <t>xìng fú</t>
  </si>
  <si>
    <t>hạnh phúc</t>
  </si>
  <si>
    <t>我们过得很幸福。</t>
  </si>
  <si>
    <t>性别</t>
  </si>
  <si>
    <t>xìng bié</t>
  </si>
  <si>
    <t>giới tính</t>
  </si>
  <si>
    <t>请填写你的性别。</t>
  </si>
  <si>
    <t>性格</t>
  </si>
  <si>
    <t>xìng gé</t>
  </si>
  <si>
    <t>tính cách</t>
  </si>
  <si>
    <t>他的性格很开朗。</t>
  </si>
  <si>
    <t>修理</t>
  </si>
  <si>
    <t>xiū lǐ</t>
  </si>
  <si>
    <t>sửa chữa</t>
  </si>
  <si>
    <t>他在修理自行车。</t>
  </si>
  <si>
    <t>许多</t>
  </si>
  <si>
    <t>xǔ duō</t>
  </si>
  <si>
    <t>rất nhiều</t>
  </si>
  <si>
    <t>学校有许多学生。</t>
  </si>
  <si>
    <t>学期</t>
  </si>
  <si>
    <t>xué qī</t>
  </si>
  <si>
    <t>học kì</t>
  </si>
  <si>
    <t>这个学期很忙。</t>
  </si>
  <si>
    <t>压力</t>
  </si>
  <si>
    <t>yā lì</t>
  </si>
  <si>
    <t>áp lực</t>
  </si>
  <si>
    <t>我的压力很大。</t>
  </si>
  <si>
    <t>呀</t>
  </si>
  <si>
    <t>yā</t>
  </si>
  <si>
    <t>他呀，真是个好人。</t>
  </si>
  <si>
    <t>牙膏</t>
  </si>
  <si>
    <t>yá gāo</t>
  </si>
  <si>
    <t>kem đánh răng</t>
  </si>
  <si>
    <t>我需要买牙膏。</t>
  </si>
  <si>
    <t>亚洲</t>
  </si>
  <si>
    <t>yà zhōu</t>
  </si>
  <si>
    <t>châu Á</t>
  </si>
  <si>
    <t>亚洲的文化很丰富。</t>
  </si>
  <si>
    <t>严格</t>
  </si>
  <si>
    <t>yán gé</t>
  </si>
  <si>
    <t>nghiêm khắc</t>
  </si>
  <si>
    <t>他对自己很严格。</t>
  </si>
  <si>
    <t>严重</t>
  </si>
  <si>
    <t>yán zhòng</t>
  </si>
  <si>
    <t>nghiêm trọng</t>
  </si>
  <si>
    <t>这个问题很严重。</t>
  </si>
  <si>
    <t>研究</t>
  </si>
  <si>
    <t>yán jiū</t>
  </si>
  <si>
    <t>nghiên cứu</t>
  </si>
  <si>
    <t>他在研究新技术。</t>
  </si>
  <si>
    <t xml:space="preserve">   </t>
  </si>
  <si>
    <t>盐</t>
  </si>
  <si>
    <t>yán</t>
  </si>
  <si>
    <t>muối</t>
  </si>
  <si>
    <t>我们需要加点盐。</t>
  </si>
  <si>
    <t>yǎn jìng</t>
  </si>
  <si>
    <t>kính mắt</t>
  </si>
  <si>
    <t>我需要戴眼镜。</t>
  </si>
  <si>
    <t>演出</t>
  </si>
  <si>
    <t>yǎn chū</t>
  </si>
  <si>
    <t>buổi diễn</t>
  </si>
  <si>
    <t>他们正在准备演出。</t>
  </si>
  <si>
    <t>演员</t>
  </si>
  <si>
    <t>yǎn yuán</t>
  </si>
  <si>
    <t>diễn viên</t>
  </si>
  <si>
    <t>他是一名演员。</t>
  </si>
  <si>
    <t xml:space="preserve"> dịch ví dụ</t>
  </si>
  <si>
    <t>阳光</t>
  </si>
  <si>
    <t>yáng guāng</t>
  </si>
  <si>
    <t>ánh nắng</t>
  </si>
  <si>
    <t>今天阳光明媚。</t>
  </si>
  <si>
    <t>养成</t>
  </si>
  <si>
    <t>yǎng chéng</t>
  </si>
  <si>
    <t>nuôi dưỡng, hình thành</t>
  </si>
  <si>
    <t>这种习惯需要时间养成。</t>
  </si>
  <si>
    <t>样子</t>
  </si>
  <si>
    <t>yàng zi</t>
  </si>
  <si>
    <t>kiểu dáng, dáng vẻ</t>
  </si>
  <si>
    <t>这件衣服的样子很好看。</t>
  </si>
  <si>
    <t>邀请</t>
  </si>
  <si>
    <t>yāo qǐng</t>
  </si>
  <si>
    <t>mời</t>
  </si>
  <si>
    <t>我们邀请了很多朋友。</t>
  </si>
  <si>
    <t>要是</t>
  </si>
  <si>
    <t>yào shì</t>
  </si>
  <si>
    <t>nếu</t>
  </si>
  <si>
    <t>要是你有时间，我们一起去吧。</t>
  </si>
  <si>
    <t>哎</t>
  </si>
  <si>
    <t>āi</t>
  </si>
  <si>
    <t>钥匙</t>
  </si>
  <si>
    <t>yào shi</t>
  </si>
  <si>
    <t>chìa khóa</t>
  </si>
  <si>
    <t>我找不到我的钥匙了。</t>
  </si>
  <si>
    <t>thán từ</t>
  </si>
  <si>
    <t>也许</t>
  </si>
  <si>
    <t>哎，我忘记带钥匙了！</t>
  </si>
  <si>
    <t>yě xǔ</t>
  </si>
  <si>
    <t>có lẽ</t>
  </si>
  <si>
    <t>也许明天会下雨。</t>
  </si>
  <si>
    <t>叶子</t>
  </si>
  <si>
    <t>yè zi</t>
  </si>
  <si>
    <t>chiếc lá</t>
  </si>
  <si>
    <t>树上的叶子变黄了。</t>
  </si>
  <si>
    <t>页</t>
  </si>
  <si>
    <t>yè</t>
  </si>
  <si>
    <t>请翻到下一页。</t>
  </si>
  <si>
    <t>一切</t>
  </si>
  <si>
    <t>yī qiè</t>
  </si>
  <si>
    <t>一切都会好的。</t>
  </si>
  <si>
    <t>以</t>
  </si>
  <si>
    <t>yǐ</t>
  </si>
  <si>
    <t>lấy, với</t>
  </si>
  <si>
    <t>以他的能力，他能做到。</t>
  </si>
  <si>
    <t>yǐ wéi</t>
  </si>
  <si>
    <t>tưởng rằng, cho rằng</t>
  </si>
  <si>
    <t>我以为他已经走了。</t>
  </si>
  <si>
    <t>艺术</t>
  </si>
  <si>
    <t>yì shù</t>
  </si>
  <si>
    <t>nghệ thuật</t>
  </si>
  <si>
    <t>他对艺术很有兴趣。</t>
  </si>
  <si>
    <t>意见</t>
  </si>
  <si>
    <t>yì jiàn</t>
  </si>
  <si>
    <t>ý kiến</t>
  </si>
  <si>
    <t>我有一些不同的意见。</t>
  </si>
  <si>
    <t>因此</t>
  </si>
  <si>
    <t>yīn cǐ</t>
  </si>
  <si>
    <t>cho nên</t>
  </si>
  <si>
    <t>因此，我们需要改变计划。</t>
  </si>
  <si>
    <t>引起</t>
  </si>
  <si>
    <t>yǐn qǐ</t>
  </si>
  <si>
    <t>dẫn đến, gây ra</t>
  </si>
  <si>
    <t>他的演讲引起了大家的兴趣。</t>
  </si>
  <si>
    <t>印象</t>
  </si>
  <si>
    <t>yìn xiàng</t>
  </si>
  <si>
    <t>ấn tượng</t>
  </si>
  <si>
    <t>我对他的印象很好。</t>
  </si>
  <si>
    <t>赢</t>
  </si>
  <si>
    <t>yíng</t>
  </si>
  <si>
    <t>thắng</t>
  </si>
  <si>
    <t>我们赢了比赛。</t>
  </si>
  <si>
    <t>应聘</t>
  </si>
  <si>
    <t>yìng pìn</t>
  </si>
  <si>
    <t>ứng tuyển</t>
  </si>
  <si>
    <t>我去公司应聘了。</t>
  </si>
  <si>
    <t>唉</t>
  </si>
  <si>
    <t>唉，这个问题真难！</t>
  </si>
  <si>
    <t>永远</t>
  </si>
  <si>
    <t>yǒng yuǎn</t>
  </si>
  <si>
    <t>mãi mãi</t>
  </si>
  <si>
    <t>我们的友谊永远不会改变。</t>
  </si>
  <si>
    <t>勇敢</t>
  </si>
  <si>
    <t>yǒng gǎn</t>
  </si>
  <si>
    <t>dũng cảm</t>
  </si>
  <si>
    <t>他很勇敢地面对困难。</t>
  </si>
  <si>
    <t>爱护</t>
  </si>
  <si>
    <t>优点</t>
  </si>
  <si>
    <t>ài hù</t>
  </si>
  <si>
    <t>yōu diǎn</t>
  </si>
  <si>
    <t>ưu điểm</t>
  </si>
  <si>
    <t>他的优点是很认真。</t>
  </si>
  <si>
    <t>yêu thương, giữ gìn</t>
  </si>
  <si>
    <t>我们要爱护环境。</t>
  </si>
  <si>
    <t>优秀</t>
  </si>
  <si>
    <t>yōu xiù</t>
  </si>
  <si>
    <t>ưu tú</t>
  </si>
  <si>
    <t>她是一个优秀的学生。</t>
  </si>
  <si>
    <t>爱惜</t>
  </si>
  <si>
    <t>ài xī</t>
  </si>
  <si>
    <t>quý trọng</t>
  </si>
  <si>
    <t>他很爱惜自己的书。</t>
  </si>
  <si>
    <t>爱心</t>
  </si>
  <si>
    <t>ài xīn</t>
  </si>
  <si>
    <t>lòng tốt</t>
  </si>
  <si>
    <t>她有一颗善良的爱心。</t>
  </si>
  <si>
    <t>安装</t>
  </si>
  <si>
    <t>ān zhuāng</t>
  </si>
  <si>
    <t>lắp đặt</t>
  </si>
  <si>
    <t>我们正在安装新软件。</t>
  </si>
  <si>
    <t>幽默</t>
  </si>
  <si>
    <t>yōu mò</t>
  </si>
  <si>
    <t>hài hước</t>
  </si>
  <si>
    <t>他讲笑话很幽默。</t>
  </si>
  <si>
    <t>岸</t>
  </si>
  <si>
    <t>àn</t>
  </si>
  <si>
    <t>bờ</t>
  </si>
  <si>
    <t>他站在河的对岸。</t>
  </si>
  <si>
    <t>尤其</t>
  </si>
  <si>
    <t>yóu qí</t>
  </si>
  <si>
    <t>đặc biệt là</t>
  </si>
  <si>
    <t>我尤其喜欢吃水果。</t>
  </si>
  <si>
    <t>暗</t>
  </si>
  <si>
    <t xml:space="preserve">tối , âm u </t>
  </si>
  <si>
    <t>由</t>
  </si>
  <si>
    <t>yóu</t>
  </si>
  <si>
    <t>do</t>
  </si>
  <si>
    <t>由他负责这项工作。</t>
  </si>
  <si>
    <t>房间里很暗。</t>
  </si>
  <si>
    <t>由于</t>
  </si>
  <si>
    <t>yóu yú</t>
  </si>
  <si>
    <t>由于下雨，我们取消了计划。</t>
  </si>
  <si>
    <t>熬夜</t>
  </si>
  <si>
    <t>áo yè</t>
  </si>
  <si>
    <t>thức đêm</t>
  </si>
  <si>
    <t>他经常熬夜工作。</t>
  </si>
  <si>
    <t>邮局</t>
  </si>
  <si>
    <t>yóu jú</t>
  </si>
  <si>
    <t>bưu điện</t>
  </si>
  <si>
    <t>我去邮局寄信。</t>
  </si>
  <si>
    <t>把握</t>
  </si>
  <si>
    <t>友好</t>
  </si>
  <si>
    <t>bǎ wò</t>
  </si>
  <si>
    <t>yǒu hǎo</t>
  </si>
  <si>
    <t>hữu hảo</t>
  </si>
  <si>
    <t>nắm chắc</t>
  </si>
  <si>
    <t>他们对我们很友好。</t>
  </si>
  <si>
    <t>我们要把握机会。</t>
  </si>
  <si>
    <t>友谊</t>
  </si>
  <si>
    <t>yǒu yì</t>
  </si>
  <si>
    <t>hữu nghị</t>
  </si>
  <si>
    <t>友谊是非常珍贵的。</t>
  </si>
  <si>
    <t>摆</t>
  </si>
  <si>
    <t>bày</t>
  </si>
  <si>
    <t>他在桌上摆了很多书。</t>
  </si>
  <si>
    <t>有趣</t>
  </si>
  <si>
    <t>yǒu qù</t>
  </si>
  <si>
    <t>办理</t>
  </si>
  <si>
    <t>bàn lǐ</t>
  </si>
  <si>
    <t>làm (thủ tục)</t>
  </si>
  <si>
    <t>于是</t>
  </si>
  <si>
    <t>yú shì</t>
  </si>
  <si>
    <t>thế là</t>
  </si>
  <si>
    <t>天黑了，于是我们回家了。</t>
  </si>
  <si>
    <t>愉快</t>
  </si>
  <si>
    <t>yú kuài</t>
  </si>
  <si>
    <t>希望你度过一个愉快的假期。</t>
  </si>
  <si>
    <t>傍晚</t>
  </si>
  <si>
    <t>bàng wǎn</t>
  </si>
  <si>
    <t>chiều muộn</t>
  </si>
  <si>
    <t>我们傍晚去散步吧。</t>
  </si>
  <si>
    <t>与</t>
  </si>
  <si>
    <t>yǔ</t>
  </si>
  <si>
    <t>他与我一起去旅游。</t>
  </si>
  <si>
    <t>包裹</t>
  </si>
  <si>
    <t>bāo guǒ</t>
  </si>
  <si>
    <t>bưu kiện</t>
  </si>
  <si>
    <t>你的包裹到了。</t>
  </si>
  <si>
    <t>羽毛球</t>
  </si>
  <si>
    <t>yǔ máo qiú</t>
  </si>
  <si>
    <t>cầu lông</t>
  </si>
  <si>
    <t>我喜欢打羽毛球。</t>
  </si>
  <si>
    <t>包含</t>
  </si>
  <si>
    <t>bāo hán</t>
  </si>
  <si>
    <t>bao hàm</t>
  </si>
  <si>
    <t>这本书包含很多信息。</t>
  </si>
  <si>
    <t>语法</t>
  </si>
  <si>
    <t>yǔ fǎ</t>
  </si>
  <si>
    <t>ngữ pháp</t>
  </si>
  <si>
    <t>他的语法很好。</t>
  </si>
  <si>
    <t>语言</t>
  </si>
  <si>
    <t>yǔ yán</t>
  </si>
  <si>
    <t>ngôn ngữ</t>
  </si>
  <si>
    <t>他会说多种语言。</t>
  </si>
  <si>
    <t>包括</t>
  </si>
  <si>
    <t>bāo kuò</t>
  </si>
  <si>
    <t>bao gồm</t>
  </si>
  <si>
    <t>价格包括税金。</t>
  </si>
  <si>
    <t>预习</t>
  </si>
  <si>
    <t>yù xí</t>
  </si>
  <si>
    <t>chuẩn bị trước</t>
  </si>
  <si>
    <t>请预习明天的课文。</t>
  </si>
  <si>
    <t>原来</t>
  </si>
  <si>
    <t>yuán lái</t>
  </si>
  <si>
    <t>hóa ra, vốn, cũ</t>
  </si>
  <si>
    <t>我原来住在北京。</t>
  </si>
  <si>
    <t>薄</t>
  </si>
  <si>
    <t>mỏng</t>
  </si>
  <si>
    <t>这片面包很薄。</t>
  </si>
  <si>
    <t>原谅</t>
  </si>
  <si>
    <t>yuán liàng</t>
  </si>
  <si>
    <t>tha thứ</t>
  </si>
  <si>
    <t>请原谅我的错误。</t>
  </si>
  <si>
    <t>原因</t>
  </si>
  <si>
    <t>yuán yīn</t>
  </si>
  <si>
    <t>nguyên nhân</t>
  </si>
  <si>
    <t>他解释了事情的原因。</t>
  </si>
  <si>
    <t>宝贝</t>
  </si>
  <si>
    <t>bǎo bèi</t>
  </si>
  <si>
    <t>bảo bối</t>
  </si>
  <si>
    <t>他是我的小宝贝。</t>
  </si>
  <si>
    <t>约会</t>
  </si>
  <si>
    <t>yuē huì</t>
  </si>
  <si>
    <t>hẹn, cuộc hẹn</t>
  </si>
  <si>
    <t>明天的约会你来吗？</t>
  </si>
  <si>
    <t>阅读</t>
  </si>
  <si>
    <t>yuè dú</t>
  </si>
  <si>
    <t>đọc hiểu</t>
  </si>
  <si>
    <t>我每天阅读书籍。</t>
  </si>
  <si>
    <t>宝贵</t>
  </si>
  <si>
    <t>bǎo guì</t>
  </si>
  <si>
    <t>quí báu</t>
  </si>
  <si>
    <t>时间非常宝贵。</t>
  </si>
  <si>
    <t>天空中有很多云。</t>
  </si>
  <si>
    <t>允许</t>
  </si>
  <si>
    <t>yǔn xǔ</t>
  </si>
  <si>
    <t>cho phép</t>
  </si>
  <si>
    <t>这里不允许吸烟。</t>
  </si>
  <si>
    <t>保持</t>
  </si>
  <si>
    <t>bǎo chí</t>
  </si>
  <si>
    <t>duy trì</t>
  </si>
  <si>
    <t>杂志</t>
  </si>
  <si>
    <t>zá zhì</t>
  </si>
  <si>
    <t>tạp chí</t>
  </si>
  <si>
    <t>他正在看杂志。</t>
  </si>
  <si>
    <t>咱们</t>
  </si>
  <si>
    <t>zán men</t>
  </si>
  <si>
    <t>chúng ta</t>
  </si>
  <si>
    <t>咱们一起去吧。</t>
  </si>
  <si>
    <t>保留</t>
  </si>
  <si>
    <t>bǎo liú</t>
  </si>
  <si>
    <t>bảo lưu</t>
  </si>
  <si>
    <t>我们应该保留传统文化。</t>
  </si>
  <si>
    <t>暂时</t>
  </si>
  <si>
    <t>zàn shí</t>
  </si>
  <si>
    <t>tạm thời</t>
  </si>
  <si>
    <t>我暂时住在朋友家。</t>
  </si>
  <si>
    <t>脏</t>
  </si>
  <si>
    <t>zāng</t>
  </si>
  <si>
    <t>bẩn</t>
  </si>
  <si>
    <t>这件衣服很脏。</t>
  </si>
  <si>
    <t>保险</t>
  </si>
  <si>
    <t>bǎo xiǎn</t>
  </si>
  <si>
    <t>bảo hiểm</t>
  </si>
  <si>
    <t>你有健康保险吗？</t>
  </si>
  <si>
    <t>责任</t>
  </si>
  <si>
    <t>zé rèn</t>
  </si>
  <si>
    <t>trách nhiệm</t>
  </si>
  <si>
    <t>你要负责任。</t>
  </si>
  <si>
    <t>报到</t>
  </si>
  <si>
    <t>增加</t>
  </si>
  <si>
    <t>bào dào</t>
  </si>
  <si>
    <t>zēng jiā</t>
  </si>
  <si>
    <t>tăng thêm</t>
  </si>
  <si>
    <t>điểm danh</t>
  </si>
  <si>
    <t>我们需要增加预算。</t>
  </si>
  <si>
    <t>新员工需要先报到。</t>
  </si>
  <si>
    <t>占线</t>
  </si>
  <si>
    <t>zhàn xiàn</t>
  </si>
  <si>
    <t>máy bận</t>
  </si>
  <si>
    <t>电话一直占线。</t>
  </si>
  <si>
    <t>报道</t>
  </si>
  <si>
    <t>đưa tin, bản tin</t>
  </si>
  <si>
    <t>新闻报道说...</t>
  </si>
  <si>
    <t>招聘</t>
  </si>
  <si>
    <t>zhāo pìn</t>
  </si>
  <si>
    <t>tuyển dụng</t>
  </si>
  <si>
    <t>公司正在招聘员工。</t>
  </si>
  <si>
    <t>报告</t>
  </si>
  <si>
    <t>bào gào</t>
  </si>
  <si>
    <t>báo cáo</t>
  </si>
  <si>
    <t>他在会议上做了一个报告。</t>
  </si>
  <si>
    <t>照</t>
  </si>
  <si>
    <t>zhào</t>
  </si>
  <si>
    <t>chiếu, chụp</t>
  </si>
  <si>
    <t>请照一下这张照片。</t>
  </si>
  <si>
    <t>报社</t>
  </si>
  <si>
    <t>真正</t>
  </si>
  <si>
    <t>bào shè</t>
  </si>
  <si>
    <t>zhēn zhèng</t>
  </si>
  <si>
    <t>tòa soạn báo</t>
  </si>
  <si>
    <t>他在报社工作。</t>
  </si>
  <si>
    <t>他是一个真正的朋友。</t>
  </si>
  <si>
    <t>抱怨</t>
  </si>
  <si>
    <t>bào yuàn</t>
  </si>
  <si>
    <t xml:space="preserve">trách móc, phàn nàn </t>
  </si>
  <si>
    <t>她经常抱怨工作太多。</t>
  </si>
  <si>
    <t>整理</t>
  </si>
  <si>
    <t>zhěng lǐ</t>
  </si>
  <si>
    <t>chỉnh sửa</t>
  </si>
  <si>
    <t>我需要整理房间。</t>
  </si>
  <si>
    <t>正常</t>
  </si>
  <si>
    <t>zhèng cháng</t>
  </si>
  <si>
    <t>一切都很正常。</t>
  </si>
  <si>
    <t>背</t>
  </si>
  <si>
    <t>học thuộc, cõng</t>
  </si>
  <si>
    <t>他背着一个大包。</t>
  </si>
  <si>
    <t>正好</t>
  </si>
  <si>
    <t>zhèng hǎo</t>
  </si>
  <si>
    <t>vừa hay</t>
  </si>
  <si>
    <t>你来得正好。</t>
  </si>
  <si>
    <t>正确</t>
  </si>
  <si>
    <t>zhèng què</t>
  </si>
  <si>
    <t>chính xác</t>
  </si>
  <si>
    <t>你的答案是正确的。</t>
  </si>
  <si>
    <t>悲观</t>
  </si>
  <si>
    <t>bēi guān</t>
  </si>
  <si>
    <t>bi quan</t>
  </si>
  <si>
    <t>不要总是这么悲观。</t>
  </si>
  <si>
    <t>正式</t>
  </si>
  <si>
    <t>zhèng shì</t>
  </si>
  <si>
    <t>chính thức</t>
  </si>
  <si>
    <t>这是一场正式的会议。</t>
  </si>
  <si>
    <t>证明</t>
  </si>
  <si>
    <t>zhèng míng</t>
  </si>
  <si>
    <t>chứng minh</t>
  </si>
  <si>
    <t>请你证明一下身份。</t>
  </si>
  <si>
    <t>背景</t>
  </si>
  <si>
    <t>bèi jǐng</t>
  </si>
  <si>
    <t>bối cảnh</t>
  </si>
  <si>
    <t>这幅画的背景很美。</t>
  </si>
  <si>
    <t>之</t>
  </si>
  <si>
    <t>zhī</t>
  </si>
  <si>
    <t>của</t>
  </si>
  <si>
    <t>这本书之内容很丰富。</t>
  </si>
  <si>
    <t>被子</t>
  </si>
  <si>
    <t>支持</t>
  </si>
  <si>
    <t>bèi zi</t>
  </si>
  <si>
    <t>zhī chí</t>
  </si>
  <si>
    <t>ủng hộ</t>
  </si>
  <si>
    <t>chăn</t>
  </si>
  <si>
    <t>我们支持你的决定。</t>
  </si>
  <si>
    <t>天冷了，要盖好被子。</t>
  </si>
  <si>
    <t>知识</t>
  </si>
  <si>
    <t>zhī shí</t>
  </si>
  <si>
    <t>tri thức, kiến thức</t>
  </si>
  <si>
    <t>知识是无价之宝。</t>
  </si>
  <si>
    <t>本科</t>
  </si>
  <si>
    <t>běn kē</t>
  </si>
  <si>
    <t>trình độ đại học</t>
  </si>
  <si>
    <t>他刚刚完成本科课程。</t>
  </si>
  <si>
    <t>直接</t>
  </si>
  <si>
    <t>zhí jiē</t>
  </si>
  <si>
    <t>trực tiếp</t>
  </si>
  <si>
    <t>请直接告诉我结果。</t>
  </si>
  <si>
    <t>本领</t>
  </si>
  <si>
    <t>běn lǐng</t>
  </si>
  <si>
    <t>bản lĩnh</t>
  </si>
  <si>
    <t>他有很多本领。</t>
  </si>
  <si>
    <t>值得</t>
  </si>
  <si>
    <t>zhí dé</t>
  </si>
  <si>
    <t>đáng</t>
  </si>
  <si>
    <t>这部电影很值得看。</t>
  </si>
  <si>
    <t>职业</t>
  </si>
  <si>
    <t>zhí yè</t>
  </si>
  <si>
    <t>本质</t>
  </si>
  <si>
    <t>nghề nghiệp</t>
  </si>
  <si>
    <t>běn zhì</t>
  </si>
  <si>
    <t>他的职业是医生。</t>
  </si>
  <si>
    <t>bản chất</t>
  </si>
  <si>
    <t>我们要了解问题的本质。</t>
  </si>
  <si>
    <t>植物</t>
  </si>
  <si>
    <t>zhí wù</t>
  </si>
  <si>
    <t>thực vật</t>
  </si>
  <si>
    <t>我喜欢养植物。</t>
  </si>
  <si>
    <t>比例</t>
  </si>
  <si>
    <t>bǐ lì</t>
  </si>
  <si>
    <t>tỉ lệ</t>
  </si>
  <si>
    <t>图中的比例很重要。</t>
  </si>
  <si>
    <t>只好</t>
  </si>
  <si>
    <t>zhǐ hǎo</t>
  </si>
  <si>
    <t>下雨了，我们只好回家。</t>
  </si>
  <si>
    <t>只要</t>
  </si>
  <si>
    <t>zhǐ yào</t>
  </si>
  <si>
    <t>彼此</t>
  </si>
  <si>
    <t>chỉ cần</t>
  </si>
  <si>
    <t>只要努力，就会成功。</t>
  </si>
  <si>
    <t>bǐ cǐ</t>
  </si>
  <si>
    <t>lẫn nhau, với nhau</t>
  </si>
  <si>
    <t>他们彼此帮助。</t>
  </si>
  <si>
    <t>指</t>
  </si>
  <si>
    <t>他指了指那棵树。</t>
  </si>
  <si>
    <t>至少</t>
  </si>
  <si>
    <t>zhì shǎo</t>
  </si>
  <si>
    <t>必然</t>
  </si>
  <si>
    <t>chí ít</t>
  </si>
  <si>
    <t>我至少要休息一天。</t>
  </si>
  <si>
    <t>bì rán</t>
  </si>
  <si>
    <t>tất yếu</t>
  </si>
  <si>
    <t>这是一个必然的结果。</t>
  </si>
  <si>
    <t>质量</t>
  </si>
  <si>
    <t>zhì liàng</t>
  </si>
  <si>
    <t>chất lượng</t>
  </si>
  <si>
    <t>这家店的产品质量很好。</t>
  </si>
  <si>
    <t>必要</t>
  </si>
  <si>
    <t>bì yào</t>
  </si>
  <si>
    <t>cần thiết, cần</t>
  </si>
  <si>
    <t>这是一个必要的步骤。</t>
  </si>
  <si>
    <t>重</t>
  </si>
  <si>
    <t>zhòng</t>
  </si>
  <si>
    <t>nặng</t>
  </si>
  <si>
    <t>这箱子很重。</t>
  </si>
  <si>
    <t>避免</t>
  </si>
  <si>
    <t>bì miǎn</t>
  </si>
  <si>
    <t>tránh</t>
  </si>
  <si>
    <t>重点</t>
  </si>
  <si>
    <t>我们要避免错误。</t>
  </si>
  <si>
    <t>zhòng diǎn</t>
  </si>
  <si>
    <t>trọng điểm</t>
  </si>
  <si>
    <t>这个问题是重点。</t>
  </si>
  <si>
    <t>重视</t>
  </si>
  <si>
    <t>zhòng shì</t>
  </si>
  <si>
    <t>coi trọng</t>
  </si>
  <si>
    <t>他很重视健康。</t>
  </si>
  <si>
    <t>编辑</t>
  </si>
  <si>
    <t>biān jí</t>
  </si>
  <si>
    <t>biên tập</t>
  </si>
  <si>
    <t>他是一本杂志的编辑。</t>
  </si>
  <si>
    <t>周围</t>
  </si>
  <si>
    <t>zhōu wéi</t>
  </si>
  <si>
    <t>xung quanh</t>
  </si>
  <si>
    <t>我住在学校的周围。</t>
  </si>
  <si>
    <t>鞭炮</t>
  </si>
  <si>
    <t>主意</t>
  </si>
  <si>
    <t>zhǔ yì</t>
  </si>
  <si>
    <t>chủ ý</t>
  </si>
  <si>
    <t>这是一个好主意。</t>
  </si>
  <si>
    <t>biān pào</t>
  </si>
  <si>
    <t>祝贺</t>
  </si>
  <si>
    <t>zhù hè</t>
  </si>
  <si>
    <t>chúc mừng</t>
  </si>
  <si>
    <t>祝贺你通过考试。</t>
  </si>
  <si>
    <t>pháo</t>
  </si>
  <si>
    <t>新年时我们放鞭炮。</t>
  </si>
  <si>
    <t>著名</t>
  </si>
  <si>
    <t>zhù míng</t>
  </si>
  <si>
    <t>他是一位著名的作家。</t>
  </si>
  <si>
    <t>便</t>
  </si>
  <si>
    <t>专门</t>
  </si>
  <si>
    <t>zhuān mén</t>
  </si>
  <si>
    <t>liền</t>
  </si>
  <si>
    <t>chuyên môn</t>
  </si>
  <si>
    <t>你便可以走了。</t>
  </si>
  <si>
    <t>他专门研究历史。</t>
  </si>
  <si>
    <t>专业</t>
  </si>
  <si>
    <t>zhuān yè</t>
  </si>
  <si>
    <t>chuyên ngành</t>
  </si>
  <si>
    <t>他的专业是数学。</t>
  </si>
  <si>
    <t>辩论</t>
  </si>
  <si>
    <t>biàn lùn</t>
  </si>
  <si>
    <t>biện luận</t>
  </si>
  <si>
    <t>他们在辩论这个问题。</t>
  </si>
  <si>
    <t>转</t>
  </si>
  <si>
    <t>zhuǎn</t>
  </si>
  <si>
    <t>chuyển</t>
  </si>
  <si>
    <t>请把椅子转过来。</t>
  </si>
  <si>
    <t>标点</t>
  </si>
  <si>
    <t>biāo diǎn</t>
  </si>
  <si>
    <t>dấu</t>
  </si>
  <si>
    <t>请注意文章中的标点。</t>
  </si>
  <si>
    <t>赚</t>
  </si>
  <si>
    <t>zhuàn</t>
  </si>
  <si>
    <t>kiếm</t>
  </si>
  <si>
    <t>他在公司赚了很多钱。</t>
  </si>
  <si>
    <t>标志</t>
  </si>
  <si>
    <t>准确</t>
  </si>
  <si>
    <t>biāo zhì</t>
  </si>
  <si>
    <t>zhǔn què</t>
  </si>
  <si>
    <t>đánh dấu, ký hiệu</t>
  </si>
  <si>
    <t>他的答案非常准确。</t>
  </si>
  <si>
    <t>这个标志很明显。</t>
  </si>
  <si>
    <t>准时</t>
  </si>
  <si>
    <t>zhǔn shí</t>
  </si>
  <si>
    <t>đúng giờ</t>
  </si>
  <si>
    <t>请准时到达。</t>
  </si>
  <si>
    <t>表达</t>
  </si>
  <si>
    <t>biǎo dá</t>
  </si>
  <si>
    <t>diễn đạt</t>
  </si>
  <si>
    <t>请表达你的意见。</t>
  </si>
  <si>
    <t>仔细</t>
  </si>
  <si>
    <t>zǐ xì</t>
  </si>
  <si>
    <t>他做事很仔细。</t>
  </si>
  <si>
    <t>表面</t>
  </si>
  <si>
    <t>biǎo miàn</t>
  </si>
  <si>
    <t>bề mặt, bề ngoài</t>
  </si>
  <si>
    <t>不要只看表面。</t>
  </si>
  <si>
    <t>自然</t>
  </si>
  <si>
    <t>zì rán</t>
  </si>
  <si>
    <t>tự nhiên</t>
  </si>
  <si>
    <t>自然景色很美。</t>
  </si>
  <si>
    <t>自信</t>
  </si>
  <si>
    <t>表明</t>
  </si>
  <si>
    <t>zì xìn</t>
  </si>
  <si>
    <t>biǎo míng</t>
  </si>
  <si>
    <t>tự tin</t>
  </si>
  <si>
    <t>cho thấy</t>
  </si>
  <si>
    <t>我对自己很有自信。</t>
  </si>
  <si>
    <t>他的话表明他很生气。</t>
  </si>
  <si>
    <t>总结</t>
  </si>
  <si>
    <t>zǒng jié</t>
  </si>
  <si>
    <t>tổng kết</t>
  </si>
  <si>
    <t>他总结了会议的要点。</t>
  </si>
  <si>
    <t>表情</t>
  </si>
  <si>
    <t>biǎo qíng</t>
  </si>
  <si>
    <t>biểu cảm</t>
  </si>
  <si>
    <t>她的表情很开心。</t>
  </si>
  <si>
    <t>租</t>
  </si>
  <si>
    <t>zū</t>
  </si>
  <si>
    <t>thuê</t>
  </si>
  <si>
    <t>我租了一辆车。</t>
  </si>
  <si>
    <t>表现</t>
  </si>
  <si>
    <t>biǎo xiàn</t>
  </si>
  <si>
    <t>biểu hiện</t>
  </si>
  <si>
    <t>最好</t>
  </si>
  <si>
    <t>zuì hǎo</t>
  </si>
  <si>
    <t>她的表现让大家都很满意。</t>
  </si>
  <si>
    <t>tốt nhất</t>
  </si>
  <si>
    <t>这是最好的选择。</t>
  </si>
  <si>
    <t>尊重</t>
  </si>
  <si>
    <t>zūn zhòng</t>
  </si>
  <si>
    <t>tôn trọng</t>
  </si>
  <si>
    <t>我们应该尊重他人的意见。</t>
  </si>
  <si>
    <t>冰淇淋</t>
  </si>
  <si>
    <t>bīng qí lín</t>
  </si>
  <si>
    <t>kem</t>
  </si>
  <si>
    <t>冰淇淋是夏天的美食。</t>
  </si>
  <si>
    <t>左右</t>
  </si>
  <si>
    <t>zuǒ yòu</t>
  </si>
  <si>
    <t>他站在我左右。</t>
  </si>
  <si>
    <t>病毒</t>
  </si>
  <si>
    <t>bìng dú</t>
  </si>
  <si>
    <t>vi rút</t>
  </si>
  <si>
    <t>这种病毒很危险，应该小心。</t>
  </si>
  <si>
    <t>作家</t>
  </si>
  <si>
    <t>zuò jiā</t>
  </si>
  <si>
    <t>tác gia</t>
  </si>
  <si>
    <t>zuò yòng</t>
  </si>
  <si>
    <t>这个药对治疗感冒很有作用。</t>
  </si>
  <si>
    <t>玻璃</t>
  </si>
  <si>
    <t>bō lí</t>
  </si>
  <si>
    <t>thủy tinh</t>
  </si>
  <si>
    <t>玻璃窗可以让阳光透进来。</t>
  </si>
  <si>
    <t>播放</t>
  </si>
  <si>
    <t>哎哟</t>
  </si>
  <si>
    <t>作者</t>
  </si>
  <si>
    <t>zuò zhě</t>
  </si>
  <si>
    <t>bō fàng</t>
  </si>
  <si>
    <t>这本书的作者是谁？</t>
  </si>
  <si>
    <t>phát sóng</t>
  </si>
  <si>
    <t>播放音乐可以放松心情。</t>
  </si>
  <si>
    <t>座</t>
  </si>
  <si>
    <t>tòa</t>
  </si>
  <si>
    <t>脖子</t>
  </si>
  <si>
    <t>bó zi</t>
  </si>
  <si>
    <t>cổ</t>
  </si>
  <si>
    <t>他有一个很长的脖子。</t>
  </si>
  <si>
    <t>座位</t>
  </si>
  <si>
    <t>zuò wèi</t>
  </si>
  <si>
    <t>chỗ ngồi</t>
  </si>
  <si>
    <t>请找你的座位。</t>
  </si>
  <si>
    <t>博物馆</t>
  </si>
  <si>
    <t>bó wù guǎn</t>
  </si>
  <si>
    <t>bảo tàng</t>
  </si>
  <si>
    <t>我们参观了博物馆。</t>
  </si>
  <si>
    <t>āi yōu</t>
  </si>
  <si>
    <t>ái chà</t>
  </si>
  <si>
    <t>补充</t>
  </si>
  <si>
    <t>bǔ chōng</t>
  </si>
  <si>
    <t>bổ sung</t>
  </si>
  <si>
    <t>请补充这些信息。</t>
  </si>
  <si>
    <t>哎哟，这个问题真是让人头疼。</t>
  </si>
  <si>
    <t>不安</t>
  </si>
  <si>
    <t>bú ān</t>
  </si>
  <si>
    <t>bất an</t>
  </si>
  <si>
    <t>他因为考试不安。</t>
  </si>
  <si>
    <t>不断</t>
  </si>
  <si>
    <t>bú duàn</t>
  </si>
  <si>
    <t>không ngừng</t>
  </si>
  <si>
    <t>这个问题需要不断解决。</t>
  </si>
  <si>
    <t>不见得</t>
  </si>
  <si>
    <t>bú jiàn dé</t>
  </si>
  <si>
    <t>chưa chắc</t>
  </si>
  <si>
    <t>结果不见得会更好。</t>
  </si>
  <si>
    <t>不耐烦</t>
  </si>
  <si>
    <t>bú nài fán</t>
  </si>
  <si>
    <t>chán nản, không kiên nhẫn</t>
  </si>
  <si>
    <t>他对等待变得不耐烦了。</t>
  </si>
  <si>
    <t>不然</t>
  </si>
  <si>
    <t>bú rán</t>
  </si>
  <si>
    <t>快点，不然会迟到。</t>
  </si>
  <si>
    <t>不如</t>
  </si>
  <si>
    <t>bú rú</t>
  </si>
  <si>
    <t>không bằng</t>
  </si>
  <si>
    <t>这次会议不如上次好。</t>
  </si>
  <si>
    <t>不要紧</t>
  </si>
  <si>
    <t>bú yào jǐn</t>
  </si>
  <si>
    <t xml:space="preserve">không quan trọng </t>
  </si>
  <si>
    <t>这件事不要紧，慢慢来。</t>
  </si>
  <si>
    <t>不足</t>
  </si>
  <si>
    <t>bú zú</t>
  </si>
  <si>
    <t>không đủ</t>
  </si>
  <si>
    <t>他的收入不足以养活家庭。</t>
  </si>
  <si>
    <t>布</t>
  </si>
  <si>
    <t>vải</t>
  </si>
  <si>
    <t>这布料非常柔软。</t>
  </si>
  <si>
    <t>步骤</t>
  </si>
  <si>
    <t>bù zhòu</t>
  </si>
  <si>
    <t>bước</t>
  </si>
  <si>
    <t>这个步骤很复杂。</t>
  </si>
  <si>
    <t>部门</t>
  </si>
  <si>
    <t>bù mén</t>
  </si>
  <si>
    <t>ban ngành, bộ phận</t>
  </si>
  <si>
    <t>我们部门的工作很忙</t>
  </si>
  <si>
    <t>财产</t>
  </si>
  <si>
    <t>cái chǎn</t>
  </si>
  <si>
    <t>tài sản</t>
  </si>
  <si>
    <t>他们的财产都被保管得很好。</t>
  </si>
  <si>
    <t>采访</t>
  </si>
  <si>
    <t>cǎi fǎng</t>
  </si>
  <si>
    <t>phỏng vấn</t>
  </si>
  <si>
    <t>记者来采访了公司老板。</t>
  </si>
  <si>
    <t>采取</t>
  </si>
  <si>
    <t>cǎi qǔ</t>
  </si>
  <si>
    <t>chọn, dùng</t>
  </si>
  <si>
    <t>我们采取了新的措施。</t>
  </si>
  <si>
    <t>彩虹</t>
  </si>
  <si>
    <t>cǎi hóng</t>
  </si>
  <si>
    <t>cầu vồng</t>
  </si>
  <si>
    <t>彩虹出现在雨后的天空中。</t>
  </si>
  <si>
    <t>踩</t>
  </si>
  <si>
    <t>cǎi</t>
  </si>
  <si>
    <t>giẫm</t>
  </si>
  <si>
    <t>小心不要踩到水。</t>
  </si>
  <si>
    <t>参考</t>
  </si>
  <si>
    <t>cān kǎo</t>
  </si>
  <si>
    <t>tham khảo</t>
  </si>
  <si>
    <t>这是一个很好的参考资料。</t>
  </si>
  <si>
    <t>参与</t>
  </si>
  <si>
    <t>cān yù</t>
  </si>
  <si>
    <t>我们需要参与这个项目。</t>
  </si>
  <si>
    <t>惭愧</t>
  </si>
  <si>
    <t>cán kuì</t>
  </si>
  <si>
    <t>hổ thẹn</t>
  </si>
  <si>
    <t>他对自己的表现感到惭愧。</t>
  </si>
  <si>
    <t>操场</t>
  </si>
  <si>
    <t>cāo chǎng</t>
  </si>
  <si>
    <t>sân vận động</t>
  </si>
  <si>
    <t>孩子们在操场上玩耍。</t>
  </si>
  <si>
    <t>操心</t>
  </si>
  <si>
    <t>cāo xīn</t>
  </si>
  <si>
    <t>不用操心，事情会好的。</t>
  </si>
  <si>
    <t>册</t>
  </si>
  <si>
    <t>cè</t>
  </si>
  <si>
    <t>quyển, sổ</t>
  </si>
  <si>
    <t>老师在我的纪念册上写了几句临别赠言。</t>
  </si>
  <si>
    <t>测验</t>
  </si>
  <si>
    <t>cè yàn</t>
  </si>
  <si>
    <t>thí nghiệm</t>
  </si>
  <si>
    <t>测验的结果让我很惊讶。</t>
  </si>
  <si>
    <t>曾经</t>
  </si>
  <si>
    <t>céng jīng</t>
  </si>
  <si>
    <t>đã từng</t>
  </si>
  <si>
    <t>我曾经去过那个城市。</t>
  </si>
  <si>
    <t>叉子</t>
  </si>
  <si>
    <t>chā zi</t>
  </si>
  <si>
    <t>cái dĩa, cái xiên, cái nĩa</t>
  </si>
  <si>
    <t>请用叉子切蛋糕。</t>
  </si>
  <si>
    <t>差距</t>
  </si>
  <si>
    <t>chā jù</t>
  </si>
  <si>
    <t>sự chênh lệch, sự khác nhau</t>
  </si>
  <si>
    <t>他们之间的差距很大。</t>
  </si>
  <si>
    <t>插</t>
  </si>
  <si>
    <t>chā</t>
  </si>
  <si>
    <t>cắm, chèn</t>
  </si>
  <si>
    <t>你能把这些插入到报告中吗？</t>
  </si>
  <si>
    <t>拆</t>
  </si>
  <si>
    <t>chāi</t>
  </si>
  <si>
    <t>gỡ, dỡ</t>
  </si>
  <si>
    <t>他拆开了那个包裹。</t>
  </si>
  <si>
    <t>产品</t>
  </si>
  <si>
    <t>chǎn pǐn</t>
  </si>
  <si>
    <t>sản phẩm</t>
  </si>
  <si>
    <t>这个产品的质量很好。</t>
  </si>
  <si>
    <t>产生</t>
  </si>
  <si>
    <t>chǎn shēng</t>
  </si>
  <si>
    <t>sản sinh, nảy sinh</t>
  </si>
  <si>
    <t>这次谈话产生了很大的影响。</t>
  </si>
  <si>
    <t>长途</t>
  </si>
  <si>
    <t>cháng tú</t>
  </si>
  <si>
    <t>đường dài</t>
  </si>
  <si>
    <t>我们计划长途旅行。</t>
  </si>
  <si>
    <t>常识</t>
  </si>
  <si>
    <t>cháng shí</t>
  </si>
  <si>
    <t>kiến thức cơ bản</t>
  </si>
  <si>
    <t>这是一条常识的规则。</t>
  </si>
  <si>
    <t>抄</t>
  </si>
  <si>
    <t>chāo</t>
  </si>
  <si>
    <t>chép</t>
  </si>
  <si>
    <t>他抄了别人的作业。</t>
  </si>
  <si>
    <t>超级</t>
  </si>
  <si>
    <t>chāo jí</t>
  </si>
  <si>
    <t>siêu cấp, cực kỳ</t>
  </si>
  <si>
    <t>这是一个超级大的市场。</t>
  </si>
  <si>
    <t>朝</t>
  </si>
  <si>
    <t>cháo</t>
  </si>
  <si>
    <t>về hướng</t>
  </si>
  <si>
    <t>我们朝着目标前进。</t>
  </si>
  <si>
    <t>潮湿</t>
  </si>
  <si>
    <t>cháo shī</t>
  </si>
  <si>
    <t>ẩm ướt</t>
  </si>
  <si>
    <t>空气有些潮湿。</t>
  </si>
  <si>
    <t>吵</t>
  </si>
  <si>
    <t>chǎo</t>
  </si>
  <si>
    <t>ồn ào, làm ồn</t>
  </si>
  <si>
    <t>外面的声音很吵。</t>
  </si>
  <si>
    <t>吵架</t>
  </si>
  <si>
    <t>chǎo jià</t>
  </si>
  <si>
    <t>cãi vã</t>
  </si>
  <si>
    <t>他们在街上吵架。</t>
  </si>
  <si>
    <t>炒</t>
  </si>
  <si>
    <t>xào</t>
  </si>
  <si>
    <t>炒菜时要加一些盐。</t>
  </si>
  <si>
    <t>哎呦</t>
  </si>
  <si>
    <t>车库</t>
  </si>
  <si>
    <t>chē kù</t>
  </si>
  <si>
    <t>nhà xe</t>
  </si>
  <si>
    <t>车库里停了两辆车。</t>
  </si>
  <si>
    <t>车厢</t>
  </si>
  <si>
    <t>chē xiāng</t>
  </si>
  <si>
    <t>toa tàu</t>
  </si>
  <si>
    <t>车厢里非常拥挤。</t>
  </si>
  <si>
    <t>彻底</t>
  </si>
  <si>
    <t>chè dǐ</t>
  </si>
  <si>
    <t>triệt để</t>
  </si>
  <si>
    <t>彻底清理房间是很重要的。</t>
  </si>
  <si>
    <t>沉默</t>
  </si>
  <si>
    <t>chén mò</t>
  </si>
  <si>
    <t>im lặng</t>
  </si>
  <si>
    <t>他在会议上保持沉默。</t>
  </si>
  <si>
    <t>挨</t>
  </si>
  <si>
    <t>ái</t>
  </si>
  <si>
    <t>chịu đựng, bị</t>
  </si>
  <si>
    <t>他每天都要挨饿。</t>
  </si>
  <si>
    <t>趁</t>
  </si>
  <si>
    <t>chèn</t>
  </si>
  <si>
    <t>nhân</t>
  </si>
  <si>
    <t>趁着年轻,我们要好好珍惜身边的一切!。</t>
  </si>
  <si>
    <t>称</t>
  </si>
  <si>
    <t>chēng</t>
  </si>
  <si>
    <t>gọi là</t>
  </si>
  <si>
    <t>我被大家称为“老李”。</t>
  </si>
  <si>
    <t>癌症</t>
  </si>
  <si>
    <t>ái zhèng</t>
  </si>
  <si>
    <t>ung thư</t>
  </si>
  <si>
    <t>她不幸患上了癌症。</t>
  </si>
  <si>
    <t>称呼</t>
  </si>
  <si>
    <t>chēng hū</t>
  </si>
  <si>
    <t>xưng hô</t>
  </si>
  <si>
    <t>请问怎么称呼呢？</t>
  </si>
  <si>
    <t>爱不释手</t>
  </si>
  <si>
    <t>ài bù shì shǒu</t>
  </si>
  <si>
    <t>yêu không rời tay</t>
  </si>
  <si>
    <t>这本书让他爱不释手。</t>
  </si>
  <si>
    <t>称赞</t>
  </si>
  <si>
    <t>chēng zàn</t>
  </si>
  <si>
    <t>tán thưởng</t>
  </si>
  <si>
    <t>她称赞了我的工作。</t>
  </si>
  <si>
    <t>爱戴</t>
  </si>
  <si>
    <t>ài dài</t>
  </si>
  <si>
    <t>yêu mến, kính trọng</t>
  </si>
  <si>
    <t>他深受大家的爱戴。</t>
  </si>
  <si>
    <t>成分</t>
  </si>
  <si>
    <t>chéng fèn</t>
  </si>
  <si>
    <t>thành phần</t>
  </si>
  <si>
    <t>这种食物的成分很简单。</t>
  </si>
  <si>
    <t>暧昧</t>
  </si>
  <si>
    <t>ài mèi</t>
  </si>
  <si>
    <t>mập mờ, không rõ ràng</t>
  </si>
  <si>
    <t>他们之间的关系有点暧昧。</t>
  </si>
  <si>
    <t>成果</t>
  </si>
  <si>
    <t>chéng guǒ</t>
  </si>
  <si>
    <t>thành quả</t>
  </si>
  <si>
    <t>我们取得了很好的成果。</t>
  </si>
  <si>
    <t>安居乐业</t>
  </si>
  <si>
    <t>ān jū lè yè</t>
  </si>
  <si>
    <t>an cư lạc nghiệp</t>
  </si>
  <si>
    <t>他们在这里安居乐业。</t>
  </si>
  <si>
    <t>成就</t>
  </si>
  <si>
    <t>chéng jiù</t>
  </si>
  <si>
    <t>thành tựu</t>
  </si>
  <si>
    <t>他的努力带来了巨大的成就。</t>
  </si>
  <si>
    <t>安宁</t>
  </si>
  <si>
    <t>ān níng</t>
  </si>
  <si>
    <t>yên bình</t>
  </si>
  <si>
    <t>她喜欢安宁的生活。</t>
  </si>
  <si>
    <t>成立</t>
  </si>
  <si>
    <t>chéng lì</t>
  </si>
  <si>
    <t>thành lập</t>
  </si>
  <si>
    <t>这个公司刚刚成立。</t>
  </si>
  <si>
    <t>安详</t>
  </si>
  <si>
    <t>ān xiáng</t>
  </si>
  <si>
    <t>bình thản, điềm tĩnh</t>
  </si>
  <si>
    <t>他总是表现得很安详。</t>
  </si>
  <si>
    <t>成人</t>
  </si>
  <si>
    <t>chéng rén</t>
  </si>
  <si>
    <t>người lớn</t>
  </si>
  <si>
    <t>除了最小的女儿外，‌其他孩子都已成人。‌</t>
  </si>
  <si>
    <t>安置</t>
  </si>
  <si>
    <t>ān zhì</t>
  </si>
  <si>
    <t>sắp xếp, bố trí</t>
  </si>
  <si>
    <t>我们需要为他们安置住房。</t>
  </si>
  <si>
    <t>成熟</t>
  </si>
  <si>
    <t>chéng shú</t>
  </si>
  <si>
    <t>thành thục</t>
  </si>
  <si>
    <t>她非常成熟，处理问题很冷静。</t>
  </si>
  <si>
    <t>案件</t>
  </si>
  <si>
    <t>àn jiàn</t>
  </si>
  <si>
    <t>vụ án</t>
  </si>
  <si>
    <t>这个案件非常复杂。</t>
  </si>
  <si>
    <t>成语</t>
  </si>
  <si>
    <t>chéng yǔ</t>
  </si>
  <si>
    <t>thành ngữ</t>
  </si>
  <si>
    <t>这是一句成语，很有意思。</t>
  </si>
  <si>
    <t>成长</t>
  </si>
  <si>
    <t>chéng zhǎng</t>
  </si>
  <si>
    <t>trưởng thành</t>
  </si>
  <si>
    <t>孩子们在健康成长。</t>
  </si>
  <si>
    <t>诚恳</t>
  </si>
  <si>
    <t>chéng kěn</t>
  </si>
  <si>
    <t>thành khẩn</t>
  </si>
  <si>
    <t>他说话非常诚恳。</t>
  </si>
  <si>
    <t>承担</t>
  </si>
  <si>
    <t>chéng dān</t>
  </si>
  <si>
    <t>chịu trách nhiệm</t>
  </si>
  <si>
    <t>我们需要承担更多的责任。</t>
  </si>
  <si>
    <t>承认</t>
  </si>
  <si>
    <t>chéng rèn</t>
  </si>
  <si>
    <t>thừa nhận</t>
  </si>
  <si>
    <t>我承认我犯了错。</t>
  </si>
  <si>
    <t>承受</t>
  </si>
  <si>
    <t>chéng shòu</t>
  </si>
  <si>
    <t>chịu đựng</t>
  </si>
  <si>
    <t>他能够承受很大的压力。</t>
  </si>
  <si>
    <t>程度</t>
  </si>
  <si>
    <t>chéng dù</t>
  </si>
  <si>
    <t>这个问题的难度程度很高。</t>
  </si>
  <si>
    <t>程序</t>
  </si>
  <si>
    <t>chéng xù</t>
  </si>
  <si>
    <t>trình tự</t>
  </si>
  <si>
    <t>我们在程序中发现了一些错误。</t>
  </si>
  <si>
    <t>吃亏</t>
  </si>
  <si>
    <t>chī kuī</t>
  </si>
  <si>
    <t>thiệt thòi</t>
  </si>
  <si>
    <t>这次比赛我吃亏了。</t>
  </si>
  <si>
    <t>池塘</t>
  </si>
  <si>
    <t>chí táng</t>
  </si>
  <si>
    <t>ao hồ</t>
  </si>
  <si>
    <t>池塘里有很多鱼。</t>
  </si>
  <si>
    <t>迟早</t>
  </si>
  <si>
    <t>chí zǎo</t>
  </si>
  <si>
    <t>sớm muộn</t>
  </si>
  <si>
    <t>迟早我们会找到解决办法的。</t>
  </si>
  <si>
    <t>持续</t>
  </si>
  <si>
    <t>chí xù</t>
  </si>
  <si>
    <t>kéo dài, tiêp tục</t>
  </si>
  <si>
    <t>这个问题需要持续关注。</t>
  </si>
  <si>
    <t>尺子</t>
  </si>
  <si>
    <t>chǐ zi</t>
  </si>
  <si>
    <t>thước đo</t>
  </si>
  <si>
    <t>请用尺子量一下长度。</t>
  </si>
  <si>
    <t>翅膀</t>
  </si>
  <si>
    <t>chì bǎng</t>
  </si>
  <si>
    <t>cánh</t>
  </si>
  <si>
    <t>小鸟的翅膀很漂亮。</t>
  </si>
  <si>
    <t>冲</t>
  </si>
  <si>
    <t>chōng</t>
  </si>
  <si>
    <t>xông, xô đẩy</t>
  </si>
  <si>
    <t>他们在冲向终点。</t>
  </si>
  <si>
    <t>充分</t>
  </si>
  <si>
    <t>chōng fèn</t>
  </si>
  <si>
    <t>đầy đủ</t>
  </si>
  <si>
    <t>这个计划充分考虑了所有因素。</t>
  </si>
  <si>
    <t>充满</t>
  </si>
  <si>
    <t>chōng mǎn</t>
  </si>
  <si>
    <t>tràn đầy</t>
  </si>
  <si>
    <t>房间里充满了温暖的光线。</t>
  </si>
  <si>
    <t>重复</t>
  </si>
  <si>
    <t>chóng fù</t>
  </si>
  <si>
    <t>lặp lại</t>
  </si>
  <si>
    <t>这个任务需要重复几次。</t>
  </si>
  <si>
    <t>宠物</t>
  </si>
  <si>
    <t>chǒng wù</t>
  </si>
  <si>
    <t>thú cưng</t>
  </si>
  <si>
    <t>他有很多宠物，比如猫和狗。</t>
  </si>
  <si>
    <t>抽屉</t>
  </si>
  <si>
    <t>chōu tì</t>
  </si>
  <si>
    <t>ngăn kéo</t>
  </si>
  <si>
    <t>抽屉里放了很多文具。</t>
  </si>
  <si>
    <t>抽象</t>
  </si>
  <si>
    <t>chōu xiàng</t>
  </si>
  <si>
    <t>trừu tượng</t>
  </si>
  <si>
    <t>他的画儿风格很抽象。</t>
  </si>
  <si>
    <t>丑</t>
  </si>
  <si>
    <t>chǒu</t>
  </si>
  <si>
    <t>xấu</t>
  </si>
  <si>
    <t>那只狗的样子确实很丑。</t>
  </si>
  <si>
    <t>臭</t>
  </si>
  <si>
    <t>chòu</t>
  </si>
  <si>
    <t>thối</t>
  </si>
  <si>
    <t>这个地方的味道很臭。</t>
  </si>
  <si>
    <t>出版</t>
  </si>
  <si>
    <t>chū bǎn</t>
  </si>
  <si>
    <t>xuất bản</t>
  </si>
  <si>
    <t>这本书已经出版了。</t>
  </si>
  <si>
    <t>出口</t>
  </si>
  <si>
    <t>chū kǒu</t>
  </si>
  <si>
    <t>lối ra, xuất khẩu</t>
  </si>
  <si>
    <t>这个港口是重要的出口。</t>
  </si>
  <si>
    <t>出色</t>
  </si>
  <si>
    <t>chū sè</t>
  </si>
  <si>
    <t>xuất sắc</t>
  </si>
  <si>
    <t>她的表现非常出色。</t>
  </si>
  <si>
    <t>出示</t>
  </si>
  <si>
    <t>chū shì</t>
  </si>
  <si>
    <t>xuất trình</t>
  </si>
  <si>
    <t>请出示你的身份证。</t>
  </si>
  <si>
    <t>出席</t>
  </si>
  <si>
    <t>chū xí</t>
  </si>
  <si>
    <t>tham dự</t>
  </si>
  <si>
    <t>每一次出席，都是对人生舞台的又一次征服。</t>
  </si>
  <si>
    <t>初级</t>
  </si>
  <si>
    <t>chū jí</t>
  </si>
  <si>
    <t>sơ cấp</t>
  </si>
  <si>
    <t>这是初级课程，非常简单。</t>
  </si>
  <si>
    <t>案例</t>
  </si>
  <si>
    <t>àn lì</t>
  </si>
  <si>
    <t>除非</t>
  </si>
  <si>
    <t>trường hợp, ví dụ</t>
  </si>
  <si>
    <t>chú fēi</t>
  </si>
  <si>
    <t>这个案例很有参考价值。</t>
  </si>
  <si>
    <t>trừ phi</t>
  </si>
  <si>
    <t>除非你告诉我，否则我不知道。</t>
  </si>
  <si>
    <t>除夕</t>
  </si>
  <si>
    <t>按摩</t>
  </si>
  <si>
    <t>chú xī</t>
  </si>
  <si>
    <t>àn mó</t>
  </si>
  <si>
    <t>giao thừa</t>
  </si>
  <si>
    <t>mát xa</t>
  </si>
  <si>
    <t>我们在除夕晚上吃年夜饭。</t>
  </si>
  <si>
    <t>她每周都会去按摩。</t>
  </si>
  <si>
    <t>处理</t>
  </si>
  <si>
    <t>chǔ lǐ</t>
  </si>
  <si>
    <t>xử lý</t>
  </si>
  <si>
    <t>这个问题需要认真处理。</t>
  </si>
  <si>
    <t>暗示</t>
  </si>
  <si>
    <t>àn shì</t>
  </si>
  <si>
    <t>ám hiệu, gợi ý</t>
  </si>
  <si>
    <t>他暗示我应该努力工作。</t>
  </si>
  <si>
    <t>传播</t>
  </si>
  <si>
    <t>chuán bō</t>
  </si>
  <si>
    <t>lan truyền, lây lan</t>
  </si>
  <si>
    <t>这个消息通过网络传播很快。</t>
  </si>
  <si>
    <t>昂贵</t>
  </si>
  <si>
    <t>áng guì</t>
  </si>
  <si>
    <t>đắt đỏ</t>
  </si>
  <si>
    <t>这块手表非常昂贵。</t>
  </si>
  <si>
    <t>传染</t>
  </si>
  <si>
    <t>chuán rǎn</t>
  </si>
  <si>
    <t>nhiễm</t>
  </si>
  <si>
    <t>凹凸</t>
  </si>
  <si>
    <t>这种病很容易传染。</t>
  </si>
  <si>
    <t>āo tū</t>
  </si>
  <si>
    <t>lồi lõm</t>
  </si>
  <si>
    <t>这条路很凹凸不平。</t>
  </si>
  <si>
    <t>熬</t>
  </si>
  <si>
    <t>áo</t>
  </si>
  <si>
    <t>传说</t>
  </si>
  <si>
    <t>nấu, chịu đựng</t>
  </si>
  <si>
    <t>chuán shuō</t>
  </si>
  <si>
    <t>truyền thuyết</t>
  </si>
  <si>
    <t>这是一个古老的传说。</t>
  </si>
  <si>
    <t>她在厨房里熬了整夜。</t>
  </si>
  <si>
    <t>奥秘</t>
  </si>
  <si>
    <t>ào mì</t>
  </si>
  <si>
    <t>bí mật, huyền bí</t>
  </si>
  <si>
    <t>传统</t>
  </si>
  <si>
    <t>chuán tǒng</t>
  </si>
  <si>
    <t>这个问题充满了奥秘。</t>
  </si>
  <si>
    <t>truyền thống</t>
  </si>
  <si>
    <t>我们保持了传统的节日习俗。</t>
  </si>
  <si>
    <t>扒</t>
  </si>
  <si>
    <t>窗帘</t>
  </si>
  <si>
    <t>cào, móc, kéo</t>
  </si>
  <si>
    <t>chuāng lián</t>
  </si>
  <si>
    <t>他用力扒开了门。</t>
  </si>
  <si>
    <t>rèm cửa</t>
  </si>
  <si>
    <t>窗帘需要定期清洗。</t>
  </si>
  <si>
    <t>闯</t>
  </si>
  <si>
    <t>chuǎng</t>
  </si>
  <si>
    <t>xông vào, xông lên</t>
  </si>
  <si>
    <t>他闯入了别人的房间。</t>
  </si>
  <si>
    <t>疤</t>
  </si>
  <si>
    <t>vết sẹo</t>
  </si>
  <si>
    <t>他脸上的疤很明显。</t>
  </si>
  <si>
    <t>创造</t>
  </si>
  <si>
    <t>chuàng zào</t>
  </si>
  <si>
    <t>sáng tạo</t>
  </si>
  <si>
    <t>他们正在创造新的艺术作品。</t>
  </si>
  <si>
    <t>巴不得</t>
  </si>
  <si>
    <t>bā bu de</t>
  </si>
  <si>
    <t>nóng lòng, mong mỏi</t>
  </si>
  <si>
    <t>我巴不得快点放假。</t>
  </si>
  <si>
    <t>吹</t>
  </si>
  <si>
    <t>chuī</t>
  </si>
  <si>
    <t>thổi</t>
  </si>
  <si>
    <t>风吹得很大。</t>
  </si>
  <si>
    <t>巴结</t>
  </si>
  <si>
    <t>bā jié</t>
  </si>
  <si>
    <t>nịnh nọt, xu nịnh</t>
  </si>
  <si>
    <t>他总是喜欢巴结老板。</t>
  </si>
  <si>
    <t>词汇</t>
  </si>
  <si>
    <t>cí huì</t>
  </si>
  <si>
    <t>từ vựng</t>
  </si>
  <si>
    <t>学习新词汇对提高语言能力很重要。</t>
  </si>
  <si>
    <t>拔苗助长</t>
  </si>
  <si>
    <t>bá miáo zhù zhǎng</t>
  </si>
  <si>
    <t>đốt cháy giai đoạn</t>
  </si>
  <si>
    <t>这样做只会拔苗助长。</t>
  </si>
  <si>
    <t>辞职</t>
  </si>
  <si>
    <t>cí zhí</t>
  </si>
  <si>
    <t>từ chức, bỏ việc</t>
  </si>
  <si>
    <t>他决定辞职去找一个新的工作。</t>
  </si>
  <si>
    <t>把关</t>
  </si>
  <si>
    <t>bǎ guān</t>
  </si>
  <si>
    <t>trông coi, bảo vệ</t>
  </si>
  <si>
    <t>我们要严格把关质量。</t>
  </si>
  <si>
    <t>此外</t>
  </si>
  <si>
    <t>cǐ wài</t>
  </si>
  <si>
    <t>把手</t>
  </si>
  <si>
    <t>ngoài ra</t>
  </si>
  <si>
    <t>bǎ shǒu</t>
  </si>
  <si>
    <t>他给了我一本书，一支钢笔，此外还给了我一些钱。</t>
  </si>
  <si>
    <t>tay cầm, tay nắm</t>
  </si>
  <si>
    <t>这个杯子的把手坏了。</t>
  </si>
  <si>
    <t>把戏</t>
  </si>
  <si>
    <t>bǎ xì</t>
  </si>
  <si>
    <t>次要</t>
  </si>
  <si>
    <t>cì yào</t>
  </si>
  <si>
    <t>thứ yếu</t>
  </si>
  <si>
    <t>trò biểu diễn, trò ảo thuật</t>
  </si>
  <si>
    <t>这是次要的任务，可以先完成其他任务。</t>
  </si>
  <si>
    <t>他总是喜欢耍把戏。</t>
  </si>
  <si>
    <t>霸道</t>
  </si>
  <si>
    <t>bà dào</t>
  </si>
  <si>
    <t>bá đạo, hung hăng</t>
  </si>
  <si>
    <t>刺激</t>
  </si>
  <si>
    <t>他的性格有点霸道。</t>
  </si>
  <si>
    <t>cì jī</t>
  </si>
  <si>
    <t>kích thích</t>
  </si>
  <si>
    <t>这个新闻刺激了市场。</t>
  </si>
  <si>
    <t>罢工</t>
  </si>
  <si>
    <t>bà gōng</t>
  </si>
  <si>
    <t>đình công</t>
  </si>
  <si>
    <t>工人们决定罢工。</t>
  </si>
  <si>
    <t>匆忙</t>
  </si>
  <si>
    <t>cōng máng</t>
  </si>
  <si>
    <t>vội vàng</t>
  </si>
  <si>
    <t>他匆忙地完成了任务。</t>
  </si>
  <si>
    <t>掰</t>
  </si>
  <si>
    <t>bāi</t>
  </si>
  <si>
    <t>bẻ gãy</t>
  </si>
  <si>
    <t>他用力掰开了苹果。</t>
  </si>
  <si>
    <t>从此</t>
  </si>
  <si>
    <t>cóng cǐ</t>
  </si>
  <si>
    <t>từ đó</t>
  </si>
  <si>
    <t>从此以后，我就开始学习汉语了。</t>
  </si>
  <si>
    <t>百分点</t>
  </si>
  <si>
    <t>从而</t>
  </si>
  <si>
    <t>cóng ér</t>
  </si>
  <si>
    <t>do đó, vì vậy</t>
  </si>
  <si>
    <t>他得到了一份工作，从而改善了生活。</t>
  </si>
  <si>
    <t>bǎi fēn diǎn</t>
  </si>
  <si>
    <t>điểm phần trăm</t>
  </si>
  <si>
    <t>从前</t>
  </si>
  <si>
    <t>这个月的生活费用比上月升了三个百分点。</t>
  </si>
  <si>
    <t>cóng qián</t>
  </si>
  <si>
    <t>trước đây , ngày xưa</t>
  </si>
  <si>
    <t>从前有一个美丽的村庄。</t>
  </si>
  <si>
    <t>摆脱</t>
  </si>
  <si>
    <t>从事</t>
  </si>
  <si>
    <t>bǎi tuō</t>
  </si>
  <si>
    <t>cóng shì</t>
  </si>
  <si>
    <t>thoát khỏi</t>
  </si>
  <si>
    <t>theo đuổi</t>
  </si>
  <si>
    <t>我终于摆脱了这个麻烦。</t>
  </si>
  <si>
    <t>他从事于软件开发工作。</t>
  </si>
  <si>
    <t>拜访</t>
  </si>
  <si>
    <t>bài fǎng</t>
  </si>
  <si>
    <t>thăm hỏi</t>
  </si>
  <si>
    <t>粗糙</t>
  </si>
  <si>
    <t>我们去拜访了老朋友。</t>
  </si>
  <si>
    <t>cū cāo</t>
  </si>
  <si>
    <t>thô ráp</t>
  </si>
  <si>
    <t>这块木板的表面很粗糙。</t>
  </si>
  <si>
    <t>败坏</t>
  </si>
  <si>
    <t>促进</t>
  </si>
  <si>
    <t>bài huài</t>
  </si>
  <si>
    <t>cù jìn</t>
  </si>
  <si>
    <t>phá hoại, làm hỏng</t>
  </si>
  <si>
    <t>xúc tiến</t>
  </si>
  <si>
    <t>他的行为败坏了公司的名声。</t>
  </si>
  <si>
    <t>他们的目标是促进国际合作。</t>
  </si>
  <si>
    <t>促使</t>
  </si>
  <si>
    <t>cù shǐ</t>
  </si>
  <si>
    <t>thúc đẩy</t>
  </si>
  <si>
    <t>这件事促使了他做出改变。</t>
  </si>
  <si>
    <t>醋</t>
  </si>
  <si>
    <t>cù</t>
  </si>
  <si>
    <t>giấm</t>
  </si>
  <si>
    <t>我喜欢在菜里加一点醋。</t>
  </si>
  <si>
    <t>催</t>
  </si>
  <si>
    <t>cuī</t>
  </si>
  <si>
    <t>giục</t>
  </si>
  <si>
    <t>他催大家快点完成工作。</t>
  </si>
  <si>
    <t>存在</t>
  </si>
  <si>
    <t>cún zài</t>
  </si>
  <si>
    <t>tồn tại</t>
  </si>
  <si>
    <t>这种现象在社会中存在很久了。</t>
  </si>
  <si>
    <t>措施</t>
  </si>
  <si>
    <t>cuò shī</t>
  </si>
  <si>
    <t>sách lược, chính sách</t>
  </si>
  <si>
    <t>我们需要采取新的措施。</t>
  </si>
  <si>
    <t>答应</t>
  </si>
  <si>
    <t>dā yìng</t>
  </si>
  <si>
    <t>hứa, đồng ý</t>
  </si>
  <si>
    <t>我答应会准时到达。</t>
  </si>
  <si>
    <t>达到</t>
  </si>
  <si>
    <t>dá dào</t>
  </si>
  <si>
    <t>đạt đến</t>
  </si>
  <si>
    <t>他终于达到了他的目标。</t>
  </si>
  <si>
    <t>打工</t>
  </si>
  <si>
    <t>dǎ gōng</t>
  </si>
  <si>
    <t>làm thêm</t>
  </si>
  <si>
    <t>他在餐馆打工。</t>
  </si>
  <si>
    <t>打交道</t>
  </si>
  <si>
    <t>dǎ jiāo dào</t>
  </si>
  <si>
    <t>giao thiệp, tiếp xúc</t>
  </si>
  <si>
    <t>我们经常打交道。</t>
  </si>
  <si>
    <t>打喷嚏</t>
  </si>
  <si>
    <t>dǎ pēn tì</t>
  </si>
  <si>
    <t>hắt xì</t>
  </si>
  <si>
    <t>她打了一个喷嚏。</t>
  </si>
  <si>
    <t>打听</t>
  </si>
  <si>
    <t>dǎ tīng</t>
  </si>
  <si>
    <t>hỏi thăm</t>
  </si>
  <si>
    <t>我想打听一下他在哪里。</t>
  </si>
  <si>
    <t>大方</t>
  </si>
  <si>
    <t>dà fāng</t>
  </si>
  <si>
    <t xml:space="preserve">rộng rãi, hào phóng </t>
  </si>
  <si>
    <t>她很大方，愿意帮助别人。</t>
  </si>
  <si>
    <t>大厦</t>
  </si>
  <si>
    <t>dà shà</t>
  </si>
  <si>
    <t>这座大厦很高。</t>
  </si>
  <si>
    <t>大象</t>
  </si>
  <si>
    <t>dà xiàng</t>
  </si>
  <si>
    <t>voi</t>
  </si>
  <si>
    <t>动物园里有一只大象。</t>
  </si>
  <si>
    <t>大型</t>
  </si>
  <si>
    <t>dà xíng</t>
  </si>
  <si>
    <t>lớn (qui mô)</t>
  </si>
  <si>
    <t>这是一种大型的设备。</t>
  </si>
  <si>
    <t>呆</t>
  </si>
  <si>
    <t>dāi</t>
  </si>
  <si>
    <t>đần độn, ngu ngốc,nán lại, ở lại</t>
  </si>
  <si>
    <t>他看起来有点呆。</t>
  </si>
  <si>
    <t>代表</t>
  </si>
  <si>
    <t>dài biǎo</t>
  </si>
  <si>
    <t>đại diện</t>
  </si>
  <si>
    <t>他代表公司参加会议。</t>
  </si>
  <si>
    <t>代替</t>
  </si>
  <si>
    <t>dài tì</t>
  </si>
  <si>
    <t>thay thế</t>
  </si>
  <si>
    <t>我们需要找人代替他。</t>
  </si>
  <si>
    <t>贷款</t>
  </si>
  <si>
    <t>dài kuǎn</t>
  </si>
  <si>
    <t>vay tiền</t>
  </si>
  <si>
    <t>我们申请了一个贷款。</t>
  </si>
  <si>
    <t>拜年</t>
  </si>
  <si>
    <t>bài nián</t>
  </si>
  <si>
    <t>chúc Tết</t>
  </si>
  <si>
    <t xml:space="preserve">我们去拜年。
</t>
  </si>
  <si>
    <t>待遇</t>
  </si>
  <si>
    <t>dài yù</t>
  </si>
  <si>
    <t>đãi ngộ</t>
  </si>
  <si>
    <t>他的待遇非常好。</t>
  </si>
  <si>
    <t>担任</t>
  </si>
  <si>
    <t>dān rèn</t>
  </si>
  <si>
    <t>đảm nhiệm</t>
  </si>
  <si>
    <t>她担任了项目经理。</t>
  </si>
  <si>
    <t>单纯</t>
  </si>
  <si>
    <t>dān chún</t>
  </si>
  <si>
    <t>đơn thuần,ngây thơ</t>
  </si>
  <si>
    <t>他是一个单纯的人。</t>
  </si>
  <si>
    <t>单调</t>
  </si>
  <si>
    <t>拜托</t>
  </si>
  <si>
    <t>dān diào</t>
  </si>
  <si>
    <t>đơn điệu</t>
  </si>
  <si>
    <t>bài tuō</t>
  </si>
  <si>
    <t>这个房间的颜色很单调。</t>
  </si>
  <si>
    <t>nhờ vả</t>
  </si>
  <si>
    <t xml:space="preserve">拜托你帮我一个忙.
</t>
  </si>
  <si>
    <t>单独</t>
  </si>
  <si>
    <t>dān dú</t>
  </si>
  <si>
    <t>đơn độc</t>
  </si>
  <si>
    <t>我想单独去旅行。</t>
  </si>
  <si>
    <t>单位</t>
  </si>
  <si>
    <t>颁布</t>
  </si>
  <si>
    <t>dān wèi</t>
  </si>
  <si>
    <t>bān bù</t>
  </si>
  <si>
    <t>đơn vị</t>
  </si>
  <si>
    <t>ban hành</t>
  </si>
  <si>
    <t>这个单位有很多员工。</t>
  </si>
  <si>
    <t>政府颁布了新的法律。</t>
  </si>
  <si>
    <t>颁发</t>
  </si>
  <si>
    <t>bān fā</t>
  </si>
  <si>
    <t>trao tặng</t>
  </si>
  <si>
    <t xml:space="preserve">学校颁发了奖学金。
</t>
  </si>
  <si>
    <t>单元</t>
  </si>
  <si>
    <t>dān yuán</t>
  </si>
  <si>
    <t>đơn nguyên, cụm</t>
  </si>
  <si>
    <t>这本书分为五个单元。</t>
  </si>
  <si>
    <t>斑纹</t>
  </si>
  <si>
    <t>bān wén</t>
  </si>
  <si>
    <t>hoa văn, vằn</t>
  </si>
  <si>
    <t>这只虎的斑纹非常美丽。</t>
  </si>
  <si>
    <t>耽误</t>
  </si>
  <si>
    <t>dān wù</t>
  </si>
  <si>
    <t>bỏ lỡ</t>
  </si>
  <si>
    <t>这件事会耽误你的工作。</t>
  </si>
  <si>
    <t>版本</t>
  </si>
  <si>
    <t>bǎn běn</t>
  </si>
  <si>
    <t>phiên bản</t>
  </si>
  <si>
    <t>我们需要更新这个版本的应用程序。</t>
  </si>
  <si>
    <t>伴侣</t>
  </si>
  <si>
    <t>bàn lǚ</t>
  </si>
  <si>
    <t>胆小鬼</t>
  </si>
  <si>
    <t>bạn đời</t>
  </si>
  <si>
    <t>dǎn xiǎo guǐ</t>
  </si>
  <si>
    <t>他是我的最佳伴侣。</t>
  </si>
  <si>
    <t>kẻ hèn nhát</t>
  </si>
  <si>
    <t>他是一个胆小鬼。</t>
  </si>
  <si>
    <t>淡</t>
  </si>
  <si>
    <t>伴随</t>
  </si>
  <si>
    <t>dàn</t>
  </si>
  <si>
    <t>bàn suí</t>
  </si>
  <si>
    <t>nhạt</t>
  </si>
  <si>
    <t>đi cùng, đi kèm</t>
  </si>
  <si>
    <t>这个颜色很淡。</t>
  </si>
  <si>
    <t>这件事总是伴随麻烦。</t>
  </si>
  <si>
    <t>当地</t>
  </si>
  <si>
    <t>dāng dì</t>
  </si>
  <si>
    <t>địa phương</t>
  </si>
  <si>
    <t>半途而废</t>
  </si>
  <si>
    <t>我们要了解当地的风俗。</t>
  </si>
  <si>
    <t>bàn tú ér fèi</t>
  </si>
  <si>
    <t>bỏ dở giữa chừng</t>
  </si>
  <si>
    <t>他总是半途而废。</t>
  </si>
  <si>
    <t>当心</t>
  </si>
  <si>
    <t>dāng xīn</t>
  </si>
  <si>
    <t>để tâm, lưu tâm</t>
  </si>
  <si>
    <t>扮演</t>
  </si>
  <si>
    <t>慢点儿走，当心地上滑。</t>
  </si>
  <si>
    <t>bàn yǎn</t>
  </si>
  <si>
    <t>đóng vai</t>
  </si>
  <si>
    <t>他在电影中扮演了一个重要角色。</t>
  </si>
  <si>
    <t>挡</t>
  </si>
  <si>
    <t>dǎng</t>
  </si>
  <si>
    <t>chắn</t>
  </si>
  <si>
    <t>请挡住阳光。</t>
  </si>
  <si>
    <t>绑架</t>
  </si>
  <si>
    <t>bǎng jià</t>
  </si>
  <si>
    <t>bắt cóc</t>
  </si>
  <si>
    <t>那个罪犯绑架了一个小孩。</t>
  </si>
  <si>
    <t>导演</t>
  </si>
  <si>
    <t>dǎo yǎn</t>
  </si>
  <si>
    <t>đạo diễn</t>
  </si>
  <si>
    <t>这部电影是由著名导演拍的。</t>
  </si>
  <si>
    <t>榜样</t>
  </si>
  <si>
    <t>bǎng yàng</t>
  </si>
  <si>
    <t>tấm gương, mẫu mực</t>
  </si>
  <si>
    <t>他是我们学习的榜样。</t>
  </si>
  <si>
    <t>导致</t>
  </si>
  <si>
    <t>dǎo zhì</t>
  </si>
  <si>
    <t>gây ra</t>
  </si>
  <si>
    <t>这次错误导致了许多问题。</t>
  </si>
  <si>
    <t>磅</t>
  </si>
  <si>
    <t>岛屿</t>
  </si>
  <si>
    <t>pound (đơn vị đo lường)</t>
  </si>
  <si>
    <t>dǎo yǔ</t>
  </si>
  <si>
    <t>这个盒子重达十磅。</t>
  </si>
  <si>
    <t>đảo</t>
  </si>
  <si>
    <t>我们计划去那个岛屿旅行。</t>
  </si>
  <si>
    <t>倒霉</t>
  </si>
  <si>
    <t>包庇</t>
  </si>
  <si>
    <t>dǎo méi</t>
  </si>
  <si>
    <t>bāo bì</t>
  </si>
  <si>
    <t>xui xẻo</t>
  </si>
  <si>
    <t>che giấu, bao che</t>
  </si>
  <si>
    <t>他最近很倒霉。</t>
  </si>
  <si>
    <t>他试图包庇他的朋友。</t>
  </si>
  <si>
    <t>包袱</t>
  </si>
  <si>
    <t>到达</t>
  </si>
  <si>
    <t>bāo fu</t>
  </si>
  <si>
    <t>dào dá</t>
  </si>
  <si>
    <t>gánh nặng</t>
  </si>
  <si>
    <t>我们需要解决这个问题的包袱。</t>
  </si>
  <si>
    <t>我们已经到达目的地。</t>
  </si>
  <si>
    <t>道德</t>
  </si>
  <si>
    <t>dào dé</t>
  </si>
  <si>
    <t>包围</t>
  </si>
  <si>
    <t>đạo đức</t>
  </si>
  <si>
    <t>bāo wéi</t>
  </si>
  <si>
    <t>道德是社会的基石。</t>
  </si>
  <si>
    <t>bao vây</t>
  </si>
  <si>
    <t>敌人已经包围了城市。</t>
  </si>
  <si>
    <t>道理</t>
  </si>
  <si>
    <t>dào lǐ</t>
  </si>
  <si>
    <t>lý lẽ, lý thuyết</t>
  </si>
  <si>
    <t>这个问题有一定的道理。</t>
  </si>
  <si>
    <t>包装</t>
  </si>
  <si>
    <t>bāo zhuāng</t>
  </si>
  <si>
    <t>đóng gói</t>
  </si>
  <si>
    <t>我需要包装这些礼物。</t>
  </si>
  <si>
    <t>登记</t>
  </si>
  <si>
    <t>dēng jì</t>
  </si>
  <si>
    <t>请在这里登记。</t>
  </si>
  <si>
    <t>保管</t>
  </si>
  <si>
    <t>bǎo guǎn</t>
  </si>
  <si>
    <t>bảo quản</t>
  </si>
  <si>
    <t>请保管好你的贵重物品。</t>
  </si>
  <si>
    <t>饱和</t>
  </si>
  <si>
    <t>bǎo hé</t>
  </si>
  <si>
    <t>bão hòa</t>
  </si>
  <si>
    <t>等待</t>
  </si>
  <si>
    <t>这个市场已经饱和了。</t>
  </si>
  <si>
    <t>děng dài</t>
  </si>
  <si>
    <t>đợi, chờ đợi</t>
  </si>
  <si>
    <t>我们正在等待他的回复。</t>
  </si>
  <si>
    <t>饱经沧桑</t>
  </si>
  <si>
    <t>bǎo jīng cāng sāng</t>
  </si>
  <si>
    <t>trải qua nhiều thăng trầm</t>
  </si>
  <si>
    <t>他饱经沧桑，经历了许多困难。</t>
  </si>
  <si>
    <t>等于</t>
  </si>
  <si>
    <t>děng yú</t>
  </si>
  <si>
    <t>bằng</t>
  </si>
  <si>
    <t>一米等于一千毫米。</t>
  </si>
  <si>
    <t>保密</t>
  </si>
  <si>
    <t>bǎo mì</t>
  </si>
  <si>
    <t>giữ bí mật</t>
  </si>
  <si>
    <t>这个文件需要保密。</t>
  </si>
  <si>
    <t>滴</t>
  </si>
  <si>
    <t>保姆</t>
  </si>
  <si>
    <t>giọt</t>
  </si>
  <si>
    <t>bǎo mǔ</t>
  </si>
  <si>
    <t>水滴从瓶子里落下来。</t>
  </si>
  <si>
    <t>bảo mẫu/người giúp việc</t>
  </si>
  <si>
    <t>我请了一位保姆来照顾孩子。</t>
  </si>
  <si>
    <t>的确</t>
  </si>
  <si>
    <t>dí què</t>
  </si>
  <si>
    <t>保守</t>
  </si>
  <si>
    <t>đúng, thật (phó từ)</t>
  </si>
  <si>
    <t>bǎo shǒu</t>
  </si>
  <si>
    <t>的确这是个好主意。</t>
  </si>
  <si>
    <t>bảo thủ</t>
  </si>
  <si>
    <t>他是一个非常保守的人。</t>
  </si>
  <si>
    <t>敌人</t>
  </si>
  <si>
    <t>dí rén</t>
  </si>
  <si>
    <t>kẻ địch</t>
  </si>
  <si>
    <t>我们的敌人正在进攻。</t>
  </si>
  <si>
    <t>保卫</t>
  </si>
  <si>
    <t>bǎo wèi</t>
  </si>
  <si>
    <t>bảo vệ</t>
  </si>
  <si>
    <t>我们要保卫我们的家园。</t>
  </si>
  <si>
    <t>保养</t>
  </si>
  <si>
    <t>地道</t>
  </si>
  <si>
    <t>bǎo yǎng</t>
  </si>
  <si>
    <t>dì dào</t>
  </si>
  <si>
    <t>bảo dưỡng</t>
  </si>
  <si>
    <t>她每天都花时间保养皮肤。</t>
  </si>
  <si>
    <t>chuẩn bản địa (ngôn ngữ, món ăn)</t>
  </si>
  <si>
    <t>这条街道非常地道。</t>
  </si>
  <si>
    <t>保障</t>
  </si>
  <si>
    <t>bǎo zhàng</t>
  </si>
  <si>
    <t>bảo đảm</t>
  </si>
  <si>
    <t>政府采取措施保障人民的安全。</t>
  </si>
  <si>
    <t>地理</t>
  </si>
  <si>
    <t>dì lǐ</t>
  </si>
  <si>
    <t>địa lý</t>
  </si>
  <si>
    <t>地理课上，我们学了很多知识。</t>
  </si>
  <si>
    <t>保重</t>
  </si>
  <si>
    <t>bǎo zhòng</t>
  </si>
  <si>
    <t>bảo trọng</t>
  </si>
  <si>
    <t>请保重身体。</t>
  </si>
  <si>
    <t>地区</t>
  </si>
  <si>
    <t>dì qū</t>
  </si>
  <si>
    <t>khu vực</t>
  </si>
  <si>
    <t>这个地区很繁华。</t>
  </si>
  <si>
    <t>报仇</t>
  </si>
  <si>
    <t>bào chóu</t>
  </si>
  <si>
    <t>báo thù</t>
  </si>
  <si>
    <t>他发誓要报仇。</t>
  </si>
  <si>
    <t>地毯</t>
  </si>
  <si>
    <t>dì tǎn</t>
  </si>
  <si>
    <t>thảm</t>
  </si>
  <si>
    <t>地毯上有很多污垢。</t>
  </si>
  <si>
    <t>报酬</t>
  </si>
  <si>
    <t>thù lao</t>
  </si>
  <si>
    <t>他的工作报酬很丰厚。</t>
  </si>
  <si>
    <t>地位</t>
  </si>
  <si>
    <t>dì wèi</t>
  </si>
  <si>
    <t>địa vị</t>
  </si>
  <si>
    <t>他在公司里地位很高。</t>
  </si>
  <si>
    <t>报答</t>
  </si>
  <si>
    <t>bào dá</t>
  </si>
  <si>
    <t>báo đáp</t>
  </si>
  <si>
    <t>我会努力报答你的帮助。</t>
  </si>
  <si>
    <t>地震</t>
  </si>
  <si>
    <t>dì zhèn</t>
  </si>
  <si>
    <t>động đất</t>
  </si>
  <si>
    <t>这次地震造成了很多破坏。</t>
  </si>
  <si>
    <t>báo danh</t>
  </si>
  <si>
    <t>请明天早上九点前来报到。</t>
  </si>
  <si>
    <t>递</t>
  </si>
  <si>
    <t>dì</t>
  </si>
  <si>
    <t>đưa chuyển</t>
  </si>
  <si>
    <t>请把这封信递给她。</t>
  </si>
  <si>
    <t>爆发</t>
  </si>
  <si>
    <t>bào fā</t>
  </si>
  <si>
    <t>bùng phát</t>
  </si>
  <si>
    <t>火山突然爆发了。</t>
  </si>
  <si>
    <t>点心</t>
  </si>
  <si>
    <t>diǎn xīn</t>
  </si>
  <si>
    <t>điểm tâm, bánh ngọt</t>
  </si>
  <si>
    <t>我喜欢吃点心。</t>
  </si>
  <si>
    <t>报复</t>
  </si>
  <si>
    <t>bào fù</t>
  </si>
  <si>
    <t>他遭到了同事的报复。</t>
  </si>
  <si>
    <t>电池</t>
  </si>
  <si>
    <t>diàn chí</t>
  </si>
  <si>
    <t>pin</t>
  </si>
  <si>
    <t>这个电池需要更换。</t>
  </si>
  <si>
    <t>抱负</t>
  </si>
  <si>
    <t>hoài bão</t>
  </si>
  <si>
    <t>他从小就有伟大的抱负。</t>
  </si>
  <si>
    <t>电台</t>
  </si>
  <si>
    <t>diàn tái</t>
  </si>
  <si>
    <t>đài truyền hình</t>
  </si>
  <si>
    <t>我们听到了电台的消息。</t>
  </si>
  <si>
    <t>曝光</t>
  </si>
  <si>
    <t>bào guāng</t>
  </si>
  <si>
    <t>phơi bày, lộ diện</t>
  </si>
  <si>
    <t>这件事被媒体曝光了。</t>
  </si>
  <si>
    <t>钓</t>
  </si>
  <si>
    <t>câu (cá)</t>
  </si>
  <si>
    <t>他喜欢钓鱼。</t>
  </si>
  <si>
    <t>暴力</t>
  </si>
  <si>
    <t>bào lì</t>
  </si>
  <si>
    <t>bạo lực</t>
  </si>
  <si>
    <t>他使用暴力解决问题。</t>
  </si>
  <si>
    <t>顶</t>
  </si>
  <si>
    <t>dǐng</t>
  </si>
  <si>
    <t>đội, cái (lượng từ cho mũ)</t>
  </si>
  <si>
    <t>这个山顶很高。</t>
  </si>
  <si>
    <t>暴露</t>
  </si>
  <si>
    <t>bào lù</t>
  </si>
  <si>
    <t>lộ ra</t>
  </si>
  <si>
    <t>他的话让真相暴露了出来。</t>
  </si>
  <si>
    <t>动画片</t>
  </si>
  <si>
    <t>dòng huà piàn</t>
  </si>
  <si>
    <t>phim hoạt hình</t>
  </si>
  <si>
    <t>我喜欢看动画片。</t>
  </si>
  <si>
    <t>冻</t>
  </si>
  <si>
    <t>dòng</t>
  </si>
  <si>
    <t>đông cứng</t>
  </si>
  <si>
    <t>这个冬天特别冷，水都冻了。</t>
  </si>
  <si>
    <t>报销</t>
  </si>
  <si>
    <t>bào xiāo</t>
  </si>
  <si>
    <t>thanh toán (chi phí)</t>
  </si>
  <si>
    <t>这些费用可以报销。</t>
  </si>
  <si>
    <t>洞</t>
  </si>
  <si>
    <t>hang động</t>
  </si>
  <si>
    <t>洞里很黑。</t>
  </si>
  <si>
    <t>phàn nàn</t>
  </si>
  <si>
    <t>豆腐</t>
  </si>
  <si>
    <t>他总是喜欢抱怨生活。</t>
  </si>
  <si>
    <t>dòu fǔ</t>
  </si>
  <si>
    <t>đậu phụ</t>
  </si>
  <si>
    <t>我吃了豆腐和蔬菜。</t>
  </si>
  <si>
    <t>爆炸</t>
  </si>
  <si>
    <t>bào zhà</t>
  </si>
  <si>
    <t>nổ</t>
  </si>
  <si>
    <t>逗</t>
  </si>
  <si>
    <t>工厂发生了爆炸事故。</t>
  </si>
  <si>
    <t>dòu</t>
  </si>
  <si>
    <t>trêu</t>
  </si>
  <si>
    <t>他逗我玩。</t>
  </si>
  <si>
    <t>悲哀</t>
  </si>
  <si>
    <t>bēi āi</t>
  </si>
  <si>
    <t>bi ai</t>
  </si>
  <si>
    <t>独立</t>
  </si>
  <si>
    <t>他感到非常悲哀。</t>
  </si>
  <si>
    <t>dú lì</t>
  </si>
  <si>
    <t>độc lập</t>
  </si>
  <si>
    <t>他们是一个独立的国家。</t>
  </si>
  <si>
    <t>卑鄙</t>
  </si>
  <si>
    <t>独特</t>
  </si>
  <si>
    <t>bēi bǐ</t>
  </si>
  <si>
    <t>dú tè</t>
  </si>
  <si>
    <t>đê tiện</t>
  </si>
  <si>
    <t>độc đáo</t>
  </si>
  <si>
    <t>他的行为真是卑鄙。</t>
  </si>
  <si>
    <t>这件衣服的设计很独特。</t>
  </si>
  <si>
    <t>度过</t>
  </si>
  <si>
    <t>dù guò</t>
  </si>
  <si>
    <t>悲惨</t>
  </si>
  <si>
    <t>trải qua (thời kì, thời gian)</t>
  </si>
  <si>
    <t>bēi cǎn</t>
  </si>
  <si>
    <t>我们度过了一个愉快的假期。</t>
  </si>
  <si>
    <t>bi thảm</t>
  </si>
  <si>
    <t>这个故事非常悲惨。</t>
  </si>
  <si>
    <t>断</t>
  </si>
  <si>
    <t>北极</t>
  </si>
  <si>
    <t>đoạn, đứt</t>
  </si>
  <si>
    <t>běi jí</t>
  </si>
  <si>
    <t xml:space="preserve"> 不断的奋斗就是走上成功之路。</t>
  </si>
  <si>
    <t>Bắc Cực</t>
  </si>
  <si>
    <t>我想去北极探险。</t>
  </si>
  <si>
    <t>被动</t>
  </si>
  <si>
    <t>堆</t>
  </si>
  <si>
    <t>bèi dòng</t>
  </si>
  <si>
    <t>bị động</t>
  </si>
  <si>
    <t>duī</t>
  </si>
  <si>
    <t>他在会议上显得很被动。</t>
  </si>
  <si>
    <t>đống</t>
  </si>
  <si>
    <t>桌子上堆满了书。</t>
  </si>
  <si>
    <t>对比</t>
  </si>
  <si>
    <t>duì bǐ</t>
  </si>
  <si>
    <t>đối chiếu</t>
  </si>
  <si>
    <t>我们可以对比这两个方案。</t>
  </si>
  <si>
    <t>备份</t>
  </si>
  <si>
    <t>bèi fèn</t>
  </si>
  <si>
    <t>sao lưu</t>
  </si>
  <si>
    <t>请先做个备份，以防万一。</t>
  </si>
  <si>
    <t>对待</t>
  </si>
  <si>
    <t>duì dài</t>
  </si>
  <si>
    <t>đối đãi</t>
  </si>
  <si>
    <t>被告</t>
  </si>
  <si>
    <t>对待每个人都要公平。</t>
  </si>
  <si>
    <t>bèi gào</t>
  </si>
  <si>
    <t>bị cáo</t>
  </si>
  <si>
    <t>被告在法庭上辩护。</t>
  </si>
  <si>
    <t>对方</t>
  </si>
  <si>
    <t>duì fāng</t>
  </si>
  <si>
    <t>贝壳</t>
  </si>
  <si>
    <t>đối phương</t>
  </si>
  <si>
    <t>bèi ké</t>
  </si>
  <si>
    <t>vỏ sò</t>
  </si>
  <si>
    <t>对方的意见很有价值。</t>
  </si>
  <si>
    <t>沙滩上有很多美丽的贝壳。</t>
  </si>
  <si>
    <t>对手</t>
  </si>
  <si>
    <t>duì shǒu</t>
  </si>
  <si>
    <t>背叛</t>
  </si>
  <si>
    <t>bèi pàn</t>
  </si>
  <si>
    <t>đối thủ</t>
  </si>
  <si>
    <t>phản bội</t>
  </si>
  <si>
    <t>他们是强大的对手。</t>
  </si>
  <si>
    <t>他背叛了朋友的信任。</t>
  </si>
  <si>
    <t>背诵</t>
  </si>
  <si>
    <t>bèi sòng</t>
  </si>
  <si>
    <t>đọc thuộc lòng</t>
  </si>
  <si>
    <t>请你把这段话背诵下来。</t>
  </si>
  <si>
    <t>对象</t>
  </si>
  <si>
    <t>duì xiàng</t>
  </si>
  <si>
    <t>đối tượng</t>
  </si>
  <si>
    <t>他的对象是一个演员。</t>
  </si>
  <si>
    <t>备忘录</t>
  </si>
  <si>
    <t>bèi wàng lù</t>
  </si>
  <si>
    <t>sổ tay, sổ ghi nhớ</t>
  </si>
  <si>
    <t>我写了一份备忘录。</t>
  </si>
  <si>
    <t>兑换</t>
  </si>
  <si>
    <t>duì huàn</t>
  </si>
  <si>
    <t>我们需要兑换外币。</t>
  </si>
  <si>
    <t>奔波</t>
  </si>
  <si>
    <t>bēn bō</t>
  </si>
  <si>
    <t>bôn ba, vất vả</t>
  </si>
  <si>
    <t>他在城市和乡村之间奔波。</t>
  </si>
  <si>
    <t>奔驰</t>
  </si>
  <si>
    <t>bēn chí</t>
  </si>
  <si>
    <t>吨</t>
  </si>
  <si>
    <t>chạy nhanh
(hãng xe Mercedes)</t>
  </si>
  <si>
    <t>dūn</t>
  </si>
  <si>
    <t>这匹马奔驰得非常快。</t>
  </si>
  <si>
    <t>tấn</t>
  </si>
  <si>
    <t>这个箱子的重量是吨。</t>
  </si>
  <si>
    <t>本能</t>
  </si>
  <si>
    <t>běn néng</t>
  </si>
  <si>
    <t>bản năng</t>
  </si>
  <si>
    <t>这是人类的本能反应。</t>
  </si>
  <si>
    <t>蹲</t>
  </si>
  <si>
    <t>ngồi xổm</t>
  </si>
  <si>
    <t>我们在公园里蹲下休息。</t>
  </si>
  <si>
    <t>本钱</t>
  </si>
  <si>
    <t>běn qián</t>
  </si>
  <si>
    <t>vốn</t>
  </si>
  <si>
    <t>他用自己的本钱创业。</t>
  </si>
  <si>
    <t>本人</t>
  </si>
  <si>
    <t>běn rén</t>
  </si>
  <si>
    <t>本人对此事不知情。</t>
  </si>
  <si>
    <t>顿</t>
  </si>
  <si>
    <t>dùn</t>
  </si>
  <si>
    <t>bữa</t>
  </si>
  <si>
    <t>他吃了一顿丰盛的晚餐。</t>
  </si>
  <si>
    <t>本身</t>
  </si>
  <si>
    <t>běn shēn</t>
  </si>
  <si>
    <t>这个问题本身很复杂。</t>
  </si>
  <si>
    <t>多亏</t>
  </si>
  <si>
    <t>duō kuī</t>
  </si>
  <si>
    <t>may mà, nhờ vào</t>
  </si>
  <si>
    <t>本事</t>
  </si>
  <si>
    <t>多亏有你的帮助，我们才能完成项目。</t>
  </si>
  <si>
    <t>běn shì</t>
  </si>
  <si>
    <t>tài năng</t>
  </si>
  <si>
    <t>他有很多做事的本事。</t>
  </si>
  <si>
    <t>本着</t>
  </si>
  <si>
    <t>běn zhe</t>
  </si>
  <si>
    <t>本着公平的原则，我们做出了决定。</t>
  </si>
  <si>
    <t>多余</t>
  </si>
  <si>
    <t>duō yú</t>
  </si>
  <si>
    <t>thừa thãi</t>
  </si>
  <si>
    <t>这个包有些多余的空间。</t>
  </si>
  <si>
    <t>笨拙</t>
  </si>
  <si>
    <t>bèn zhuō</t>
  </si>
  <si>
    <t>vụng về</t>
  </si>
  <si>
    <t>他干活时显得很笨拙。</t>
  </si>
  <si>
    <t>崩溃</t>
  </si>
  <si>
    <t>朵</t>
  </si>
  <si>
    <t>bēng kuì</t>
  </si>
  <si>
    <t>duǒ</t>
  </si>
  <si>
    <t>sụp đổ</t>
  </si>
  <si>
    <t xml:space="preserve">bông ( hoa ) </t>
  </si>
  <si>
    <t>他经历了精神上的崩溃。</t>
  </si>
  <si>
    <t>她头上有一朵花。</t>
  </si>
  <si>
    <t>甭</t>
  </si>
  <si>
    <t>béng</t>
  </si>
  <si>
    <t>không cần</t>
  </si>
  <si>
    <t>甭担心，一切都会好的。</t>
  </si>
  <si>
    <t>躲藏</t>
  </si>
  <si>
    <t>duǒ cáng</t>
  </si>
  <si>
    <t>trốn</t>
  </si>
  <si>
    <t>我们躲藏在树后面。</t>
  </si>
  <si>
    <t>蹦</t>
  </si>
  <si>
    <t>bèng</t>
  </si>
  <si>
    <t>nhảy lên</t>
  </si>
  <si>
    <t>恶劣</t>
  </si>
  <si>
    <t>è liè</t>
  </si>
  <si>
    <t>他从椅子上蹦了起来。</t>
  </si>
  <si>
    <t>khắc nghiệt, hà khắc</t>
  </si>
  <si>
    <t>这天气很恶劣。</t>
  </si>
  <si>
    <t>迸发</t>
  </si>
  <si>
    <t>bèng fā</t>
  </si>
  <si>
    <t>创意的火花突然迸发出来。</t>
  </si>
  <si>
    <t>耳环</t>
  </si>
  <si>
    <t>ěr huán</t>
  </si>
  <si>
    <t>khuyên tai</t>
  </si>
  <si>
    <t>她戴着一对漂亮的耳环。</t>
  </si>
  <si>
    <t>逼迫</t>
  </si>
  <si>
    <t>bī pò</t>
  </si>
  <si>
    <t>ép buộc</t>
  </si>
  <si>
    <t>他感到被逼迫做出选择</t>
  </si>
  <si>
    <t>发表</t>
  </si>
  <si>
    <t>fā biǎo</t>
  </si>
  <si>
    <t>phát biểu, đăng, ra mắt (tác phẩm)</t>
  </si>
  <si>
    <t>他们在会议上发表了讲话。</t>
  </si>
  <si>
    <t>鼻涕</t>
  </si>
  <si>
    <t>bí tì</t>
  </si>
  <si>
    <t>nước mũi</t>
  </si>
  <si>
    <t>小孩子经常流鼻涕。</t>
  </si>
  <si>
    <t>发愁</t>
  </si>
  <si>
    <t>fā chóu</t>
  </si>
  <si>
    <t>phát buồn, chán</t>
  </si>
  <si>
    <t>他为自己的未来发愁。</t>
  </si>
  <si>
    <t>比方</t>
  </si>
  <si>
    <t>bǐ fāng</t>
  </si>
  <si>
    <t>比方说，你可以这样做。</t>
  </si>
  <si>
    <t>发达</t>
  </si>
  <si>
    <t>fā dá</t>
  </si>
  <si>
    <t>phát đạt, phát triển</t>
  </si>
  <si>
    <t>发达的医疗体系能够为人们提供更好的医疗服务。</t>
  </si>
  <si>
    <t>比喻</t>
  </si>
  <si>
    <t>bǐ yù</t>
  </si>
  <si>
    <t>so sánh, ví von</t>
  </si>
  <si>
    <t>他用比喻的方式来解释这个概念。</t>
  </si>
  <si>
    <t>发抖</t>
  </si>
  <si>
    <t>fā dǒu</t>
  </si>
  <si>
    <t>run rẩy</t>
  </si>
  <si>
    <t>她的手在发抖。</t>
  </si>
  <si>
    <t>比重</t>
  </si>
  <si>
    <t>bǐ zhòng</t>
  </si>
  <si>
    <t>tỷ trọng</t>
  </si>
  <si>
    <t>这个行业在经济中的比重很大。</t>
  </si>
  <si>
    <t>发挥</t>
  </si>
  <si>
    <t>fā huī</t>
  </si>
  <si>
    <t>phát huy</t>
  </si>
  <si>
    <t>他的演讲发挥了最好的水平。</t>
  </si>
  <si>
    <t>臂</t>
  </si>
  <si>
    <t>bì</t>
  </si>
  <si>
    <t>发明</t>
  </si>
  <si>
    <t>他举起了手臂。</t>
  </si>
  <si>
    <t>fā míng</t>
  </si>
  <si>
    <t>phát minh</t>
  </si>
  <si>
    <t>这项发明非常有用。</t>
  </si>
  <si>
    <t>弊病</t>
  </si>
  <si>
    <t>bì bìng</t>
  </si>
  <si>
    <t>tệ nạn, khuyết điểm</t>
  </si>
  <si>
    <t>发票</t>
  </si>
  <si>
    <t>我们需要解决这个系统的弊病。</t>
  </si>
  <si>
    <t>fā piào</t>
  </si>
  <si>
    <t>hóa đơn giá trị gia tăng</t>
  </si>
  <si>
    <t>请把发票给我。</t>
  </si>
  <si>
    <t>必定</t>
  </si>
  <si>
    <t>bì dìng</t>
  </si>
  <si>
    <t>他必定会成功。</t>
  </si>
  <si>
    <t>发言</t>
  </si>
  <si>
    <t>fā yán</t>
  </si>
  <si>
    <t>phát biểu (ý kiến)</t>
  </si>
  <si>
    <t>他在会议上发言了。</t>
  </si>
  <si>
    <t>弊端</t>
  </si>
  <si>
    <t>bì duān</t>
  </si>
  <si>
    <t>tệ nạn, sai sót</t>
  </si>
  <si>
    <t>这个政策存在很多弊端。</t>
  </si>
  <si>
    <t>罚款</t>
  </si>
  <si>
    <t>fá kuǎn</t>
  </si>
  <si>
    <t>phạt tiền</t>
  </si>
  <si>
    <t>他因为迟到被罚款了。</t>
  </si>
  <si>
    <t>闭塞</t>
  </si>
  <si>
    <t>bì sè</t>
  </si>
  <si>
    <t>bế tắc, tắc nghẽn</t>
  </si>
  <si>
    <t>这个地方交通闭塞，很难到达</t>
  </si>
  <si>
    <t>法院</t>
  </si>
  <si>
    <t>fǎ yuàn</t>
  </si>
  <si>
    <t>tòa án</t>
  </si>
  <si>
    <t>这个案件已经提交到法院了。</t>
  </si>
  <si>
    <t>碧玉</t>
  </si>
  <si>
    <t>bì yù</t>
  </si>
  <si>
    <t>ngọc bích</t>
  </si>
  <si>
    <t>碧玉是一种珍贵的宝石。</t>
  </si>
  <si>
    <t>翻</t>
  </si>
  <si>
    <t>fān</t>
  </si>
  <si>
    <t>lật, giở</t>
  </si>
  <si>
    <t>请把这些纸翻一下。</t>
  </si>
  <si>
    <t>鞭策</t>
  </si>
  <si>
    <t>biān cè</t>
  </si>
  <si>
    <t>khuyến khích</t>
  </si>
  <si>
    <t>老师鞭策学生努力学习。</t>
  </si>
  <si>
    <t>繁荣</t>
  </si>
  <si>
    <t>fán róng</t>
  </si>
  <si>
    <t>phồn vinh</t>
  </si>
  <si>
    <t>这个城市的经济很繁荣。</t>
  </si>
  <si>
    <t>边疆</t>
  </si>
  <si>
    <t>biān jiāng</t>
  </si>
  <si>
    <t>biên cương</t>
  </si>
  <si>
    <t>边疆地区风景优美。</t>
  </si>
  <si>
    <t>反而</t>
  </si>
  <si>
    <t>fǎn ér</t>
  </si>
  <si>
    <t>边界</t>
  </si>
  <si>
    <t>biān jiè</t>
  </si>
  <si>
    <t>他反而喜欢待在家里。</t>
  </si>
  <si>
    <t>biên giới</t>
  </si>
  <si>
    <t>这里是两国的边界。</t>
  </si>
  <si>
    <t>反复</t>
  </si>
  <si>
    <t>边境</t>
  </si>
  <si>
    <t>fǎn fù</t>
  </si>
  <si>
    <t>biān jìng</t>
  </si>
  <si>
    <t>lặp đi lặp lại</t>
  </si>
  <si>
    <t>这句话要反复读几遍。</t>
  </si>
  <si>
    <t>我们不能越过边境。</t>
  </si>
  <si>
    <t>边缘</t>
  </si>
  <si>
    <t>反应</t>
  </si>
  <si>
    <t>biān yuán</t>
  </si>
  <si>
    <t>fǎn yìng</t>
  </si>
  <si>
    <t>vùng rìa</t>
  </si>
  <si>
    <t>phản ứng</t>
  </si>
  <si>
    <t>他站在悬崖的边缘。</t>
  </si>
  <si>
    <t>他的反应很快。</t>
  </si>
  <si>
    <t>编织</t>
  </si>
  <si>
    <t>反映</t>
  </si>
  <si>
    <t>biān zhī</t>
  </si>
  <si>
    <t>đan, dệt</t>
  </si>
  <si>
    <t>phản ánh</t>
  </si>
  <si>
    <t>她喜欢编织毛衣。</t>
  </si>
  <si>
    <t>梦会反映现实。</t>
  </si>
  <si>
    <t>扁</t>
  </si>
  <si>
    <t>biǎn</t>
  </si>
  <si>
    <t>dẹp, bẹp</t>
  </si>
  <si>
    <t>这个箱子有点扁。</t>
  </si>
  <si>
    <t>反正</t>
  </si>
  <si>
    <t>fǎn zhèng</t>
  </si>
  <si>
    <t>dù sao thì</t>
  </si>
  <si>
    <t>反正我们要按时完成任务。</t>
  </si>
  <si>
    <t>贬低</t>
  </si>
  <si>
    <t>biǎn dī</t>
  </si>
  <si>
    <t>hạ thấp, đánh giá thấp</t>
  </si>
  <si>
    <t>不要贬低自己的能力。</t>
  </si>
  <si>
    <t>范围</t>
  </si>
  <si>
    <t>fàn wéi</t>
  </si>
  <si>
    <t>phạm vi</t>
  </si>
  <si>
    <t>这个问题的范围很广。</t>
  </si>
  <si>
    <t>贬义</t>
  </si>
  <si>
    <t>biǎn yì</t>
  </si>
  <si>
    <t>nghĩa xấu</t>
  </si>
  <si>
    <t>这个词是贬义的。</t>
  </si>
  <si>
    <t>方</t>
  </si>
  <si>
    <t>fāng</t>
  </si>
  <si>
    <t>phương</t>
  </si>
  <si>
    <t>方形的玻璃窗非常美丽。</t>
  </si>
  <si>
    <t>遍布</t>
  </si>
  <si>
    <t>biàn bù</t>
  </si>
  <si>
    <t>rải rác, phân bố khắp</t>
  </si>
  <si>
    <t>这种植物遍布整个地区。</t>
  </si>
  <si>
    <t>方案</t>
  </si>
  <si>
    <t>fāng àn</t>
  </si>
  <si>
    <t>phương án</t>
  </si>
  <si>
    <t>我们需要一个详细的方案。</t>
  </si>
  <si>
    <t>变故</t>
  </si>
  <si>
    <t>biàn gù</t>
  </si>
  <si>
    <t>biến cố</t>
  </si>
  <si>
    <t>他的家庭经历了一次变故。</t>
  </si>
  <si>
    <t>方式</t>
  </si>
  <si>
    <t>辩护</t>
  </si>
  <si>
    <t>fāng shì</t>
  </si>
  <si>
    <t>biàn hù</t>
  </si>
  <si>
    <t>phương thức</t>
  </si>
  <si>
    <t>biện hộ</t>
  </si>
  <si>
    <t>这种方式更有效。</t>
  </si>
  <si>
    <t>律师为他进行辩护。</t>
  </si>
  <si>
    <t>辩解</t>
  </si>
  <si>
    <t>biàn jiě</t>
  </si>
  <si>
    <t>giải thích, biện giải</t>
  </si>
  <si>
    <t>他试图为自己的错误辩解。</t>
  </si>
  <si>
    <t>妨碍</t>
  </si>
  <si>
    <t>fáng ài</t>
  </si>
  <si>
    <t>trở ngại, cản trở</t>
  </si>
  <si>
    <t>他的行为妨碍了工作。</t>
  </si>
  <si>
    <t>便利</t>
  </si>
  <si>
    <t>biàn lì</t>
  </si>
  <si>
    <t>tiện lợi</t>
  </si>
  <si>
    <t>仿佛</t>
  </si>
  <si>
    <t>这里的交通很便利。</t>
  </si>
  <si>
    <t>fǎng fú</t>
  </si>
  <si>
    <t>她的声音仿佛天使在歌唱。</t>
  </si>
  <si>
    <t>变迁</t>
  </si>
  <si>
    <t>biàn qiān</t>
  </si>
  <si>
    <t>biến đổi</t>
  </si>
  <si>
    <t>这座城市经历了巨大的变迁。</t>
  </si>
  <si>
    <t>辨认</t>
  </si>
  <si>
    <t>biàn rèn</t>
  </si>
  <si>
    <t>nhận diện</t>
  </si>
  <si>
    <t>我可以辨认出他的声音。</t>
  </si>
  <si>
    <t>便条</t>
  </si>
  <si>
    <t>biàn tiáo</t>
  </si>
  <si>
    <t>ghi chú</t>
  </si>
  <si>
    <t>他留了一张便条给我。</t>
  </si>
  <si>
    <t>非</t>
  </si>
  <si>
    <t>fēi</t>
  </si>
  <si>
    <t>phi, không</t>
  </si>
  <si>
    <t>我非得去那个地方不可。</t>
  </si>
  <si>
    <t>便于</t>
  </si>
  <si>
    <t>biàn yú</t>
  </si>
  <si>
    <t>thuận tiện cho</t>
  </si>
  <si>
    <t>这种方法便于操作。</t>
  </si>
  <si>
    <t>肥皂</t>
  </si>
  <si>
    <t>féi zào</t>
  </si>
  <si>
    <t>bánh xà phòng</t>
  </si>
  <si>
    <t>我们用肥皂洗手。</t>
  </si>
  <si>
    <t>辩证</t>
  </si>
  <si>
    <t>biàn zhèng</t>
  </si>
  <si>
    <t>biện chứng</t>
  </si>
  <si>
    <t>我们需要辩证地看待这个问题。</t>
  </si>
  <si>
    <t>废话</t>
  </si>
  <si>
    <t>fèi huà</t>
  </si>
  <si>
    <t xml:space="preserve">lời nói thừa thãi, phí lời </t>
  </si>
  <si>
    <t>请不要说废话。</t>
  </si>
  <si>
    <t>分别</t>
  </si>
  <si>
    <t>fēn bié</t>
  </si>
  <si>
    <t>phân biệt, lần lượt, xa nhau</t>
  </si>
  <si>
    <t>分别的时候总是让人感到悲伤。</t>
  </si>
  <si>
    <t>变质</t>
  </si>
  <si>
    <t>biàn zhì</t>
  </si>
  <si>
    <t>分布</t>
  </si>
  <si>
    <t>biến chất</t>
  </si>
  <si>
    <t>fēn bù</t>
  </si>
  <si>
    <t>牛奶变质了，不能喝。</t>
  </si>
  <si>
    <t>phân bố</t>
  </si>
  <si>
    <t>这些植物在这个地区分布很广。</t>
  </si>
  <si>
    <t>辫子</t>
  </si>
  <si>
    <t>biàn zi</t>
  </si>
  <si>
    <t>bím tóc</t>
  </si>
  <si>
    <t>她的辫子很长。</t>
  </si>
  <si>
    <t>分配</t>
  </si>
  <si>
    <t>fēn pèi</t>
  </si>
  <si>
    <t>chia sẻ, phân chia, phân công</t>
  </si>
  <si>
    <t>我们需要合理分配资源。</t>
  </si>
  <si>
    <t>标本</t>
  </si>
  <si>
    <t>biāo běn</t>
  </si>
  <si>
    <t>mẫu vật</t>
  </si>
  <si>
    <t>他是一个动物标本收藏家。</t>
  </si>
  <si>
    <t>分手</t>
  </si>
  <si>
    <t>标记</t>
  </si>
  <si>
    <t>fēn shǒu</t>
  </si>
  <si>
    <t>biāo jì</t>
  </si>
  <si>
    <t>chia tay</t>
  </si>
  <si>
    <t>ký hiệu</t>
  </si>
  <si>
    <t>他们决定分手。</t>
  </si>
  <si>
    <t>请在地图上标记出位置。</t>
  </si>
  <si>
    <t>分析</t>
  </si>
  <si>
    <t>飙升</t>
  </si>
  <si>
    <t>fēn xī</t>
  </si>
  <si>
    <t>biāo shēng</t>
  </si>
  <si>
    <t>phân tích</t>
  </si>
  <si>
    <t>tăng vọt</t>
  </si>
  <si>
    <t>他在分析数据。</t>
  </si>
  <si>
    <t>房价在短时间内飙升了。</t>
  </si>
  <si>
    <t>标题</t>
  </si>
  <si>
    <t>biāo tí</t>
  </si>
  <si>
    <t>tiêu đề</t>
  </si>
  <si>
    <t>这个文章的标题很吸引人。</t>
  </si>
  <si>
    <t>纷纷</t>
  </si>
  <si>
    <t>fēn fēn</t>
  </si>
  <si>
    <t>lũ lượt</t>
  </si>
  <si>
    <t>大家纷纷发表意见。</t>
  </si>
  <si>
    <t>表决</t>
  </si>
  <si>
    <t>biǎo jué</t>
  </si>
  <si>
    <t>biểu quyết</t>
  </si>
  <si>
    <t>他们就此问题进行了表决。</t>
  </si>
  <si>
    <t>奋斗</t>
  </si>
  <si>
    <t>fèn dòu</t>
  </si>
  <si>
    <t>phấn đấu</t>
  </si>
  <si>
    <t>我们需要为了未来奋斗。</t>
  </si>
  <si>
    <t>表态</t>
  </si>
  <si>
    <t>biǎo tài</t>
  </si>
  <si>
    <t>bày tỏ thái độ</t>
  </si>
  <si>
    <t>他在会上表态支持这个计划。</t>
  </si>
  <si>
    <t>风格</t>
  </si>
  <si>
    <t>fēng gé</t>
  </si>
  <si>
    <t>phong cách</t>
  </si>
  <si>
    <t>她的风格很独特。</t>
  </si>
  <si>
    <t>表彰</t>
  </si>
  <si>
    <t>biǎo zhāng</t>
  </si>
  <si>
    <t>khen ngợi</t>
  </si>
  <si>
    <t>他的贡献得到了表彰。</t>
  </si>
  <si>
    <t>风景</t>
  </si>
  <si>
    <t>fēng jǐng</t>
  </si>
  <si>
    <t>phong cảnh</t>
  </si>
  <si>
    <t>这个地方的风景很美。</t>
  </si>
  <si>
    <t>风俗</t>
  </si>
  <si>
    <t>fēng sú</t>
  </si>
  <si>
    <t>phong tục</t>
  </si>
  <si>
    <t>他们的风俗很有趣。</t>
  </si>
  <si>
    <t>憋</t>
  </si>
  <si>
    <t>biē</t>
  </si>
  <si>
    <t>nén, nhịn</t>
  </si>
  <si>
    <t>我憋了一肚子话没说出来。</t>
  </si>
  <si>
    <t>风险</t>
  </si>
  <si>
    <t>fēng xiǎn</t>
  </si>
  <si>
    <t>mạo hiểm, hiểm nguy</t>
  </si>
  <si>
    <t>这项投资有很高的风险。</t>
  </si>
  <si>
    <t>bié rén</t>
  </si>
  <si>
    <t>这是别人的东西，不要随便动。</t>
  </si>
  <si>
    <t>疯狂</t>
  </si>
  <si>
    <t>fēng kuáng</t>
  </si>
  <si>
    <t>điên rồ</t>
  </si>
  <si>
    <t>他对这部电影感到疯狂。</t>
  </si>
  <si>
    <t>别墅</t>
  </si>
  <si>
    <t>bié shù</t>
  </si>
  <si>
    <t>biệt thự</t>
  </si>
  <si>
    <t>他们住在一栋豪华的别墅里。</t>
  </si>
  <si>
    <t>讽刺</t>
  </si>
  <si>
    <t>fěng cì</t>
  </si>
  <si>
    <t>châm biếm</t>
  </si>
  <si>
    <t>这部小说有一些讽刺的元素。</t>
  </si>
  <si>
    <t>别致</t>
  </si>
  <si>
    <t>bié zhì</t>
  </si>
  <si>
    <t>她的穿着很别致。</t>
  </si>
  <si>
    <t>否定</t>
  </si>
  <si>
    <t>fǒu dìng</t>
  </si>
  <si>
    <t>phủ định</t>
  </si>
  <si>
    <t>他否定了所有的指责。</t>
  </si>
  <si>
    <t>别扭</t>
  </si>
  <si>
    <t>bié niu</t>
  </si>
  <si>
    <t>khó chịu, gượng gạo</t>
  </si>
  <si>
    <t>他们之间的关系有些别扭。</t>
  </si>
  <si>
    <t>否认</t>
  </si>
  <si>
    <t>fǒu rèn</t>
  </si>
  <si>
    <t>phủ nhận</t>
  </si>
  <si>
    <t>她完全否认了这个事实。</t>
  </si>
  <si>
    <t>濒临</t>
  </si>
  <si>
    <t>bīn lín</t>
  </si>
  <si>
    <t>cận kề, gần kề</t>
  </si>
  <si>
    <t>他濒临崩溃的边缘。</t>
  </si>
  <si>
    <t>扶</t>
  </si>
  <si>
    <t>fú</t>
  </si>
  <si>
    <t>冰雹</t>
  </si>
  <si>
    <t>vịn/ nâng đỡ, đỡ,...</t>
  </si>
  <si>
    <t>bīng báo</t>
  </si>
  <si>
    <t>他在路上扶着我。</t>
  </si>
  <si>
    <t>mưa đá</t>
  </si>
  <si>
    <t>突然下起了冰雹。</t>
  </si>
  <si>
    <t>并存</t>
  </si>
  <si>
    <t>bìng cún</t>
  </si>
  <si>
    <t>cùng tồn tại</t>
  </si>
  <si>
    <t>他们和平并存。</t>
  </si>
  <si>
    <t>服装</t>
  </si>
  <si>
    <t>fú zhuāng</t>
  </si>
  <si>
    <t>phục trang, quần áo</t>
  </si>
  <si>
    <t>我们需要买新的服装。</t>
  </si>
  <si>
    <t>并非</t>
  </si>
  <si>
    <t>bìng fēi</t>
  </si>
  <si>
    <t>không phải là</t>
  </si>
  <si>
    <t>他并非不愿意，而是没有时间。</t>
  </si>
  <si>
    <t>幅</t>
  </si>
  <si>
    <t>bức (lượng từ cho tranh)</t>
  </si>
  <si>
    <t>这幅画儿很漂亮。</t>
  </si>
  <si>
    <t>并列</t>
  </si>
  <si>
    <t>bìng liè</t>
  </si>
  <si>
    <t>đặt song song</t>
  </si>
  <si>
    <t>这些奖项并列第一。</t>
  </si>
  <si>
    <t>辅导</t>
  </si>
  <si>
    <t>fǔ dǎo</t>
  </si>
  <si>
    <t>phụ đạo, bổ trợ</t>
  </si>
  <si>
    <t>她需要额外的辅导。</t>
  </si>
  <si>
    <t>拨打</t>
  </si>
  <si>
    <t>bō dǎ</t>
  </si>
  <si>
    <t>quay số điện thoại</t>
  </si>
  <si>
    <t>请拨打这个电话号码。</t>
  </si>
  <si>
    <t>妇女</t>
  </si>
  <si>
    <t>fù nǚ</t>
  </si>
  <si>
    <t>妇女在社会中扮演重要的角色。</t>
  </si>
  <si>
    <t>phát, phát sóng</t>
  </si>
  <si>
    <t>他们正在播放音乐。</t>
  </si>
  <si>
    <t>复制</t>
  </si>
  <si>
    <t>fù zhì</t>
  </si>
  <si>
    <t>copy</t>
  </si>
  <si>
    <t>请复制这个文件。</t>
  </si>
  <si>
    <t>波浪</t>
  </si>
  <si>
    <t>bō làng</t>
  </si>
  <si>
    <t>sóng</t>
  </si>
  <si>
    <t>海上的波浪很大。</t>
  </si>
  <si>
    <t>改革</t>
  </si>
  <si>
    <t>波涛汹涌</t>
  </si>
  <si>
    <t>gǎi gé</t>
  </si>
  <si>
    <t>bō tāo xiōng yǒng</t>
  </si>
  <si>
    <t>cải cách</t>
  </si>
  <si>
    <t>sóng lớn cuồn cuộn</t>
  </si>
  <si>
    <t>我们需要进行改革。</t>
  </si>
  <si>
    <t>海上的波涛汹涌。</t>
  </si>
  <si>
    <t>剥削</t>
  </si>
  <si>
    <t>bō xuē</t>
  </si>
  <si>
    <t>bóc lột</t>
  </si>
  <si>
    <t>改进</t>
  </si>
  <si>
    <t>他们剥削工人的劳动。</t>
  </si>
  <si>
    <t>gǎi jìn</t>
  </si>
  <si>
    <t>cải tiến</t>
  </si>
  <si>
    <t>他希望能改进工作流程。</t>
  </si>
  <si>
    <t>播种</t>
  </si>
  <si>
    <t>bō zhǒng</t>
  </si>
  <si>
    <t>gieo hạt</t>
  </si>
  <si>
    <t>农民在田里播种。</t>
  </si>
  <si>
    <t>改善</t>
  </si>
  <si>
    <t>gǎi shàn</t>
  </si>
  <si>
    <t>cải thiện</t>
  </si>
  <si>
    <t>他们正在改善居住条件。</t>
  </si>
  <si>
    <t>博大精深</t>
  </si>
  <si>
    <t>bó dà jīng shēn</t>
  </si>
  <si>
    <t>uyên thâm, sâu sắc</t>
  </si>
  <si>
    <t>他的知识博大精深。</t>
  </si>
  <si>
    <t>改正</t>
  </si>
  <si>
    <t>gǎi zhèng</t>
  </si>
  <si>
    <t>đính chính</t>
  </si>
  <si>
    <t>我们需要改正错误。</t>
  </si>
  <si>
    <t>搏斗</t>
  </si>
  <si>
    <t>bó dòu</t>
  </si>
  <si>
    <t>đấu tranh, vật lộn</t>
  </si>
  <si>
    <t>他与敌人进行了搏斗。</t>
  </si>
  <si>
    <t>盖</t>
  </si>
  <si>
    <t>gài</t>
  </si>
  <si>
    <t xml:space="preserve">đậy, bao phủ </t>
  </si>
  <si>
    <t>这一片区域都被盖上了高楼大厦。</t>
  </si>
  <si>
    <t>博览会</t>
  </si>
  <si>
    <t>bó lǎn huì</t>
  </si>
  <si>
    <t>triển lãm</t>
  </si>
  <si>
    <t>我们参加了一个博览会。</t>
  </si>
  <si>
    <t>概括</t>
  </si>
  <si>
    <t>gài kuò</t>
  </si>
  <si>
    <t>khái quát</t>
  </si>
  <si>
    <t>文章的概括很简洁。</t>
  </si>
  <si>
    <t>伯母</t>
  </si>
  <si>
    <t>bó mǔ</t>
  </si>
  <si>
    <t>bác gái</t>
  </si>
  <si>
    <t>他去看望了伯母。</t>
  </si>
  <si>
    <t>概念</t>
  </si>
  <si>
    <t>gài niàn</t>
  </si>
  <si>
    <t>khái niệm</t>
  </si>
  <si>
    <t>薄弱</t>
  </si>
  <si>
    <t>这个概念很重要。</t>
  </si>
  <si>
    <t>bó ruò</t>
  </si>
  <si>
    <t>yếu ớt, mỏng manh</t>
  </si>
  <si>
    <t>这个计划的基础非常薄弱。</t>
  </si>
  <si>
    <t>干脆</t>
  </si>
  <si>
    <t>补偿</t>
  </si>
  <si>
    <t>gān cuì</t>
  </si>
  <si>
    <t>bǔ cháng</t>
  </si>
  <si>
    <t>dứt khoát</t>
  </si>
  <si>
    <t>bù đắp, đền bù</t>
  </si>
  <si>
    <t>他的发言非常干脆，没有一句多余的话。</t>
  </si>
  <si>
    <t>他们对她的损失进行了补偿。</t>
  </si>
  <si>
    <t>干燥</t>
  </si>
  <si>
    <t>补救</t>
  </si>
  <si>
    <t>gān zào</t>
  </si>
  <si>
    <t>bǔ jiù</t>
  </si>
  <si>
    <t>khô ráo, khô hanh</t>
  </si>
  <si>
    <t>cứu chữa, bổ cứu</t>
  </si>
  <si>
    <t>我们必须找到补救的方法。</t>
  </si>
  <si>
    <t>干燥的空气使得火势很容易蔓延。</t>
  </si>
  <si>
    <t>哺乳</t>
  </si>
  <si>
    <t>赶紧</t>
  </si>
  <si>
    <t>bǔ rǔ</t>
  </si>
  <si>
    <t>gǎn jǐn</t>
  </si>
  <si>
    <t>bú, nuôi bằng sữa mẹ</t>
  </si>
  <si>
    <t>mau chóng</t>
  </si>
  <si>
    <t>哺乳动物是温血动物。</t>
  </si>
  <si>
    <t>赶紧做完作业吧。</t>
  </si>
  <si>
    <t>补贴</t>
  </si>
  <si>
    <t>bǔ tiē</t>
  </si>
  <si>
    <t>赶快</t>
  </si>
  <si>
    <t>gǎn kuài</t>
  </si>
  <si>
    <t>他赶快去看医生。</t>
  </si>
  <si>
    <t>trợ cấp</t>
  </si>
  <si>
    <t>感激</t>
  </si>
  <si>
    <t>gǎn jī</t>
  </si>
  <si>
    <t>cảm kích, biết ơn</t>
  </si>
  <si>
    <t>我非常感激你的帮助。</t>
  </si>
  <si>
    <t>政府对农业进行补贴。</t>
  </si>
  <si>
    <t>感受</t>
  </si>
  <si>
    <t>gǎn shòu</t>
  </si>
  <si>
    <t>cảm nhận</t>
  </si>
  <si>
    <t>我能感受你的情绪。</t>
  </si>
  <si>
    <t>感想</t>
  </si>
  <si>
    <t>gǎn xiǎng</t>
  </si>
  <si>
    <t>cảm tưởng, suy nghĩ</t>
  </si>
  <si>
    <t>他的感想很有趣。</t>
  </si>
  <si>
    <t>干活儿</t>
  </si>
  <si>
    <t>gàn huó ér</t>
  </si>
  <si>
    <t>lao động，làm việc</t>
  </si>
  <si>
    <t>我们一起干活儿吧。</t>
  </si>
  <si>
    <t>钢铁</t>
  </si>
  <si>
    <t>gāng tiě</t>
  </si>
  <si>
    <t>sắt thép</t>
  </si>
  <si>
    <t>钢铁是工业化进程中不可或缺的力量。</t>
  </si>
  <si>
    <t>高档</t>
  </si>
  <si>
    <t>gāo dàng</t>
  </si>
  <si>
    <t>cao cấp, đẳng cấp</t>
  </si>
  <si>
    <t>这件礼服的设计显示出一种高档次的感觉。</t>
  </si>
  <si>
    <t>捕捉</t>
  </si>
  <si>
    <t>bǔ zhuō</t>
  </si>
  <si>
    <t>nắm bắt, bắt giữ</t>
  </si>
  <si>
    <t>我们需要捕捉这个机会。</t>
  </si>
  <si>
    <t>高级</t>
  </si>
  <si>
    <t>gāo jí</t>
  </si>
  <si>
    <t>cao cấp</t>
  </si>
  <si>
    <t>HSK6 级是高级水平。</t>
  </si>
  <si>
    <t>搞</t>
  </si>
  <si>
    <t>gǎo</t>
  </si>
  <si>
    <t>我们要搞好这个项目。</t>
  </si>
  <si>
    <t>不得已</t>
  </si>
  <si>
    <t>bù dé yǐ</t>
  </si>
  <si>
    <t>bất đắc dĩ</t>
  </si>
  <si>
    <t>他是不得已才离开的。</t>
  </si>
  <si>
    <t>步伐</t>
  </si>
  <si>
    <t>bù fá</t>
  </si>
  <si>
    <t>bước đi, nhịp đi</t>
  </si>
  <si>
    <t>他迈出了坚定的步伐。</t>
  </si>
  <si>
    <t>告别</t>
  </si>
  <si>
    <t>gào bié</t>
  </si>
  <si>
    <t>từ biệt</t>
  </si>
  <si>
    <t>我们要告别这座城市。</t>
  </si>
  <si>
    <t>不妨</t>
  </si>
  <si>
    <t>bù fáng</t>
  </si>
  <si>
    <t>không ngại, có thể</t>
  </si>
  <si>
    <t>不妨试试这种方法。</t>
  </si>
  <si>
    <t>格外</t>
  </si>
  <si>
    <t>gé wài</t>
  </si>
  <si>
    <t>这个地方格外安静。</t>
  </si>
  <si>
    <t>隔壁</t>
  </si>
  <si>
    <t>gé bì</t>
  </si>
  <si>
    <t>sát vách, ngay cạnh</t>
  </si>
  <si>
    <t>我们住在隔壁的房子。</t>
  </si>
  <si>
    <t>个别</t>
  </si>
  <si>
    <t>不敢当</t>
  </si>
  <si>
    <t>gè bié</t>
  </si>
  <si>
    <t>cá biệt</t>
  </si>
  <si>
    <t>个别情况可能会有所不同。</t>
  </si>
  <si>
    <t>bù gǎn dāng</t>
  </si>
  <si>
    <t>không dám nhận</t>
  </si>
  <si>
    <t>你夸我，我不敢当。</t>
  </si>
  <si>
    <t>个人</t>
  </si>
  <si>
    <t>gè rén</t>
  </si>
  <si>
    <t>cá nhân</t>
  </si>
  <si>
    <t xml:space="preserve">每个人都有自己的个人喜好和兴趣。 </t>
  </si>
  <si>
    <t>布告</t>
  </si>
  <si>
    <t>bù gào</t>
  </si>
  <si>
    <t>学校发布了一份布告。</t>
  </si>
  <si>
    <t>不顾</t>
  </si>
  <si>
    <t>bù gù</t>
  </si>
  <si>
    <t>không quan tâm</t>
  </si>
  <si>
    <t>他不顾一切地追求梦想。</t>
  </si>
  <si>
    <t>个性</t>
  </si>
  <si>
    <t>gè xìng</t>
  </si>
  <si>
    <t>cá tính</t>
  </si>
  <si>
    <t>他是一个非常有个性的人。</t>
  </si>
  <si>
    <t>不禁</t>
  </si>
  <si>
    <t>bù jīn</t>
  </si>
  <si>
    <t>không nhịn được</t>
  </si>
  <si>
    <t>听到这个消息，她不禁流下了眼泪。</t>
  </si>
  <si>
    <t>各自</t>
  </si>
  <si>
    <t>gè zì</t>
  </si>
  <si>
    <t>từng, mỗi người, riêng mình</t>
  </si>
  <si>
    <t>各自负责自己的任务。</t>
  </si>
  <si>
    <t>布局</t>
  </si>
  <si>
    <t>bù jú</t>
  </si>
  <si>
    <t>bố trí</t>
  </si>
  <si>
    <t>我们需要合理布局。</t>
  </si>
  <si>
    <t>根</t>
  </si>
  <si>
    <t>lượng từ: sợi, cành, khúc, ngón</t>
  </si>
  <si>
    <t>你记得帮我买几根葱哦。</t>
  </si>
  <si>
    <t>不堪</t>
  </si>
  <si>
    <t>根本</t>
  </si>
  <si>
    <t>bù kān</t>
  </si>
  <si>
    <t>gēn běn</t>
  </si>
  <si>
    <t>không thể chịu nổi</t>
  </si>
  <si>
    <t>căn bản, gốc rễ</t>
  </si>
  <si>
    <t>这个地方脏得不堪入目。</t>
  </si>
  <si>
    <t>这个问题根本解决不了。</t>
  </si>
  <si>
    <t>工厂</t>
  </si>
  <si>
    <t>gōng chǎng</t>
  </si>
  <si>
    <t>xưởng, xí nghiệp</t>
  </si>
  <si>
    <t>工厂正在扩大生产规模。</t>
  </si>
  <si>
    <t>不可思议</t>
  </si>
  <si>
    <t>bù kě sī yì</t>
  </si>
  <si>
    <t>không thể tưởng tượng</t>
  </si>
  <si>
    <t>这个结果让人不可思议。</t>
  </si>
  <si>
    <t>工程师</t>
  </si>
  <si>
    <t>gōng chéng shī</t>
  </si>
  <si>
    <t>kỹ sư</t>
  </si>
  <si>
    <t>他是一名工程师。</t>
  </si>
  <si>
    <t>不愧</t>
  </si>
  <si>
    <t>bù kuì</t>
  </si>
  <si>
    <t>không hổ thẹn</t>
  </si>
  <si>
    <t>他不愧是我们心中的英雄。</t>
  </si>
  <si>
    <t>工具</t>
  </si>
  <si>
    <t>gōng jù</t>
  </si>
  <si>
    <t>công cụ</t>
  </si>
  <si>
    <t>我们需要一些工具来修理。</t>
  </si>
  <si>
    <t>不料</t>
  </si>
  <si>
    <t>bù liào</t>
  </si>
  <si>
    <t>không ngờ</t>
  </si>
  <si>
    <t>他不料会遇到这样的困难。</t>
  </si>
  <si>
    <t>工人</t>
  </si>
  <si>
    <t>gōng rén</t>
  </si>
  <si>
    <t>công nhân</t>
  </si>
  <si>
    <t>工人们正在加班。</t>
  </si>
  <si>
    <t>不时</t>
  </si>
  <si>
    <t>bù shí</t>
  </si>
  <si>
    <t>thỉnh thoảng</t>
  </si>
  <si>
    <t>他不时地看表。</t>
  </si>
  <si>
    <t>工业</t>
  </si>
  <si>
    <t>gōng yè</t>
  </si>
  <si>
    <t>công nghiệp</t>
  </si>
  <si>
    <t>这个产品是我们工业的代表。</t>
  </si>
  <si>
    <t>部署</t>
  </si>
  <si>
    <t>bù shǔ</t>
  </si>
  <si>
    <t>bố trí, triển khai</t>
  </si>
  <si>
    <t>我们正在进行详细的部署。</t>
  </si>
  <si>
    <t>部位</t>
  </si>
  <si>
    <t>bù wèi</t>
  </si>
  <si>
    <t>bộ phận, vị trí</t>
  </si>
  <si>
    <t>这个部位需要特别保护。</t>
  </si>
  <si>
    <t>公布</t>
  </si>
  <si>
    <t>gōng bù</t>
  </si>
  <si>
    <t>công bố</t>
  </si>
  <si>
    <t>公司公布了新的政策。</t>
  </si>
  <si>
    <t>不惜</t>
  </si>
  <si>
    <t>bù xī</t>
  </si>
  <si>
    <t>không tiếc, không ngại</t>
  </si>
  <si>
    <t>我们不惜任何代价完成任务。</t>
  </si>
  <si>
    <t>公开</t>
  </si>
  <si>
    <t>gōng kāi</t>
  </si>
  <si>
    <t>công khai</t>
  </si>
  <si>
    <t>这个信息已经公开了。</t>
  </si>
  <si>
    <t>不相上下</t>
  </si>
  <si>
    <t>公平</t>
  </si>
  <si>
    <t>gōng píng</t>
  </si>
  <si>
    <t>công bằng</t>
  </si>
  <si>
    <t>我们需要公平对待每个人。</t>
  </si>
  <si>
    <t>bù xiāng shàng xià</t>
  </si>
  <si>
    <t>không phân cao thấp</t>
  </si>
  <si>
    <t>他们的水平不相上下。</t>
  </si>
  <si>
    <t>公寓</t>
  </si>
  <si>
    <t>gōng yù</t>
  </si>
  <si>
    <t>chung cư</t>
  </si>
  <si>
    <t>她住在一个公寓里。</t>
  </si>
  <si>
    <t>公元</t>
  </si>
  <si>
    <t>gōng yuán</t>
  </si>
  <si>
    <t>công nguyên</t>
  </si>
  <si>
    <t>公元前五世纪的历史很有趣。</t>
  </si>
  <si>
    <t>公主</t>
  </si>
  <si>
    <t>gōng zhǔ</t>
  </si>
  <si>
    <t>công chúa</t>
  </si>
  <si>
    <t>她是一个美丽的公主。</t>
  </si>
  <si>
    <t>不像话</t>
  </si>
  <si>
    <t>bù xiàng huà</t>
  </si>
  <si>
    <t>không ra gì, kỳ cục</t>
  </si>
  <si>
    <t>他的行为真不像话。</t>
  </si>
  <si>
    <t>功能</t>
  </si>
  <si>
    <t>gōng néng</t>
  </si>
  <si>
    <t>công năng</t>
  </si>
  <si>
    <t>这个软件的功能很强大。</t>
  </si>
  <si>
    <t>不屑一顾</t>
  </si>
  <si>
    <t>bù xiè yí gù</t>
  </si>
  <si>
    <t>không thèm ngó tới</t>
  </si>
  <si>
    <t>他对别人的批评不屑一顾。</t>
  </si>
  <si>
    <t>恭喜</t>
  </si>
  <si>
    <t>gōng xǐ</t>
  </si>
  <si>
    <t>不言而喻</t>
  </si>
  <si>
    <t>恭喜你获得了奖项。</t>
  </si>
  <si>
    <t>bù yán ér yù</t>
  </si>
  <si>
    <t>không cần nói cũng hiểu</t>
  </si>
  <si>
    <t>这个问题不言而喻。</t>
  </si>
  <si>
    <t>不由得</t>
  </si>
  <si>
    <t>bù yóu de</t>
  </si>
  <si>
    <t>không kìm được</t>
  </si>
  <si>
    <t>她不由得笑了起来。</t>
  </si>
  <si>
    <t>贡献</t>
  </si>
  <si>
    <t>gòng xiàn</t>
  </si>
  <si>
    <t>cống hiến</t>
  </si>
  <si>
    <t>他的贡献很大。</t>
  </si>
  <si>
    <t>不择手段</t>
  </si>
  <si>
    <t>bù zé shǒu duàn</t>
  </si>
  <si>
    <t>không từ thủ đoạn</t>
  </si>
  <si>
    <t>他为了成功不择手段。</t>
  </si>
  <si>
    <t>沟通</t>
  </si>
  <si>
    <t>gōu tōng</t>
  </si>
  <si>
    <t>trao đổi, thấu hiểu</t>
  </si>
  <si>
    <t>我们需要有效沟通。</t>
  </si>
  <si>
    <t>不止</t>
  </si>
  <si>
    <t>bù zhǐ</t>
  </si>
  <si>
    <t>雨下不止，街道已被淹没。</t>
  </si>
  <si>
    <t>构成</t>
  </si>
  <si>
    <t>gòu chéng</t>
  </si>
  <si>
    <t>tạo thành, cấu thành</t>
  </si>
  <si>
    <t>这些部分构成了整个项目。</t>
  </si>
  <si>
    <t>布置</t>
  </si>
  <si>
    <t>bù zhì</t>
  </si>
  <si>
    <t>请按照指示布置场地。</t>
  </si>
  <si>
    <t>姑姑</t>
  </si>
  <si>
    <t>gū gu</t>
  </si>
  <si>
    <t>cô</t>
  </si>
  <si>
    <t>我去姑姑家玩。</t>
  </si>
  <si>
    <t>裁缝</t>
  </si>
  <si>
    <t>cái féng</t>
  </si>
  <si>
    <t>thợ may</t>
  </si>
  <si>
    <t>她是一名优秀的裁缝。</t>
  </si>
  <si>
    <t>姑娘</t>
  </si>
  <si>
    <t>gū niang</t>
  </si>
  <si>
    <t>cô gái</t>
  </si>
  <si>
    <t>这位姑娘很友好。</t>
  </si>
  <si>
    <t>财富</t>
  </si>
  <si>
    <t>cái fù</t>
  </si>
  <si>
    <t>知识是无价的财富。</t>
  </si>
  <si>
    <t>古代</t>
  </si>
  <si>
    <t>gǔ dài</t>
  </si>
  <si>
    <t>cổ đại</t>
  </si>
  <si>
    <t>才干</t>
  </si>
  <si>
    <t>古代的建筑风格很有特色。</t>
  </si>
  <si>
    <t>cái gàn</t>
  </si>
  <si>
    <t>tài cán, năng lực</t>
  </si>
  <si>
    <t>他有很强的才干。</t>
  </si>
  <si>
    <t>裁判</t>
  </si>
  <si>
    <t>古典</t>
  </si>
  <si>
    <t>cái pàn</t>
  </si>
  <si>
    <t>gǔ diǎn</t>
  </si>
  <si>
    <t>trọng tài</t>
  </si>
  <si>
    <t>cổ điển</t>
  </si>
  <si>
    <t>裁判宣布比赛结果。</t>
  </si>
  <si>
    <t>他喜欢古典音乐。</t>
  </si>
  <si>
    <t>财务</t>
  </si>
  <si>
    <t>cái wù</t>
  </si>
  <si>
    <t>tài chính</t>
  </si>
  <si>
    <t>公司正在处理财务问题。</t>
  </si>
  <si>
    <t>股票</t>
  </si>
  <si>
    <t>gǔ piào</t>
  </si>
  <si>
    <t>cổ phiếu</t>
  </si>
  <si>
    <t>我们需要研究股票市场。</t>
  </si>
  <si>
    <t>裁员</t>
  </si>
  <si>
    <t>cái yuán</t>
  </si>
  <si>
    <t>cắt giảm nhân viên</t>
  </si>
  <si>
    <t>公司决定裁员。</t>
  </si>
  <si>
    <t>骨头</t>
  </si>
  <si>
    <t>gǔ tou</t>
  </si>
  <si>
    <t>xương</t>
  </si>
  <si>
    <t>这个骨头很硬。</t>
  </si>
  <si>
    <t>财政</t>
  </si>
  <si>
    <t>cái zhèng</t>
  </si>
  <si>
    <t>政府管理财政事务。</t>
  </si>
  <si>
    <t>鼓舞</t>
  </si>
  <si>
    <t>gǔ wǔ</t>
  </si>
  <si>
    <t>他的演讲鼓舞了大家。</t>
  </si>
  <si>
    <t>采购</t>
  </si>
  <si>
    <t>cǎi gòu</t>
  </si>
  <si>
    <t>我们要采购新设备。</t>
  </si>
  <si>
    <t>鼓掌</t>
  </si>
  <si>
    <t>gǔ zhǎng</t>
  </si>
  <si>
    <t>vỗ tay</t>
  </si>
  <si>
    <t>采集</t>
  </si>
  <si>
    <t>大家为他鼓掌。</t>
  </si>
  <si>
    <t>cǎi jí</t>
  </si>
  <si>
    <t>thu thập, sưu tập</t>
  </si>
  <si>
    <t>研究人员在采集数据。</t>
  </si>
  <si>
    <t>固定</t>
  </si>
  <si>
    <t>gù dìng</t>
  </si>
  <si>
    <t>采纳</t>
  </si>
  <si>
    <t>cố định</t>
  </si>
  <si>
    <t>cǎi nà</t>
  </si>
  <si>
    <t>这张桌子是固定的。</t>
  </si>
  <si>
    <t>chấp nhận</t>
  </si>
  <si>
    <t>我们采纳了他的建议。</t>
  </si>
  <si>
    <t>挂号</t>
  </si>
  <si>
    <t>guà hào</t>
  </si>
  <si>
    <t>xếp số</t>
  </si>
  <si>
    <t>彩票</t>
  </si>
  <si>
    <t>请挂号后再进入。</t>
  </si>
  <si>
    <t>cǎi piào</t>
  </si>
  <si>
    <t>vé số</t>
  </si>
  <si>
    <t>他中了彩票，赢得了大奖。</t>
  </si>
  <si>
    <t>乖</t>
  </si>
  <si>
    <t>guāi</t>
  </si>
  <si>
    <t>参谋</t>
  </si>
  <si>
    <t>cān móu</t>
  </si>
  <si>
    <t>ngoan</t>
  </si>
  <si>
    <t>tham mưu, cố vấn</t>
  </si>
  <si>
    <t>她的行为很乖。</t>
  </si>
  <si>
    <t>他是我们的参谋长。</t>
  </si>
  <si>
    <t>参照</t>
  </si>
  <si>
    <t>拐弯</t>
  </si>
  <si>
    <t>cān zhào</t>
  </si>
  <si>
    <t>guǎi wān</t>
  </si>
  <si>
    <t>rẽ</t>
  </si>
  <si>
    <t>请参照这份指南。</t>
  </si>
  <si>
    <t>车子在路上拐弯了。</t>
  </si>
  <si>
    <t>残酷</t>
  </si>
  <si>
    <t>cán kù</t>
  </si>
  <si>
    <t>怪不得</t>
  </si>
  <si>
    <t>tàn khốc, tàn bạo, khốc liệt</t>
  </si>
  <si>
    <t>guài bù dé</t>
  </si>
  <si>
    <t>这场比赛非常残酷。</t>
  </si>
  <si>
    <t>chẳng trách</t>
  </si>
  <si>
    <t>怪不得她这么高兴。</t>
  </si>
  <si>
    <t>关闭</t>
  </si>
  <si>
    <t>guān bì</t>
  </si>
  <si>
    <t>đóng</t>
  </si>
  <si>
    <t>他们决定关闭公司。</t>
  </si>
  <si>
    <t>残留</t>
  </si>
  <si>
    <t>cán liú</t>
  </si>
  <si>
    <t>còn sót lại</t>
  </si>
  <si>
    <t>这里还有残留的气味。</t>
  </si>
  <si>
    <t>观察</t>
  </si>
  <si>
    <t>guān chá</t>
  </si>
  <si>
    <t>quan sát</t>
  </si>
  <si>
    <t>我们需要观察市场趋势。</t>
  </si>
  <si>
    <t>残忍</t>
  </si>
  <si>
    <t>cán rěn</t>
  </si>
  <si>
    <t>tàn nhẫn</t>
  </si>
  <si>
    <t>他的行为非常残忍。</t>
  </si>
  <si>
    <t>灿烂</t>
  </si>
  <si>
    <t>càn làn</t>
  </si>
  <si>
    <t>rực rỡ, sáng lạn</t>
  </si>
  <si>
    <t>夜空中的星星灿烂夺目。</t>
  </si>
  <si>
    <t>舱</t>
  </si>
  <si>
    <t>cāng</t>
  </si>
  <si>
    <t>khoang (tàu, máy bay)</t>
  </si>
  <si>
    <t>船舱里非常宽敞。</t>
  </si>
  <si>
    <t>观点</t>
  </si>
  <si>
    <t>guān diǎn</t>
  </si>
  <si>
    <t>苍白</t>
  </si>
  <si>
    <t>cāng bái</t>
  </si>
  <si>
    <t>xanh xao, tái nhợt</t>
  </si>
  <si>
    <t>他有自己独特的观点。</t>
  </si>
  <si>
    <t>他的脸色很苍白。</t>
  </si>
  <si>
    <t>仓促</t>
  </si>
  <si>
    <t>cāng cù</t>
  </si>
  <si>
    <t>vội vàng, gấp gáp</t>
  </si>
  <si>
    <t>他们仓促决定了这个计划。</t>
  </si>
  <si>
    <t>观念</t>
  </si>
  <si>
    <t>guān niàn</t>
  </si>
  <si>
    <t>quan niệm</t>
  </si>
  <si>
    <t>这是一个新的观念。</t>
  </si>
  <si>
    <t>仓库</t>
  </si>
  <si>
    <t>cāng kù</t>
  </si>
  <si>
    <t>kho, nhà kho</t>
  </si>
  <si>
    <t>货物存放在仓库里。</t>
  </si>
  <si>
    <t>官</t>
  </si>
  <si>
    <t>quan</t>
  </si>
  <si>
    <t>他是一位官员。</t>
  </si>
  <si>
    <t>操劳</t>
  </si>
  <si>
    <t>cāo láo</t>
  </si>
  <si>
    <t>lao tâm khổ tứ</t>
  </si>
  <si>
    <t>他为了家庭操劳。</t>
  </si>
  <si>
    <t>管子</t>
  </si>
  <si>
    <t>guǎn zi</t>
  </si>
  <si>
    <t>cái ống</t>
  </si>
  <si>
    <t>我们需要买一些管子。</t>
  </si>
  <si>
    <t>操练</t>
  </si>
  <si>
    <t>cāo liàn</t>
  </si>
  <si>
    <t>thao luyện, luyện tập</t>
  </si>
  <si>
    <t>他们每天都在操练。</t>
  </si>
  <si>
    <t>操纵</t>
  </si>
  <si>
    <t>cāo zòng</t>
  </si>
  <si>
    <t>điều khiển, thao túng</t>
  </si>
  <si>
    <t>他能够熟练地操纵机器。</t>
  </si>
  <si>
    <t>冠军</t>
  </si>
  <si>
    <t>guàn jūn</t>
  </si>
  <si>
    <t>quán quân</t>
  </si>
  <si>
    <t>他赢得了冠军。</t>
  </si>
  <si>
    <t>操作</t>
  </si>
  <si>
    <t>cāo zuò</t>
  </si>
  <si>
    <t>thao tác</t>
  </si>
  <si>
    <t>操作这台设备需要小心。</t>
  </si>
  <si>
    <t>光滑</t>
  </si>
  <si>
    <t>嘈杂</t>
  </si>
  <si>
    <t>guāng huá</t>
  </si>
  <si>
    <t>cáo zá</t>
  </si>
  <si>
    <t>ồn ào</t>
  </si>
  <si>
    <t>bóng mượt</t>
  </si>
  <si>
    <t>大街上很嘈杂。</t>
  </si>
  <si>
    <t>这条地毯很光滑。</t>
  </si>
  <si>
    <t>光临</t>
  </si>
  <si>
    <t>草案</t>
  </si>
  <si>
    <t>guāng lín</t>
  </si>
  <si>
    <t>cǎo àn</t>
  </si>
  <si>
    <t>đến, có mặt</t>
  </si>
  <si>
    <t>bản thảo, dự thảo</t>
  </si>
  <si>
    <t>欢迎光临我们的商店。</t>
  </si>
  <si>
    <t>这只是一个初步的草案。</t>
  </si>
  <si>
    <t>光明</t>
  </si>
  <si>
    <t>草率</t>
  </si>
  <si>
    <t>guāng míng</t>
  </si>
  <si>
    <t>cǎo shuài</t>
  </si>
  <si>
    <t>qua loa, đại khái</t>
  </si>
  <si>
    <t>quang minh, sáng sủa</t>
  </si>
  <si>
    <t>他的决定太草率了。</t>
  </si>
  <si>
    <t>早晨的阳光照亮了大地，给予我们光明的希望。</t>
  </si>
  <si>
    <t>策划</t>
  </si>
  <si>
    <t>cè huà</t>
  </si>
  <si>
    <t>光盘</t>
  </si>
  <si>
    <t>kế hoạch, lập kế hoạch</t>
  </si>
  <si>
    <t>guāng pán</t>
  </si>
  <si>
    <t>我们正在策划一个新项目。</t>
  </si>
  <si>
    <t>đĩa CD, VCD,DVD</t>
  </si>
  <si>
    <t>我们买了一张光盘。</t>
  </si>
  <si>
    <t>测量</t>
  </si>
  <si>
    <t>cè liáng</t>
  </si>
  <si>
    <t>đo lường</t>
  </si>
  <si>
    <t>工程师在测量建筑物。</t>
  </si>
  <si>
    <t>广场</t>
  </si>
  <si>
    <t>guǎng chǎng</t>
  </si>
  <si>
    <t>quảng trường</t>
  </si>
  <si>
    <t>广场上有很多人。</t>
  </si>
  <si>
    <t>策略</t>
  </si>
  <si>
    <t>cè lüè</t>
  </si>
  <si>
    <t>chiến lược</t>
  </si>
  <si>
    <t>我们需要制定策略。</t>
  </si>
  <si>
    <t>广大</t>
  </si>
  <si>
    <t>侧面</t>
  </si>
  <si>
    <t>guǎng dà</t>
  </si>
  <si>
    <t>cè miàn</t>
  </si>
  <si>
    <t>quảng đại, rộng lớn</t>
  </si>
  <si>
    <t>mặt bên, khía cạnh</t>
  </si>
  <si>
    <t>这个地区很广大。</t>
  </si>
  <si>
    <t>我们从侧面观察了这个问题。</t>
  </si>
  <si>
    <t>广泛</t>
  </si>
  <si>
    <t>guǎng fàn</t>
  </si>
  <si>
    <t>层出不穷</t>
  </si>
  <si>
    <t>rộng khắp</t>
  </si>
  <si>
    <t>céng chū bù qióng</t>
  </si>
  <si>
    <t>这本书的内容很广泛。</t>
  </si>
  <si>
    <t>tầng tầng lớp lớp</t>
  </si>
  <si>
    <t>这个问题层出不穷。</t>
  </si>
  <si>
    <t>归纳</t>
  </si>
  <si>
    <t>层次</t>
  </si>
  <si>
    <t>guī nà</t>
  </si>
  <si>
    <t>céng cì</t>
  </si>
  <si>
    <t>tóm tắt</t>
  </si>
  <si>
    <t>tầng lớp, cấp bậc</t>
  </si>
  <si>
    <t>我们需要归纳总结信息。</t>
  </si>
  <si>
    <t>这幅画明暗层次不够。</t>
  </si>
  <si>
    <t>规矩</t>
  </si>
  <si>
    <t>guī ju</t>
  </si>
  <si>
    <t>quy tắc</t>
  </si>
  <si>
    <t>chênh lệch</t>
  </si>
  <si>
    <t>他遵守了所有的规矩。</t>
  </si>
  <si>
    <t>他们之间存在巨大的差距。</t>
  </si>
  <si>
    <t>查获</t>
  </si>
  <si>
    <t>chá huò</t>
  </si>
  <si>
    <t>tra ra, bắt được</t>
  </si>
  <si>
    <t>警方查获了大量毒品。</t>
  </si>
  <si>
    <t>规律</t>
  </si>
  <si>
    <t>guī lǜ</t>
  </si>
  <si>
    <t>qui luật</t>
  </si>
  <si>
    <t>这个问题的规律很复杂。</t>
  </si>
  <si>
    <t>岔</t>
  </si>
  <si>
    <t>rẽ nhánh, rẽ đường</t>
  </si>
  <si>
    <t>小路岔成两条，左边通向公园，右边通向商店</t>
  </si>
  <si>
    <t>规模</t>
  </si>
  <si>
    <t>guī mó</t>
  </si>
  <si>
    <t>qui mô</t>
  </si>
  <si>
    <t>公司的规模不断扩大。</t>
  </si>
  <si>
    <t>刹那</t>
  </si>
  <si>
    <t>chà nà</t>
  </si>
  <si>
    <t>chớp mắt, trong khoảnh khắc</t>
  </si>
  <si>
    <t>在刹那间，一切都发生了变化</t>
  </si>
  <si>
    <t>规则</t>
  </si>
  <si>
    <t>guī zé</t>
  </si>
  <si>
    <t>nội qui</t>
  </si>
  <si>
    <t>我们需要遵守规则。</t>
  </si>
  <si>
    <t>诧异</t>
  </si>
  <si>
    <t>chà yì</t>
  </si>
  <si>
    <t>她的表现让人感到诧异。</t>
  </si>
  <si>
    <t>柜台</t>
  </si>
  <si>
    <t>guì tái</t>
  </si>
  <si>
    <t>柴油</t>
  </si>
  <si>
    <t>quầy ba, quầy</t>
  </si>
  <si>
    <t>chái yóu</t>
  </si>
  <si>
    <t>请到柜台办理手续。</t>
  </si>
  <si>
    <t>dầu diesel</t>
  </si>
  <si>
    <t>他用柴油发动了机器。</t>
  </si>
  <si>
    <t>搀</t>
  </si>
  <si>
    <t>滚</t>
  </si>
  <si>
    <t>chān</t>
  </si>
  <si>
    <t>gǔn</t>
  </si>
  <si>
    <t>nâng đỡ, dìu</t>
  </si>
  <si>
    <t>cút, cuộn, lăn</t>
  </si>
  <si>
    <t>他搀着老人过马路。</t>
  </si>
  <si>
    <t>球从桌子上滚下来。</t>
  </si>
  <si>
    <t>馋</t>
  </si>
  <si>
    <t>chán</t>
  </si>
  <si>
    <t>thèm thuồng</t>
  </si>
  <si>
    <t>锅</t>
  </si>
  <si>
    <t>看到美食，他总是很馋。</t>
  </si>
  <si>
    <t>guō</t>
  </si>
  <si>
    <t>nồi</t>
  </si>
  <si>
    <t>我们用锅来煮汤。</t>
  </si>
  <si>
    <t>缠绕</t>
  </si>
  <si>
    <t>chán rào</t>
  </si>
  <si>
    <t>quấn quanh</t>
  </si>
  <si>
    <t>这条项链缠绕在一起了。</t>
  </si>
  <si>
    <t>国庆节</t>
  </si>
  <si>
    <t>guó qìng jié</t>
  </si>
  <si>
    <t>quốc khánh</t>
  </si>
  <si>
    <t>国庆节是中国的重要节日。</t>
  </si>
  <si>
    <t>阐述</t>
  </si>
  <si>
    <t>chǎn shù</t>
  </si>
  <si>
    <t>trình bày, giải thích</t>
  </si>
  <si>
    <t>他详细阐述了他的观点。</t>
  </si>
  <si>
    <t>产业</t>
  </si>
  <si>
    <t>chǎn yè</t>
  </si>
  <si>
    <t>国王</t>
  </si>
  <si>
    <t>công nghiệp, sản nghiệp</t>
  </si>
  <si>
    <t>guó wáng</t>
  </si>
  <si>
    <t>这是一项重要的产业。</t>
  </si>
  <si>
    <t>quốc vương</t>
  </si>
  <si>
    <t>国王住在宏伟的宫殿里。</t>
  </si>
  <si>
    <t>颤抖</t>
  </si>
  <si>
    <t>chàn dǒu</t>
  </si>
  <si>
    <t>听到这个消息，他的身体颤抖了。</t>
  </si>
  <si>
    <t>果然</t>
  </si>
  <si>
    <t>guǒ rán</t>
  </si>
  <si>
    <t>quả nhiên</t>
  </si>
  <si>
    <t>他果然赢得了比赛。</t>
  </si>
  <si>
    <t>猖狂</t>
  </si>
  <si>
    <t>chāng kuáng</t>
  </si>
  <si>
    <t>điên cuồng</t>
  </si>
  <si>
    <t>他们的行为非常猖狂。</t>
  </si>
  <si>
    <t>果实</t>
  </si>
  <si>
    <t>guǒ shí</t>
  </si>
  <si>
    <t>quả thật, trái cây , loại quả</t>
  </si>
  <si>
    <t>这个果实很甜。</t>
  </si>
  <si>
    <t>昌盛</t>
  </si>
  <si>
    <t>chāng shèng</t>
  </si>
  <si>
    <t>hưng thịnh</t>
  </si>
  <si>
    <t>这个国家正在昌盛。</t>
  </si>
  <si>
    <t>过分</t>
  </si>
  <si>
    <t>guò fèn</t>
  </si>
  <si>
    <t>quá đáng</t>
  </si>
  <si>
    <t>他的要求有点过分。</t>
  </si>
  <si>
    <t>偿还</t>
  </si>
  <si>
    <t>cháng huán</t>
  </si>
  <si>
    <t>hoàn trả</t>
  </si>
  <si>
    <t>他偿还了所有的债务。</t>
  </si>
  <si>
    <t>过敏</t>
  </si>
  <si>
    <t>guò mǐn</t>
  </si>
  <si>
    <t>mẫn cảm, dị ứng</t>
  </si>
  <si>
    <t>我对某些食物有过敏反应。</t>
  </si>
  <si>
    <t>常年</t>
  </si>
  <si>
    <t>cháng nián</t>
  </si>
  <si>
    <t>quanh năm</t>
  </si>
  <si>
    <t>这家公司常年盈利。</t>
  </si>
  <si>
    <t>尝试</t>
  </si>
  <si>
    <t>cháng shì</t>
  </si>
  <si>
    <t>thử nghiệm</t>
  </si>
  <si>
    <t>我们应该尝试新的方法。</t>
  </si>
  <si>
    <t>常务</t>
  </si>
  <si>
    <t>cháng wù</t>
  </si>
  <si>
    <t>thường vụ</t>
  </si>
  <si>
    <t>他是公司的常务董事。</t>
  </si>
  <si>
    <t>过期</t>
  </si>
  <si>
    <t>guò qī</t>
  </si>
  <si>
    <t>quá hạn</t>
  </si>
  <si>
    <t>这个食品已经过期了。</t>
  </si>
  <si>
    <t>sân, bãi, nơi</t>
  </si>
  <si>
    <t>他每天都会去运动场。</t>
  </si>
  <si>
    <t>场合</t>
  </si>
  <si>
    <t>chǎng hé</t>
  </si>
  <si>
    <t>哈</t>
  </si>
  <si>
    <t>trường hợp, hoàn cảnh</t>
  </si>
  <si>
    <t>hā</t>
  </si>
  <si>
    <t>会议在正式的场合举行。</t>
  </si>
  <si>
    <t>ha ha</t>
  </si>
  <si>
    <t>哈，你说得对。</t>
  </si>
  <si>
    <t>敞开</t>
  </si>
  <si>
    <t>海关</t>
  </si>
  <si>
    <t>chǎng kāi</t>
  </si>
  <si>
    <t>hǎi guān</t>
  </si>
  <si>
    <t>mở rộng, mở toang</t>
  </si>
  <si>
    <t>hải quan</t>
  </si>
  <si>
    <t>门已经敞开了。</t>
  </si>
  <si>
    <t>他在海关工作。</t>
  </si>
  <si>
    <t>场面</t>
  </si>
  <si>
    <t>chǎng miàn</t>
  </si>
  <si>
    <t>cảnh tượng, tình cảnh</t>
  </si>
  <si>
    <t>海鲜</t>
  </si>
  <si>
    <t>电影的场面很壮观。</t>
  </si>
  <si>
    <t>hǎi xiān</t>
  </si>
  <si>
    <t>hải sản</t>
  </si>
  <si>
    <t>我们今晚吃海鲜。</t>
  </si>
  <si>
    <t>场所</t>
  </si>
  <si>
    <t>chǎng suǒ</t>
  </si>
  <si>
    <t>我们在这个场所见面。</t>
  </si>
  <si>
    <t>喊</t>
  </si>
  <si>
    <t>hǎn</t>
  </si>
  <si>
    <t>hét</t>
  </si>
  <si>
    <t>他在广场上喊叫。</t>
  </si>
  <si>
    <t>倡导</t>
  </si>
  <si>
    <t>chàng dǎo</t>
  </si>
  <si>
    <t>khởi xướng, đề xướng</t>
  </si>
  <si>
    <t>他倡导环保运动。</t>
  </si>
  <si>
    <t>行业</t>
  </si>
  <si>
    <t>háng yè</t>
  </si>
  <si>
    <t>ngành nghề</t>
  </si>
  <si>
    <t>这个行业很有前景。</t>
  </si>
  <si>
    <t>畅通</t>
  </si>
  <si>
    <t>chàng tōng</t>
  </si>
  <si>
    <t>thông suốt</t>
  </si>
  <si>
    <t>这条道路畅通无阻。</t>
  </si>
  <si>
    <t>豪华</t>
  </si>
  <si>
    <t>háo huá</t>
  </si>
  <si>
    <t xml:space="preserve">sang trọng, lộng lẫy </t>
  </si>
  <si>
    <t>他的车很豪华。</t>
  </si>
  <si>
    <t>畅销</t>
  </si>
  <si>
    <t>chàng xiāo</t>
  </si>
  <si>
    <t>bán chạy</t>
  </si>
  <si>
    <t>这本书畅销全国。</t>
  </si>
  <si>
    <t>好客</t>
  </si>
  <si>
    <t>hào kè</t>
  </si>
  <si>
    <t>hiếu khách</t>
  </si>
  <si>
    <t>她是个很热情好客的人。</t>
  </si>
  <si>
    <t>倡议</t>
  </si>
  <si>
    <t>chàng yì</t>
  </si>
  <si>
    <t>sáng kiến, đề nghị</t>
  </si>
  <si>
    <t>他提出了一个新的倡议。</t>
  </si>
  <si>
    <t>好奇</t>
  </si>
  <si>
    <t>hào qí</t>
  </si>
  <si>
    <t>hiếu kì</t>
  </si>
  <si>
    <t>他对一切都感到好奇。</t>
  </si>
  <si>
    <t>siêu cấp</t>
  </si>
  <si>
    <t>这是一个超级工程。</t>
  </si>
  <si>
    <t>合法</t>
  </si>
  <si>
    <t>hé fǎ</t>
  </si>
  <si>
    <t>hợp pháp</t>
  </si>
  <si>
    <t>这个公司的运作是合法的。</t>
  </si>
  <si>
    <t>钞票</t>
  </si>
  <si>
    <t>chāo piào</t>
  </si>
  <si>
    <t>tiền giấy</t>
  </si>
  <si>
    <t>他的钱包里有很多钞票。</t>
  </si>
  <si>
    <t>合理</t>
  </si>
  <si>
    <t>hé lǐ</t>
  </si>
  <si>
    <t>hợp lý</t>
  </si>
  <si>
    <t>这些建议很合理。</t>
  </si>
  <si>
    <t>超越</t>
  </si>
  <si>
    <t>chāo yuè</t>
  </si>
  <si>
    <t>vượt qua, vượt trội</t>
  </si>
  <si>
    <t>我们需要超越自我。</t>
  </si>
  <si>
    <t>合同</t>
  </si>
  <si>
    <t>hé tóng</t>
  </si>
  <si>
    <t>hợp đồng</t>
  </si>
  <si>
    <t>我们签订了合同。</t>
  </si>
  <si>
    <t>潮流</t>
  </si>
  <si>
    <t>cháo liú</t>
  </si>
  <si>
    <t>trào lưu, dòng nước</t>
  </si>
  <si>
    <t>我喜欢追逐潮流。</t>
  </si>
  <si>
    <t>合影</t>
  </si>
  <si>
    <t>hé yǐng</t>
  </si>
  <si>
    <t>chụp ảnh chung, chụp ảnh tập thể</t>
  </si>
  <si>
    <t>这张合影很有意义。</t>
  </si>
  <si>
    <t>潮湿的天气让人不舒服。</t>
  </si>
  <si>
    <t>合作</t>
  </si>
  <si>
    <t>hé zuò</t>
  </si>
  <si>
    <t>hợp tác</t>
  </si>
  <si>
    <t>我们需要合作完成这个项目。</t>
  </si>
  <si>
    <t>嘲笑</t>
  </si>
  <si>
    <t>cháo xiào</t>
  </si>
  <si>
    <t>chế giễu, cười nhạo</t>
  </si>
  <si>
    <t>他们嘲笑他的错误。</t>
  </si>
  <si>
    <t>何必</t>
  </si>
  <si>
    <t>hé bì</t>
  </si>
  <si>
    <t>hà tất</t>
  </si>
  <si>
    <t>何必那么着急？</t>
  </si>
  <si>
    <t>撤退</t>
  </si>
  <si>
    <t>chè tuì</t>
  </si>
  <si>
    <t>rút lui, thoái lui</t>
  </si>
  <si>
    <t>军队被迫撤退。</t>
  </si>
  <si>
    <t>何况</t>
  </si>
  <si>
    <t>hé kuàng</t>
  </si>
  <si>
    <t>huống hồ, hơn nữa</t>
  </si>
  <si>
    <t>何况天气很糟糕。</t>
  </si>
  <si>
    <t>撤销</t>
  </si>
  <si>
    <t>chè xiāo</t>
  </si>
  <si>
    <t>hủy bỏ, bãi bỏ</t>
  </si>
  <si>
    <t>这个决定被撤销了。</t>
  </si>
  <si>
    <t>和平</t>
  </si>
  <si>
    <t>hé píng</t>
  </si>
  <si>
    <t>hòa bình</t>
  </si>
  <si>
    <t>我们希望和平解决问题。</t>
  </si>
  <si>
    <t>沉淀</t>
  </si>
  <si>
    <t>chén diàn</t>
  </si>
  <si>
    <t>lắng đọng, kết tủa</t>
  </si>
  <si>
    <t>这是一种自然的沉淀过程。</t>
  </si>
  <si>
    <t>陈旧</t>
  </si>
  <si>
    <t>chén jiù</t>
  </si>
  <si>
    <t>cũ kỹ, lỗi thời</t>
  </si>
  <si>
    <t>这些设备已经很陈旧了。</t>
  </si>
  <si>
    <t>核心</t>
  </si>
  <si>
    <t>hé xīn</t>
  </si>
  <si>
    <t>trọng tâm</t>
  </si>
  <si>
    <t>这个问题是核心问题。</t>
  </si>
  <si>
    <t>陈列</t>
  </si>
  <si>
    <t>chén liè</t>
  </si>
  <si>
    <t>trưng bày, bày biện</t>
  </si>
  <si>
    <t>商店陈列着各种商品。</t>
  </si>
  <si>
    <t>恨</t>
  </si>
  <si>
    <t>hèn</t>
  </si>
  <si>
    <t>hận</t>
  </si>
  <si>
    <t>沉闷</t>
  </si>
  <si>
    <t>好像他还恨我。</t>
  </si>
  <si>
    <t>chén mèn</t>
  </si>
  <si>
    <t>nặng nề, u ám</t>
  </si>
  <si>
    <t>这个地方非常沉闷。</t>
  </si>
  <si>
    <t>陈述</t>
  </si>
  <si>
    <t>chén shù</t>
  </si>
  <si>
    <t>trình bày, phát biểu</t>
  </si>
  <si>
    <t>猴子</t>
  </si>
  <si>
    <t>他陈述了事件的经过。</t>
  </si>
  <si>
    <t>hóu zi</t>
  </si>
  <si>
    <t>khỉ</t>
  </si>
  <si>
    <t>猴子在树上玩耍。</t>
  </si>
  <si>
    <t>沉思</t>
  </si>
  <si>
    <t>chén sī</t>
  </si>
  <si>
    <t>suy tư, trầm ngâm</t>
  </si>
  <si>
    <t>后背</t>
  </si>
  <si>
    <t>他常常沉思自己的未来。</t>
  </si>
  <si>
    <t>hòu bèi</t>
  </si>
  <si>
    <t>他感到后背很疼。</t>
  </si>
  <si>
    <t>沉重</t>
  </si>
  <si>
    <t>后果</t>
  </si>
  <si>
    <t>chén zhòng</t>
  </si>
  <si>
    <t>nặng nề, trĩu nặng</t>
  </si>
  <si>
    <t>hòu guǒ</t>
  </si>
  <si>
    <t>听到这个消息，他的心情沉重。</t>
  </si>
  <si>
    <t>hậu quả</t>
  </si>
  <si>
    <t>他的后果很严重。</t>
  </si>
  <si>
    <t>沉着</t>
  </si>
  <si>
    <t>chén zhuó</t>
  </si>
  <si>
    <t>bình tĩnh, điềm tĩnh</t>
  </si>
  <si>
    <t>他在危机时刻保持沉着。</t>
  </si>
  <si>
    <t>呼吸</t>
  </si>
  <si>
    <t>hū xī</t>
  </si>
  <si>
    <t>hít thở</t>
  </si>
  <si>
    <t>我们需要注意呼吸。</t>
  </si>
  <si>
    <t>称心如意</t>
  </si>
  <si>
    <t>chèn xīn rú yì</t>
  </si>
  <si>
    <t>vừa ý, hài lòng</t>
  </si>
  <si>
    <t>他的生活称心如意。</t>
  </si>
  <si>
    <t>忽然</t>
  </si>
  <si>
    <t>hū rán</t>
  </si>
  <si>
    <t>bỗng nhiên</t>
  </si>
  <si>
    <t>天气忽然变冷了。</t>
  </si>
  <si>
    <t>称号</t>
  </si>
  <si>
    <t>chēng hào</t>
  </si>
  <si>
    <t>danh hiệu</t>
  </si>
  <si>
    <t>他被授予了荣誉称号。</t>
  </si>
  <si>
    <t>忽视</t>
  </si>
  <si>
    <t>hū shì</t>
  </si>
  <si>
    <t>không coi trọng (kinh tế, ngành nghề, vấn đề nhỏ, nghiên cứu)</t>
  </si>
  <si>
    <t>不要忽视这个细节。</t>
  </si>
  <si>
    <t>橙</t>
  </si>
  <si>
    <t>chéng</t>
  </si>
  <si>
    <t>màu cam</t>
  </si>
  <si>
    <t>她穿了一件橙色的裙子</t>
  </si>
  <si>
    <t>胡说</t>
  </si>
  <si>
    <t>hú shuō</t>
  </si>
  <si>
    <t>nói nhăng quậy</t>
  </si>
  <si>
    <t>他总是胡说八道。</t>
  </si>
  <si>
    <t>盛</t>
  </si>
  <si>
    <t>đựng, chứa, đầy đủ</t>
  </si>
  <si>
    <t>这个碗盛不下这么多汤</t>
  </si>
  <si>
    <t>胡同</t>
  </si>
  <si>
    <t>hú tòng</t>
  </si>
  <si>
    <t>ngõ, hẻm</t>
  </si>
  <si>
    <t>胡同里很安静。</t>
  </si>
  <si>
    <t>承办</t>
  </si>
  <si>
    <t>chéng bàn</t>
  </si>
  <si>
    <t>đảm nhận, thụ lý</t>
  </si>
  <si>
    <t>公司承办了这次活动。</t>
  </si>
  <si>
    <t>壶</t>
  </si>
  <si>
    <t>hú</t>
  </si>
  <si>
    <t>bình, ấm</t>
  </si>
  <si>
    <t>我们用壶煮水。</t>
  </si>
  <si>
    <t>承包</t>
  </si>
  <si>
    <t>chéng bāo</t>
  </si>
  <si>
    <t>thầu, bao thầu</t>
  </si>
  <si>
    <t>他们承包了这个项目。</t>
  </si>
  <si>
    <t>蝴蝶</t>
  </si>
  <si>
    <t>hú dié</t>
  </si>
  <si>
    <t>con bướm</t>
  </si>
  <si>
    <t>蝴蝶在花丛中飞舞。</t>
  </si>
  <si>
    <t>城堡</t>
  </si>
  <si>
    <t>chéng bǎo</t>
  </si>
  <si>
    <t>lâu đài, thành trì</t>
  </si>
  <si>
    <t>古堡的景象非常壮观。</t>
  </si>
  <si>
    <t>糊涂</t>
  </si>
  <si>
    <t>hú tú</t>
  </si>
  <si>
    <t>hồ đồ</t>
  </si>
  <si>
    <t>他总是糊涂的。</t>
  </si>
  <si>
    <t>成本</t>
  </si>
  <si>
    <t>chéng běn</t>
  </si>
  <si>
    <t>giá thành, chi phí</t>
  </si>
  <si>
    <t>生产成本需要降低。</t>
  </si>
  <si>
    <t>惩罚</t>
  </si>
  <si>
    <t>chéng fá</t>
  </si>
  <si>
    <t>花生</t>
  </si>
  <si>
    <t>trừng phạt</t>
  </si>
  <si>
    <t>huā shēng</t>
  </si>
  <si>
    <t>犯罪分子受到了惩罚。</t>
  </si>
  <si>
    <t>lạc, đậu phộng</t>
  </si>
  <si>
    <t>我喜欢吃花生。</t>
  </si>
  <si>
    <t>成交</t>
  </si>
  <si>
    <t>chéng jiāo</t>
  </si>
  <si>
    <t>giao dịch, thành giao</t>
  </si>
  <si>
    <t>交易顺利成交了。</t>
  </si>
  <si>
    <t>划</t>
  </si>
  <si>
    <t>huá</t>
  </si>
  <si>
    <t>chèo (thuyền)</t>
  </si>
  <si>
    <t>划船是一种很好的锻炼。</t>
  </si>
  <si>
    <t>承诺</t>
  </si>
  <si>
    <t>chéng nuò</t>
  </si>
  <si>
    <t>cam kết, hứa hẹn</t>
  </si>
  <si>
    <t>我们承诺会按时完成。</t>
  </si>
  <si>
    <t>华裔</t>
  </si>
  <si>
    <t>huá yì</t>
  </si>
  <si>
    <t>hoa kiều</t>
  </si>
  <si>
    <t>他是华裔美国人。</t>
  </si>
  <si>
    <t>澄清</t>
  </si>
  <si>
    <t>chéng qīng</t>
  </si>
  <si>
    <t>làm sáng tỏ, giải thích</t>
  </si>
  <si>
    <t>他澄清了误会。</t>
  </si>
  <si>
    <t>滑</t>
  </si>
  <si>
    <t>trượt, trơn</t>
  </si>
  <si>
    <t>地板很滑，注意不要摔倒。</t>
  </si>
  <si>
    <t>成天</t>
  </si>
  <si>
    <t>chéng tiān</t>
  </si>
  <si>
    <t>cả ngày</t>
  </si>
  <si>
    <t>他成天忙于工作。</t>
  </si>
  <si>
    <t>化学</t>
  </si>
  <si>
    <t>huà xué</t>
  </si>
  <si>
    <t>hóa học</t>
  </si>
  <si>
    <t>我在学化学。</t>
  </si>
  <si>
    <t>乘务员</t>
  </si>
  <si>
    <t>chéng wù yuán</t>
  </si>
  <si>
    <t>tiếp viên (tàu, máy bay)</t>
  </si>
  <si>
    <t>乘务员为乘客提供服务。</t>
  </si>
  <si>
    <t>话题</t>
  </si>
  <si>
    <t>huà tí</t>
  </si>
  <si>
    <t>chủ đề</t>
  </si>
  <si>
    <t>我们讨论了很多话题。</t>
  </si>
  <si>
    <t>怀念</t>
  </si>
  <si>
    <t>huái niàn</t>
  </si>
  <si>
    <t>hoài niệm</t>
  </si>
  <si>
    <t>我很怀念我的家乡。</t>
  </si>
  <si>
    <t>呈现</t>
  </si>
  <si>
    <t>chéng xiàn</t>
  </si>
  <si>
    <t>trình bày, xuất hiện</t>
  </si>
  <si>
    <t>他的作品呈现了丰富的情感。</t>
  </si>
  <si>
    <t>怀孕</t>
  </si>
  <si>
    <t>huái yùn</t>
  </si>
  <si>
    <t>mang bầu</t>
  </si>
  <si>
    <t>她怀孕了，正在休息。</t>
  </si>
  <si>
    <t>成效</t>
  </si>
  <si>
    <t>chéng xiào</t>
  </si>
  <si>
    <t>hiệu quả, kết quả</t>
  </si>
  <si>
    <t>这个计划已经显现出明显的成效。</t>
  </si>
  <si>
    <t>缓解</t>
  </si>
  <si>
    <t>huǎn jiě</t>
  </si>
  <si>
    <t xml:space="preserve">thả lỏng, giảm, xoa dịu </t>
  </si>
  <si>
    <t>运动可以缓解压力。</t>
  </si>
  <si>
    <t>成心</t>
  </si>
  <si>
    <t>chéng xīn</t>
  </si>
  <si>
    <t>cố ý, có ý định</t>
  </si>
  <si>
    <t>他是成心想帮助你。</t>
  </si>
  <si>
    <t>幻想</t>
  </si>
  <si>
    <t>huàn xiǎng</t>
  </si>
  <si>
    <t>ảo tưởng, giả tưởng</t>
  </si>
  <si>
    <t>他的幻想很丰富。</t>
  </si>
  <si>
    <t>成员</t>
  </si>
  <si>
    <t>chéng yuán</t>
  </si>
  <si>
    <t>thành viên</t>
  </si>
  <si>
    <t>他是团队的成员。</t>
  </si>
  <si>
    <t>诚挚</t>
  </si>
  <si>
    <t>chéng zhì</t>
  </si>
  <si>
    <t>chân thành, tha thiết</t>
  </si>
  <si>
    <t>他用诚挚的态度道歉。</t>
  </si>
  <si>
    <t>慌张</t>
  </si>
  <si>
    <t>huāng zhāng</t>
  </si>
  <si>
    <t>hoảng sợ, rối rắm, rối</t>
  </si>
  <si>
    <t>她在面试中感到很慌张。</t>
  </si>
  <si>
    <t>秤</t>
  </si>
  <si>
    <t>chèng</t>
  </si>
  <si>
    <t>cái cân, cân</t>
  </si>
  <si>
    <t>黄金</t>
  </si>
  <si>
    <t>他们正在用秤称重。</t>
  </si>
  <si>
    <t>huáng jīn</t>
  </si>
  <si>
    <t>vàng</t>
  </si>
  <si>
    <t>这块黄金很重。</t>
  </si>
  <si>
    <t>吃苦</t>
  </si>
  <si>
    <t>灰</t>
  </si>
  <si>
    <t>chī kǔ</t>
  </si>
  <si>
    <t>huī</t>
  </si>
  <si>
    <t>chịu khổ, chịu đựng</t>
  </si>
  <si>
    <t>màu xám</t>
  </si>
  <si>
    <t>他在工作中很吃苦。</t>
  </si>
  <si>
    <t>天空变成了灰色。</t>
  </si>
  <si>
    <t>吃力</t>
  </si>
  <si>
    <t>chī lì</t>
  </si>
  <si>
    <t>tốn sức, mệt nhọc</t>
  </si>
  <si>
    <t>灰尘</t>
  </si>
  <si>
    <t>他搬运这些东西非常吃力。</t>
  </si>
  <si>
    <t>huī chén</t>
  </si>
  <si>
    <t>tro bụi</t>
  </si>
  <si>
    <t>桌子上有一层灰尘。</t>
  </si>
  <si>
    <t>灰心</t>
  </si>
  <si>
    <t>huī xīn</t>
  </si>
  <si>
    <t>nản lòng</t>
  </si>
  <si>
    <t>迟缓</t>
  </si>
  <si>
    <t>他对失败感到灰心。</t>
  </si>
  <si>
    <t>chí huǎn</t>
  </si>
  <si>
    <t>chậm chạp, trì hoãn</t>
  </si>
  <si>
    <t>他的反应很迟缓。</t>
  </si>
  <si>
    <t>持久</t>
  </si>
  <si>
    <t>chí jiǔ</t>
  </si>
  <si>
    <t>bền bỉ, lâu dài</t>
  </si>
  <si>
    <t>这种材料非常持久。</t>
  </si>
  <si>
    <t>挥</t>
  </si>
  <si>
    <t>vẫy</t>
  </si>
  <si>
    <t>ao, hồ</t>
  </si>
  <si>
    <t>她挥手告别了大家。</t>
  </si>
  <si>
    <t>孩子们在池塘边玩耍。</t>
  </si>
  <si>
    <t>迟疑</t>
  </si>
  <si>
    <t>chí yí</t>
  </si>
  <si>
    <t>恢复</t>
  </si>
  <si>
    <t>do dự, lưỡng lự</t>
  </si>
  <si>
    <t>huī fù</t>
  </si>
  <si>
    <t>他对这个决定有些迟疑。</t>
  </si>
  <si>
    <t>hồi phục, khôi phục</t>
  </si>
  <si>
    <t>我们需要恢复体力。</t>
  </si>
  <si>
    <t>赤道</t>
  </si>
  <si>
    <t>chì dào</t>
  </si>
  <si>
    <t>汇率</t>
  </si>
  <si>
    <t>xích đạo</t>
  </si>
  <si>
    <t>huì lǜ</t>
  </si>
  <si>
    <t>赤道横穿地球。</t>
  </si>
  <si>
    <t>tỷ giá</t>
  </si>
  <si>
    <t>当前的汇率非常不稳定。</t>
  </si>
  <si>
    <t>赤字</t>
  </si>
  <si>
    <t>chì zì</t>
  </si>
  <si>
    <t>thâm hụt, thiếu hụt</t>
  </si>
  <si>
    <t>公司出现了严重的赤字。</t>
  </si>
  <si>
    <t>婚礼</t>
  </si>
  <si>
    <t>hūn lǐ</t>
  </si>
  <si>
    <t>hôn lễ</t>
  </si>
  <si>
    <t>她正在准备婚礼。</t>
  </si>
  <si>
    <t>充当</t>
  </si>
  <si>
    <t>chōng dāng</t>
  </si>
  <si>
    <t>đảm nhiệm, đóng vai</t>
  </si>
  <si>
    <t>他充当了调解人。</t>
  </si>
  <si>
    <t>婚姻</t>
  </si>
  <si>
    <t>hūn yīn</t>
  </si>
  <si>
    <t>hôn nhân</t>
  </si>
  <si>
    <t>他们的婚姻很幸福。</t>
  </si>
  <si>
    <t>冲动</t>
  </si>
  <si>
    <t>chōng dòng</t>
  </si>
  <si>
    <t>xung động, kích động</t>
  </si>
  <si>
    <t>他总是冲动行事。</t>
  </si>
  <si>
    <t>活跃</t>
  </si>
  <si>
    <t>huó yuè</t>
  </si>
  <si>
    <t>sôi nổi</t>
  </si>
  <si>
    <t>他在工作中非常活跃。</t>
  </si>
  <si>
    <t>冲击</t>
  </si>
  <si>
    <t>chōng jī</t>
  </si>
  <si>
    <t>tấn công, xung kích</t>
  </si>
  <si>
    <t>洪水冲击了村庄。</t>
  </si>
  <si>
    <t>火柴</t>
  </si>
  <si>
    <t>huǒ chái</t>
  </si>
  <si>
    <t>diêm</t>
  </si>
  <si>
    <t>我们需要买一些火柴。</t>
  </si>
  <si>
    <t>充沛</t>
  </si>
  <si>
    <t>chōng pèi</t>
  </si>
  <si>
    <t>dồi dào, đầy đủ</t>
  </si>
  <si>
    <t>他充沛的精力让人佩服。</t>
  </si>
  <si>
    <t>充实</t>
  </si>
  <si>
    <t>chōng shí</t>
  </si>
  <si>
    <t>làm phong phú, bổ sung</t>
  </si>
  <si>
    <t>我们需要充实自己的知识。</t>
  </si>
  <si>
    <t>伙伴</t>
  </si>
  <si>
    <t>huǒ bàn</t>
  </si>
  <si>
    <t>bạn đồng hành</t>
  </si>
  <si>
    <t>冲突</t>
  </si>
  <si>
    <t>他是我的好伙伴。</t>
  </si>
  <si>
    <t>chōng tū</t>
  </si>
  <si>
    <t>xung đột, va chạm</t>
  </si>
  <si>
    <t>他们之间发生了冲突。</t>
  </si>
  <si>
    <t>或许</t>
  </si>
  <si>
    <t>huò xǔ</t>
  </si>
  <si>
    <t>có lẽ, có thể, hay là</t>
  </si>
  <si>
    <t>或许明天会有好天气。</t>
  </si>
  <si>
    <t>充足</t>
  </si>
  <si>
    <t>chōng zú</t>
  </si>
  <si>
    <t>đầy đủ, phong phú</t>
  </si>
  <si>
    <t>我们有充足的时间完成任务。</t>
  </si>
  <si>
    <t>机器</t>
  </si>
  <si>
    <t>jī qì</t>
  </si>
  <si>
    <t>máy móc</t>
  </si>
  <si>
    <t>这台机器很先进。</t>
  </si>
  <si>
    <t>崇拜</t>
  </si>
  <si>
    <t>肌肉</t>
  </si>
  <si>
    <t>chóng bài</t>
  </si>
  <si>
    <t>jī ròu</t>
  </si>
  <si>
    <t>sùng bái, tôn thờ</t>
  </si>
  <si>
    <t>cơ bắp</t>
  </si>
  <si>
    <t>我非常崇拜他。</t>
  </si>
  <si>
    <t>他在锻炼肌肉。</t>
  </si>
  <si>
    <t>基本</t>
  </si>
  <si>
    <t>jī běn</t>
  </si>
  <si>
    <t>cơ bản, căn bản</t>
  </si>
  <si>
    <t>重叠</t>
  </si>
  <si>
    <t>这是一个基本的技能。</t>
  </si>
  <si>
    <t>chóng dié</t>
  </si>
  <si>
    <t>chồng chéo, trùng điệp</t>
  </si>
  <si>
    <t>这两个图案重叠在一起。</t>
  </si>
  <si>
    <t>激烈</t>
  </si>
  <si>
    <t>jī liè</t>
  </si>
  <si>
    <t>khốc liệt, kịch liệt</t>
  </si>
  <si>
    <t>比赛非常激烈。</t>
  </si>
  <si>
    <t>崇高</t>
  </si>
  <si>
    <t>chóng gāo</t>
  </si>
  <si>
    <t>cao cả, cao quý</t>
  </si>
  <si>
    <t>他有崇高的理想。</t>
  </si>
  <si>
    <t>及格</t>
  </si>
  <si>
    <t>jí gé</t>
  </si>
  <si>
    <t>đạt điểm qua</t>
  </si>
  <si>
    <t>他考试及格了。</t>
  </si>
  <si>
    <t>崇敬</t>
  </si>
  <si>
    <t>chóng jìng</t>
  </si>
  <si>
    <t>kính trọng, tôn kính</t>
  </si>
  <si>
    <t>我们都崇敬他。</t>
  </si>
  <si>
    <t>极其</t>
  </si>
  <si>
    <t>jí qí</t>
  </si>
  <si>
    <t>cực kì</t>
  </si>
  <si>
    <t>这种情况极其罕见。</t>
  </si>
  <si>
    <t>重阳节</t>
  </si>
  <si>
    <t>Chóng yáng jié</t>
  </si>
  <si>
    <t>Tết Trùng Cửu</t>
  </si>
  <si>
    <t>重阳节是中国的传统节日。</t>
  </si>
  <si>
    <t>急忙</t>
  </si>
  <si>
    <t>jí máng</t>
  </si>
  <si>
    <t>他急忙赶到医院。</t>
  </si>
  <si>
    <t>抽空</t>
  </si>
  <si>
    <t>chōu kòng</t>
  </si>
  <si>
    <t>tranh thủ thời gian</t>
  </si>
  <si>
    <t>我会抽空来看你。</t>
  </si>
  <si>
    <t>急诊</t>
  </si>
  <si>
    <t>jí zhěn</t>
  </si>
  <si>
    <t>cấp cứu</t>
  </si>
  <si>
    <t>她去急诊室看病。</t>
  </si>
  <si>
    <t>筹备</t>
  </si>
  <si>
    <t>chóu bèi</t>
  </si>
  <si>
    <t>chuẩn bị, sắp xếp</t>
  </si>
  <si>
    <t>他们正在筹备婚礼。</t>
  </si>
  <si>
    <t>集合</t>
  </si>
  <si>
    <t>jí hé</t>
  </si>
  <si>
    <t>tập hợp</t>
  </si>
  <si>
    <t>我们在操场上集合。</t>
  </si>
  <si>
    <t>踌躇</t>
  </si>
  <si>
    <t>chóu chú</t>
  </si>
  <si>
    <t>他踌躇了很久才决定。</t>
  </si>
  <si>
    <t>集体</t>
  </si>
  <si>
    <t>jí tǐ</t>
  </si>
  <si>
    <t>tập thể</t>
  </si>
  <si>
    <t>这是一个集体活动。</t>
  </si>
  <si>
    <t>稠密</t>
  </si>
  <si>
    <t>chóu mì</t>
  </si>
  <si>
    <t>dày đặc, đông đúc</t>
  </si>
  <si>
    <t>这个地区人口稠密。</t>
  </si>
  <si>
    <t>集中</t>
  </si>
  <si>
    <t>jí zhōng</t>
  </si>
  <si>
    <t>tập trung</t>
  </si>
  <si>
    <t>大家集中注意力听讲。</t>
  </si>
  <si>
    <t>丑恶</t>
  </si>
  <si>
    <t>chǒu è</t>
  </si>
  <si>
    <t>xấu xa, đê tiện</t>
  </si>
  <si>
    <t>他的行为非常丑恶。</t>
  </si>
  <si>
    <t>计算</t>
  </si>
  <si>
    <t>jì suàn</t>
  </si>
  <si>
    <t>tính toán</t>
  </si>
  <si>
    <t>我们需要计算总花费。</t>
  </si>
  <si>
    <t>初步</t>
  </si>
  <si>
    <t>chū bù</t>
  </si>
  <si>
    <t>sơ bộ, bước đầu</t>
  </si>
  <si>
    <t>这是一个初步计划。</t>
  </si>
  <si>
    <t>出路</t>
  </si>
  <si>
    <t>chū lù</t>
  </si>
  <si>
    <t>记录</t>
  </si>
  <si>
    <t>đường ra, lối thoát</t>
  </si>
  <si>
    <t>jì lù</t>
  </si>
  <si>
    <t>我们必须找到出路。</t>
  </si>
  <si>
    <t>ghi chép</t>
  </si>
  <si>
    <t>请记录你的进展。</t>
  </si>
  <si>
    <t>出卖</t>
  </si>
  <si>
    <t>chū mài</t>
  </si>
  <si>
    <t>bán đứng, phản bội</t>
  </si>
  <si>
    <t>他出卖了自己的朋友。</t>
  </si>
  <si>
    <t>记忆</t>
  </si>
  <si>
    <t>jì yì</t>
  </si>
  <si>
    <t>ký ức</t>
  </si>
  <si>
    <t>他的记忆力很好。</t>
  </si>
  <si>
    <t>出身</t>
  </si>
  <si>
    <t>chū shēn</t>
  </si>
  <si>
    <t>xuất thân, gốc gác</t>
  </si>
  <si>
    <t>他出身于一个贫穷的家庭。</t>
  </si>
  <si>
    <t>纪录</t>
  </si>
  <si>
    <t>kỷ lục</t>
  </si>
  <si>
    <t>这本书是一个历史纪录。</t>
  </si>
  <si>
    <t>出神</t>
  </si>
  <si>
    <t>chū shén</t>
  </si>
  <si>
    <t>mê mẩn, ngẩn ngơ</t>
  </si>
  <si>
    <t>他看电影时出神了。</t>
  </si>
  <si>
    <t>纪律</t>
  </si>
  <si>
    <t>jì lǜ</t>
  </si>
  <si>
    <t>kỷ luật</t>
  </si>
  <si>
    <t>他严格遵守纪律。</t>
  </si>
  <si>
    <t>出息</t>
  </si>
  <si>
    <t>chū xī</t>
  </si>
  <si>
    <t>triển vọng, tiền đồ</t>
  </si>
  <si>
    <t>纪念</t>
  </si>
  <si>
    <t>他有很大的出息。</t>
  </si>
  <si>
    <t>jì niàn</t>
  </si>
  <si>
    <t>kỉ niệm</t>
  </si>
  <si>
    <t>我们一起纪念这个特别的日子。</t>
  </si>
  <si>
    <t>出洋相</t>
  </si>
  <si>
    <t>系领带</t>
  </si>
  <si>
    <t>chū yáng xiàng</t>
  </si>
  <si>
    <t>jì lǐng dài</t>
  </si>
  <si>
    <t>làm trò cười, bẽ mặt</t>
  </si>
  <si>
    <t>thắt cà vạt</t>
  </si>
  <si>
    <t>他在会上出洋相了。</t>
  </si>
  <si>
    <t>他会系领带吗？</t>
  </si>
  <si>
    <t>寂寞</t>
  </si>
  <si>
    <t>储备</t>
  </si>
  <si>
    <t>jì mò</t>
  </si>
  <si>
    <t>chǔ bèi</t>
  </si>
  <si>
    <t>cô đơn</t>
  </si>
  <si>
    <t>dự trữ, tích trữ</t>
  </si>
  <si>
    <t>她感到非常寂寞。</t>
  </si>
  <si>
    <t>我们需要储备足够的物资。</t>
  </si>
  <si>
    <t>夹子</t>
  </si>
  <si>
    <t>jiā zi</t>
  </si>
  <si>
    <t>cái kẹp</t>
  </si>
  <si>
    <t>我需要一个夹子来夹住文件。</t>
  </si>
  <si>
    <t>储存</t>
  </si>
  <si>
    <t>chǔ cún</t>
  </si>
  <si>
    <t>家庭</t>
  </si>
  <si>
    <t>dự trữ, cất giữ</t>
  </si>
  <si>
    <t>jiā tíng</t>
  </si>
  <si>
    <t>这些数据需要储存起来。</t>
  </si>
  <si>
    <t>gia đình</t>
  </si>
  <si>
    <t>我们的家庭很和睦。</t>
  </si>
  <si>
    <t>家务</t>
  </si>
  <si>
    <t>处分</t>
  </si>
  <si>
    <t>jiā wù</t>
  </si>
  <si>
    <t>chǔ fèn</t>
  </si>
  <si>
    <t>việc nhà</t>
  </si>
  <si>
    <t>xử phạt, xử lý</t>
  </si>
  <si>
    <t>她负责家务工作。</t>
  </si>
  <si>
    <t>他受到了处分。</t>
  </si>
  <si>
    <t>家乡</t>
  </si>
  <si>
    <t>jiā xiāng</t>
  </si>
  <si>
    <t>处境</t>
  </si>
  <si>
    <t>quê hương</t>
  </si>
  <si>
    <t>chǔ jìng</t>
  </si>
  <si>
    <t>我的家乡在一个美丽的城市。</t>
  </si>
  <si>
    <t>tình cảnh, hoàn cảnh</t>
  </si>
  <si>
    <t>他的处境很困难。</t>
  </si>
  <si>
    <t>嘉宾</t>
  </si>
  <si>
    <t>jiā bīn</t>
  </si>
  <si>
    <t>khách mời</t>
  </si>
  <si>
    <t>储蓄</t>
  </si>
  <si>
    <t>这位嘉宾很有名。</t>
  </si>
  <si>
    <t>chǔ xù</t>
  </si>
  <si>
    <t>tiết kiệm, để dành</t>
  </si>
  <si>
    <t>我们需要建立一个储蓄账户。</t>
  </si>
  <si>
    <t>甲</t>
  </si>
  <si>
    <t>处置</t>
  </si>
  <si>
    <t>giáp</t>
  </si>
  <si>
    <t>chǔ zhì</t>
  </si>
  <si>
    <t>甲是第一个人。</t>
  </si>
  <si>
    <t>xử lý, xử trí</t>
  </si>
  <si>
    <t>警方迅速对事件进行了处置。</t>
  </si>
  <si>
    <t>假如</t>
  </si>
  <si>
    <t>jiǎ rú</t>
  </si>
  <si>
    <t>giả dụ</t>
  </si>
  <si>
    <t>假如明天下雨，我们就不去旅行。</t>
  </si>
  <si>
    <t>触犯</t>
  </si>
  <si>
    <t>chù fàn</t>
  </si>
  <si>
    <t>vi phạm, đụng chạm</t>
  </si>
  <si>
    <t>他触犯了法律。</t>
  </si>
  <si>
    <t>川流不息</t>
  </si>
  <si>
    <t>chuān liú bù xī</t>
  </si>
  <si>
    <t>假设</t>
  </si>
  <si>
    <t>đông như trẩy hội</t>
  </si>
  <si>
    <t>jiǎ shè</t>
  </si>
  <si>
    <t>giả thuyết</t>
  </si>
  <si>
    <t>参观者川流不息地向这所房子走来.</t>
  </si>
  <si>
    <t>假设他没有来，我们怎么办？</t>
  </si>
  <si>
    <t>穿越</t>
  </si>
  <si>
    <t>假装</t>
  </si>
  <si>
    <t>chuān yuè</t>
  </si>
  <si>
    <t>jiǎ zhuāng</t>
  </si>
  <si>
    <t>vượt qua, xuyên qua</t>
  </si>
  <si>
    <t>giả vờ</t>
  </si>
  <si>
    <t>他们穿越了沙漠。</t>
  </si>
  <si>
    <t>她假装生病以避免工作。</t>
  </si>
  <si>
    <t>价值</t>
  </si>
  <si>
    <t>jià zhí</t>
  </si>
  <si>
    <t>船舶</t>
  </si>
  <si>
    <t>giá trị</t>
  </si>
  <si>
    <t>chuán bó</t>
  </si>
  <si>
    <t>这个手表的价值很高。</t>
  </si>
  <si>
    <t>tàu, thuyền</t>
  </si>
  <si>
    <t>这艘船舶非常大。</t>
  </si>
  <si>
    <t>驾驶</t>
  </si>
  <si>
    <t>jià shǐ</t>
  </si>
  <si>
    <t>lái xe</t>
  </si>
  <si>
    <t>他正在学习驾驶。</t>
  </si>
  <si>
    <t>传达</t>
  </si>
  <si>
    <t>chuán dá</t>
  </si>
  <si>
    <t>truyền đạt, thông báo</t>
  </si>
  <si>
    <t>他传达了这个消息。</t>
  </si>
  <si>
    <t>嫁</t>
  </si>
  <si>
    <t>jià</t>
  </si>
  <si>
    <t>gả chồng</t>
  </si>
  <si>
    <t>她打算嫁给他。</t>
  </si>
  <si>
    <t>传单</t>
  </si>
  <si>
    <t>chuán dān</t>
  </si>
  <si>
    <t>tờ rơi, truyền đơn</t>
  </si>
  <si>
    <t>他给我一张传单。</t>
  </si>
  <si>
    <t>坚决</t>
  </si>
  <si>
    <t>jiān jué</t>
  </si>
  <si>
    <t>kiên quyết</t>
  </si>
  <si>
    <t>他坚决拒绝了这个提议。</t>
  </si>
  <si>
    <t>坚强</t>
  </si>
  <si>
    <t>jiān qiáng</t>
  </si>
  <si>
    <t>kiên cường</t>
  </si>
  <si>
    <t>她非常坚强。</t>
  </si>
  <si>
    <t>传授</t>
  </si>
  <si>
    <t>chuán shòu</t>
  </si>
  <si>
    <t>truyền thụ, dạy dỗ</t>
  </si>
  <si>
    <t>他传授了我们很多知识。</t>
  </si>
  <si>
    <t>肩膀</t>
  </si>
  <si>
    <t>jiān bǎng</t>
  </si>
  <si>
    <t>bờ vai</t>
  </si>
  <si>
    <t>他肩膀上有一个伤口。</t>
  </si>
  <si>
    <t>喘气</t>
  </si>
  <si>
    <t>chuǎn qì</t>
  </si>
  <si>
    <t>thở dốc, thở hổn hển</t>
  </si>
  <si>
    <t>他跑得气喘吁吁。</t>
  </si>
  <si>
    <t>艰巨</t>
  </si>
  <si>
    <t>jiān jù</t>
  </si>
  <si>
    <t>khó khăn (công việc, nhiệm vụ)</t>
  </si>
  <si>
    <t>这项任务非常艰巨。</t>
  </si>
  <si>
    <t>串</t>
  </si>
  <si>
    <t>chuàn</t>
  </si>
  <si>
    <t>xâu, chuỗi</t>
  </si>
  <si>
    <t>艰苦</t>
  </si>
  <si>
    <t>我们把钥匙串在一起。</t>
  </si>
  <si>
    <t>jiān kǔ</t>
  </si>
  <si>
    <t>gian khổ, gian khóa</t>
  </si>
  <si>
    <t>他经历了艰苦的训练。</t>
  </si>
  <si>
    <t>兼职</t>
  </si>
  <si>
    <t>床单</t>
  </si>
  <si>
    <t>jiān zhí</t>
  </si>
  <si>
    <t>chuáng dān</t>
  </si>
  <si>
    <t>chức vụ, kiêm nhiệm</t>
  </si>
  <si>
    <t>ga trải giường</t>
  </si>
  <si>
    <t>他在兼职做翻译工作。</t>
  </si>
  <si>
    <t>这条床单很干净。</t>
  </si>
  <si>
    <t>捡</t>
  </si>
  <si>
    <t>jiǎn</t>
  </si>
  <si>
    <t>nhặt</t>
  </si>
  <si>
    <t>我在地上捡到了一些硬币。</t>
  </si>
  <si>
    <t>创立</t>
  </si>
  <si>
    <t>chuàng lì</t>
  </si>
  <si>
    <t>sáng lập, thành lập</t>
  </si>
  <si>
    <t>他创立了自己的公司。</t>
  </si>
  <si>
    <t>剪刀</t>
  </si>
  <si>
    <t>jiǎn dāo</t>
  </si>
  <si>
    <t>cái kéo</t>
  </si>
  <si>
    <t>请用剪刀剪开这个包裹。</t>
  </si>
  <si>
    <t>创新</t>
  </si>
  <si>
    <t>chuàng xīn</t>
  </si>
  <si>
    <t>đổi mới, sáng tạo</t>
  </si>
  <si>
    <t>我们需要不断创新。</t>
  </si>
  <si>
    <t>简历</t>
  </si>
  <si>
    <t>jiǎn lì</t>
  </si>
  <si>
    <t>sơ yếu lý lịch</t>
  </si>
  <si>
    <t>我需要更新我的简历。</t>
  </si>
  <si>
    <t>创业</t>
  </si>
  <si>
    <t>chuàng yè</t>
  </si>
  <si>
    <t>khởi nghiệp</t>
  </si>
  <si>
    <t>他决定创业。</t>
  </si>
  <si>
    <t>简直</t>
  </si>
  <si>
    <t>jiǎn zhí</t>
  </si>
  <si>
    <t>这个问题简直无法解决。</t>
  </si>
  <si>
    <t>创作</t>
  </si>
  <si>
    <t>chuàng zuò</t>
  </si>
  <si>
    <t>sáng tác</t>
  </si>
  <si>
    <t>这是一部创作小说。</t>
  </si>
  <si>
    <t>建立</t>
  </si>
  <si>
    <t>jiàn lì</t>
  </si>
  <si>
    <t>thành lập (tổ chức, trường học), thiết lập (quan hệ)</t>
  </si>
  <si>
    <t>我们需要建立一个新的团队。</t>
  </si>
  <si>
    <t>吹牛</t>
  </si>
  <si>
    <t>chuī niú</t>
  </si>
  <si>
    <t>khoác lác, nói phét</t>
  </si>
  <si>
    <t>他总是喜欢吹牛。</t>
  </si>
  <si>
    <t>建设</t>
  </si>
  <si>
    <t>jiàn shè</t>
  </si>
  <si>
    <t>dựng xây, xây dựng</t>
  </si>
  <si>
    <t>这座城市正在进行建设。</t>
  </si>
  <si>
    <t>吹捧</t>
  </si>
  <si>
    <t>chuī pěng</t>
  </si>
  <si>
    <t>tán tụng, tâng bốc</t>
  </si>
  <si>
    <t>他们过分吹捧了他的成绩。</t>
  </si>
  <si>
    <t>建筑</t>
  </si>
  <si>
    <t>jiàn zhù</t>
  </si>
  <si>
    <t xml:space="preserve">công trình xây dưng, (công ty) xây dựng, (ngành) xây dựng, kiến trúc </t>
  </si>
  <si>
    <t>这座建筑很古老。</t>
  </si>
  <si>
    <t>锤</t>
  </si>
  <si>
    <t>chuí</t>
  </si>
  <si>
    <t>cái búa</t>
  </si>
  <si>
    <t>健身</t>
  </si>
  <si>
    <t>jiàn shēn</t>
  </si>
  <si>
    <t>他用锤子敲钉子。</t>
  </si>
  <si>
    <t>tập thể dục</t>
  </si>
  <si>
    <t>他每天去健身房锻炼。</t>
  </si>
  <si>
    <t>键盘</t>
  </si>
  <si>
    <t>jiàn pán</t>
  </si>
  <si>
    <t>bàn phím</t>
  </si>
  <si>
    <t>我买了一台新键盘。</t>
  </si>
  <si>
    <t>垂直</t>
  </si>
  <si>
    <t>chuí zhí</t>
  </si>
  <si>
    <t>thẳng đứng</t>
  </si>
  <si>
    <t>这根柱子是垂直的。</t>
  </si>
  <si>
    <t>讲究</t>
  </si>
  <si>
    <t>jiǎng jiū</t>
  </si>
  <si>
    <t>这篇文章讲究细节。</t>
  </si>
  <si>
    <t>纯粹</t>
  </si>
  <si>
    <t>chún cuì</t>
  </si>
  <si>
    <t>thuần túy</t>
  </si>
  <si>
    <t>他是一个纯粹的艺术家。</t>
  </si>
  <si>
    <t>讲座</t>
  </si>
  <si>
    <t>jiǎng zuò</t>
  </si>
  <si>
    <t>buổi diễn thuyết</t>
  </si>
  <si>
    <t>他参加了一个有趣的讲座。</t>
  </si>
  <si>
    <t>纯洁</t>
  </si>
  <si>
    <t>chún jié</t>
  </si>
  <si>
    <t>trong sạch, thuần khiết</t>
  </si>
  <si>
    <t>这个城市的空气很纯洁。</t>
  </si>
  <si>
    <t>酱油</t>
  </si>
  <si>
    <t>jiàng yóu</t>
  </si>
  <si>
    <t>xì dầu</t>
  </si>
  <si>
    <t>我喜欢用酱油来调味。</t>
  </si>
  <si>
    <t>我们需要学习更多的词汇。</t>
  </si>
  <si>
    <t>交换</t>
  </si>
  <si>
    <t>jiāo huàn</t>
  </si>
  <si>
    <t>trao đổi</t>
  </si>
  <si>
    <t>我们可以交换意见。</t>
  </si>
  <si>
    <t>慈祥</t>
  </si>
  <si>
    <t>cí xiáng</t>
  </si>
  <si>
    <t>từ bi, hiền hậu</t>
  </si>
  <si>
    <t>她的笑容很慈祥。</t>
  </si>
  <si>
    <t>交际</t>
  </si>
  <si>
    <t>jiāo jì</t>
  </si>
  <si>
    <t>giao tiếp</t>
  </si>
  <si>
    <t>他擅长交际。</t>
  </si>
  <si>
    <t>雌雄</t>
  </si>
  <si>
    <t>cí xióng</t>
  </si>
  <si>
    <t>đực và cái</t>
  </si>
  <si>
    <t>这些鸟类是雌雄同体的。</t>
  </si>
  <si>
    <t>交往</t>
  </si>
  <si>
    <t>jiāo wǎng</t>
  </si>
  <si>
    <t>đi lại, giao thiệp</t>
  </si>
  <si>
    <t>刺</t>
  </si>
  <si>
    <t>我们在这里交往了很多年。</t>
  </si>
  <si>
    <t>gai, đâm</t>
  </si>
  <si>
    <t>他被刺伤了。</t>
  </si>
  <si>
    <t>浇</t>
  </si>
  <si>
    <t>tưới nước</t>
  </si>
  <si>
    <t>请给这些植物浇水。</t>
  </si>
  <si>
    <t>伺候</t>
  </si>
  <si>
    <t>cì hòu</t>
  </si>
  <si>
    <t>phục vụ, chăm sóc</t>
  </si>
  <si>
    <t>他在伺候病人。</t>
  </si>
  <si>
    <t>胶水</t>
  </si>
  <si>
    <t>jiāo shuǐ</t>
  </si>
  <si>
    <t>keo dán</t>
  </si>
  <si>
    <t>他用胶水修理了那个破裂的瓶子。</t>
  </si>
  <si>
    <t>次品</t>
  </si>
  <si>
    <t>cì pǐn</t>
  </si>
  <si>
    <t>hàng lỗi</t>
  </si>
  <si>
    <t>这个产品是次品。</t>
  </si>
  <si>
    <t>角度</t>
  </si>
  <si>
    <t>jiǎo dù</t>
  </si>
  <si>
    <t>góc độ</t>
  </si>
  <si>
    <t>我们从不同的角度看问题。</t>
  </si>
  <si>
    <t>次序</t>
  </si>
  <si>
    <t>cì xù</t>
  </si>
  <si>
    <t>请按次序排队。</t>
  </si>
  <si>
    <t>狡猾</t>
  </si>
  <si>
    <t>jiǎo huá</t>
  </si>
  <si>
    <t>giảo hoạt</t>
  </si>
  <si>
    <t>他是一个非常狡猾的商人。</t>
  </si>
  <si>
    <t>丛</t>
  </si>
  <si>
    <t>bụi, lùm</t>
  </si>
  <si>
    <t>这是一片丛林。</t>
  </si>
  <si>
    <t>教材</t>
  </si>
  <si>
    <t>jiào cái</t>
  </si>
  <si>
    <t>giao trình</t>
  </si>
  <si>
    <t>从容不迫</t>
  </si>
  <si>
    <t>这本书是教材之一。</t>
  </si>
  <si>
    <t>cóng róng bù pò</t>
  </si>
  <si>
    <t>ung dung, bình tĩnh</t>
  </si>
  <si>
    <t>他从容不迫地回答问题。</t>
  </si>
  <si>
    <t>教练</t>
  </si>
  <si>
    <t>凑合</t>
  </si>
  <si>
    <t>còu he</t>
  </si>
  <si>
    <t>tập hợp; gom góp</t>
  </si>
  <si>
    <t>我们需要凑合着用这些资源。</t>
  </si>
  <si>
    <t>jiào liàn</t>
  </si>
  <si>
    <t>huấn luyện viên</t>
  </si>
  <si>
    <t>教练给了我们很多建议。</t>
  </si>
  <si>
    <t>粗鲁</t>
  </si>
  <si>
    <t>cū lǔ</t>
  </si>
  <si>
    <t>thô lỗ, cộc cằn</t>
  </si>
  <si>
    <t>他的态度很粗鲁。</t>
  </si>
  <si>
    <t>教训</t>
  </si>
  <si>
    <t>jiào xùn</t>
  </si>
  <si>
    <t>giáo huấn, bài học</t>
  </si>
  <si>
    <t>这次教训对我来说很重要。</t>
  </si>
  <si>
    <t>窜</t>
  </si>
  <si>
    <t>cuàn</t>
  </si>
  <si>
    <t>chạy trốn, trốn chạy</t>
  </si>
  <si>
    <t>小偷在夜里窜逃了。</t>
  </si>
  <si>
    <t>阶段</t>
  </si>
  <si>
    <t>jiē duàn</t>
  </si>
  <si>
    <t>giai đoạn</t>
  </si>
  <si>
    <t>我们正在进行不同的阶段。</t>
  </si>
  <si>
    <t>摧残</t>
  </si>
  <si>
    <t>cuī cán</t>
  </si>
  <si>
    <t>tàn phá, phá hoại</t>
  </si>
  <si>
    <t>战争摧残了这个国家。</t>
  </si>
  <si>
    <t>结实</t>
  </si>
  <si>
    <t>jiē shi</t>
  </si>
  <si>
    <t>chắc chắn</t>
  </si>
  <si>
    <t>这座房子很结实。</t>
  </si>
  <si>
    <t>脆弱</t>
  </si>
  <si>
    <t>cuì ruò</t>
  </si>
  <si>
    <t>yếu ớt, dễ vỡ</t>
  </si>
  <si>
    <t>他的身体很脆弱。</t>
  </si>
  <si>
    <t>接触</t>
  </si>
  <si>
    <t>jiē chù</t>
  </si>
  <si>
    <t>tiếp xúc</t>
  </si>
  <si>
    <t>我们需要更多接触这些材料。</t>
  </si>
  <si>
    <t>接待</t>
  </si>
  <si>
    <t>jiē dài</t>
  </si>
  <si>
    <t>tiếp đãi</t>
  </si>
  <si>
    <t>他负责接待来访的客人。</t>
  </si>
  <si>
    <t>搓</t>
  </si>
  <si>
    <t>cuō</t>
  </si>
  <si>
    <t>vò, chà</t>
  </si>
  <si>
    <t>他在搓手指。</t>
  </si>
  <si>
    <t>接近</t>
  </si>
  <si>
    <t>jiē jìn</t>
  </si>
  <si>
    <t>tiếp cận</t>
  </si>
  <si>
    <t>她故意接近我。</t>
  </si>
  <si>
    <t>磋商</t>
  </si>
  <si>
    <t>cuō shāng</t>
  </si>
  <si>
    <t>đàm phán, thương lượng</t>
  </si>
  <si>
    <t>他们正在进行磋商。</t>
  </si>
  <si>
    <t>节省</t>
  </si>
  <si>
    <t>jié shěng</t>
  </si>
  <si>
    <t>我们需要节省开支。</t>
  </si>
  <si>
    <t>挫折</t>
  </si>
  <si>
    <t>cuò zhé</t>
  </si>
  <si>
    <t>trở ngại, thất bại</t>
  </si>
  <si>
    <t>他在克服挫折中成长。</t>
  </si>
  <si>
    <t>结构</t>
  </si>
  <si>
    <t>jié gòu</t>
  </si>
  <si>
    <t>kết cấu</t>
  </si>
  <si>
    <t>这个建筑的结构很复杂。</t>
  </si>
  <si>
    <t>搭</t>
  </si>
  <si>
    <t>dā</t>
  </si>
  <si>
    <t>lắp đặt, dựng lên</t>
  </si>
  <si>
    <t>我帮你搭个棚子。</t>
  </si>
  <si>
    <t>结合</t>
  </si>
  <si>
    <t>jié hé</t>
  </si>
  <si>
    <t>kết hợp</t>
  </si>
  <si>
    <t>他们的观点结合在一起了。</t>
  </si>
  <si>
    <t>搭档</t>
  </si>
  <si>
    <t>dā dàng</t>
  </si>
  <si>
    <t>cộng tác, hợp tác</t>
  </si>
  <si>
    <t>他们是一对好搭档。</t>
  </si>
  <si>
    <t>结论</t>
  </si>
  <si>
    <t>jié lùn</t>
  </si>
  <si>
    <t>kết luận</t>
  </si>
  <si>
    <t>这个结论是正确的。</t>
  </si>
  <si>
    <t>搭配</t>
  </si>
  <si>
    <t>dā pèi</t>
  </si>
  <si>
    <t>phối hợp, kết hợp</t>
  </si>
  <si>
    <t>你可以自由搭配衣服。</t>
  </si>
  <si>
    <t>答辩</t>
  </si>
  <si>
    <t>dá biàn</t>
  </si>
  <si>
    <t>biện hộ, bào chữa</t>
  </si>
  <si>
    <t>他在法庭上答辩。</t>
  </si>
  <si>
    <t>达成</t>
  </si>
  <si>
    <t>dá chéng</t>
  </si>
  <si>
    <t>đạt thành, đạt được</t>
  </si>
  <si>
    <t>我们达成了协议。</t>
  </si>
  <si>
    <t>答复</t>
  </si>
  <si>
    <t>dá fù</t>
  </si>
  <si>
    <t>trả lời, đáp lại</t>
  </si>
  <si>
    <t>他给了我一个答复。</t>
  </si>
  <si>
    <t>结账</t>
  </si>
  <si>
    <t>打包</t>
  </si>
  <si>
    <t>jié zhàng</t>
  </si>
  <si>
    <t>dǎ bāo</t>
  </si>
  <si>
    <t>đóng gói, gói hàng</t>
  </si>
  <si>
    <t>我们在结账时遇到了问题。</t>
  </si>
  <si>
    <t>请把这些东西打包好。</t>
  </si>
  <si>
    <t>打官司</t>
  </si>
  <si>
    <t>dǎ guān si</t>
  </si>
  <si>
    <t>kiện tụng</t>
  </si>
  <si>
    <t>他在法庭上打官司。</t>
  </si>
  <si>
    <t>戒</t>
  </si>
  <si>
    <t>cai (thuốc, rượu, nghiện)</t>
  </si>
  <si>
    <t>他戒烟已经半年了。</t>
  </si>
  <si>
    <t>打击</t>
  </si>
  <si>
    <t>dǎ jī</t>
  </si>
  <si>
    <t>đánh, đập</t>
  </si>
  <si>
    <t>我们必须打击犯罪。</t>
  </si>
  <si>
    <t>戒指</t>
  </si>
  <si>
    <t>jiè zhǐ</t>
  </si>
  <si>
    <t>nhẫn</t>
  </si>
  <si>
    <t>她的戒指非常漂亮。</t>
  </si>
  <si>
    <t>打架</t>
  </si>
  <si>
    <t>dǎ jià</t>
  </si>
  <si>
    <t>đánh nhau</t>
  </si>
  <si>
    <t>他们在街上打架。</t>
  </si>
  <si>
    <t>届</t>
  </si>
  <si>
    <t>khóa</t>
  </si>
  <si>
    <t>这一届比赛非常精彩。</t>
  </si>
  <si>
    <t>打量</t>
  </si>
  <si>
    <t>dǎ liang</t>
  </si>
  <si>
    <t>quan sát, xem xét</t>
  </si>
  <si>
    <t>他在仔细打量这个物件。</t>
  </si>
  <si>
    <t>借口</t>
  </si>
  <si>
    <t>jiè kǒu</t>
  </si>
  <si>
    <t>cớ, lí do</t>
  </si>
  <si>
    <t>他找了一个借口来解释他的迟到。</t>
  </si>
  <si>
    <t>打猎</t>
  </si>
  <si>
    <t>dǎ liè</t>
  </si>
  <si>
    <t>săn bắn</t>
  </si>
  <si>
    <t>他喜欢打猎。</t>
  </si>
  <si>
    <t>金属</t>
  </si>
  <si>
    <t>jīn shǔ</t>
  </si>
  <si>
    <t>kim loại</t>
  </si>
  <si>
    <t>这块金属很坚硬。</t>
  </si>
  <si>
    <t>打仗</t>
  </si>
  <si>
    <t>dǎ zhàng</t>
  </si>
  <si>
    <t>đánh trận, chiến đấu</t>
  </si>
  <si>
    <t>他们在边境打仗。</t>
  </si>
  <si>
    <t>尽快</t>
  </si>
  <si>
    <t>jǐn kuài</t>
  </si>
  <si>
    <t>请尽快完成这个任务。</t>
  </si>
  <si>
    <t>大不了</t>
  </si>
  <si>
    <t>dà bù liǎo</t>
  </si>
  <si>
    <t>cùng lắm, chẳng qua</t>
  </si>
  <si>
    <t>这件事大不了就这样了。</t>
  </si>
  <si>
    <t>尽量</t>
  </si>
  <si>
    <t>jǐn liàng</t>
  </si>
  <si>
    <t>cố gắng</t>
  </si>
  <si>
    <t>我们会尽量帮助你。</t>
  </si>
  <si>
    <t>大臣</t>
  </si>
  <si>
    <t>dà chén</t>
  </si>
  <si>
    <t>đại thần</t>
  </si>
  <si>
    <t>大臣们在开会。</t>
  </si>
  <si>
    <t>紧急</t>
  </si>
  <si>
    <t>jǐn jí</t>
  </si>
  <si>
    <t>cấp bách</t>
  </si>
  <si>
    <t>这是一项紧急任务。</t>
  </si>
  <si>
    <t>大伙儿</t>
  </si>
  <si>
    <t>dà huǒr</t>
  </si>
  <si>
    <t>mọi người, tất cả</t>
  </si>
  <si>
    <t>大伙儿都很开心。</t>
  </si>
  <si>
    <t>谨慎</t>
  </si>
  <si>
    <t>jǐn shèn</t>
  </si>
  <si>
    <t>cẩn thận, thận trọng</t>
  </si>
  <si>
    <t>他们的决定需要谨慎考虑。</t>
  </si>
  <si>
    <t>tòa nhà lớn</t>
  </si>
  <si>
    <t>这座大厦非常壮观。</t>
  </si>
  <si>
    <t>尽力</t>
  </si>
  <si>
    <t>jìn lì</t>
  </si>
  <si>
    <t>dốc hết sức</t>
  </si>
  <si>
    <t>我们会尽力做好这份工作。</t>
  </si>
  <si>
    <t>进步</t>
  </si>
  <si>
    <t>jìn bù</t>
  </si>
  <si>
    <t>tiến bộ</t>
  </si>
  <si>
    <t>她在学习中取得了很大的进步。</t>
  </si>
  <si>
    <t>大肆</t>
  </si>
  <si>
    <t>dà sì</t>
  </si>
  <si>
    <t>bừa bãi, tùy tiện, không kiêng nể</t>
  </si>
  <si>
    <t>他们大肆庆祝。</t>
  </si>
  <si>
    <t>进口</t>
  </si>
  <si>
    <t>jìn kǒu</t>
  </si>
  <si>
    <t>nhập khẩu</t>
  </si>
  <si>
    <t>他们的公司进口了很多新产品。</t>
  </si>
  <si>
    <t>大体</t>
  </si>
  <si>
    <t>dà tǐ</t>
  </si>
  <si>
    <t>đại thể, nhìn chung</t>
  </si>
  <si>
    <t>大体上来说，他是对的。</t>
  </si>
  <si>
    <t>近代</t>
  </si>
  <si>
    <t>jìn dài</t>
  </si>
  <si>
    <t>cận đại</t>
  </si>
  <si>
    <t>这个时期被称为近代。</t>
  </si>
  <si>
    <t>大意</t>
  </si>
  <si>
    <t>dà yì</t>
  </si>
  <si>
    <t>đại ý, sơ suất, sơ ý</t>
  </si>
  <si>
    <t>对不起，我大意了</t>
  </si>
  <si>
    <t>经典</t>
  </si>
  <si>
    <t>大致</t>
  </si>
  <si>
    <t>jīng diǎn</t>
  </si>
  <si>
    <t>dà zhì</t>
  </si>
  <si>
    <t>kinh điển</t>
  </si>
  <si>
    <t>đại khái, chung chung</t>
  </si>
  <si>
    <t>这部电影是经典之作。</t>
  </si>
  <si>
    <t>计划大致完成了。</t>
  </si>
  <si>
    <t>歹徒</t>
  </si>
  <si>
    <t>dǎi tú</t>
  </si>
  <si>
    <t>经商</t>
  </si>
  <si>
    <t>tên cướp, kẻ xấu</t>
  </si>
  <si>
    <t>jīng shāng</t>
  </si>
  <si>
    <t>歹徒被警方抓住了。</t>
  </si>
  <si>
    <t>他从事经商活动多年。</t>
  </si>
  <si>
    <t>逮捕</t>
  </si>
  <si>
    <t>dài bǔ</t>
  </si>
  <si>
    <t>bắt giữ, bắt bớ</t>
  </si>
  <si>
    <t>经营</t>
  </si>
  <si>
    <t>他被逮捕了。</t>
  </si>
  <si>
    <t>jīng yíng</t>
  </si>
  <si>
    <t>kinh doanh (cửa hàng), vận hành (công ty)</t>
  </si>
  <si>
    <t>他们经营一家小咖啡馆。</t>
  </si>
  <si>
    <t>代价</t>
  </si>
  <si>
    <t>dài jià</t>
  </si>
  <si>
    <t>giá cả, chi phí</t>
  </si>
  <si>
    <t>精力</t>
  </si>
  <si>
    <t>我们必须付出代价。</t>
  </si>
  <si>
    <t>tinh lực</t>
  </si>
  <si>
    <t>他总是充满精力。</t>
  </si>
  <si>
    <t>代理</t>
  </si>
  <si>
    <t>dài lǐ</t>
  </si>
  <si>
    <t>đại lý, đại diện</t>
  </si>
  <si>
    <t>他是我们的代理。</t>
  </si>
  <si>
    <t>精神</t>
  </si>
  <si>
    <t>jīng shén</t>
  </si>
  <si>
    <t>tinh thần</t>
  </si>
  <si>
    <t>她的精神状态很好。</t>
  </si>
  <si>
    <t>带领</t>
  </si>
  <si>
    <t>dài lǐng</t>
  </si>
  <si>
    <t>dẫn dắt, lãnh đạo</t>
  </si>
  <si>
    <t>他带领团队取得了成功。</t>
  </si>
  <si>
    <t>酒吧</t>
  </si>
  <si>
    <t>jiǔ bā</t>
  </si>
  <si>
    <t>quán ba</t>
  </si>
  <si>
    <t>我们去酒吧喝酒。</t>
  </si>
  <si>
    <t>怠慢</t>
  </si>
  <si>
    <t>dài màn</t>
  </si>
  <si>
    <t>lơ là, không nhiệt tình</t>
  </si>
  <si>
    <t>他对我们很怠慢。</t>
  </si>
  <si>
    <t>救</t>
  </si>
  <si>
    <t>cứu</t>
  </si>
  <si>
    <t>他们正在救助受灾的居民。</t>
  </si>
  <si>
    <t>担保</t>
  </si>
  <si>
    <t>dān bǎo</t>
  </si>
  <si>
    <t>đảm bảo, bảo lãnh</t>
  </si>
  <si>
    <t>他担保这笔交易。</t>
  </si>
  <si>
    <t>救护车</t>
  </si>
  <si>
    <t>jiù hù chē</t>
  </si>
  <si>
    <t>xe cứu thương</t>
  </si>
  <si>
    <t>救护车已经到了。</t>
  </si>
  <si>
    <t>胆怯</t>
  </si>
  <si>
    <t>dǎn qiè</t>
  </si>
  <si>
    <t>nhút nhát, sợ hãi</t>
  </si>
  <si>
    <t>他很胆怯，不敢说话。</t>
  </si>
  <si>
    <t>舅舅</t>
  </si>
  <si>
    <t>jiù jiù</t>
  </si>
  <si>
    <t>cậu (em mẹ)</t>
  </si>
  <si>
    <t>我的舅舅是一个非常聪明的人。</t>
  </si>
  <si>
    <t>蛋白质</t>
  </si>
  <si>
    <t>dàn bái zhì</t>
  </si>
  <si>
    <t>chất đạm, protein</t>
  </si>
  <si>
    <t>蛋白质对身体很重要。</t>
  </si>
  <si>
    <t>居然</t>
  </si>
  <si>
    <t>jū rán</t>
  </si>
  <si>
    <t>không ngờ lại</t>
  </si>
  <si>
    <t>她居然赢得了比赛。</t>
  </si>
  <si>
    <t>诞辰</t>
  </si>
  <si>
    <t>dàn chén</t>
  </si>
  <si>
    <t>今天是他的诞辰。</t>
  </si>
  <si>
    <t>桔子</t>
  </si>
  <si>
    <t>jú zi</t>
  </si>
  <si>
    <t>quýt</t>
  </si>
  <si>
    <t>我喜欢吃桔子。</t>
  </si>
  <si>
    <t>淡季</t>
  </si>
  <si>
    <t>dàn jì</t>
  </si>
  <si>
    <t>mùa thấp điểm</t>
  </si>
  <si>
    <t>这是淡季，游客不多。</t>
  </si>
  <si>
    <t>巨大</t>
  </si>
  <si>
    <t>jù dà</t>
  </si>
  <si>
    <t>lớn (thành tựu, thay đổi, ảnh hưởng, tác hại)</t>
  </si>
  <si>
    <t>这只狗非常巨大。</t>
  </si>
  <si>
    <t>诞生</t>
  </si>
  <si>
    <t>dàn shēng</t>
  </si>
  <si>
    <t>ra đời, sinh ra</t>
  </si>
  <si>
    <t>他在这个城市诞生。</t>
  </si>
  <si>
    <t>具备</t>
  </si>
  <si>
    <t>jù bèi</t>
  </si>
  <si>
    <t>chuẩn bị đủ, có đủ (tư cách, điều kiện, tinh lực)</t>
  </si>
  <si>
    <t>他具备了所有必要的技能。</t>
  </si>
  <si>
    <t>淡水</t>
  </si>
  <si>
    <t>dàn shuǐ</t>
  </si>
  <si>
    <t>nước ngọt</t>
  </si>
  <si>
    <t>这里的水是淡水。</t>
  </si>
  <si>
    <t>具体</t>
  </si>
  <si>
    <t>jù tǐ</t>
  </si>
  <si>
    <t>cụ thể</t>
  </si>
  <si>
    <t>当场</t>
  </si>
  <si>
    <t>这个方案很具体。</t>
  </si>
  <si>
    <t>dāng chǎng</t>
  </si>
  <si>
    <t>tại chỗ, ngay tại nơi</t>
  </si>
  <si>
    <t>当场抓住了小偷。</t>
  </si>
  <si>
    <t>当初</t>
  </si>
  <si>
    <t>dāng chū</t>
  </si>
  <si>
    <t>ban đầu, lúc đầu</t>
  </si>
  <si>
    <t>当初我们都很年轻。</t>
  </si>
  <si>
    <t>俱乐部</t>
  </si>
  <si>
    <t>jù lè bù</t>
  </si>
  <si>
    <t>câu lạc bộ</t>
  </si>
  <si>
    <t>我们在俱乐部里玩得很开心。</t>
  </si>
  <si>
    <t>当面</t>
  </si>
  <si>
    <t>dāng miàn</t>
  </si>
  <si>
    <t>trước mặt</t>
  </si>
  <si>
    <t>我们需要当面讨论。</t>
  </si>
  <si>
    <t>据说</t>
  </si>
  <si>
    <t>jù shuō</t>
  </si>
  <si>
    <t>nghe nói, nghe đồn</t>
  </si>
  <si>
    <t>当前</t>
  </si>
  <si>
    <t>据说这家店的服务很好。</t>
  </si>
  <si>
    <t>dāng qián</t>
  </si>
  <si>
    <t>hiện nay, hiện tại</t>
  </si>
  <si>
    <t>当前的问题是经济发展。</t>
  </si>
  <si>
    <t>捐</t>
  </si>
  <si>
    <t>juān</t>
  </si>
  <si>
    <t>当事人</t>
  </si>
  <si>
    <t>quyên góp</t>
  </si>
  <si>
    <t>dāng shì rén</t>
  </si>
  <si>
    <t>他捐赠了很多钱给慈善组织。</t>
  </si>
  <si>
    <t>đương sự, người liên quan</t>
  </si>
  <si>
    <t>当事人已经到场。</t>
  </si>
  <si>
    <t>当务之急</t>
  </si>
  <si>
    <t>决赛</t>
  </si>
  <si>
    <t>dāng wù zhī jí</t>
  </si>
  <si>
    <t>jué sài</t>
  </si>
  <si>
    <t>việc cấp bách hiện tại</t>
  </si>
  <si>
    <t>trận chung kết</t>
  </si>
  <si>
    <t>这是当务之急。</t>
  </si>
  <si>
    <t>决赛将在下周举行。</t>
  </si>
  <si>
    <t>cẩn thận, chú ý</t>
  </si>
  <si>
    <t>当心路上的车。</t>
  </si>
  <si>
    <t>决心</t>
  </si>
  <si>
    <t>jué xīn</t>
  </si>
  <si>
    <t>quyết tâm</t>
  </si>
  <si>
    <t>他下定了决心要完成这个项目。</t>
  </si>
  <si>
    <t>当选</t>
  </si>
  <si>
    <t>dāng xuǎn</t>
  </si>
  <si>
    <t>được bầu, trúng cử</t>
  </si>
  <si>
    <t>角色</t>
  </si>
  <si>
    <t>他被当选为市长。</t>
  </si>
  <si>
    <t>jué sè</t>
  </si>
  <si>
    <t>nhân vật</t>
  </si>
  <si>
    <t>她在电影中扮演了一个重要的角色。</t>
  </si>
  <si>
    <t>党</t>
  </si>
  <si>
    <t>đảng</t>
  </si>
  <si>
    <t>党员们在开会。</t>
  </si>
  <si>
    <t>绝对</t>
  </si>
  <si>
    <t>jué duì</t>
  </si>
  <si>
    <t>tuyệt đối</t>
  </si>
  <si>
    <t>这是绝对不可能的。</t>
  </si>
  <si>
    <t>档案</t>
  </si>
  <si>
    <t>dàng àn</t>
  </si>
  <si>
    <t>hồ sơ, tài liệu</t>
  </si>
  <si>
    <t>请保存好这些档案。</t>
  </si>
  <si>
    <t>军事</t>
  </si>
  <si>
    <t>jūn shì</t>
  </si>
  <si>
    <t>quân sự</t>
  </si>
  <si>
    <t>他对军事非常感兴趣。</t>
  </si>
  <si>
    <t>档次</t>
  </si>
  <si>
    <t>dàng cì</t>
  </si>
  <si>
    <t>đẳng cấp, mức độ</t>
  </si>
  <si>
    <t>这个酒店的档次很高。</t>
  </si>
  <si>
    <t>均匀</t>
  </si>
  <si>
    <t>jūn yún</t>
  </si>
  <si>
    <t>bình quân, trung bình</t>
  </si>
  <si>
    <t>这块地的土壤非常均匀。</t>
  </si>
  <si>
    <t>倒闭</t>
  </si>
  <si>
    <t>dǎo bì</t>
  </si>
  <si>
    <t>phá sản, đóng cửa</t>
  </si>
  <si>
    <t>那家公司已经倒闭了。</t>
  </si>
  <si>
    <t>卡车</t>
  </si>
  <si>
    <t>kǎ chē</t>
  </si>
  <si>
    <t>xe tải</t>
  </si>
  <si>
    <t>导弹</t>
  </si>
  <si>
    <t>他开了一辆卡车来搬运这些家具。</t>
  </si>
  <si>
    <t>dǎo dàn</t>
  </si>
  <si>
    <t>tên lửa</t>
  </si>
  <si>
    <t>他们测试了一枚导弹。</t>
  </si>
  <si>
    <t>开发</t>
  </si>
  <si>
    <t>kāi fā</t>
  </si>
  <si>
    <t>phát triển (hệ thống, ngành nghề, kĩ thuật, sản phẩm)</t>
  </si>
  <si>
    <t>导航</t>
  </si>
  <si>
    <t>他们正在开发一个新软件。</t>
  </si>
  <si>
    <t>dǎo háng</t>
  </si>
  <si>
    <t>dẫn đường, điều hướng</t>
  </si>
  <si>
    <t>他使用导航系统。</t>
  </si>
  <si>
    <t>捣乱</t>
  </si>
  <si>
    <t>dǎo luàn</t>
  </si>
  <si>
    <t>gây rối, phá rối</t>
  </si>
  <si>
    <t>小孩子在课堂上捣乱。</t>
  </si>
  <si>
    <t>开放</t>
  </si>
  <si>
    <t>kāi fàng</t>
  </si>
  <si>
    <t>mở cửa</t>
  </si>
  <si>
    <t>导向</t>
  </si>
  <si>
    <t>这个博物馆在周末开放。</t>
  </si>
  <si>
    <t>dǎo xiàng</t>
  </si>
  <si>
    <t>hướng dẫn, dẫn đường</t>
  </si>
  <si>
    <t>这个计划的导向很明确。</t>
  </si>
  <si>
    <t>đảo nhỏ, quần đảo</t>
  </si>
  <si>
    <t>中国有很多美丽的岛屿。</t>
  </si>
  <si>
    <t>稻谷</t>
  </si>
  <si>
    <t>dào gǔ</t>
  </si>
  <si>
    <t>lúa</t>
  </si>
  <si>
    <t>稻谷已经成熟了。</t>
  </si>
  <si>
    <t>开幕式</t>
  </si>
  <si>
    <t>kāi mù shì</t>
  </si>
  <si>
    <t>lễ khai mạc</t>
  </si>
  <si>
    <t>开幕式将在晚上七点举行。</t>
  </si>
  <si>
    <t>盗窃</t>
  </si>
  <si>
    <t>dào qiè</t>
  </si>
  <si>
    <t>trộm cắp</t>
  </si>
  <si>
    <t>他因盗窃罪被捕。</t>
  </si>
  <si>
    <t>开水</t>
  </si>
  <si>
    <t>kāi shuǐ</t>
  </si>
  <si>
    <t>nước sôi</t>
  </si>
  <si>
    <t>请倒一些开水给我。</t>
  </si>
  <si>
    <t>得不偿失</t>
  </si>
  <si>
    <t>dé bù cháng shī</t>
  </si>
  <si>
    <t>mất nhiều hơn được</t>
  </si>
  <si>
    <t>如果这样做，得不偿失。</t>
  </si>
  <si>
    <t>砍</t>
  </si>
  <si>
    <t>kǎn</t>
  </si>
  <si>
    <t>chặt, chém</t>
  </si>
  <si>
    <t>他用刀子砍了一些木头。</t>
  </si>
  <si>
    <t>得力</t>
  </si>
  <si>
    <t>dé lì</t>
  </si>
  <si>
    <t>có hiệu quả, hữu hiệu</t>
  </si>
  <si>
    <t>他是我们得力的助手。</t>
  </si>
  <si>
    <t>看不起</t>
  </si>
  <si>
    <t>kàn bù qǐ</t>
  </si>
  <si>
    <t>coi khinh</t>
  </si>
  <si>
    <t>我们不应该看不起任何人。</t>
  </si>
  <si>
    <t>得天独厚</t>
  </si>
  <si>
    <t>dé tiān dú hòu</t>
  </si>
  <si>
    <t>được trời phú, ưu đãi</t>
  </si>
  <si>
    <t>这个地方得天独厚。</t>
  </si>
  <si>
    <t>看望</t>
  </si>
  <si>
    <t>kàn wàng</t>
  </si>
  <si>
    <t>đi thăm</t>
  </si>
  <si>
    <t>我们去看望了老朋友。</t>
  </si>
  <si>
    <t>得罪</t>
  </si>
  <si>
    <t>dé zuì</t>
  </si>
  <si>
    <t>gây tội, xúc phạm</t>
  </si>
  <si>
    <t>他很怕得罪人。</t>
  </si>
  <si>
    <t>靠</t>
  </si>
  <si>
    <t>kào</t>
  </si>
  <si>
    <t>dựa dẫm, dựa vào</t>
  </si>
  <si>
    <t>他总是靠自己完成任务。</t>
  </si>
  <si>
    <t>蹬</t>
  </si>
  <si>
    <t>đạp, giẫm</t>
  </si>
  <si>
    <t>他蹬了一下自行车。</t>
  </si>
  <si>
    <t>颗</t>
  </si>
  <si>
    <t>quả (lượng từ)</t>
  </si>
  <si>
    <t>我们种了一颗树。</t>
  </si>
  <si>
    <t>灯笼</t>
  </si>
  <si>
    <t>dēng lóng</t>
  </si>
  <si>
    <t>đèn lồng</t>
  </si>
  <si>
    <t>我们挂了很多灯笼。</t>
  </si>
  <si>
    <t>可见</t>
  </si>
  <si>
    <t>kě jiàn</t>
  </si>
  <si>
    <t>cho thấy (đứng đầu vế câu thứ hai)</t>
  </si>
  <si>
    <t>小红的毛笔字写得真好，可见平时经常练习。</t>
  </si>
  <si>
    <t>登陆</t>
  </si>
  <si>
    <t>dēng lù</t>
  </si>
  <si>
    <t>đổ bộ, cập bến</t>
  </si>
  <si>
    <t>他顺利登陆了网站。</t>
  </si>
  <si>
    <t>可靠</t>
  </si>
  <si>
    <t>kě kào</t>
  </si>
  <si>
    <t>đáng tin cậy</t>
  </si>
  <si>
    <t>这是一家可靠的公司。</t>
  </si>
  <si>
    <t>登录</t>
  </si>
  <si>
    <t>đăng nhập, ghi chép</t>
  </si>
  <si>
    <t>请登录您的账号。</t>
  </si>
  <si>
    <t>可怕</t>
  </si>
  <si>
    <t>kě pà</t>
  </si>
  <si>
    <t>đáng sợ</t>
  </si>
  <si>
    <t>这个情况可能会变得很可怕。</t>
  </si>
  <si>
    <t>等级</t>
  </si>
  <si>
    <t>děng jí</t>
  </si>
  <si>
    <t>cấp bậc, đẳng cấp</t>
  </si>
  <si>
    <t>这个系统有多个等级。</t>
  </si>
  <si>
    <t>克</t>
  </si>
  <si>
    <t>gram</t>
  </si>
  <si>
    <t>我买三百克鸡胸肉。</t>
  </si>
  <si>
    <t>瞪</t>
  </si>
  <si>
    <t>dèng</t>
  </si>
  <si>
    <t>trừng mắt, nhìn trừng</t>
  </si>
  <si>
    <t>他瞪了我一眼。</t>
  </si>
  <si>
    <t>克服</t>
  </si>
  <si>
    <t>kè fú</t>
  </si>
  <si>
    <t>khắc phục</t>
  </si>
  <si>
    <t>他克服了许多挑战。</t>
  </si>
  <si>
    <t>堤坝</t>
  </si>
  <si>
    <t>dī bà</t>
  </si>
  <si>
    <t>đê, đập</t>
  </si>
  <si>
    <t>堤坝保护着村庄。</t>
  </si>
  <si>
    <t>刻苦</t>
  </si>
  <si>
    <t>kè kǔ</t>
  </si>
  <si>
    <t>khắc khổ, chịu khó</t>
  </si>
  <si>
    <t>只有刻苦的学习，才能取得良好的成绩。</t>
  </si>
  <si>
    <t>敌视</t>
  </si>
  <si>
    <t>dí shì</t>
  </si>
  <si>
    <t>thù địch, địch thị</t>
  </si>
  <si>
    <t>他们对外国人很敌视。</t>
  </si>
  <si>
    <t>客观</t>
  </si>
  <si>
    <t>kè guān</t>
  </si>
  <si>
    <t>khách quan</t>
  </si>
  <si>
    <t>我们需要一个客观的评估。</t>
  </si>
  <si>
    <t>抵达</t>
  </si>
  <si>
    <t>dǐ dá</t>
  </si>
  <si>
    <t>đến, đạt đến</t>
  </si>
  <si>
    <t>他刚刚抵达目的地。</t>
  </si>
  <si>
    <t>课程</t>
  </si>
  <si>
    <t>kè chéng</t>
  </si>
  <si>
    <t>môn học, khóa học</t>
  </si>
  <si>
    <t>这个课程很有趣。</t>
  </si>
  <si>
    <t>抵抗</t>
  </si>
  <si>
    <t>dǐ kàng</t>
  </si>
  <si>
    <t>kháng cự, chống lại</t>
  </si>
  <si>
    <t>我们要抵抗敌人的进攻。</t>
  </si>
  <si>
    <t>空间</t>
  </si>
  <si>
    <t>kōng jiān</t>
  </si>
  <si>
    <t>không gian</t>
  </si>
  <si>
    <t>这间房间的空间很大。</t>
  </si>
  <si>
    <t>抵制</t>
  </si>
  <si>
    <t>dǐ zhì</t>
  </si>
  <si>
    <t>tẩy chay, ngăn chặn</t>
  </si>
  <si>
    <t>他们决定抵制这个产品。</t>
  </si>
  <si>
    <t>空闲</t>
  </si>
  <si>
    <t>kòng xián</t>
  </si>
  <si>
    <t>rảnh rỗi (thời gian)</t>
  </si>
  <si>
    <t>我有很多空闲时间。</t>
  </si>
  <si>
    <t>地步</t>
  </si>
  <si>
    <t>dì bù</t>
  </si>
  <si>
    <t>nông nỗi; tình cảnh; tình trạng</t>
  </si>
  <si>
    <t>我们的公司到了艰难的地步</t>
  </si>
  <si>
    <t>控制</t>
  </si>
  <si>
    <t>kòng zhì</t>
  </si>
  <si>
    <t>kiềm chế (cảm xúc, tình cảm), kiểm soát</t>
  </si>
  <si>
    <t>他控制了这个系统。</t>
  </si>
  <si>
    <t>dì dao</t>
  </si>
  <si>
    <t>địa đạo, chính cống</t>
  </si>
  <si>
    <t>这个地方的建筑很地道。</t>
  </si>
  <si>
    <t>口味</t>
  </si>
  <si>
    <t>kǒu wèi</t>
  </si>
  <si>
    <t>khẩu vị</t>
  </si>
  <si>
    <t>我喜欢这种口味的冰淇淋。</t>
  </si>
  <si>
    <t>地势</t>
  </si>
  <si>
    <t>dì shì</t>
  </si>
  <si>
    <t>địa thế, địa hình</t>
  </si>
  <si>
    <t>山区的地势很险峻。</t>
  </si>
  <si>
    <t>夸</t>
  </si>
  <si>
    <t>kuā</t>
  </si>
  <si>
    <t>khen</t>
  </si>
  <si>
    <t>他总是夸奖别人的努力。</t>
  </si>
  <si>
    <t>递增</t>
  </si>
  <si>
    <t>dì zēng</t>
  </si>
  <si>
    <t>tăng dần, tăng lên</t>
  </si>
  <si>
    <t>他的工作量在不断递增。</t>
  </si>
  <si>
    <t>夸张</t>
  </si>
  <si>
    <t>kuā zhāng</t>
  </si>
  <si>
    <t>phóng đại</t>
  </si>
  <si>
    <t>她夸张地描述了她的经历。</t>
  </si>
  <si>
    <t>地质</t>
  </si>
  <si>
    <t>dì zhì</t>
  </si>
  <si>
    <t>địa chất</t>
  </si>
  <si>
    <t>我们研究了地质结构。</t>
  </si>
  <si>
    <t>会计</t>
  </si>
  <si>
    <t>kuàì jì</t>
  </si>
  <si>
    <t>kế toán</t>
  </si>
  <si>
    <t>他是一个会计。</t>
  </si>
  <si>
    <t>颠簸</t>
  </si>
  <si>
    <t>diān bǒ</t>
  </si>
  <si>
    <t>lắc lư, chao đảo</t>
  </si>
  <si>
    <t>飞机在空中颠簸。</t>
  </si>
  <si>
    <t>宽</t>
  </si>
  <si>
    <t>kuān</t>
  </si>
  <si>
    <t>rộng</t>
  </si>
  <si>
    <t>这条裙子很宽。</t>
  </si>
  <si>
    <t>颠倒</t>
  </si>
  <si>
    <t>diān dǎo</t>
  </si>
  <si>
    <t>đảo lộn, lộn ngược</t>
  </si>
  <si>
    <t>他把事情颠倒了。</t>
  </si>
  <si>
    <t>昆虫</t>
  </si>
  <si>
    <t>kūn chóng</t>
  </si>
  <si>
    <t>côn trùng</t>
  </si>
  <si>
    <t>昆虫在自然界中很重要。</t>
  </si>
  <si>
    <t>典礼</t>
  </si>
  <si>
    <t>diǎn lǐ</t>
  </si>
  <si>
    <t>lễ, buổi lễ</t>
  </si>
  <si>
    <t>他们在举行婚礼典礼。</t>
  </si>
  <si>
    <t>扩大</t>
  </si>
  <si>
    <t>kuò dà</t>
  </si>
  <si>
    <t>mở rộng (phạm vi, khoảng cách, thị trường)</t>
  </si>
  <si>
    <t>我们计划扩大市场。</t>
  </si>
  <si>
    <t>典型</t>
  </si>
  <si>
    <t>diǎn xíng</t>
  </si>
  <si>
    <t>điển hình, mẫu mực</t>
  </si>
  <si>
    <t>他是一个典型的好学生。</t>
  </si>
  <si>
    <t>辣椒</t>
  </si>
  <si>
    <t>là jiāo</t>
  </si>
  <si>
    <t>ớt</t>
  </si>
  <si>
    <t>点缀</t>
  </si>
  <si>
    <t>我喜欢吃辣椒。</t>
  </si>
  <si>
    <t>diǎn zhuì</t>
  </si>
  <si>
    <t>điểm xuyết, trang trí</t>
  </si>
  <si>
    <t>我们在花园里点缀了一些花。</t>
  </si>
  <si>
    <t>拦</t>
  </si>
  <si>
    <t>ngăn, chặn</t>
  </si>
  <si>
    <t>垫</t>
  </si>
  <si>
    <t>他在比赛中拦住了对手。</t>
  </si>
  <si>
    <t>diàn</t>
  </si>
  <si>
    <t>đệm, lót</t>
  </si>
  <si>
    <t>请在椅子上放一个垫子。</t>
  </si>
  <si>
    <t>奠定</t>
  </si>
  <si>
    <t>烂</t>
  </si>
  <si>
    <t>diàn dìng</t>
  </si>
  <si>
    <t>làn</t>
  </si>
  <si>
    <t>đặt nền móng</t>
  </si>
  <si>
    <t>nát, loét, rách, thối rữa</t>
  </si>
  <si>
    <t>这个决定奠定了基础。</t>
  </si>
  <si>
    <t>这道菜已经烂了。</t>
  </si>
  <si>
    <t>朗读</t>
  </si>
  <si>
    <t>惦记</t>
  </si>
  <si>
    <t>lǎng dú</t>
  </si>
  <si>
    <t>diàn jì</t>
  </si>
  <si>
    <t>đọc to</t>
  </si>
  <si>
    <t>nhớ nhung, lo lắng</t>
  </si>
  <si>
    <t>他朗读了这篇文章。</t>
  </si>
  <si>
    <t>我常常惦记着你。</t>
  </si>
  <si>
    <t>劳动</t>
  </si>
  <si>
    <t>láo dòng</t>
  </si>
  <si>
    <t>lao động</t>
  </si>
  <si>
    <t>电源</t>
  </si>
  <si>
    <t>我们的劳动是值得的。</t>
  </si>
  <si>
    <t>diàn yuán</t>
  </si>
  <si>
    <t>nguồn điện</t>
  </si>
  <si>
    <t>确保电源是安全的。</t>
  </si>
  <si>
    <t>劳驾</t>
  </si>
  <si>
    <t>láo jià</t>
  </si>
  <si>
    <t>叼</t>
  </si>
  <si>
    <t>làm ơn, xin phiền</t>
  </si>
  <si>
    <t>diāo</t>
  </si>
  <si>
    <t>劳驾，请您帮我拿一下包。</t>
  </si>
  <si>
    <t>ngậm</t>
  </si>
  <si>
    <t>小狗叼着骨头。</t>
  </si>
  <si>
    <t>老百姓</t>
  </si>
  <si>
    <t>雕刻</t>
  </si>
  <si>
    <t>lǎo bǎi xìng</t>
  </si>
  <si>
    <t>diāo kè</t>
  </si>
  <si>
    <t>nhân dân, người dân</t>
  </si>
  <si>
    <t>điêu khắc</t>
  </si>
  <si>
    <t>老百姓都希望生活更好。</t>
  </si>
  <si>
    <t>他擅长雕刻。</t>
  </si>
  <si>
    <t>雕塑</t>
  </si>
  <si>
    <t>diāo sù</t>
  </si>
  <si>
    <t>老板</t>
  </si>
  <si>
    <t>tượng điêu khắc</t>
  </si>
  <si>
    <t>lǎo bǎn</t>
  </si>
  <si>
    <t>这座城市有许多雕塑。</t>
  </si>
  <si>
    <t>ông chủ</t>
  </si>
  <si>
    <t>我们的老板很友善。</t>
  </si>
  <si>
    <t>吊</t>
  </si>
  <si>
    <t>老婆</t>
  </si>
  <si>
    <t>treo, móc</t>
  </si>
  <si>
    <t>lǎo pó</t>
  </si>
  <si>
    <t>门前吊着两盏红灯。</t>
  </si>
  <si>
    <t>bà xã</t>
  </si>
  <si>
    <t>她是我的老婆。</t>
  </si>
  <si>
    <t>调动</t>
  </si>
  <si>
    <t>diào dòng</t>
  </si>
  <si>
    <t>điều động</t>
  </si>
  <si>
    <t>老实</t>
  </si>
  <si>
    <t>公司正在调动人事。</t>
  </si>
  <si>
    <t>lǎo shí</t>
  </si>
  <si>
    <t>thật thà</t>
  </si>
  <si>
    <t>他总是很老实。</t>
  </si>
  <si>
    <t>跌</t>
  </si>
  <si>
    <t>diē</t>
  </si>
  <si>
    <t>ngã, rơi</t>
  </si>
  <si>
    <t>他从楼梯上跌倒了。</t>
  </si>
  <si>
    <t>老鼠</t>
  </si>
  <si>
    <t>lǎo shǔ</t>
  </si>
  <si>
    <t>con chuột</t>
  </si>
  <si>
    <t>老鼠在房子里跑来跑去。</t>
  </si>
  <si>
    <t>盯</t>
  </si>
  <si>
    <t>dīng</t>
  </si>
  <si>
    <t>nhìn chăm chú</t>
  </si>
  <si>
    <t>她一直盯着屏幕。</t>
  </si>
  <si>
    <t>姥姥</t>
  </si>
  <si>
    <t>lǎo lǎo</t>
  </si>
  <si>
    <t>bà ngoại</t>
  </si>
  <si>
    <t>我每个月都去看我的姥姥。</t>
  </si>
  <si>
    <t>叮嘱</t>
  </si>
  <si>
    <t>dīng zhǔ</t>
  </si>
  <si>
    <t>dặn dò</t>
  </si>
  <si>
    <t>妈妈叮嘱我多穿衣服。</t>
  </si>
  <si>
    <t>乐观</t>
  </si>
  <si>
    <t>lè guān</t>
  </si>
  <si>
    <t>lạc quan</t>
  </si>
  <si>
    <t>乐观的人们通常更能够享受生活。</t>
  </si>
  <si>
    <t>定期</t>
  </si>
  <si>
    <t>dìng qī</t>
  </si>
  <si>
    <t>định kỳ</t>
  </si>
  <si>
    <t>我们需要定期检查设备。</t>
  </si>
  <si>
    <t>雷</t>
  </si>
  <si>
    <t>léi</t>
  </si>
  <si>
    <t>sấm</t>
  </si>
  <si>
    <t>雷电在天空中闪烁。</t>
  </si>
  <si>
    <t>定义</t>
  </si>
  <si>
    <t>dìng yì</t>
  </si>
  <si>
    <t>định nghĩa</t>
  </si>
  <si>
    <t>请给出一个明确的定义。</t>
  </si>
  <si>
    <t>类型</t>
  </si>
  <si>
    <t>lèi xíng</t>
  </si>
  <si>
    <t>loại hình</t>
  </si>
  <si>
    <t>这种类型的书很受欢迎。</t>
  </si>
  <si>
    <t>丢人</t>
  </si>
  <si>
    <t>diū rén</t>
  </si>
  <si>
    <t>mất mặt</t>
  </si>
  <si>
    <t>他的行为很丢人。</t>
  </si>
  <si>
    <t>冷淡</t>
  </si>
  <si>
    <t>lěng dàn</t>
  </si>
  <si>
    <t>lãnh đạm, lạnh nhạt, lạnh lùng</t>
  </si>
  <si>
    <t>她的态度很冷淡。</t>
  </si>
  <si>
    <t>丢三落四</t>
  </si>
  <si>
    <t>diū sān là sì</t>
  </si>
  <si>
    <t>quên trước quên sau</t>
  </si>
  <si>
    <t>他经常丢三落四。</t>
  </si>
  <si>
    <t>厘米</t>
  </si>
  <si>
    <t>lí mǐ</t>
  </si>
  <si>
    <t>cm</t>
  </si>
  <si>
    <t>这个桌子的高度是五十厘米。</t>
  </si>
  <si>
    <t>东道主</t>
  </si>
  <si>
    <t>dōng dào zhǔ</t>
  </si>
  <si>
    <t>chủ nhà, chủ tiệc</t>
  </si>
  <si>
    <t>他们是这次活动的东道主。</t>
  </si>
  <si>
    <t>离婚</t>
  </si>
  <si>
    <t>lí hūn</t>
  </si>
  <si>
    <t>li hôn</t>
  </si>
  <si>
    <t>他们决定离婚了。</t>
  </si>
  <si>
    <t>东张西望</t>
  </si>
  <si>
    <t>dōng zhāng xī wàng</t>
  </si>
  <si>
    <t>nhìn đông nhìn tây</t>
  </si>
  <si>
    <t>小猫东张西望。</t>
  </si>
  <si>
    <t>梨</t>
  </si>
  <si>
    <t>quả lê</t>
  </si>
  <si>
    <t>我喜欢吃梨。</t>
  </si>
  <si>
    <t>董事长</t>
  </si>
  <si>
    <t>dǒng shì zhǎng</t>
  </si>
  <si>
    <t>chủ tịch hội đồng quản trị</t>
  </si>
  <si>
    <t>他是公司的董事长。</t>
  </si>
  <si>
    <t>理论</t>
  </si>
  <si>
    <t>lǐ lùn</t>
  </si>
  <si>
    <t>lý luận</t>
  </si>
  <si>
    <t>这个理论很有趣。</t>
  </si>
  <si>
    <t>栋</t>
  </si>
  <si>
    <t>cây trụ, cây cột</t>
  </si>
  <si>
    <t>这栋楼很高。</t>
  </si>
  <si>
    <t>理由</t>
  </si>
  <si>
    <t>lǐ yóu</t>
  </si>
  <si>
    <t>lí do</t>
  </si>
  <si>
    <t>他给出的理由很合理。</t>
  </si>
  <si>
    <t>动荡</t>
  </si>
  <si>
    <t>dòng dàng</t>
  </si>
  <si>
    <t>động loạn, bất ổn</t>
  </si>
  <si>
    <t>政治局势动荡。</t>
  </si>
  <si>
    <t>力量</t>
  </si>
  <si>
    <t>lì liàng</t>
  </si>
  <si>
    <t>sức mạnh</t>
  </si>
  <si>
    <t>我们需要更多的力量。</t>
  </si>
  <si>
    <t>动机</t>
  </si>
  <si>
    <t>dòng jī</t>
  </si>
  <si>
    <t>động cơ, lý do</t>
  </si>
  <si>
    <t>他有很强的动机。</t>
  </si>
  <si>
    <t>立即</t>
  </si>
  <si>
    <t>lì jí</t>
  </si>
  <si>
    <t>lập tức</t>
  </si>
  <si>
    <t>请立即处理这个问题。</t>
  </si>
  <si>
    <t>冻结</t>
  </si>
  <si>
    <t>dòng jié</t>
  </si>
  <si>
    <t>đóng băng</t>
  </si>
  <si>
    <t>他的账户被冻结了。</t>
  </si>
  <si>
    <t>立刻</t>
  </si>
  <si>
    <t>lì kè</t>
  </si>
  <si>
    <t>他立刻去帮忙了。</t>
  </si>
  <si>
    <t>动静</t>
  </si>
  <si>
    <t>dòng jìng</t>
  </si>
  <si>
    <t>động tĩnh, tình hình</t>
  </si>
  <si>
    <t>外面很安静，没有动静。</t>
  </si>
  <si>
    <t>利润</t>
  </si>
  <si>
    <t>lì rùn</t>
  </si>
  <si>
    <t>lợi nhuận</t>
  </si>
  <si>
    <t>公司的利润增加了。</t>
  </si>
  <si>
    <t>动力</t>
  </si>
  <si>
    <t>dòng lì</t>
  </si>
  <si>
    <t>động lực</t>
  </si>
  <si>
    <t>这个计划需要更多的动力。</t>
  </si>
  <si>
    <t>利息</t>
  </si>
  <si>
    <t>lì xī</t>
  </si>
  <si>
    <t>lợi tức</t>
  </si>
  <si>
    <t>贷款的利息很高。</t>
  </si>
  <si>
    <t>动脉</t>
  </si>
  <si>
    <t>dòng mài</t>
  </si>
  <si>
    <t>động mạch</t>
  </si>
  <si>
    <t>人体的动脉很重要。</t>
  </si>
  <si>
    <t>利益</t>
  </si>
  <si>
    <t>lì yì</t>
  </si>
  <si>
    <t>lợi ích</t>
  </si>
  <si>
    <t>他们的利益不一致。</t>
  </si>
  <si>
    <t>动身</t>
  </si>
  <si>
    <t>dòng shēn</t>
  </si>
  <si>
    <t>khởi hành, lên đường</t>
  </si>
  <si>
    <t>他决定明天动身。</t>
  </si>
  <si>
    <t>利用</t>
  </si>
  <si>
    <t>lì yòng</t>
  </si>
  <si>
    <t>tận dụng, lợi dụng</t>
  </si>
  <si>
    <t>他利用自己的资源来帮助别人。</t>
  </si>
  <si>
    <t>动手</t>
  </si>
  <si>
    <t>dòng shǒu</t>
  </si>
  <si>
    <t>ra tay, bắt tay</t>
  </si>
  <si>
    <t>请大家动手准备晚餐。</t>
  </si>
  <si>
    <t>连忙</t>
  </si>
  <si>
    <t>lián máng</t>
  </si>
  <si>
    <t>vội vã</t>
  </si>
  <si>
    <t>他连忙去接电话。</t>
  </si>
  <si>
    <t>动态</t>
  </si>
  <si>
    <t>dòng tài</t>
  </si>
  <si>
    <t>tình trạng động</t>
  </si>
  <si>
    <t>我们需要了解市场的动态。</t>
  </si>
  <si>
    <t>连续</t>
  </si>
  <si>
    <t>lián xù</t>
  </si>
  <si>
    <t>liên tục</t>
  </si>
  <si>
    <t>这些机器的操作是连续的。</t>
  </si>
  <si>
    <t>洞穴</t>
  </si>
  <si>
    <t>dòng xué</t>
  </si>
  <si>
    <t>洞穴里很暗。</t>
  </si>
  <si>
    <t>联合</t>
  </si>
  <si>
    <t>lián hé</t>
  </si>
  <si>
    <t>liên hiệp</t>
  </si>
  <si>
    <t>我们的团队是一个联合体。</t>
  </si>
  <si>
    <t>动员</t>
  </si>
  <si>
    <t>dòng yuán</t>
  </si>
  <si>
    <t>động viên</t>
  </si>
  <si>
    <t>我们需要动员所有人参与。</t>
  </si>
  <si>
    <t>恋爱</t>
  </si>
  <si>
    <t>liàn ài</t>
  </si>
  <si>
    <t>yêu đương</t>
  </si>
  <si>
    <t>我们在恋爱中。</t>
  </si>
  <si>
    <t>兜</t>
  </si>
  <si>
    <t>他兜里有很多零钱。</t>
  </si>
  <si>
    <t>良好</t>
  </si>
  <si>
    <t>liáng hǎo</t>
  </si>
  <si>
    <t>tốt đẹp</t>
  </si>
  <si>
    <t>这是一种良好的习惯。</t>
  </si>
  <si>
    <t>陡峭</t>
  </si>
  <si>
    <t>dǒu qiào</t>
  </si>
  <si>
    <t>dốc đứng, hiểm trở</t>
  </si>
  <si>
    <t>这座山很陡峭。</t>
  </si>
  <si>
    <t>粮食</t>
  </si>
  <si>
    <t>liáng shí</t>
  </si>
  <si>
    <t>lương thực</t>
  </si>
  <si>
    <t>这家商店出售各种粮食。</t>
  </si>
  <si>
    <t>斗争</t>
  </si>
  <si>
    <t>dòu zhēng</t>
  </si>
  <si>
    <t>đấu tranh</t>
  </si>
  <si>
    <t>他们在进行斗争。</t>
  </si>
  <si>
    <t>亮</t>
  </si>
  <si>
    <t>sáng</t>
  </si>
  <si>
    <t>天亮了</t>
  </si>
  <si>
    <t>督促</t>
  </si>
  <si>
    <t>dū cù</t>
  </si>
  <si>
    <t>đốc thúc, thúc giục</t>
  </si>
  <si>
    <t>老师督促学生们学习。</t>
  </si>
  <si>
    <t>了不起</t>
  </si>
  <si>
    <t>liǎo bù qǐ</t>
  </si>
  <si>
    <t>giỏi giang</t>
  </si>
  <si>
    <t>他做的工作真的了不起。</t>
  </si>
  <si>
    <t>都市</t>
  </si>
  <si>
    <t>dū shì</t>
  </si>
  <si>
    <t>đô thị, thành phố</t>
  </si>
  <si>
    <t>这个都市很繁华。</t>
  </si>
  <si>
    <t>列车</t>
  </si>
  <si>
    <t>liè chē</t>
  </si>
  <si>
    <t>tàu hỏa</t>
  </si>
  <si>
    <t>列车将于明天早上发车。</t>
  </si>
  <si>
    <t>独裁</t>
  </si>
  <si>
    <t>dú cái</t>
  </si>
  <si>
    <t>độc tài</t>
  </si>
  <si>
    <t>他是一个独裁者。</t>
  </si>
  <si>
    <t>临时</t>
  </si>
  <si>
    <t>lín shí</t>
  </si>
  <si>
    <t>lâm thời, thời vụ, tạm thời</t>
  </si>
  <si>
    <t>我们需要一个临时的解决方案。</t>
  </si>
  <si>
    <t>毒品</t>
  </si>
  <si>
    <t>dú pǐn</t>
  </si>
  <si>
    <t>ma túy</t>
  </si>
  <si>
    <t>毒品交易很危险。</t>
  </si>
  <si>
    <t>灵活</t>
  </si>
  <si>
    <t>líng huó</t>
  </si>
  <si>
    <t>linh hoạt</t>
  </si>
  <si>
    <t>她的思维非常灵活。</t>
  </si>
  <si>
    <t>赌博</t>
  </si>
  <si>
    <t>dǔ bó</t>
  </si>
  <si>
    <t>đánh bạc, cờ bạc</t>
  </si>
  <si>
    <t>他沉迷于赌博，无法自拔</t>
  </si>
  <si>
    <t>铃</t>
  </si>
  <si>
    <t>chuông</t>
  </si>
  <si>
    <t>他用铃声叫醒了我。</t>
  </si>
  <si>
    <t>堵塞</t>
  </si>
  <si>
    <t>dǔ sè</t>
  </si>
  <si>
    <t>tắc nghẽn</t>
  </si>
  <si>
    <t>道路被堵塞了。</t>
  </si>
  <si>
    <t>零件</t>
  </si>
  <si>
    <t>líng jiàn</t>
  </si>
  <si>
    <t>linh kiện</t>
  </si>
  <si>
    <t>这台机器的零件很复杂。</t>
  </si>
  <si>
    <t>杜绝</t>
  </si>
  <si>
    <t>dù jué</t>
  </si>
  <si>
    <t>ngăn chặn, dứt tuyệt</t>
  </si>
  <si>
    <t>我们必须杜绝浪费。</t>
  </si>
  <si>
    <t>零食</t>
  </si>
  <si>
    <t>líng shí</t>
  </si>
  <si>
    <t>端</t>
  </si>
  <si>
    <t>duān</t>
  </si>
  <si>
    <t>đầu, điểm</t>
  </si>
  <si>
    <t>我带了一些零食来聚会。</t>
  </si>
  <si>
    <t>笔的端磨损了。</t>
  </si>
  <si>
    <t>端午节</t>
  </si>
  <si>
    <t>领导</t>
  </si>
  <si>
    <t>duān wǔ jié</t>
  </si>
  <si>
    <t>lǐng dǎo</t>
  </si>
  <si>
    <t>Tết Đoan Ngọ</t>
  </si>
  <si>
    <t>lãnh đạo</t>
  </si>
  <si>
    <t>我们在端午节吃粽子。</t>
  </si>
  <si>
    <t>他是一个很有能力的领导。</t>
  </si>
  <si>
    <t>端正</t>
  </si>
  <si>
    <t>领域</t>
  </si>
  <si>
    <t>duān zhèng</t>
  </si>
  <si>
    <t>lǐng yù</t>
  </si>
  <si>
    <t>chỉnh đốn, ngay thẳng</t>
  </si>
  <si>
    <t>lĩnh vực</t>
  </si>
  <si>
    <t>我们需要端正态度。</t>
  </si>
  <si>
    <t>这是一个新的领域。</t>
  </si>
  <si>
    <t>短促</t>
  </si>
  <si>
    <t>duǎn cù</t>
  </si>
  <si>
    <t>ngắn ngủi</t>
  </si>
  <si>
    <t>浏览</t>
  </si>
  <si>
    <t>时间很短促。</t>
  </si>
  <si>
    <t>liú lǎn</t>
  </si>
  <si>
    <t>đọc lướt</t>
  </si>
  <si>
    <t>我们在浏览网页。</t>
  </si>
  <si>
    <t>断定</t>
  </si>
  <si>
    <t>duàn dìng</t>
  </si>
  <si>
    <t>phán đoán, kết luận</t>
  </si>
  <si>
    <t>我们断定他会成功。</t>
  </si>
  <si>
    <t>流传</t>
  </si>
  <si>
    <t>liú chuán</t>
  </si>
  <si>
    <t>lưu truyền, lan truyền</t>
  </si>
  <si>
    <t>这个故事流传了很久。</t>
  </si>
  <si>
    <t>断断续续</t>
  </si>
  <si>
    <t>duàn duàn xù xù</t>
  </si>
  <si>
    <t>ngắt quãng, rời rạc</t>
  </si>
  <si>
    <t>信号断断续续。</t>
  </si>
  <si>
    <t>流泪</t>
  </si>
  <si>
    <t>liú lèi</t>
  </si>
  <si>
    <t>rơi lệ</t>
  </si>
  <si>
    <t>她流泪了因为感动。</t>
  </si>
  <si>
    <t>断绝</t>
  </si>
  <si>
    <t>duàn jué</t>
  </si>
  <si>
    <t>đoạn tuyệt</t>
  </si>
  <si>
    <t>龙</t>
  </si>
  <si>
    <t>lóng</t>
  </si>
  <si>
    <t>rồng</t>
  </si>
  <si>
    <t>这条龙很长。</t>
  </si>
  <si>
    <t>他们断绝了关系。</t>
  </si>
  <si>
    <t>漏</t>
  </si>
  <si>
    <t>lòu</t>
  </si>
  <si>
    <t>dột</t>
  </si>
  <si>
    <t>房子漏水了。</t>
  </si>
  <si>
    <t>堆积</t>
  </si>
  <si>
    <t>duī jī</t>
  </si>
  <si>
    <t>chất đống, tích lũy</t>
  </si>
  <si>
    <t>垃圾堆积如山。</t>
  </si>
  <si>
    <t>陆地</t>
  </si>
  <si>
    <t>lù dì</t>
  </si>
  <si>
    <t>lục địa, đất liền</t>
  </si>
  <si>
    <t>中国是一个广大的陆地。</t>
  </si>
  <si>
    <t>对策</t>
  </si>
  <si>
    <t>duì cè</t>
  </si>
  <si>
    <t>đối sách, phương án</t>
  </si>
  <si>
    <t>我们需要制定对策。</t>
  </si>
  <si>
    <t>对称</t>
  </si>
  <si>
    <t>陆续</t>
  </si>
  <si>
    <t>duì chèn</t>
  </si>
  <si>
    <t>lù xù</t>
  </si>
  <si>
    <t>đối xứng</t>
  </si>
  <si>
    <t>lục tục, liên tiếp</t>
  </si>
  <si>
    <t>这个建筑对称而美丽。</t>
  </si>
  <si>
    <t>他陆续到达了。</t>
  </si>
  <si>
    <t>对付</t>
  </si>
  <si>
    <t>duì fù</t>
  </si>
  <si>
    <t>đối phó, xử lý</t>
  </si>
  <si>
    <t>录取</t>
  </si>
  <si>
    <t>我们可以对付这个问题。</t>
  </si>
  <si>
    <t>lù qǔ</t>
  </si>
  <si>
    <t>tuyển chọn</t>
  </si>
  <si>
    <t>她被录取了。</t>
  </si>
  <si>
    <t>录音</t>
  </si>
  <si>
    <t>lù yīn</t>
  </si>
  <si>
    <t>đổi (ngoại tệ)</t>
  </si>
  <si>
    <t>ghi âm</t>
  </si>
  <si>
    <t>你可以去银行兑换货币。</t>
  </si>
  <si>
    <t>我们需要录音这次会议。</t>
  </si>
  <si>
    <t>对抗</t>
  </si>
  <si>
    <t>轮流</t>
  </si>
  <si>
    <t>duì kàng</t>
  </si>
  <si>
    <t>lún liú</t>
  </si>
  <si>
    <t>đối kháng, chống lại</t>
  </si>
  <si>
    <t>luân lưu, thay phiên</t>
  </si>
  <si>
    <t>他们对抗了很久。</t>
  </si>
  <si>
    <t>大家轮流发言。</t>
  </si>
  <si>
    <t>对立</t>
  </si>
  <si>
    <t>duì lì</t>
  </si>
  <si>
    <t>đối lập, đối kháng</t>
  </si>
  <si>
    <t>论文</t>
  </si>
  <si>
    <t>他们的意见对立。</t>
  </si>
  <si>
    <t>lùn wén</t>
  </si>
  <si>
    <t>luận văn</t>
  </si>
  <si>
    <t>这篇论文很有深度。</t>
  </si>
  <si>
    <t>对联</t>
  </si>
  <si>
    <t>duì lián</t>
  </si>
  <si>
    <t>câu đối</t>
  </si>
  <si>
    <t>春节时我们贴对联。</t>
  </si>
  <si>
    <t>逻辑</t>
  </si>
  <si>
    <t>luó jí</t>
  </si>
  <si>
    <t>logic</t>
  </si>
  <si>
    <t>他的逻辑很严密。</t>
  </si>
  <si>
    <t>队伍</t>
  </si>
  <si>
    <t>duì wǔ</t>
  </si>
  <si>
    <t>đội ngũ</t>
  </si>
  <si>
    <t>你的队伍有多少人？</t>
  </si>
  <si>
    <t>落后</t>
  </si>
  <si>
    <t>luò hòu</t>
  </si>
  <si>
    <t>lạc hậu</t>
  </si>
  <si>
    <t>我们落后于其他国家。</t>
  </si>
  <si>
    <t>兑现</t>
  </si>
  <si>
    <t>duì xiàn</t>
  </si>
  <si>
    <t>đổi hiện, thực hiện</t>
  </si>
  <si>
    <t>他们兑现了承诺。</t>
  </si>
  <si>
    <t>骂</t>
  </si>
  <si>
    <t>mà</t>
  </si>
  <si>
    <t>mắng mỏ</t>
  </si>
  <si>
    <t>他骂了他的朋友。</t>
  </si>
  <si>
    <t>对应</t>
  </si>
  <si>
    <t>duì yìng</t>
  </si>
  <si>
    <t>đối ứng, tương ứng</t>
  </si>
  <si>
    <t>我们需要对应这些问题。</t>
  </si>
  <si>
    <t>麦克风</t>
  </si>
  <si>
    <t>mài kè fēng</t>
  </si>
  <si>
    <t>microphone</t>
  </si>
  <si>
    <t>麦克风坏了，声音听不清楚。</t>
  </si>
  <si>
    <t>对照</t>
  </si>
  <si>
    <t>duì zhào</t>
  </si>
  <si>
    <t>đối chiếu, so sánh</t>
  </si>
  <si>
    <t>请对照这个表格检查。</t>
  </si>
  <si>
    <t>馒头</t>
  </si>
  <si>
    <t>mán tóu</t>
  </si>
  <si>
    <t>bánh bao không nhân, màn thầu</t>
  </si>
  <si>
    <t>我喜欢吃馒头。</t>
  </si>
  <si>
    <t>顿时</t>
  </si>
  <si>
    <t>dùn shí</t>
  </si>
  <si>
    <t>他听到消息后顿时哭了。</t>
  </si>
  <si>
    <t>满足</t>
  </si>
  <si>
    <t>mǎn zú</t>
  </si>
  <si>
    <t>đáp ứng (yêu cầu, điều kiện, tính tò mò, lòng tham)</t>
  </si>
  <si>
    <t>她很满足自己的成就。</t>
  </si>
  <si>
    <t>哆嗦</t>
  </si>
  <si>
    <t>duō suo</t>
  </si>
  <si>
    <t>run rẩy, run lên</t>
  </si>
  <si>
    <t>他冷得直哆嗦。</t>
  </si>
  <si>
    <t>毛病</t>
  </si>
  <si>
    <t>máo bìng</t>
  </si>
  <si>
    <t>tật xấu, lỗi</t>
  </si>
  <si>
    <t>他的毛病很严重。</t>
  </si>
  <si>
    <t>多元化</t>
  </si>
  <si>
    <t>duō yuán huà</t>
  </si>
  <si>
    <t>đa dạng hóa</t>
  </si>
  <si>
    <t>公司决定实行多元化策略。</t>
  </si>
  <si>
    <t>矛盾</t>
  </si>
  <si>
    <t>máo dùn</t>
  </si>
  <si>
    <t>mâu thuẫn</t>
  </si>
  <si>
    <t>他们之间有很大的矛盾。</t>
  </si>
  <si>
    <t>堕落</t>
  </si>
  <si>
    <t>duò luò</t>
  </si>
  <si>
    <t>sa đọa, đồi bại</t>
  </si>
  <si>
    <t>他因为堕落而失去了工作。</t>
  </si>
  <si>
    <t>冒险</t>
  </si>
  <si>
    <t>mào xiǎn</t>
  </si>
  <si>
    <t>mạo hiểm</t>
  </si>
  <si>
    <t>他喜欢冒险旅行。</t>
  </si>
  <si>
    <t>额外</t>
  </si>
  <si>
    <t>é wài</t>
  </si>
  <si>
    <t>thêm, bổ sung</t>
  </si>
  <si>
    <t>他做了很多额外的工作。</t>
  </si>
  <si>
    <t>贸易</t>
  </si>
  <si>
    <t>mào yì</t>
  </si>
  <si>
    <t>thương mại</t>
  </si>
  <si>
    <t>这个国家的贸易很发达。</t>
  </si>
  <si>
    <t>恶心</t>
  </si>
  <si>
    <t>ě xīn</t>
  </si>
  <si>
    <t>buồn nôn, ghê tởm</t>
  </si>
  <si>
    <t>那种食物让我觉得恶心。</t>
  </si>
  <si>
    <t>眉毛</t>
  </si>
  <si>
    <t>méi máo</t>
  </si>
  <si>
    <t>lông mày</t>
  </si>
  <si>
    <t>她的眉毛很浓。</t>
  </si>
  <si>
    <t>恶化</t>
  </si>
  <si>
    <t>è huà</t>
  </si>
  <si>
    <t>trở nên xấu hơn</t>
  </si>
  <si>
    <t>他的病情恶化了。</t>
  </si>
  <si>
    <t>媒体</t>
  </si>
  <si>
    <t>méi tǐ</t>
  </si>
  <si>
    <t>truyền thông, báo chí</t>
  </si>
  <si>
    <t>这家媒体报道了很多新闻。</t>
  </si>
  <si>
    <t>遏制</t>
  </si>
  <si>
    <t>è zhì</t>
  </si>
  <si>
    <t>kiềm chế, ngăn chặn</t>
  </si>
  <si>
    <t>我们必须遏制这种行为。</t>
  </si>
  <si>
    <t>煤炭</t>
  </si>
  <si>
    <t>méi tàn</t>
  </si>
  <si>
    <t>than</t>
  </si>
  <si>
    <t>这家工厂使用煤炭作为能源。</t>
  </si>
  <si>
    <t>恩怨</t>
  </si>
  <si>
    <t>ēn yuàn</t>
  </si>
  <si>
    <t>ân oán, thù hận</t>
  </si>
  <si>
    <t>他们之间有很多恩怨。</t>
  </si>
  <si>
    <t>美术</t>
  </si>
  <si>
    <t>měi shù</t>
  </si>
  <si>
    <t>mỹ thuật</t>
  </si>
  <si>
    <t>他很擅长美术。</t>
  </si>
  <si>
    <t>而已</t>
  </si>
  <si>
    <t>ér yǐ</t>
  </si>
  <si>
    <t>chỉ vậy thôi</t>
  </si>
  <si>
    <t>他只是个普通人而已。</t>
  </si>
  <si>
    <t>魅力</t>
  </si>
  <si>
    <t>mèi lì</t>
  </si>
  <si>
    <t>sức hút</t>
  </si>
  <si>
    <t>她的魅力吸引了很多人。</t>
  </si>
  <si>
    <t>她戴了一对漂亮的耳环。</t>
  </si>
  <si>
    <t>梦想</t>
  </si>
  <si>
    <t>mèng xiǎng</t>
  </si>
  <si>
    <t>ước mơ</t>
  </si>
  <si>
    <t>他有一个美好的梦想。</t>
  </si>
  <si>
    <t>二氧化碳</t>
  </si>
  <si>
    <t>èr yǎng huà tàn</t>
  </si>
  <si>
    <t>khí CO2</t>
  </si>
  <si>
    <t>植物通过光合作用吸收二氧化碳。</t>
  </si>
  <si>
    <t>秘密</t>
  </si>
  <si>
    <t>mì mì</t>
  </si>
  <si>
    <t>bí mật</t>
  </si>
  <si>
    <t>这是一个秘密。</t>
  </si>
  <si>
    <t>发布</t>
  </si>
  <si>
    <t>fā bù</t>
  </si>
  <si>
    <t>phát hành, công bố</t>
  </si>
  <si>
    <t>公司发布了最新的产品。</t>
  </si>
  <si>
    <t>秘书</t>
  </si>
  <si>
    <t>mì shū</t>
  </si>
  <si>
    <t>thư ký</t>
  </si>
  <si>
    <t>她是公司的秘书。</t>
  </si>
  <si>
    <t>发财</t>
  </si>
  <si>
    <t>fā cái</t>
  </si>
  <si>
    <t>phát tài, làm giàu</t>
  </si>
  <si>
    <t>他梦想着有一天能够发财。</t>
  </si>
  <si>
    <t>密切</t>
  </si>
  <si>
    <t>mì qiè</t>
  </si>
  <si>
    <t>mật thiết</t>
  </si>
  <si>
    <t>我们需要密切合作。</t>
  </si>
  <si>
    <t>发呆</t>
  </si>
  <si>
    <t>fā dāi</t>
  </si>
  <si>
    <t>ngẩn ngơ, ngây dại</t>
  </si>
  <si>
    <t>他在课堂上发呆。</t>
  </si>
  <si>
    <t>蜜蜂</t>
  </si>
  <si>
    <t>mì fēng</t>
  </si>
  <si>
    <t>con ong</t>
  </si>
  <si>
    <t>蜜蜂在花丛中飞来飞去。</t>
  </si>
  <si>
    <t>发动</t>
  </si>
  <si>
    <t>fā dòng</t>
  </si>
  <si>
    <t>khởi động, phát động</t>
  </si>
  <si>
    <t>他发动了汽车。</t>
  </si>
  <si>
    <t>面对</t>
  </si>
  <si>
    <t>miàn duì</t>
  </si>
  <si>
    <t>đối mặt (chứng cứ, tương lai, khủng hoảng, thách thức), đối diện</t>
  </si>
  <si>
    <t>他要面对许多挑战。</t>
  </si>
  <si>
    <t>发火</t>
  </si>
  <si>
    <t>fā huǒ</t>
  </si>
  <si>
    <t>nổi giận, bốc cháy</t>
  </si>
  <si>
    <t>她因为生气而发火。</t>
  </si>
  <si>
    <t>面积</t>
  </si>
  <si>
    <t>miàn jī</t>
  </si>
  <si>
    <t>diện tích</t>
  </si>
  <si>
    <t>这个房子的面积很大。</t>
  </si>
  <si>
    <t>发觉</t>
  </si>
  <si>
    <t>fā jué</t>
  </si>
  <si>
    <t>phát hiện, nhận ra</t>
  </si>
  <si>
    <t>我发觉他有点奇怪。</t>
  </si>
  <si>
    <t>面临</t>
  </si>
  <si>
    <t>miàn lín</t>
  </si>
  <si>
    <t>đứng trước (khó khăn, nguy hiểm, thách thức)</t>
  </si>
  <si>
    <t>我们面临许多挑战。</t>
  </si>
  <si>
    <t>发射</t>
  </si>
  <si>
    <t>fā shè</t>
  </si>
  <si>
    <t>phóng, bắn ra</t>
  </si>
  <si>
    <t>火箭成功地发射了。</t>
  </si>
  <si>
    <t>发誓</t>
  </si>
  <si>
    <t>fā shì</t>
  </si>
  <si>
    <t>thề, tuyên thệ</t>
  </si>
  <si>
    <t>他发誓永远不会撒谎。</t>
  </si>
  <si>
    <t>苗条</t>
  </si>
  <si>
    <t>发行</t>
  </si>
  <si>
    <t>miáo tiáo</t>
  </si>
  <si>
    <t>fā xíng</t>
  </si>
  <si>
    <t>thon thả</t>
  </si>
  <si>
    <t>phát hành</t>
  </si>
  <si>
    <t>她的身材很苗条。</t>
  </si>
  <si>
    <t>新书即将发行。</t>
  </si>
  <si>
    <t>发炎</t>
  </si>
  <si>
    <t>描写</t>
  </si>
  <si>
    <t>viêm, sưng tấy</t>
  </si>
  <si>
    <t>miáo xiě</t>
  </si>
  <si>
    <t>他的喉咙发炎了。</t>
  </si>
  <si>
    <t>miêu tả</t>
  </si>
  <si>
    <t>这本书详细描写了他的生活。</t>
  </si>
  <si>
    <t>发扬</t>
  </si>
  <si>
    <t>fā yáng</t>
  </si>
  <si>
    <t>敏感</t>
  </si>
  <si>
    <t>mǐn gǎn</t>
  </si>
  <si>
    <t>nhạy cảm</t>
  </si>
  <si>
    <t>她对这些问题很敏感。</t>
  </si>
  <si>
    <t>我们应该发扬传统文化。</t>
  </si>
  <si>
    <t>名牌</t>
  </si>
  <si>
    <t>míng pái</t>
  </si>
  <si>
    <t>thương hiệu nổi tiếng</t>
  </si>
  <si>
    <t>这是一款名牌的手表。</t>
  </si>
  <si>
    <t>发育</t>
  </si>
  <si>
    <t>fā yù</t>
  </si>
  <si>
    <t>phát triển, trưởng thành</t>
  </si>
  <si>
    <t>婴儿在健康地发育。</t>
  </si>
  <si>
    <t>名片</t>
  </si>
  <si>
    <t>míng piàn</t>
  </si>
  <si>
    <t>danh thiếp</t>
  </si>
  <si>
    <t>我给你一张名片。</t>
  </si>
  <si>
    <t>法人</t>
  </si>
  <si>
    <t>fǎ rén</t>
  </si>
  <si>
    <t>pháp nhân</t>
  </si>
  <si>
    <t>公司是一个法人实体。</t>
  </si>
  <si>
    <t>名胜古迹</t>
  </si>
  <si>
    <t>míng shèng gǔ jì</t>
  </si>
  <si>
    <t>danh lam thắng cảnh</t>
  </si>
  <si>
    <t>我们参观了很多名胜古迹。</t>
  </si>
  <si>
    <t>明确</t>
  </si>
  <si>
    <t>míng què</t>
  </si>
  <si>
    <t>rõ ràng, rành mạch</t>
  </si>
  <si>
    <t>请明确你的要求。</t>
  </si>
  <si>
    <t>番</t>
  </si>
  <si>
    <t>lượt, đợt</t>
  </si>
  <si>
    <t>明显</t>
  </si>
  <si>
    <t>他经历了好几番挑战。</t>
  </si>
  <si>
    <t>míng xiǎn</t>
  </si>
  <si>
    <t>这个问题的答案很明显。</t>
  </si>
  <si>
    <t>lật, đảo</t>
  </si>
  <si>
    <t>请把书翻到第十页。</t>
  </si>
  <si>
    <t>明星</t>
  </si>
  <si>
    <t>míng xīng</t>
  </si>
  <si>
    <t>minh tinh</t>
  </si>
  <si>
    <t>她是一位著名的明星。</t>
  </si>
  <si>
    <t>繁华</t>
  </si>
  <si>
    <t>fán huá</t>
  </si>
  <si>
    <t>phồn hoa, sầm uất</t>
  </si>
  <si>
    <t>这座城市非常繁华。</t>
  </si>
  <si>
    <t>命令</t>
  </si>
  <si>
    <t>mìng lìng</t>
  </si>
  <si>
    <t>mệnh lệnh</t>
  </si>
  <si>
    <t>他给了我一个命令。</t>
  </si>
  <si>
    <t>繁忙</t>
  </si>
  <si>
    <t>fán máng</t>
  </si>
  <si>
    <t>bận rộn</t>
  </si>
  <si>
    <t>他每天的工作都很繁忙。</t>
  </si>
  <si>
    <t>命运</t>
  </si>
  <si>
    <t>mìng yùn</t>
  </si>
  <si>
    <t>vận mệnh</t>
  </si>
  <si>
    <t>我相信你的命运会改变。</t>
  </si>
  <si>
    <t>繁体字</t>
  </si>
  <si>
    <t>fán tǐ zì</t>
  </si>
  <si>
    <t>chữ phồn thể</t>
  </si>
  <si>
    <t>繁体字在台湾仍然使用。</t>
  </si>
  <si>
    <t>摸</t>
  </si>
  <si>
    <t>mō</t>
  </si>
  <si>
    <t>sờ</t>
  </si>
  <si>
    <t>她摸了摸他的肩膀。</t>
  </si>
  <si>
    <t>繁殖</t>
  </si>
  <si>
    <t>fán zhí</t>
  </si>
  <si>
    <t>sinh sản, nhân giống</t>
  </si>
  <si>
    <t>细菌在适宜的条件下繁殖。</t>
  </si>
  <si>
    <t>模仿</t>
  </si>
  <si>
    <t>mó fǎng</t>
  </si>
  <si>
    <t>bắt chước</t>
  </si>
  <si>
    <t>他模仿了他的老师。</t>
  </si>
  <si>
    <t>反驳</t>
  </si>
  <si>
    <t>fǎn bó</t>
  </si>
  <si>
    <t>phản bác, bác bỏ</t>
  </si>
  <si>
    <t>他反驳了对方的观点。</t>
  </si>
  <si>
    <t>模糊</t>
  </si>
  <si>
    <t>mó hu</t>
  </si>
  <si>
    <t>mơ hồ</t>
  </si>
  <si>
    <t>这个问题有些模糊。</t>
  </si>
  <si>
    <t>反常</t>
  </si>
  <si>
    <t>fǎn cháng</t>
  </si>
  <si>
    <t>bất thường</t>
  </si>
  <si>
    <t>今天天气反常地热。</t>
  </si>
  <si>
    <t>模特</t>
  </si>
  <si>
    <t>mó tè</t>
  </si>
  <si>
    <t>người mẫu</t>
  </si>
  <si>
    <t>她是一个专业的模特。</t>
  </si>
  <si>
    <t>反倒</t>
  </si>
  <si>
    <t>fǎn dào</t>
  </si>
  <si>
    <t>ngược lại, trái lại</t>
  </si>
  <si>
    <t>事情反倒变得更糟了。</t>
  </si>
  <si>
    <t>摩托车</t>
  </si>
  <si>
    <t>mó tuō chē</t>
  </si>
  <si>
    <t>xe máy</t>
  </si>
  <si>
    <t>他骑了一辆摩托车。</t>
  </si>
  <si>
    <t>反动</t>
  </si>
  <si>
    <t>fǎn dòng</t>
  </si>
  <si>
    <t>phản động</t>
  </si>
  <si>
    <t>他们是反动组织。</t>
  </si>
  <si>
    <t>陌生</t>
  </si>
  <si>
    <t>mò shēng</t>
  </si>
  <si>
    <t>lạ lẫm</t>
  </si>
  <si>
    <t>我觉得这个地方很陌生。</t>
  </si>
  <si>
    <t>反感</t>
  </si>
  <si>
    <t>fǎn gǎn</t>
  </si>
  <si>
    <t>phản cảm, ghét</t>
  </si>
  <si>
    <t>他的行为让人反感。</t>
  </si>
  <si>
    <t>某</t>
  </si>
  <si>
    <t>mǒu</t>
  </si>
  <si>
    <t>nào đó</t>
  </si>
  <si>
    <t>某一天我们会成功。</t>
  </si>
  <si>
    <t>反抗</t>
  </si>
  <si>
    <t>fǎn kàng</t>
  </si>
  <si>
    <t>phản kháng, chống cự</t>
  </si>
  <si>
    <t>人民反抗了独裁政权。</t>
  </si>
  <si>
    <t>木头</t>
  </si>
  <si>
    <t>mù tóu</t>
  </si>
  <si>
    <t>khúc gỗ</t>
  </si>
  <si>
    <t>这个木头很坚硬。</t>
  </si>
  <si>
    <t>反馈</t>
  </si>
  <si>
    <t>fǎn kuì</t>
  </si>
  <si>
    <t>phản hồi</t>
  </si>
  <si>
    <t>这个产品收到了很多反馈。</t>
  </si>
  <si>
    <t>目标</t>
  </si>
  <si>
    <t>mù biāo</t>
  </si>
  <si>
    <t>mục tiêu</t>
  </si>
  <si>
    <t>她的目标是成为医生。</t>
  </si>
  <si>
    <t>反面</t>
  </si>
  <si>
    <t>fǎn miàn</t>
  </si>
  <si>
    <t>mặt trái, mặt khác</t>
  </si>
  <si>
    <t>事情总有反面。</t>
  </si>
  <si>
    <t>目录</t>
  </si>
  <si>
    <t>mù lù</t>
  </si>
  <si>
    <t>mục lục</t>
  </si>
  <si>
    <t>我查了目录。</t>
  </si>
  <si>
    <t>反射</t>
  </si>
  <si>
    <t>fǎn shè</t>
  </si>
  <si>
    <t>phản xạ, phản chiếu</t>
  </si>
  <si>
    <t>镜子能反射光线。</t>
  </si>
  <si>
    <t>目前</t>
  </si>
  <si>
    <t>mù qián</t>
  </si>
  <si>
    <t>trước mắt, hiện nay</t>
  </si>
  <si>
    <t>反思</t>
  </si>
  <si>
    <t>fǎn sī</t>
  </si>
  <si>
    <t>suy nghĩ lại, ngẫm lại</t>
  </si>
  <si>
    <t>我们需要反思自己的错误。</t>
  </si>
  <si>
    <t>哪怕</t>
  </si>
  <si>
    <t>nǎ pà</t>
  </si>
  <si>
    <t>哪怕是雨天我也会去。</t>
  </si>
  <si>
    <t>反问</t>
  </si>
  <si>
    <t>fǎn wèn</t>
  </si>
  <si>
    <t>hỏi ngược lại</t>
  </si>
  <si>
    <t>他反问道：“你为什么不试试？”</t>
  </si>
  <si>
    <t>难怪</t>
  </si>
  <si>
    <t>nán guài</t>
  </si>
  <si>
    <t>难怪她没有来。</t>
  </si>
  <si>
    <t>难免</t>
  </si>
  <si>
    <t>nán miǎn</t>
  </si>
  <si>
    <t>khó tránh</t>
  </si>
  <si>
    <t>这难免会发生。</t>
  </si>
  <si>
    <t>反之</t>
  </si>
  <si>
    <t>fǎn zhī</t>
  </si>
  <si>
    <t>反之，结果可能会不同。</t>
  </si>
  <si>
    <t>脑袋</t>
  </si>
  <si>
    <t>nǎo dài</t>
  </si>
  <si>
    <t>não</t>
  </si>
  <si>
    <t>他脑袋很大。</t>
  </si>
  <si>
    <t>范畴</t>
  </si>
  <si>
    <t>fàn chóu</t>
  </si>
  <si>
    <t>phạm trù, lĩnh vực</t>
  </si>
  <si>
    <t>这属于哲学的范畴。</t>
  </si>
  <si>
    <t>泛滥</t>
  </si>
  <si>
    <t>fàn làn</t>
  </si>
  <si>
    <t>lan tràn, tràn lan</t>
  </si>
  <si>
    <t>洪水泛滥成灾。</t>
  </si>
  <si>
    <t>内部</t>
  </si>
  <si>
    <t>nèi bù</t>
  </si>
  <si>
    <t>nội bộ</t>
  </si>
  <si>
    <t>这个问题涉及到内部。</t>
  </si>
  <si>
    <t>贩卖</t>
  </si>
  <si>
    <t>fàn mài</t>
  </si>
  <si>
    <t>buôn bán, buôn lậu</t>
  </si>
  <si>
    <t>他被指控贩卖毒品。</t>
  </si>
  <si>
    <t>内科</t>
  </si>
  <si>
    <t>nèi kē</t>
  </si>
  <si>
    <t>khoa nội</t>
  </si>
  <si>
    <t>我看了一些内科的书。</t>
  </si>
  <si>
    <t>方位</t>
  </si>
  <si>
    <t>fāng wèi</t>
  </si>
  <si>
    <t>phương vị, vị trí</t>
  </si>
  <si>
    <t>请告诉我这个建筑的方位。</t>
  </si>
  <si>
    <t>嫩</t>
  </si>
  <si>
    <t>nèn</t>
  </si>
  <si>
    <t>mềm, non</t>
  </si>
  <si>
    <t>这块肉很嫩。</t>
  </si>
  <si>
    <t>方言</t>
  </si>
  <si>
    <t>fāng yán</t>
  </si>
  <si>
    <t>phương ngữ</t>
  </si>
  <si>
    <t>他说的方言我听不懂。</t>
  </si>
  <si>
    <t>能干</t>
  </si>
  <si>
    <t>néng gàn</t>
  </si>
  <si>
    <t xml:space="preserve">được việc, giỏi giang </t>
  </si>
  <si>
    <t>方针</t>
  </si>
  <si>
    <t>他很能干。</t>
  </si>
  <si>
    <t>fāng zhēn</t>
  </si>
  <si>
    <t>phương châm, chính sách</t>
  </si>
  <si>
    <t>公司已经制定了新的方针。</t>
  </si>
  <si>
    <t>能源</t>
  </si>
  <si>
    <t>néng yuán</t>
  </si>
  <si>
    <t>防守</t>
  </si>
  <si>
    <t>tài nguyên</t>
  </si>
  <si>
    <t>fáng shǒu</t>
  </si>
  <si>
    <t>这是一种可再生能源。</t>
  </si>
  <si>
    <t>phòng thủ</t>
  </si>
  <si>
    <t>守门员负责防守球门。</t>
  </si>
  <si>
    <t>嗯</t>
  </si>
  <si>
    <t xml:space="preserve">ēn </t>
  </si>
  <si>
    <t>ừ, ừm</t>
  </si>
  <si>
    <t>嗯，我明白了。</t>
  </si>
  <si>
    <t>防疫</t>
  </si>
  <si>
    <t>fáng yì</t>
  </si>
  <si>
    <t>phòng dịch</t>
  </si>
  <si>
    <t>我们应该加强防疫措施。</t>
  </si>
  <si>
    <t>年代</t>
  </si>
  <si>
    <t>nián dài</t>
  </si>
  <si>
    <t>thời đại</t>
  </si>
  <si>
    <t>那是一个年代的故事。</t>
  </si>
  <si>
    <t>防御</t>
  </si>
  <si>
    <t>fáng yù</t>
  </si>
  <si>
    <t>phòng ngự, phòng vệ</t>
  </si>
  <si>
    <t>城墙用来防御敌人。</t>
  </si>
  <si>
    <t>年纪</t>
  </si>
  <si>
    <t>nián jì</t>
  </si>
  <si>
    <t>他的年纪不大。</t>
  </si>
  <si>
    <t>防止</t>
  </si>
  <si>
    <t>fáng zhǐ</t>
  </si>
  <si>
    <t>ngăn ngừa, phòng chống</t>
  </si>
  <si>
    <t>请防止这种情况发生。</t>
  </si>
  <si>
    <t>念</t>
  </si>
  <si>
    <t>niàn</t>
  </si>
  <si>
    <t>她常常念书。</t>
  </si>
  <si>
    <t>防治</t>
  </si>
  <si>
    <t>fáng zhì</t>
  </si>
  <si>
    <t>phòng trị</t>
  </si>
  <si>
    <t>我们需要防治这种疾病。</t>
  </si>
  <si>
    <t>宁可</t>
  </si>
  <si>
    <t>纺织</t>
  </si>
  <si>
    <t>nìng kě</t>
  </si>
  <si>
    <t>fǎng zhī</t>
  </si>
  <si>
    <t>thà</t>
  </si>
  <si>
    <t>dệt, dệt may</t>
  </si>
  <si>
    <t>我宁可待在家里。</t>
  </si>
  <si>
    <t>这个地区的纺织业非常发达。</t>
  </si>
  <si>
    <t>牛仔裤</t>
  </si>
  <si>
    <t>放大</t>
  </si>
  <si>
    <t>niú zǎi kù</t>
  </si>
  <si>
    <t>fàng dà</t>
  </si>
  <si>
    <t>quần bò</t>
  </si>
  <si>
    <t>phóng to</t>
  </si>
  <si>
    <t>她穿了一条牛仔裤。</t>
  </si>
  <si>
    <t>科学家放大了细菌的图像。</t>
  </si>
  <si>
    <t>农村</t>
  </si>
  <si>
    <t>放射</t>
  </si>
  <si>
    <t>nóng cūn</t>
  </si>
  <si>
    <t>fàng shè</t>
  </si>
  <si>
    <t>nông thôn</t>
  </si>
  <si>
    <t>phát xạ, bức xạ</t>
  </si>
  <si>
    <t>农村的生活很安静。</t>
  </si>
  <si>
    <t>这种物质能放射出有害的辐射。</t>
  </si>
  <si>
    <t>放手</t>
  </si>
  <si>
    <t>农民</t>
  </si>
  <si>
    <t>fàng shǒu</t>
  </si>
  <si>
    <t>nóng mín</t>
  </si>
  <si>
    <t>buông tay, thả tay</t>
  </si>
  <si>
    <t>nông dân</t>
  </si>
  <si>
    <t>请放手，我自己能行。</t>
  </si>
  <si>
    <t>他是一个农民。</t>
  </si>
  <si>
    <t>非法</t>
  </si>
  <si>
    <t>fēi fǎ</t>
  </si>
  <si>
    <t>phi pháp, bất hợp pháp</t>
  </si>
  <si>
    <t>农业</t>
  </si>
  <si>
    <t>贩卖毒品是非法的。</t>
  </si>
  <si>
    <t>nóng yè</t>
  </si>
  <si>
    <t>nông nghiệp</t>
  </si>
  <si>
    <t>农业对国家很重要。</t>
  </si>
  <si>
    <t>飞禽走兽</t>
  </si>
  <si>
    <t>fēi qín zǒu shòu</t>
  </si>
  <si>
    <t>chim bay thú chạy</t>
  </si>
  <si>
    <t>这个地方有很多飞禽走兽。</t>
  </si>
  <si>
    <t>飞翔</t>
  </si>
  <si>
    <t>fēi xiáng</t>
  </si>
  <si>
    <t>bay lượn</t>
  </si>
  <si>
    <t>鹰在空中自由飞翔。</t>
  </si>
  <si>
    <t>浓</t>
  </si>
  <si>
    <t>nồng, đậm</t>
  </si>
  <si>
    <t>这道菜的味道很浓。</t>
  </si>
  <si>
    <t>飞跃</t>
  </si>
  <si>
    <t>fēi yuè</t>
  </si>
  <si>
    <t>bay vọt, nhảy vọt</t>
  </si>
  <si>
    <t>这项技术的发展飞跃。</t>
  </si>
  <si>
    <t>女士</t>
  </si>
  <si>
    <t>nǚ shì</t>
  </si>
  <si>
    <t>quý cô, quý bà</t>
  </si>
  <si>
    <t>她是一位女士。</t>
  </si>
  <si>
    <t>肥沃</t>
  </si>
  <si>
    <t>féi wò</t>
  </si>
  <si>
    <t>màu mỡ, phì nhiêu</t>
  </si>
  <si>
    <t>这片土地非常肥沃。</t>
  </si>
  <si>
    <t>欧洲</t>
  </si>
  <si>
    <t>ōu zhōu</t>
  </si>
  <si>
    <t>châu Âu</t>
  </si>
  <si>
    <t>他去了欧洲旅行。</t>
  </si>
  <si>
    <t>诽谤</t>
  </si>
  <si>
    <t>fěi bàng</t>
  </si>
  <si>
    <t>phỉ báng, vu khống</t>
  </si>
  <si>
    <t>他因为诽谤被起诉了。</t>
  </si>
  <si>
    <t>偶然</t>
  </si>
  <si>
    <t>ǒu rán</t>
  </si>
  <si>
    <t>匪徒</t>
  </si>
  <si>
    <t>ngẫu nhiên</t>
  </si>
  <si>
    <t>fěi tú</t>
  </si>
  <si>
    <t>我们偶然遇到了老朋友。</t>
  </si>
  <si>
    <t>kẻ cướp, kẻ xấu</t>
  </si>
  <si>
    <t>匪徒抢劫了银行。</t>
  </si>
  <si>
    <t>废除</t>
  </si>
  <si>
    <t>fèi chú</t>
  </si>
  <si>
    <t>bãi bỏ, hủy bỏ</t>
  </si>
  <si>
    <t>政府决定废除这项法律。</t>
  </si>
  <si>
    <t>沸腾</t>
  </si>
  <si>
    <t>fèi téng</t>
  </si>
  <si>
    <t>sôi, sục sôi</t>
  </si>
  <si>
    <t>水在沸腾。</t>
  </si>
  <si>
    <t>拍</t>
  </si>
  <si>
    <t>pāi</t>
  </si>
  <si>
    <t>vỗ</t>
  </si>
  <si>
    <t>他拍了很多照片。</t>
  </si>
  <si>
    <t>废墟</t>
  </si>
  <si>
    <t>fèi xū</t>
  </si>
  <si>
    <t>tàn tích, đống đổ nát</t>
  </si>
  <si>
    <t>地震后，城市变成了废墟。</t>
  </si>
  <si>
    <t>派</t>
  </si>
  <si>
    <t>pài</t>
  </si>
  <si>
    <t>分辨</t>
  </si>
  <si>
    <t>cử, phái</t>
  </si>
  <si>
    <t>fēn biàn</t>
  </si>
  <si>
    <t xml:space="preserve">派一队士兵去守卫城堡。 </t>
  </si>
  <si>
    <t>phân biệt</t>
  </si>
  <si>
    <t>我能分辨出这两种颜色。</t>
  </si>
  <si>
    <t>分寸</t>
  </si>
  <si>
    <t>fēn cun</t>
  </si>
  <si>
    <t>盼望</t>
  </si>
  <si>
    <t>pàn wàng</t>
  </si>
  <si>
    <t>mong chờ</t>
  </si>
  <si>
    <t>我们盼望你的到来。</t>
  </si>
  <si>
    <t>chừng mực, mức độ</t>
  </si>
  <si>
    <t>做事要掌握好分寸。</t>
  </si>
  <si>
    <t>培训</t>
  </si>
  <si>
    <t>péi xùn</t>
  </si>
  <si>
    <t>bồi dưỡng, tập huấn</t>
  </si>
  <si>
    <t>我们提供专业的培训课程。</t>
  </si>
  <si>
    <t>吩咐</t>
  </si>
  <si>
    <t>fēn fù</t>
  </si>
  <si>
    <t>dặn dò, căn dặn</t>
  </si>
  <si>
    <t>他吩咐我去买些水果。</t>
  </si>
  <si>
    <t>分红</t>
  </si>
  <si>
    <t>fēn hóng</t>
  </si>
  <si>
    <t>chia lãi, chia lợi tức</t>
  </si>
  <si>
    <t>公司分红给每个员工。</t>
  </si>
  <si>
    <t>分解</t>
  </si>
  <si>
    <t>fēn jiě</t>
  </si>
  <si>
    <t>phân giải, phân tích</t>
  </si>
  <si>
    <t>科学家分解了这个化合物。</t>
  </si>
  <si>
    <t>培养</t>
  </si>
  <si>
    <t>péi yǎng</t>
  </si>
  <si>
    <t>我们应该培养孩子的兴趣。</t>
  </si>
  <si>
    <t>分裂</t>
  </si>
  <si>
    <t>fēn liè</t>
  </si>
  <si>
    <t>phân liệt, tách rời</t>
  </si>
  <si>
    <t>这个国家面临分裂的危机。</t>
  </si>
  <si>
    <t>赔偿</t>
  </si>
  <si>
    <t>péi cháng</t>
  </si>
  <si>
    <t>bồi thường</t>
  </si>
  <si>
    <t>他要求公司赔偿他的损失。</t>
  </si>
  <si>
    <t>分泌</t>
  </si>
  <si>
    <t>fēn mì</t>
  </si>
  <si>
    <t>tiết ra, bài tiết</t>
  </si>
  <si>
    <t>身体会分泌荷尔蒙。</t>
  </si>
  <si>
    <t>佩服</t>
  </si>
  <si>
    <t>pèi fú</t>
  </si>
  <si>
    <t>khâm phục</t>
  </si>
  <si>
    <t>我非常佩服他的才华。</t>
  </si>
  <si>
    <t>分明</t>
  </si>
  <si>
    <t>fēn míng</t>
  </si>
  <si>
    <t>rõ ràng, phân minh</t>
  </si>
  <si>
    <t>事实分明，他说的都是谎言。</t>
  </si>
  <si>
    <t>配合</t>
  </si>
  <si>
    <t>pèi hé</t>
  </si>
  <si>
    <t>phối hợp</t>
  </si>
  <si>
    <t>我们需要配合完成这个项目。</t>
  </si>
  <si>
    <t>分歧</t>
  </si>
  <si>
    <t>fēn qí</t>
  </si>
  <si>
    <t>khác biệt, bất đồng</t>
  </si>
  <si>
    <t>我们在这个问题上有分歧。</t>
  </si>
  <si>
    <t>盆</t>
  </si>
  <si>
    <t>pén</t>
  </si>
  <si>
    <t>chậu</t>
  </si>
  <si>
    <t>这个盆子很漂亮。</t>
  </si>
  <si>
    <t>分散</t>
  </si>
  <si>
    <t>fēn sàn</t>
  </si>
  <si>
    <t>phân tán, tản ra</t>
  </si>
  <si>
    <t>他因为工作的原因必须分散注意力。</t>
  </si>
  <si>
    <t>碰</t>
  </si>
  <si>
    <t>pèng</t>
  </si>
  <si>
    <t>gặp phải, đụng phải</t>
  </si>
  <si>
    <t>她不小心碰到了桌子。</t>
  </si>
  <si>
    <t>chia tay, chia ly</t>
  </si>
  <si>
    <t>他们决定分手了。</t>
  </si>
  <si>
    <t>批</t>
  </si>
  <si>
    <t>pī</t>
  </si>
  <si>
    <t>loạt, lô (lượng từ)</t>
  </si>
  <si>
    <t>明天我们会发这批货。</t>
  </si>
  <si>
    <t>坟墓</t>
  </si>
  <si>
    <t>fén mù</t>
  </si>
  <si>
    <t>mộ phần, phần mộ</t>
  </si>
  <si>
    <t>这个坟墓已有百年历史。</t>
  </si>
  <si>
    <t>批准</t>
  </si>
  <si>
    <t>pī zhǔn</t>
  </si>
  <si>
    <t>phê chuẩn, đồng ý</t>
  </si>
  <si>
    <t>我们的方案已经得到批准。</t>
  </si>
  <si>
    <t>粉末</t>
  </si>
  <si>
    <t>fěn mò</t>
  </si>
  <si>
    <t>bột, vụn</t>
  </si>
  <si>
    <t>这药片可以变成粉末。</t>
  </si>
  <si>
    <t>披</t>
  </si>
  <si>
    <t>khoác</t>
  </si>
  <si>
    <t>粉色</t>
  </si>
  <si>
    <t>他披上了一件外套。</t>
  </si>
  <si>
    <t>fěn sè</t>
  </si>
  <si>
    <t>màu hồng</t>
  </si>
  <si>
    <t>她喜欢粉色的衣服。</t>
  </si>
  <si>
    <t>粉碎</t>
  </si>
  <si>
    <t>fěn suì</t>
  </si>
  <si>
    <t>nghiền nát, phá tan</t>
  </si>
  <si>
    <t>这台机器可以粉碎垃圾。</t>
  </si>
  <si>
    <t>分量</t>
  </si>
  <si>
    <t>fèn liàng</t>
  </si>
  <si>
    <t>trọng lượng, khối lượng</t>
  </si>
  <si>
    <t>这个包装的分量很足。</t>
  </si>
  <si>
    <t>疲劳</t>
  </si>
  <si>
    <t>pí láo</t>
  </si>
  <si>
    <t>mệt mỏi</t>
  </si>
  <si>
    <t>他感到非常疲劳。</t>
  </si>
  <si>
    <t>风暴</t>
  </si>
  <si>
    <t>fēng bào</t>
  </si>
  <si>
    <t>bão táp, cơn bão</t>
  </si>
  <si>
    <t>海上风暴即将来临。</t>
  </si>
  <si>
    <t>匹</t>
  </si>
  <si>
    <t>pǐ</t>
  </si>
  <si>
    <t>con (lượng từ cho ngựa)</t>
  </si>
  <si>
    <t>这匹马很快。</t>
  </si>
  <si>
    <t>封闭</t>
  </si>
  <si>
    <t>fēng bì</t>
  </si>
  <si>
    <t>phong bế, đóng kín</t>
  </si>
  <si>
    <t>他把门窗封闭了。</t>
  </si>
  <si>
    <t>片</t>
  </si>
  <si>
    <t>chiếc, lát, mảnh (lượng từ cho lá, bánh mì, đất đai )</t>
  </si>
  <si>
    <t>我买了一片巧克力。</t>
  </si>
  <si>
    <t>片面</t>
  </si>
  <si>
    <t>piàn miàn</t>
  </si>
  <si>
    <t>phiến diện</t>
  </si>
  <si>
    <t>他的看法有些片面。</t>
  </si>
  <si>
    <t>飘</t>
  </si>
  <si>
    <t>piāo</t>
  </si>
  <si>
    <t>bay</t>
  </si>
  <si>
    <t>这条裙子在风中飘动。</t>
  </si>
  <si>
    <t>风度</t>
  </si>
  <si>
    <t>fēng dù</t>
  </si>
  <si>
    <t>拼音</t>
  </si>
  <si>
    <t>phong độ, tư cách</t>
  </si>
  <si>
    <t>pīn yīn</t>
  </si>
  <si>
    <t>他的风度非常优雅。</t>
  </si>
  <si>
    <t>phiên âm</t>
  </si>
  <si>
    <t>他学习了很多拼音。</t>
  </si>
  <si>
    <t>风光</t>
  </si>
  <si>
    <t>fēng guāng</t>
  </si>
  <si>
    <t>频道</t>
  </si>
  <si>
    <t>phong cảnh, cảnh đẹp</t>
  </si>
  <si>
    <t>pín dào</t>
  </si>
  <si>
    <t>我们在山顶上欣赏风光。</t>
  </si>
  <si>
    <t>kênh</t>
  </si>
  <si>
    <t>我们的频道很有趣。</t>
  </si>
  <si>
    <t>封建</t>
  </si>
  <si>
    <t>fēng jiàn</t>
  </si>
  <si>
    <t>平</t>
  </si>
  <si>
    <t>phong kiến</t>
  </si>
  <si>
    <t>píng</t>
  </si>
  <si>
    <t>这本书讨论了封建社会。</t>
  </si>
  <si>
    <t>bằng, đều</t>
  </si>
  <si>
    <t>海上风平浪静。</t>
  </si>
  <si>
    <t>锋利</t>
  </si>
  <si>
    <t>fēng lì</t>
  </si>
  <si>
    <t>平安</t>
  </si>
  <si>
    <t>sắc bén, nhọn</t>
  </si>
  <si>
    <t>píng ān</t>
  </si>
  <si>
    <t>这把刀非常锋利。</t>
  </si>
  <si>
    <t>bình an</t>
  </si>
  <si>
    <t>希望你平安回家。</t>
  </si>
  <si>
    <t>丰满</t>
  </si>
  <si>
    <t>fēng mǎn</t>
  </si>
  <si>
    <t>đầy đặn, phong phú</t>
  </si>
  <si>
    <t>平常</t>
  </si>
  <si>
    <t>他有一副丰满的身材。</t>
  </si>
  <si>
    <t>píng cháng</t>
  </si>
  <si>
    <t>他平常喜欢跑步。</t>
  </si>
  <si>
    <t>风气</t>
  </si>
  <si>
    <t>fēng qì</t>
  </si>
  <si>
    <t>phong tục, tập quán</t>
  </si>
  <si>
    <t>平等</t>
  </si>
  <si>
    <t>这里的风气很好。</t>
  </si>
  <si>
    <t>píng děng</t>
  </si>
  <si>
    <t>bình đẳng</t>
  </si>
  <si>
    <t>两个人要平等对待。</t>
  </si>
  <si>
    <t>风趣</t>
  </si>
  <si>
    <t>fēng qù</t>
  </si>
  <si>
    <t>hài hước, dí dỏm</t>
  </si>
  <si>
    <t>平方</t>
  </si>
  <si>
    <t>他讲故事很有风趣。</t>
  </si>
  <si>
    <t>píng fāng</t>
  </si>
  <si>
    <t>bình phương</t>
  </si>
  <si>
    <t>房间的面积是十平方米。</t>
  </si>
  <si>
    <t>丰盛</t>
  </si>
  <si>
    <t>平衡</t>
  </si>
  <si>
    <t>fēng shèng</t>
  </si>
  <si>
    <t>píng héng</t>
  </si>
  <si>
    <t>cân bằng</t>
  </si>
  <si>
    <t>phong phú, thịnh soạn</t>
  </si>
  <si>
    <t>他努力保持平衡。</t>
  </si>
  <si>
    <t>妈妈做了丰盛的晚餐</t>
  </si>
  <si>
    <t>丰收</t>
  </si>
  <si>
    <t>平静</t>
  </si>
  <si>
    <t>fēng shōu</t>
  </si>
  <si>
    <t>píng jìng</t>
  </si>
  <si>
    <t>bội thu, mùa màng tốt</t>
  </si>
  <si>
    <t>bình tĩnh, tĩnh lặng, yên tĩnh</t>
  </si>
  <si>
    <t>今年的丰收令人欣喜。</t>
  </si>
  <si>
    <t>这个湖很平静。</t>
  </si>
  <si>
    <t>平均</t>
  </si>
  <si>
    <t>píng jūn</t>
  </si>
  <si>
    <t>trung bình, bình quân</t>
  </si>
  <si>
    <t>封锁</t>
  </si>
  <si>
    <t>平均每人有三本书。</t>
  </si>
  <si>
    <t>fēng suǒ</t>
  </si>
  <si>
    <t>phong tỏa</t>
  </si>
  <si>
    <t>我们必须封锁边界。</t>
  </si>
  <si>
    <t>评价</t>
  </si>
  <si>
    <t>píng jià</t>
  </si>
  <si>
    <t>đánh giá</t>
  </si>
  <si>
    <t>风土人情</t>
  </si>
  <si>
    <t>我们需要对你的工作进行评价。</t>
  </si>
  <si>
    <t>fēng tǔ rén qíng</t>
  </si>
  <si>
    <t>phong tục tập quán</t>
  </si>
  <si>
    <t>这里的风土人情很有特色。</t>
  </si>
  <si>
    <t>凭</t>
  </si>
  <si>
    <t>风味</t>
  </si>
  <si>
    <t>dựa vào</t>
  </si>
  <si>
    <t>fēng wèi</t>
  </si>
  <si>
    <t>你凭什么这么说？</t>
  </si>
  <si>
    <t>hương vị, phong vị</t>
  </si>
  <si>
    <t>这个餐厅的风味独特。</t>
  </si>
  <si>
    <t>迫切</t>
  </si>
  <si>
    <t>pò qiè</t>
  </si>
  <si>
    <t>逢</t>
  </si>
  <si>
    <t>féng</t>
  </si>
  <si>
    <t>我们迫切需要解决这个问题。</t>
  </si>
  <si>
    <t>gặp gỡ, gặp phải</t>
  </si>
  <si>
    <t>我们每逢春节都回家。</t>
  </si>
  <si>
    <t>破产</t>
  </si>
  <si>
    <t>pò chǎn</t>
  </si>
  <si>
    <t>phá sản</t>
  </si>
  <si>
    <t>这家公司已经破产了。</t>
  </si>
  <si>
    <t>奉献</t>
  </si>
  <si>
    <t>fèng xiàn</t>
  </si>
  <si>
    <t>hiến dâng, cống hiến</t>
  </si>
  <si>
    <t>他一生都在奉献给科学。</t>
  </si>
  <si>
    <t>破坏</t>
  </si>
  <si>
    <t>pò huài</t>
  </si>
  <si>
    <t>phá hoại</t>
  </si>
  <si>
    <t>他的行为对环境造成了很大破坏。</t>
  </si>
  <si>
    <t>否决</t>
  </si>
  <si>
    <t>fǒu jué</t>
  </si>
  <si>
    <t>phủ quyết, bác bỏ</t>
  </si>
  <si>
    <t>这个提案被否决了。</t>
  </si>
  <si>
    <t>期待</t>
  </si>
  <si>
    <t>qī dài</t>
  </si>
  <si>
    <t>kỳ vọng</t>
  </si>
  <si>
    <t>我们期待你的回复。</t>
  </si>
  <si>
    <t>夫妇</t>
  </si>
  <si>
    <t>fū fù</t>
  </si>
  <si>
    <t>vợ chồng</t>
  </si>
  <si>
    <t>他们是一对幸福的夫妇。</t>
  </si>
  <si>
    <t>期间</t>
  </si>
  <si>
    <t>qī jiān</t>
  </si>
  <si>
    <t>khoảng thời gian</t>
  </si>
  <si>
    <t>这个项目的期间是三个月。</t>
  </si>
  <si>
    <t>其余</t>
  </si>
  <si>
    <t>夫人</t>
  </si>
  <si>
    <t>qí yú</t>
  </si>
  <si>
    <t>fū rén</t>
  </si>
  <si>
    <t>còn lại</t>
  </si>
  <si>
    <t>phu nhân</t>
  </si>
  <si>
    <t>其余的任务由他来完成。</t>
  </si>
  <si>
    <t>他的夫人非常优雅。</t>
  </si>
  <si>
    <t>奇迹</t>
  </si>
  <si>
    <t>敷衍</t>
  </si>
  <si>
    <t>qí jì</t>
  </si>
  <si>
    <t>fū yǎn</t>
  </si>
  <si>
    <t>kỳ tích</t>
  </si>
  <si>
    <t>他的成功是一个奇迹。</t>
  </si>
  <si>
    <t>他总是敷衍了事。</t>
  </si>
  <si>
    <t>企业</t>
  </si>
  <si>
    <t>幅度</t>
  </si>
  <si>
    <t>qǐ yè</t>
  </si>
  <si>
    <t>fú dù</t>
  </si>
  <si>
    <t>nhà máy, xí nghiệp</t>
  </si>
  <si>
    <t>biên độ, phạm vi</t>
  </si>
  <si>
    <t>今年收入的幅度增加了。</t>
  </si>
  <si>
    <t>这家企业正在扩展业务。</t>
  </si>
  <si>
    <t>符号</t>
  </si>
  <si>
    <t>fú hào</t>
  </si>
  <si>
    <t>数学符号非常重要。</t>
  </si>
  <si>
    <t>启发</t>
  </si>
  <si>
    <t>qǐ fā</t>
  </si>
  <si>
    <t>gợi mở, gợi ý</t>
  </si>
  <si>
    <t>这本书启发了我很多思想。</t>
  </si>
  <si>
    <t>福利</t>
  </si>
  <si>
    <t>fú lì</t>
  </si>
  <si>
    <t>phúc lợi</t>
  </si>
  <si>
    <t>公司提供了很多福利。</t>
  </si>
  <si>
    <t>气氛</t>
  </si>
  <si>
    <t>qì fēn</t>
  </si>
  <si>
    <t>không khí (cuộc họp, buổi tiệc)</t>
  </si>
  <si>
    <t>这里的气氛很轻松。</t>
  </si>
  <si>
    <t>俘虏</t>
  </si>
  <si>
    <t>fú lǔ</t>
  </si>
  <si>
    <t>bắt giữ, tù binh</t>
  </si>
  <si>
    <t>战争中有很多俘虏。</t>
  </si>
  <si>
    <t>汽油</t>
  </si>
  <si>
    <t>qì yóu</t>
  </si>
  <si>
    <t>xăng</t>
  </si>
  <si>
    <t>这辆车使用的是汽油。</t>
  </si>
  <si>
    <t>服气</t>
  </si>
  <si>
    <t>fú qì</t>
  </si>
  <si>
    <t>phục tùng, chịu phục</t>
  </si>
  <si>
    <t>他对自己的成绩非常服气。</t>
  </si>
  <si>
    <t>谦虚</t>
  </si>
  <si>
    <t>qiān xū</t>
  </si>
  <si>
    <t>khiêm tốn</t>
  </si>
  <si>
    <t>他总是那么谦虚。</t>
  </si>
  <si>
    <t>福气</t>
  </si>
  <si>
    <t>签</t>
  </si>
  <si>
    <t>may mắn, phúc đức</t>
  </si>
  <si>
    <t>他的家庭非常有福气。</t>
  </si>
  <si>
    <t>ký (tên)</t>
  </si>
  <si>
    <t>请在合同上签名。</t>
  </si>
  <si>
    <t>辐射</t>
  </si>
  <si>
    <t>fú shè</t>
  </si>
  <si>
    <t>bức xạ, tia phóng xạ</t>
  </si>
  <si>
    <t>这种物质会辐射出有害物质。</t>
  </si>
  <si>
    <t>前途</t>
  </si>
  <si>
    <t>qián tú</t>
  </si>
  <si>
    <t>tiền đồ</t>
  </si>
  <si>
    <t>年轻人应该为自己的未来打造美好的前途。</t>
  </si>
  <si>
    <t>腐败</t>
  </si>
  <si>
    <t>fǔ bài</t>
  </si>
  <si>
    <t>tham nhũng, thối nát</t>
  </si>
  <si>
    <t>腐败的官员必须受到惩罚。</t>
  </si>
  <si>
    <t>浅</t>
  </si>
  <si>
    <t>qiǎn</t>
  </si>
  <si>
    <t>nông</t>
  </si>
  <si>
    <t>这本书的内容很浅。</t>
  </si>
  <si>
    <t>腐烂</t>
  </si>
  <si>
    <t>fǔ làn</t>
  </si>
  <si>
    <t>thối rữa, mục nát</t>
  </si>
  <si>
    <t>苹果已经开始腐烂了。</t>
  </si>
  <si>
    <t>欠</t>
  </si>
  <si>
    <t>qiàn</t>
  </si>
  <si>
    <t>nợ</t>
  </si>
  <si>
    <t>我欠了很多钱。</t>
  </si>
  <si>
    <t>腐蚀</t>
  </si>
  <si>
    <t>fǔ shí</t>
  </si>
  <si>
    <t>ăn mòn, bào mòn</t>
  </si>
  <si>
    <t>金属表面被腐蚀了。</t>
  </si>
  <si>
    <t>枪</t>
  </si>
  <si>
    <t>qiāng</t>
  </si>
  <si>
    <t>súng</t>
  </si>
  <si>
    <t>他用枪射中了靶子。</t>
  </si>
  <si>
    <t>腐朽</t>
  </si>
  <si>
    <t>fǔ xiǔ</t>
  </si>
  <si>
    <t>mục nát, lạc hậu</t>
  </si>
  <si>
    <t>这段木头已经腐朽了。</t>
  </si>
  <si>
    <t>强调</t>
  </si>
  <si>
    <t>qiáng diào</t>
  </si>
  <si>
    <t>nhấn mạnh</t>
  </si>
  <si>
    <t>我们需要强调这一点。</t>
  </si>
  <si>
    <t>抚养</t>
  </si>
  <si>
    <t>fǔ yǎng</t>
  </si>
  <si>
    <t>nuôi dưỡng</t>
  </si>
  <si>
    <t>父母有责任抚养孩子。</t>
  </si>
  <si>
    <t>强烈</t>
  </si>
  <si>
    <t>qiáng liè</t>
  </si>
  <si>
    <t>mãnh liệt, mạnh mẽ</t>
  </si>
  <si>
    <t>他的反应非常强烈。</t>
  </si>
  <si>
    <t>俯仰</t>
  </si>
  <si>
    <t>nhất cử nhất động</t>
  </si>
  <si>
    <t>俯仰由人</t>
  </si>
  <si>
    <t>墙</t>
  </si>
  <si>
    <t>qiáng</t>
  </si>
  <si>
    <t>tường</t>
  </si>
  <si>
    <t>辅助</t>
  </si>
  <si>
    <t>墙上贴满了海报。</t>
  </si>
  <si>
    <t>fǔ zhù</t>
  </si>
  <si>
    <t>hỗ trợ, trợ giúp</t>
  </si>
  <si>
    <t>我们需要一些辅助工具。</t>
  </si>
  <si>
    <t>抢</t>
  </si>
  <si>
    <t>qiǎng</t>
  </si>
  <si>
    <t>副</t>
  </si>
  <si>
    <t>cướp</t>
  </si>
  <si>
    <t>他们抢到了最后一件商品。</t>
  </si>
  <si>
    <t>phó, phụ</t>
  </si>
  <si>
    <t>他是副经理。</t>
  </si>
  <si>
    <t>悄悄</t>
  </si>
  <si>
    <t>qiāo qiāo</t>
  </si>
  <si>
    <t>lặng lẽ</t>
  </si>
  <si>
    <t>负担</t>
  </si>
  <si>
    <t>他悄悄地走出了房间。</t>
  </si>
  <si>
    <t>fù dān</t>
  </si>
  <si>
    <t>gánh nặng, chịu trách nhiệm</t>
  </si>
  <si>
    <t>这个项目对我们来说是一个负担。</t>
  </si>
  <si>
    <t>瞧</t>
  </si>
  <si>
    <t>liếc nhìn</t>
  </si>
  <si>
    <t>我们瞧一瞧这个新产品吧。</t>
  </si>
  <si>
    <t>覆盖</t>
  </si>
  <si>
    <t>fù gài</t>
  </si>
  <si>
    <t>che phủ, bao phủ</t>
  </si>
  <si>
    <t>山上覆盖着厚厚的积雪。</t>
  </si>
  <si>
    <t>巧妙</t>
  </si>
  <si>
    <t>qiǎo miào</t>
  </si>
  <si>
    <t>khéo léo</t>
  </si>
  <si>
    <t>他设计了一个巧妙的解决方案。</t>
  </si>
  <si>
    <t>附和</t>
  </si>
  <si>
    <t>fù hè</t>
  </si>
  <si>
    <t>phụ họa, theo</t>
  </si>
  <si>
    <t>他们总是附和老板的意见。</t>
  </si>
  <si>
    <t>切</t>
  </si>
  <si>
    <t>qiè</t>
  </si>
  <si>
    <t>cắt</t>
  </si>
  <si>
    <t>请切水果。</t>
  </si>
  <si>
    <t>复活</t>
  </si>
  <si>
    <t>fù huó</t>
  </si>
  <si>
    <t>phục hồi, tái sinh</t>
  </si>
  <si>
    <t>这个传统节日复活了。</t>
  </si>
  <si>
    <t>亲爱</t>
  </si>
  <si>
    <t>qīn ài</t>
  </si>
  <si>
    <t>thân yêu</t>
  </si>
  <si>
    <t>亲爱的朋友，祝你生日快乐！</t>
  </si>
  <si>
    <t>附件</t>
  </si>
  <si>
    <t>fù jiàn</t>
  </si>
  <si>
    <t>tệp đính kèm</t>
  </si>
  <si>
    <t>我把附件发给你了。</t>
  </si>
  <si>
    <t>亲切</t>
  </si>
  <si>
    <t>qīn qiè</t>
  </si>
  <si>
    <t>thân thiết</t>
  </si>
  <si>
    <t>她的笑容很亲切。</t>
  </si>
  <si>
    <t>附属</t>
  </si>
  <si>
    <t>fù shǔ</t>
  </si>
  <si>
    <t>phụ thuộc, trực thuộc</t>
  </si>
  <si>
    <t>这所学校是大学的附属机构。</t>
  </si>
  <si>
    <t>亲自</t>
  </si>
  <si>
    <t>qīn zì</t>
  </si>
  <si>
    <t>tự thân</t>
  </si>
  <si>
    <t>我亲自去取了包裹。</t>
  </si>
  <si>
    <t>腹泻</t>
  </si>
  <si>
    <t>fù xiè</t>
  </si>
  <si>
    <t>tiêu chảy</t>
  </si>
  <si>
    <t>他吃了不洁的食物，结果腹泻了。</t>
  </si>
  <si>
    <t>勤奋</t>
  </si>
  <si>
    <t>qín fèn</t>
  </si>
  <si>
    <t>cần cù</t>
  </si>
  <si>
    <t>他工作非常勤奋。</t>
  </si>
  <si>
    <t>复兴</t>
  </si>
  <si>
    <t>fù xīng</t>
  </si>
  <si>
    <t>phục hưng</t>
  </si>
  <si>
    <t>这个国家正在复兴。</t>
  </si>
  <si>
    <t>青</t>
  </si>
  <si>
    <t>màu xanh non</t>
  </si>
  <si>
    <t>这个青色的布料很有特色。</t>
  </si>
  <si>
    <t>赋予</t>
  </si>
  <si>
    <t>fù yǔ</t>
  </si>
  <si>
    <t>trao cho, giao cho</t>
  </si>
  <si>
    <t>我们赋予他新的职责。</t>
  </si>
  <si>
    <t>青春</t>
  </si>
  <si>
    <t>qīng chūn</t>
  </si>
  <si>
    <t>thanh xuân</t>
  </si>
  <si>
    <t>青春是美好的。</t>
  </si>
  <si>
    <t>富裕</t>
  </si>
  <si>
    <t>fù yù</t>
  </si>
  <si>
    <t>giàu có, phong phú</t>
  </si>
  <si>
    <t>他的家庭非常富裕。</t>
  </si>
  <si>
    <t>青少年</t>
  </si>
  <si>
    <t>qīng shào nián</t>
  </si>
  <si>
    <t>thanh thiếu niên</t>
  </si>
  <si>
    <t>青少年应该多运动。</t>
  </si>
  <si>
    <t>副作用</t>
  </si>
  <si>
    <t>fù zuò yòng</t>
  </si>
  <si>
    <t>tác dụng phụ</t>
  </si>
  <si>
    <t>这个药有副作用。</t>
  </si>
  <si>
    <t>轻视</t>
  </si>
  <si>
    <t>qīng shì</t>
  </si>
  <si>
    <t>coi khinh, khinh thường</t>
  </si>
  <si>
    <t>不要轻视任何问题。</t>
  </si>
  <si>
    <t>改良</t>
  </si>
  <si>
    <t>gǎi liáng</t>
  </si>
  <si>
    <t>cải tiến, cải tạo</t>
  </si>
  <si>
    <t>我们需要改良这个系统。</t>
  </si>
  <si>
    <t>轻易</t>
  </si>
  <si>
    <t>qīng yì</t>
  </si>
  <si>
    <t>dễ dàng (làm trạng ngữ), khinh suất</t>
  </si>
  <si>
    <t>做事不能轻易放弃。</t>
  </si>
  <si>
    <t>盖章</t>
  </si>
  <si>
    <t>gài zhāng</t>
  </si>
  <si>
    <t>đóng dấu, ký tên</t>
  </si>
  <si>
    <t>请在文件上盖章。</t>
  </si>
  <si>
    <t>清淡</t>
  </si>
  <si>
    <t>qīng dàn</t>
  </si>
  <si>
    <t>thanh đạm</t>
  </si>
  <si>
    <t>我喜欢清淡的食物。</t>
  </si>
  <si>
    <t>尴尬</t>
  </si>
  <si>
    <t>gān gà</t>
  </si>
  <si>
    <t>ngượng ngùng, khó xử</t>
  </si>
  <si>
    <t>他感到非常尴尬。</t>
  </si>
  <si>
    <t>情景</t>
  </si>
  <si>
    <t>qíng jǐng</t>
  </si>
  <si>
    <t>cảnh tượng</t>
  </si>
  <si>
    <t>这个情景很感人。</t>
  </si>
  <si>
    <t>干旱</t>
  </si>
  <si>
    <t>gān hàn</t>
  </si>
  <si>
    <t>khô hạn, hạn hán</t>
  </si>
  <si>
    <t>这个地区干旱了很多年。</t>
  </si>
  <si>
    <t>情绪</t>
  </si>
  <si>
    <t>qíng xù</t>
  </si>
  <si>
    <t>他情绪不好。</t>
  </si>
  <si>
    <t>干扰</t>
  </si>
  <si>
    <t>gān rǎo</t>
  </si>
  <si>
    <t>can thiệp, quấy rầy</t>
  </si>
  <si>
    <t>不要干扰他工作。</t>
  </si>
  <si>
    <t>请求</t>
  </si>
  <si>
    <t>qǐng qiú</t>
  </si>
  <si>
    <t>thỉnh cầu</t>
  </si>
  <si>
    <t>我请求你的帮助。</t>
  </si>
  <si>
    <t>干涉</t>
  </si>
  <si>
    <t>gān shè</t>
  </si>
  <si>
    <t>can thiệp</t>
  </si>
  <si>
    <t>他们干涉了我们的计划。</t>
  </si>
  <si>
    <t>庆祝</t>
  </si>
  <si>
    <t>qìng zhù</t>
  </si>
  <si>
    <t>我们要庆祝这个节日。</t>
  </si>
  <si>
    <t>甘心</t>
  </si>
  <si>
    <t>gān xīn</t>
  </si>
  <si>
    <t>cam tâm, vui lòng</t>
  </si>
  <si>
    <t>他甘心做这个工作。</t>
  </si>
  <si>
    <t>球迷</t>
  </si>
  <si>
    <t>qiú mí</t>
  </si>
  <si>
    <t>người hâm mộ bóng</t>
  </si>
  <si>
    <t>他是一个狂热的球迷。</t>
  </si>
  <si>
    <t>干预</t>
  </si>
  <si>
    <t>gān yù</t>
  </si>
  <si>
    <t>can dự, can thiệp</t>
  </si>
  <si>
    <t>我们不能干预他的选择。</t>
  </si>
  <si>
    <t>趋势</t>
  </si>
  <si>
    <t>qū shì</t>
  </si>
  <si>
    <t xml:space="preserve">xu thế, xu hướng </t>
  </si>
  <si>
    <t>这个趋势正在改变市场。</t>
  </si>
  <si>
    <t>感慨</t>
  </si>
  <si>
    <t>gǎn kǎi</t>
  </si>
  <si>
    <t>cảm khái, xúc động</t>
  </si>
  <si>
    <t>他感慨地说，生活不容易。</t>
  </si>
  <si>
    <t>取消</t>
  </si>
  <si>
    <t>qǔ xiāo</t>
  </si>
  <si>
    <t>hủy bỏ</t>
  </si>
  <si>
    <t>这个活动被取消了。</t>
  </si>
  <si>
    <t>感染</t>
  </si>
  <si>
    <t>gǎn rǎn</t>
  </si>
  <si>
    <t>lây nhiễm, truyền nhiễm</t>
  </si>
  <si>
    <t>他被感染了流感。</t>
  </si>
  <si>
    <t>娶</t>
  </si>
  <si>
    <t>lấy (vợ)</t>
  </si>
  <si>
    <t>他打算娶她为妻。</t>
  </si>
  <si>
    <t>干劲</t>
  </si>
  <si>
    <t>gàn jìn</t>
  </si>
  <si>
    <t>nhiệt tình, hăng hái</t>
  </si>
  <si>
    <t>工人们干劲十足地工作。</t>
  </si>
  <si>
    <t>去世</t>
  </si>
  <si>
    <t>qù shì</t>
  </si>
  <si>
    <t xml:space="preserve">tạ thế, qua đời, mất </t>
  </si>
  <si>
    <t>她的父亲去世了。</t>
  </si>
  <si>
    <t>扛</t>
  </si>
  <si>
    <t>káng</t>
  </si>
  <si>
    <t>vác, gánh</t>
  </si>
  <si>
    <t>他扛着一袋米回家。</t>
  </si>
  <si>
    <t>圈</t>
  </si>
  <si>
    <t>quān</t>
  </si>
  <si>
    <t>vòng</t>
  </si>
  <si>
    <t>刚刚</t>
  </si>
  <si>
    <t>他在圈子里非常有影响力。</t>
  </si>
  <si>
    <t>gāng gāng</t>
  </si>
  <si>
    <t>vừa mới, vừa lúc</t>
  </si>
  <si>
    <t>我刚刚完成任务。</t>
  </si>
  <si>
    <t>权力</t>
  </si>
  <si>
    <t>quán lì</t>
  </si>
  <si>
    <t>纲领</t>
  </si>
  <si>
    <t>quyền lực</t>
  </si>
  <si>
    <t>gāng lǐng</t>
  </si>
  <si>
    <t>这个国家的权力结构复杂。</t>
  </si>
  <si>
    <t>cương lĩnh</t>
  </si>
  <si>
    <t>党的纲领非常明确。</t>
  </si>
  <si>
    <t>港口</t>
  </si>
  <si>
    <t>gǎng kǒu</t>
  </si>
  <si>
    <t>cảng, bến cảng</t>
  </si>
  <si>
    <t>这个港口非常繁忙。</t>
  </si>
  <si>
    <t>港湾</t>
  </si>
  <si>
    <t>gǎng wān</t>
  </si>
  <si>
    <t>vịnh cảng</t>
  </si>
  <si>
    <t>这个港湾是一个天然避风港。</t>
  </si>
  <si>
    <t>岗位</t>
  </si>
  <si>
    <t>gǎng wèi</t>
  </si>
  <si>
    <t>vị trí, cương vị</t>
  </si>
  <si>
    <t>他在这个岗位工作了十年。</t>
  </si>
  <si>
    <t>权利</t>
  </si>
  <si>
    <t>quyền lợi</t>
  </si>
  <si>
    <t>我们必须维护自己的权利。</t>
  </si>
  <si>
    <t>杠杆</t>
  </si>
  <si>
    <t>gàng gǎn</t>
  </si>
  <si>
    <t>đòn bẩy</t>
  </si>
  <si>
    <t>杠杆原理非常重要。</t>
  </si>
  <si>
    <t>高超</t>
  </si>
  <si>
    <t>gāo chāo</t>
  </si>
  <si>
    <t>cao siêu, xuất sắc</t>
  </si>
  <si>
    <t>他的技术非常高超。</t>
  </si>
  <si>
    <t>全面</t>
  </si>
  <si>
    <t>quán miàn</t>
  </si>
  <si>
    <t>toàn diện</t>
  </si>
  <si>
    <t>这个计划全面考虑了各方面的问题。</t>
  </si>
  <si>
    <t>高潮</t>
  </si>
  <si>
    <t>gāo cháo</t>
  </si>
  <si>
    <t>cao trào, đỉnh cao</t>
  </si>
  <si>
    <t>会议达到了高潮。</t>
  </si>
  <si>
    <t>劝</t>
  </si>
  <si>
    <t>quàn</t>
  </si>
  <si>
    <t>khuyên</t>
  </si>
  <si>
    <t>他劝我早点休息。</t>
  </si>
  <si>
    <t>高峰</t>
  </si>
  <si>
    <t>gāo fēng</t>
  </si>
  <si>
    <t>đỉnh cao, cao điểm</t>
  </si>
  <si>
    <t>缺乏</t>
  </si>
  <si>
    <t>quē fá</t>
  </si>
  <si>
    <t>这个项目缺乏资金支持。</t>
  </si>
  <si>
    <r>
      <rPr>
        <rFont val="Times New Roman"/>
        <color rgb="FF000000"/>
        <sz val="12.0"/>
      </rPr>
      <t>攀</t>
    </r>
    <r>
      <rPr>
        <rFont val="Times New Roman"/>
        <color rgb="FF000000"/>
        <sz val="12.0"/>
      </rPr>
      <t>登</t>
    </r>
    <r>
      <rPr>
        <rFont val="Times New Roman"/>
        <color rgb="FF000000"/>
        <sz val="12.0"/>
      </rPr>
      <t>世</t>
    </r>
    <r>
      <rPr>
        <rFont val="Times New Roman"/>
        <color rgb="FF000000"/>
        <sz val="12.0"/>
      </rPr>
      <t>界</t>
    </r>
    <r>
      <rPr>
        <rFont val="Times New Roman"/>
        <color rgb="FF000000"/>
        <sz val="12.0"/>
      </rPr>
      <t>第</t>
    </r>
    <r>
      <rPr>
        <rFont val="Times New Roman"/>
        <color rgb="FF000000"/>
        <sz val="12.0"/>
      </rPr>
      <t>一</t>
    </r>
    <r>
      <rPr>
        <rFont val="Times New Roman"/>
        <color rgb="FF000000"/>
        <sz val="12.0"/>
      </rPr>
      <t>高</t>
    </r>
    <r>
      <rPr>
        <rFont val="Times New Roman"/>
        <color rgb="FF000000"/>
        <sz val="12.0"/>
      </rPr>
      <t>峰</t>
    </r>
    <r>
      <rPr>
        <rFont val="Times New Roman"/>
        <color rgb="FF000000"/>
        <sz val="12.0"/>
      </rPr>
      <t>。</t>
    </r>
  </si>
  <si>
    <t>确定</t>
  </si>
  <si>
    <t>què dìng</t>
  </si>
  <si>
    <t>xác định</t>
  </si>
  <si>
    <t>我们需要确定计划的细节。</t>
  </si>
  <si>
    <t>高考</t>
  </si>
  <si>
    <t>gāo kǎo</t>
  </si>
  <si>
    <t>kỳ thi đại học</t>
  </si>
  <si>
    <t>他通过了高考。</t>
  </si>
  <si>
    <t>确认</t>
  </si>
  <si>
    <t>què rèn</t>
  </si>
  <si>
    <t>xác nhận</t>
  </si>
  <si>
    <t>请确认您的预约时间。</t>
  </si>
  <si>
    <t>高明</t>
  </si>
  <si>
    <t>gāo míng</t>
  </si>
  <si>
    <t>cao minh, thông minh</t>
  </si>
  <si>
    <t>他的见解非常高明。</t>
  </si>
  <si>
    <t>高尚</t>
  </si>
  <si>
    <t>gāo shàng</t>
  </si>
  <si>
    <t>群</t>
  </si>
  <si>
    <t>cao thượng, cao quý</t>
  </si>
  <si>
    <t>qún</t>
  </si>
  <si>
    <t>他是一个高尚的人。</t>
  </si>
  <si>
    <t>đám, nhóm</t>
  </si>
  <si>
    <t>我们正在建立一个新的群体。</t>
  </si>
  <si>
    <t>高涨</t>
  </si>
  <si>
    <t>gāo zhǎng</t>
  </si>
  <si>
    <t>tăng cao, nổi lên</t>
  </si>
  <si>
    <t>燃烧</t>
  </si>
  <si>
    <t>物价最近一直在高涨。</t>
  </si>
  <si>
    <t>rán shāo</t>
  </si>
  <si>
    <t>đốt cháy</t>
  </si>
  <si>
    <t>木材在火上燃烧得很快。</t>
  </si>
  <si>
    <t>稿件</t>
  </si>
  <si>
    <t>gǎo jiàn</t>
  </si>
  <si>
    <t>bản thảo, tài liệu</t>
  </si>
  <si>
    <t>他提交了一份稿件。</t>
  </si>
  <si>
    <t>绕</t>
  </si>
  <si>
    <t>rào</t>
  </si>
  <si>
    <t>vòng vèo</t>
  </si>
  <si>
    <t>请绕过这个障碍物。</t>
  </si>
  <si>
    <t>告辞</t>
  </si>
  <si>
    <t>gào cí</t>
  </si>
  <si>
    <t>cáo từ, từ biệt</t>
  </si>
  <si>
    <t>我们告辞了主人。</t>
  </si>
  <si>
    <t>热爱</t>
  </si>
  <si>
    <t>rè ài</t>
  </si>
  <si>
    <t>yêu (cuộc sống, học sinh, thiên nhiên, âm nhạc, bạn bè, người thân)</t>
  </si>
  <si>
    <t>我们都热爱这份工作。</t>
  </si>
  <si>
    <t>告诫</t>
  </si>
  <si>
    <t>gào jiè</t>
  </si>
  <si>
    <t>cảnh cáo, nhắc nhở</t>
  </si>
  <si>
    <t>老师告诫我们要努力学习。</t>
  </si>
  <si>
    <t>热烈</t>
  </si>
  <si>
    <t>rè liè</t>
  </si>
  <si>
    <t>nhiệt liệt</t>
  </si>
  <si>
    <t>他们对新项目的热烈欢迎让我们很感动。</t>
  </si>
  <si>
    <t>割</t>
  </si>
  <si>
    <t>gē</t>
  </si>
  <si>
    <t>cắt, gặt</t>
  </si>
  <si>
    <t>他割破了手指。</t>
  </si>
  <si>
    <t>热心</t>
  </si>
  <si>
    <t>rè xīn</t>
  </si>
  <si>
    <t>nhiệt tình (người, người bạn), nhiệt huyết</t>
  </si>
  <si>
    <t>她对帮助他人总是热心。</t>
  </si>
  <si>
    <t>搁</t>
  </si>
  <si>
    <t>请把东西搁在桌子上。</t>
  </si>
  <si>
    <t>人才</t>
  </si>
  <si>
    <t>rén cái</t>
  </si>
  <si>
    <t>nhân tài</t>
  </si>
  <si>
    <t>我们需要更多的人才来推动项目。</t>
  </si>
  <si>
    <t>疙瘩</t>
  </si>
  <si>
    <t>gē da</t>
  </si>
  <si>
    <t>mụn, cục</t>
  </si>
  <si>
    <t>他脸上长了一个疙瘩。</t>
  </si>
  <si>
    <t>人口</t>
  </si>
  <si>
    <t>rén kǒu</t>
  </si>
  <si>
    <t>dân số</t>
  </si>
  <si>
    <t>这个城市的人口在不断增加。</t>
  </si>
  <si>
    <t>歌颂</t>
  </si>
  <si>
    <t>gē sòng</t>
  </si>
  <si>
    <t>ca ngợi, ca tụng</t>
  </si>
  <si>
    <t>我们歌颂英雄的事迹。</t>
  </si>
  <si>
    <t>人类</t>
  </si>
  <si>
    <t>rén lèi</t>
  </si>
  <si>
    <t>loài người</t>
  </si>
  <si>
    <t>人类的进步离不开科技。</t>
  </si>
  <si>
    <t>隔阂</t>
  </si>
  <si>
    <t>gé hé</t>
  </si>
  <si>
    <t>ngăn cách, trở ngại</t>
  </si>
  <si>
    <t>他们之间存在隔阂。</t>
  </si>
  <si>
    <t>人民币</t>
  </si>
  <si>
    <t>rén mín bì</t>
  </si>
  <si>
    <t>格局</t>
  </si>
  <si>
    <t>nhân dân tệ</t>
  </si>
  <si>
    <t>gé jú</t>
  </si>
  <si>
    <t>我们用人民币支付了这笔费用。</t>
  </si>
  <si>
    <t>cấu trúc, bố cục</t>
  </si>
  <si>
    <t>房子的格局很好。</t>
  </si>
  <si>
    <t>隔离</t>
  </si>
  <si>
    <t>人生</t>
  </si>
  <si>
    <t>gé lí</t>
  </si>
  <si>
    <t>rén shēng</t>
  </si>
  <si>
    <t>cách ly</t>
  </si>
  <si>
    <t>đời người</t>
  </si>
  <si>
    <t>病人需要隔离。</t>
  </si>
  <si>
    <t>人生中有很多重要的时刻。</t>
  </si>
  <si>
    <t>格式</t>
  </si>
  <si>
    <t>gé shì</t>
  </si>
  <si>
    <t>人事</t>
  </si>
  <si>
    <t>kiểu mẫu, khuôn mẫu</t>
  </si>
  <si>
    <t>rén shì</t>
  </si>
  <si>
    <t>请按照规定的格式填写表格。</t>
  </si>
  <si>
    <t>nhân sự</t>
  </si>
  <si>
    <t>人事部门负责招聘新员工。</t>
  </si>
  <si>
    <t>各抒己见</t>
  </si>
  <si>
    <t>gè shū jǐ jiàn</t>
  </si>
  <si>
    <t>mỗi người một ý</t>
  </si>
  <si>
    <t>会议上，各抒己见。</t>
  </si>
  <si>
    <t>个体</t>
  </si>
  <si>
    <t>gè tǐ</t>
  </si>
  <si>
    <t>cá thể, cá nhân</t>
  </si>
  <si>
    <t>这家店是个体经营的。</t>
  </si>
  <si>
    <t>人物</t>
  </si>
  <si>
    <t>rén wù</t>
  </si>
  <si>
    <t>他是一个很有影响力的人物。</t>
  </si>
  <si>
    <t>từng người, mỗi người</t>
  </si>
  <si>
    <t>他们各自回家了。</t>
  </si>
  <si>
    <t>人员</t>
  </si>
  <si>
    <t>rén yuán</t>
  </si>
  <si>
    <t>nhân viên</t>
  </si>
  <si>
    <t>跟前</t>
  </si>
  <si>
    <t>我们的人员配置已经完成。</t>
  </si>
  <si>
    <t>gēn qián</t>
  </si>
  <si>
    <t>trước mặt, bên cạnh</t>
  </si>
  <si>
    <t>她在我的跟前。</t>
  </si>
  <si>
    <t>忍不住</t>
  </si>
  <si>
    <t>rěn bù zhù</t>
  </si>
  <si>
    <t>他忍不住笑了出来。</t>
  </si>
  <si>
    <t>根深蒂固</t>
  </si>
  <si>
    <t>gēn shēn dì gù</t>
  </si>
  <si>
    <t>ăn sâu bám rễ</t>
  </si>
  <si>
    <t>这种思想已经根深蒂固。</t>
  </si>
  <si>
    <t>日常</t>
  </si>
  <si>
    <t>rì cháng</t>
  </si>
  <si>
    <t>thường ngày</t>
  </si>
  <si>
    <t>我们需要建立一个日常的工作流程。</t>
  </si>
  <si>
    <t>跟随</t>
  </si>
  <si>
    <t>gēn suí</t>
  </si>
  <si>
    <t>theo đuôi, đi theo</t>
  </si>
  <si>
    <t>孩子们跟随着老师走。</t>
  </si>
  <si>
    <t>日程</t>
  </si>
  <si>
    <t>rì chéng</t>
  </si>
  <si>
    <t>lịch trình</t>
  </si>
  <si>
    <t>请查看你的日程安排。</t>
  </si>
  <si>
    <t>根源</t>
  </si>
  <si>
    <t>gēn yuán</t>
  </si>
  <si>
    <t>căn nguyên, nguồn gốc</t>
  </si>
  <si>
    <t>这个问题的根源很复杂。</t>
  </si>
  <si>
    <t>日历</t>
  </si>
  <si>
    <t>rì lì</t>
  </si>
  <si>
    <t>quyển lịch</t>
  </si>
  <si>
    <t>这本日历很实用。</t>
  </si>
  <si>
    <t>跟踪</t>
  </si>
  <si>
    <t>gēn zōng</t>
  </si>
  <si>
    <t>theo dõi, bám đuôi</t>
  </si>
  <si>
    <t>我们正在跟踪调查。</t>
  </si>
  <si>
    <t>日期</t>
  </si>
  <si>
    <t>rì qī</t>
  </si>
  <si>
    <t>ngày tháng</t>
  </si>
  <si>
    <t>我们需要确认会议的日期。</t>
  </si>
  <si>
    <t>耕地</t>
  </si>
  <si>
    <t>gēng dì</t>
  </si>
  <si>
    <t>canh tác, trồng trọt</t>
  </si>
  <si>
    <t>农民正在耕地。</t>
  </si>
  <si>
    <t>日用品</t>
  </si>
  <si>
    <t>rì yòng pǐn</t>
  </si>
  <si>
    <t>đồ dùng</t>
  </si>
  <si>
    <t>我每天使用各种日用品。</t>
  </si>
  <si>
    <t>更新</t>
  </si>
  <si>
    <t>gēng xīn</t>
  </si>
  <si>
    <t>đổi mới, cập nhật</t>
  </si>
  <si>
    <t>他们决定更新设备。</t>
  </si>
  <si>
    <t>日子</t>
  </si>
  <si>
    <t>rì zi</t>
  </si>
  <si>
    <t>这几天的日子过得很快。</t>
  </si>
  <si>
    <t>更正</t>
  </si>
  <si>
    <t>gēng zhèng</t>
  </si>
  <si>
    <t>cải chính, sửa lại</t>
  </si>
  <si>
    <t>请更正这个错误。</t>
  </si>
  <si>
    <t>如何</t>
  </si>
  <si>
    <t>rú hé</t>
  </si>
  <si>
    <t>你如何解决这个问题？</t>
  </si>
  <si>
    <t>公安局</t>
  </si>
  <si>
    <t>gōng ān jú</t>
  </si>
  <si>
    <t>công an</t>
  </si>
  <si>
    <t>我们需要去公安局办理手续。</t>
  </si>
  <si>
    <t>如今</t>
  </si>
  <si>
    <t>rú jīn</t>
  </si>
  <si>
    <t>hiện nay</t>
  </si>
  <si>
    <t>如今，科技发展迅速。</t>
  </si>
  <si>
    <t>供不应求</t>
  </si>
  <si>
    <t>gōng bù yìng qiú</t>
  </si>
  <si>
    <t>cung không đủ cầu</t>
  </si>
  <si>
    <t>这种商品供不应求。</t>
  </si>
  <si>
    <t>软</t>
  </si>
  <si>
    <t>ruǎn</t>
  </si>
  <si>
    <t>mềm</t>
  </si>
  <si>
    <t>这款手机非常软。</t>
  </si>
  <si>
    <t>公道</t>
  </si>
  <si>
    <t>gōng dào</t>
  </si>
  <si>
    <t>công bằng, hợp lý</t>
  </si>
  <si>
    <t>这个建议很公道。</t>
  </si>
  <si>
    <t>软件</t>
  </si>
  <si>
    <t>ruǎn jiàn</t>
  </si>
  <si>
    <t>宫殿</t>
  </si>
  <si>
    <t>phần mềm</t>
  </si>
  <si>
    <t>gōng diàn</t>
  </si>
  <si>
    <t>我们需要更新软件版本。</t>
  </si>
  <si>
    <t>cung điện</t>
  </si>
  <si>
    <t>这座宫殿非常壮丽。</t>
  </si>
  <si>
    <t>工夫</t>
  </si>
  <si>
    <t>gōng fu</t>
  </si>
  <si>
    <t>công phu, thời gian</t>
  </si>
  <si>
    <t>弱</t>
  </si>
  <si>
    <t>ruò</t>
  </si>
  <si>
    <t>他三天工夫就学会了游泳。</t>
  </si>
  <si>
    <t>yếu ớt</t>
  </si>
  <si>
    <t>他的声音很弱。</t>
  </si>
  <si>
    <t>公告</t>
  </si>
  <si>
    <t>gōng gào</t>
  </si>
  <si>
    <t>他们发布了公告。</t>
  </si>
  <si>
    <t>洒</t>
  </si>
  <si>
    <t>sǎ</t>
  </si>
  <si>
    <t>vãi, vung</t>
  </si>
  <si>
    <t>他们把水洒在了地上。</t>
  </si>
  <si>
    <t>公关</t>
  </si>
  <si>
    <t>gōng guān</t>
  </si>
  <si>
    <t>quan hệ công chúng</t>
  </si>
  <si>
    <t>公关人员正在处理这个问题。</t>
  </si>
  <si>
    <t>嗓子</t>
  </si>
  <si>
    <t>sǎng zi</t>
  </si>
  <si>
    <t>cổ họng</t>
  </si>
  <si>
    <t>她的嗓子很沙哑。</t>
  </si>
  <si>
    <t>攻击</t>
  </si>
  <si>
    <t>gōng jī</t>
  </si>
  <si>
    <t>tấn công</t>
  </si>
  <si>
    <t>我们必须攻击敌人。</t>
  </si>
  <si>
    <t>色彩</t>
  </si>
  <si>
    <t>sè cǎi</t>
  </si>
  <si>
    <t>这幅画儿的色彩非常丰富。</t>
  </si>
  <si>
    <t>供给</t>
  </si>
  <si>
    <t>gōng jǐ</t>
  </si>
  <si>
    <t>我们会及时供给物资。</t>
  </si>
  <si>
    <t>杀</t>
  </si>
  <si>
    <t>shā</t>
  </si>
  <si>
    <t>giết</t>
  </si>
  <si>
    <t>他杀了一个害虫。</t>
  </si>
  <si>
    <t>恭敬</t>
  </si>
  <si>
    <t>gōng jìng</t>
  </si>
  <si>
    <t>kính cẩn, cung kính</t>
  </si>
  <si>
    <t>他对长辈很恭敬。</t>
  </si>
  <si>
    <t>沙漠</t>
  </si>
  <si>
    <t>shā mò</t>
  </si>
  <si>
    <t>sa mạc</t>
  </si>
  <si>
    <t>沙漠里很少有植物。</t>
  </si>
  <si>
    <t>功课</t>
  </si>
  <si>
    <t>gōng kè</t>
  </si>
  <si>
    <t>bài tập, môn học</t>
  </si>
  <si>
    <t>我每天都有很多功课。</t>
  </si>
  <si>
    <t>攻克</t>
  </si>
  <si>
    <t>công phá, chinh phục</t>
  </si>
  <si>
    <t>我们攻克了技术难题。</t>
  </si>
  <si>
    <t>功劳</t>
  </si>
  <si>
    <t>gōng láo</t>
  </si>
  <si>
    <t>沙滩</t>
  </si>
  <si>
    <t>công lao</t>
  </si>
  <si>
    <t>shā tān</t>
  </si>
  <si>
    <t>他的功劳很大。</t>
  </si>
  <si>
    <t>bãi cát</t>
  </si>
  <si>
    <t>我们在沙滩上散步。</t>
  </si>
  <si>
    <t>公民</t>
  </si>
  <si>
    <t>傻</t>
  </si>
  <si>
    <t>gōng mín</t>
  </si>
  <si>
    <t>shǎ</t>
  </si>
  <si>
    <t>công dân</t>
  </si>
  <si>
    <t>每个公民都有责任。</t>
  </si>
  <si>
    <t>他总是做些傻事。</t>
  </si>
  <si>
    <t>公婆</t>
  </si>
  <si>
    <t>gōng pó</t>
  </si>
  <si>
    <t>晒</t>
  </si>
  <si>
    <t>cha mẹ chồng</t>
  </si>
  <si>
    <t>shài</t>
  </si>
  <si>
    <t>我的公婆住在一起。</t>
  </si>
  <si>
    <t>phơi, tắm nắng</t>
  </si>
  <si>
    <t>我喜欢在阳光下晒太阳。</t>
  </si>
  <si>
    <t>删除</t>
  </si>
  <si>
    <t>公然</t>
  </si>
  <si>
    <t>shān chú</t>
  </si>
  <si>
    <t>gōng rán</t>
  </si>
  <si>
    <t>xóa bỏ</t>
  </si>
  <si>
    <t>请删除这个错误的文件。</t>
  </si>
  <si>
    <t>他公然违背了规定。</t>
  </si>
  <si>
    <t>闪电</t>
  </si>
  <si>
    <t>shǎn diàn</t>
  </si>
  <si>
    <t>公认</t>
  </si>
  <si>
    <t>chớp</t>
  </si>
  <si>
    <t>昨晚的闪电很亮。</t>
  </si>
  <si>
    <t>gōng rèn</t>
  </si>
  <si>
    <t>công nhận</t>
  </si>
  <si>
    <t>这种产品得到了公认。</t>
  </si>
  <si>
    <t>扇子</t>
  </si>
  <si>
    <t>shàn zi</t>
  </si>
  <si>
    <t>cái quạt</t>
  </si>
  <si>
    <t>她用扇子给大家扇风。</t>
  </si>
  <si>
    <t>公式</t>
  </si>
  <si>
    <t>gōng shì</t>
  </si>
  <si>
    <t>công thức</t>
  </si>
  <si>
    <t>数学公式很重要。</t>
  </si>
  <si>
    <t>善良</t>
  </si>
  <si>
    <t>shàn liáng</t>
  </si>
  <si>
    <t>lương thiện, hiền lành</t>
  </si>
  <si>
    <t>他是一个非常善良的人。</t>
  </si>
  <si>
    <t>公务</t>
  </si>
  <si>
    <t>gōng wù</t>
  </si>
  <si>
    <t>công vụ, công tác</t>
  </si>
  <si>
    <t>他是公务员。</t>
  </si>
  <si>
    <t>善于</t>
  </si>
  <si>
    <t>shàn yú</t>
  </si>
  <si>
    <t>giỏi về việc gì đó</t>
  </si>
  <si>
    <t>她善于与人沟通。</t>
  </si>
  <si>
    <t>功效</t>
  </si>
  <si>
    <t>gōng xiào</t>
  </si>
  <si>
    <t>这种药物的功效很好。</t>
  </si>
  <si>
    <t>伤害</t>
  </si>
  <si>
    <t>shāng hài</t>
  </si>
  <si>
    <t>làm hại</t>
  </si>
  <si>
    <t>这种药可能会伤害你的胃。</t>
  </si>
  <si>
    <t>工艺品</t>
  </si>
  <si>
    <t>gōng yì pǐn</t>
  </si>
  <si>
    <t>đồ thủ công mỹ nghệ</t>
  </si>
  <si>
    <t>我喜欢收集工艺品。</t>
  </si>
  <si>
    <t>商品</t>
  </si>
  <si>
    <t>shāng pǐn</t>
  </si>
  <si>
    <t>这个商店卖各种商品。</t>
  </si>
  <si>
    <t>公正</t>
  </si>
  <si>
    <t>gōng zhèng</t>
  </si>
  <si>
    <t>công bằng, chính trực</t>
  </si>
  <si>
    <t>他是一个公正的人。</t>
  </si>
  <si>
    <t>商务</t>
  </si>
  <si>
    <t>shāng wù</t>
  </si>
  <si>
    <t>thương gia (hạng, khoang),</t>
  </si>
  <si>
    <t>我们的商务会议将在明天进行。</t>
  </si>
  <si>
    <t>公证</t>
  </si>
  <si>
    <t>công chứng</t>
  </si>
  <si>
    <t>我们需要去公证处。</t>
  </si>
  <si>
    <t>商业</t>
  </si>
  <si>
    <t>shāng yè</t>
  </si>
  <si>
    <t>这是一个商业机会。</t>
  </si>
  <si>
    <t>巩固</t>
  </si>
  <si>
    <t>gǒng gù</t>
  </si>
  <si>
    <t>củng cố</t>
  </si>
  <si>
    <t>我们要巩固我们的成果。</t>
  </si>
  <si>
    <t>上当</t>
  </si>
  <si>
    <t>shàng dàng</t>
  </si>
  <si>
    <t>mắc lừa</t>
  </si>
  <si>
    <t>他上当了，被骗了钱。</t>
  </si>
  <si>
    <t>共和国</t>
  </si>
  <si>
    <t>gòng hé guó</t>
  </si>
  <si>
    <t>nước cộng hòa</t>
  </si>
  <si>
    <t>中国是中华人民共和国。</t>
  </si>
  <si>
    <t>蛇</t>
  </si>
  <si>
    <t>shé</t>
  </si>
  <si>
    <t>rắn</t>
  </si>
  <si>
    <t>在花园里，我们看到了一条蛇。</t>
  </si>
  <si>
    <t>共计</t>
  </si>
  <si>
    <t>gòng jì</t>
  </si>
  <si>
    <t>我们这次旅游共计花费了五千元。</t>
  </si>
  <si>
    <t>舍不得</t>
  </si>
  <si>
    <t>shě bù dé</t>
  </si>
  <si>
    <t xml:space="preserve">không nỡ lòng, luyến tiếc </t>
  </si>
  <si>
    <t>我舍不得离开这座城市。</t>
  </si>
  <si>
    <t>共鸣</t>
  </si>
  <si>
    <t>gòng míng</t>
  </si>
  <si>
    <t>cộng hưởng, đồng cảm</t>
  </si>
  <si>
    <t>这首歌引起了许多人的共鸣。</t>
  </si>
  <si>
    <t>设备</t>
  </si>
  <si>
    <t>shè bèi</t>
  </si>
  <si>
    <t>thiết bị</t>
  </si>
  <si>
    <t>新的设备安装完成了。</t>
  </si>
  <si>
    <t>勾结</t>
  </si>
  <si>
    <t>gōu jié</t>
  </si>
  <si>
    <t>cấu kết, thông đồng</t>
  </si>
  <si>
    <t>他们被发现与敌人勾结。</t>
  </si>
  <si>
    <t>设计</t>
  </si>
  <si>
    <t>shè jì</t>
  </si>
  <si>
    <t>thiết kế</t>
  </si>
  <si>
    <t>这位设计师的作品很受欢迎。</t>
  </si>
  <si>
    <t>钩子</t>
  </si>
  <si>
    <t>gōu zi</t>
  </si>
  <si>
    <t>cái móc, cái lưỡi câu</t>
  </si>
  <si>
    <t>他用钩子把门锁打开了。</t>
  </si>
  <si>
    <t>设施</t>
  </si>
  <si>
    <t>shè shī</t>
  </si>
  <si>
    <t>cơ sở vật chất</t>
  </si>
  <si>
    <t>这座城市有许多现代设施。</t>
  </si>
  <si>
    <t>构思</t>
  </si>
  <si>
    <t>gòu sī</t>
  </si>
  <si>
    <t>cấu tứ, suy nghĩ</t>
  </si>
  <si>
    <t>他正在构思一个新的小说。</t>
  </si>
  <si>
    <t>射击</t>
  </si>
  <si>
    <t>shè jī</t>
  </si>
  <si>
    <t>bắn</t>
  </si>
  <si>
    <t>他喜欢射击运动。</t>
  </si>
  <si>
    <t>孤独</t>
  </si>
  <si>
    <t>gū dú</t>
  </si>
  <si>
    <t>cô độc, cô đơn</t>
  </si>
  <si>
    <t>她感到非常孤独。</t>
  </si>
  <si>
    <t>摄影</t>
  </si>
  <si>
    <t>shè yǐng</t>
  </si>
  <si>
    <t>quay phim, chụp ảnh</t>
  </si>
  <si>
    <t>她喜欢摄影，尤其是拍风景照。</t>
  </si>
  <si>
    <t>辜负</t>
  </si>
  <si>
    <t>gū fù</t>
  </si>
  <si>
    <t>phụ lòng, phụ sự kỳ vọng</t>
  </si>
  <si>
    <t>他辜负了我们的期望。</t>
  </si>
  <si>
    <t>伸</t>
  </si>
  <si>
    <t>vươn, duỗi, kéo dài</t>
  </si>
  <si>
    <t>他伸了伸懒腰。</t>
  </si>
  <si>
    <t>孤立</t>
  </si>
  <si>
    <t>gū lì</t>
  </si>
  <si>
    <t>cô lập, đơn độc</t>
  </si>
  <si>
    <t>她被同事们孤立了。</t>
  </si>
  <si>
    <t>身材</t>
  </si>
  <si>
    <t>shēn cái</t>
  </si>
  <si>
    <t>cơ thể, dáng</t>
  </si>
  <si>
    <t>姑且</t>
  </si>
  <si>
    <t>gū qiě</t>
  </si>
  <si>
    <t>tạm thời, tạm thời cứ</t>
  </si>
  <si>
    <t>姑且试试这个方法吧。</t>
  </si>
  <si>
    <t>身份</t>
  </si>
  <si>
    <t>shēn fèn</t>
  </si>
  <si>
    <t>thân phận</t>
  </si>
  <si>
    <t>他在公司里有很高的身份。</t>
  </si>
  <si>
    <t>深刻</t>
  </si>
  <si>
    <t>shēn kè</t>
  </si>
  <si>
    <t>sâu sắc</t>
  </si>
  <si>
    <t>这本书对我有很深刻的影响。</t>
  </si>
  <si>
    <t>神话</t>
  </si>
  <si>
    <t>shén huà</t>
  </si>
  <si>
    <t>thần thoại</t>
  </si>
  <si>
    <t>我们都听过这个神话故事。</t>
  </si>
  <si>
    <t>神秘</t>
  </si>
  <si>
    <t>shén mì</t>
  </si>
  <si>
    <t>thần bí</t>
  </si>
  <si>
    <t>这是一种神秘的动物。</t>
  </si>
  <si>
    <t>股东</t>
  </si>
  <si>
    <t>gǔ dōng</t>
  </si>
  <si>
    <t>cổ đông</t>
  </si>
  <si>
    <t>股东们决定增加投资。</t>
  </si>
  <si>
    <t>升</t>
  </si>
  <si>
    <t>shēng</t>
  </si>
  <si>
    <t>thăng, lên, lít (đơn vị đo thể tích)</t>
  </si>
  <si>
    <t>他的工作表现得到升职。</t>
  </si>
  <si>
    <t>古董</t>
  </si>
  <si>
    <t>gǔ dǒng</t>
  </si>
  <si>
    <t>cổ vật, đồ cổ</t>
  </si>
  <si>
    <t>这件古董非常珍贵。</t>
  </si>
  <si>
    <t>生产</t>
  </si>
  <si>
    <t>shēng chǎn</t>
  </si>
  <si>
    <t>sản xuất</t>
  </si>
  <si>
    <t>我们正在生产新产品。</t>
  </si>
  <si>
    <t>鼓动</t>
  </si>
  <si>
    <t>gǔ dòng</t>
  </si>
  <si>
    <t>cổ động, kích động</t>
  </si>
  <si>
    <t>他努力鼓动大家参加活动。</t>
  </si>
  <si>
    <t>生动</t>
  </si>
  <si>
    <t>shēng dòng</t>
  </si>
  <si>
    <t>sinh động</t>
  </si>
  <si>
    <t>这个故事非常生动。</t>
  </si>
  <si>
    <t>股份</t>
  </si>
  <si>
    <t>gǔ fèn</t>
  </si>
  <si>
    <t>cổ phần</t>
  </si>
  <si>
    <t>公司的股份上涨了。</t>
  </si>
  <si>
    <t>生长</t>
  </si>
  <si>
    <t>shēng zhǎng</t>
  </si>
  <si>
    <t>sinh trưởng, lớn</t>
  </si>
  <si>
    <t>植物在这个土壤中生长得很好。</t>
  </si>
  <si>
    <t>骨干</t>
  </si>
  <si>
    <t>声调</t>
  </si>
  <si>
    <t>gǔ gàn</t>
  </si>
  <si>
    <t>shēng diào</t>
  </si>
  <si>
    <t>nòng cốt, trụ cột</t>
  </si>
  <si>
    <t>thanh điệu</t>
  </si>
  <si>
    <t>他是公司里的骨干员工。</t>
  </si>
  <si>
    <t>这句话的声调很特别。</t>
  </si>
  <si>
    <t>绳子</t>
  </si>
  <si>
    <t>shéng zi</t>
  </si>
  <si>
    <t>dây thừng</t>
  </si>
  <si>
    <t>古怪</t>
  </si>
  <si>
    <t>他用绳子绑住了箱子。</t>
  </si>
  <si>
    <t>gǔ guài</t>
  </si>
  <si>
    <t>kỳ quái, kỳ lạ</t>
  </si>
  <si>
    <t>他的行为很古怪。</t>
  </si>
  <si>
    <t>省略</t>
  </si>
  <si>
    <t>shěng lüè</t>
  </si>
  <si>
    <t>tỉnh lược</t>
  </si>
  <si>
    <t>这句话省略了很多细节。</t>
  </si>
  <si>
    <t>顾虑</t>
  </si>
  <si>
    <t>gù lǜ</t>
  </si>
  <si>
    <t>lo ngại, e ngại</t>
  </si>
  <si>
    <t>我对这件事有些顾虑。</t>
  </si>
  <si>
    <t>胜利</t>
  </si>
  <si>
    <t>shèng lì</t>
  </si>
  <si>
    <t>thắng lợi</t>
  </si>
  <si>
    <t>我们终于获得了胜利。</t>
  </si>
  <si>
    <t>固然</t>
  </si>
  <si>
    <t>gù rán</t>
  </si>
  <si>
    <t>cố nhiên, dĩ nhiên</t>
  </si>
  <si>
    <t>固然他很聪明，但还需要努力。</t>
  </si>
  <si>
    <t>失眠</t>
  </si>
  <si>
    <t>shī mián</t>
  </si>
  <si>
    <t>mất ngủ</t>
  </si>
  <si>
    <t>他晚上常常失眠。</t>
  </si>
  <si>
    <t>顾问</t>
  </si>
  <si>
    <t>gù wèn</t>
  </si>
  <si>
    <t>cố vấn</t>
  </si>
  <si>
    <t>他是公司的顾问。</t>
  </si>
  <si>
    <t>失去</t>
  </si>
  <si>
    <t>shī qù</t>
  </si>
  <si>
    <t>mất đi</t>
  </si>
  <si>
    <t>我们不应该失去这个机会。</t>
  </si>
  <si>
    <t>故乡</t>
  </si>
  <si>
    <t>gù xiāng</t>
  </si>
  <si>
    <t>cố hương, quê hương</t>
  </si>
  <si>
    <t>我非常想念我的故乡。</t>
  </si>
  <si>
    <t>失业</t>
  </si>
  <si>
    <t>shī yè</t>
  </si>
  <si>
    <t>thất nghiệp</t>
  </si>
  <si>
    <t>他因为失业而感到沮丧。</t>
  </si>
  <si>
    <t>固有</t>
  </si>
  <si>
    <t>gù yǒu</t>
  </si>
  <si>
    <t>vốn có, sẵn có</t>
  </si>
  <si>
    <t>这种文化是我们固有的传统。</t>
  </si>
  <si>
    <t>诗</t>
  </si>
  <si>
    <t>shī</t>
  </si>
  <si>
    <t>thơ</t>
  </si>
  <si>
    <t>这首诗很美。</t>
  </si>
  <si>
    <t>故障</t>
  </si>
  <si>
    <t>gù zhàng</t>
  </si>
  <si>
    <t>狮子</t>
  </si>
  <si>
    <t>trục trặc, hỏng hóc</t>
  </si>
  <si>
    <t>shī zi</t>
  </si>
  <si>
    <t>机器出了故障。</t>
  </si>
  <si>
    <t>sư tử</t>
  </si>
  <si>
    <t>他养了一只狮子作为宠物。</t>
  </si>
  <si>
    <t>湿润</t>
  </si>
  <si>
    <t>shī rùn</t>
  </si>
  <si>
    <t>这片土地非常湿润。</t>
  </si>
  <si>
    <t>固执</t>
  </si>
  <si>
    <t>gù zhí</t>
  </si>
  <si>
    <t>cố chấp, bướng bỉnh</t>
  </si>
  <si>
    <t>他是个很固执的人。</t>
  </si>
  <si>
    <t>石头</t>
  </si>
  <si>
    <t>shí tou</t>
  </si>
  <si>
    <t>hòn đá</t>
  </si>
  <si>
    <t>我们在山上找到了一块石头。</t>
  </si>
  <si>
    <t>拐杖</t>
  </si>
  <si>
    <t>guǎi zhàng</t>
  </si>
  <si>
    <t>gậy chống, gậy chống đi</t>
  </si>
  <si>
    <t>他需要一根拐杖来行走。</t>
  </si>
  <si>
    <t>时差</t>
  </si>
  <si>
    <t>shí chā</t>
  </si>
  <si>
    <t>lệch múi giờ</t>
  </si>
  <si>
    <t>时差有时候让人很疲倦。</t>
  </si>
  <si>
    <t>官方</t>
  </si>
  <si>
    <t>guān fāng</t>
  </si>
  <si>
    <t>chính thức, của chính phủ</t>
  </si>
  <si>
    <t>这是官方的声明。</t>
  </si>
  <si>
    <t>时代</t>
  </si>
  <si>
    <t>shí dài</t>
  </si>
  <si>
    <t>这是一个充满变化的时代。</t>
  </si>
  <si>
    <t>时刻</t>
  </si>
  <si>
    <t>shí kè</t>
  </si>
  <si>
    <t>khoảnh khắc</t>
  </si>
  <si>
    <t>我们要注意时间的每一个时刻。</t>
  </si>
  <si>
    <t>观光</t>
  </si>
  <si>
    <t>guān guāng</t>
  </si>
  <si>
    <t>tham quan, du lịch</t>
  </si>
  <si>
    <t>我们打算去北京观光。</t>
  </si>
  <si>
    <t>时髦</t>
  </si>
  <si>
    <t>shí máo</t>
  </si>
  <si>
    <t>mốt, thời trang</t>
  </si>
  <si>
    <t>她穿了一件很时髦的衣服。</t>
  </si>
  <si>
    <t>关照</t>
  </si>
  <si>
    <t>guān zhào</t>
  </si>
  <si>
    <t>quan tâm, chăm sóc</t>
  </si>
  <si>
    <t>谢谢你的关照。</t>
  </si>
  <si>
    <t>时期</t>
  </si>
  <si>
    <t>shí qī</t>
  </si>
  <si>
    <t>thời kì</t>
  </si>
  <si>
    <t>这个时期经济很不稳定。</t>
  </si>
  <si>
    <t>管辖</t>
  </si>
  <si>
    <t>guǎn xiá</t>
  </si>
  <si>
    <t>quản lý, cai quản</t>
  </si>
  <si>
    <t>他负责管辖这个地区。</t>
  </si>
  <si>
    <t>时尚</t>
  </si>
  <si>
    <t>shí shàng</t>
  </si>
  <si>
    <t>thời thượng, thịnh hành, thời trang</t>
  </si>
  <si>
    <t>她总是追求时尚潮流。</t>
  </si>
  <si>
    <t>罐</t>
  </si>
  <si>
    <t>guàn</t>
  </si>
  <si>
    <t>bình, lọ, hũ</t>
  </si>
  <si>
    <t>他喝了一罐啤酒。</t>
  </si>
  <si>
    <t>实话</t>
  </si>
  <si>
    <t>shí huà</t>
  </si>
  <si>
    <t>lời nói thật</t>
  </si>
  <si>
    <t>他说了实话，我们都很震惊。</t>
  </si>
  <si>
    <t>贯彻</t>
  </si>
  <si>
    <t>guàn chè</t>
  </si>
  <si>
    <t>quán triệt</t>
  </si>
  <si>
    <t>我们需要贯彻执行这个计划。</t>
  </si>
  <si>
    <t>实践</t>
  </si>
  <si>
    <t>shí jiàn</t>
  </si>
  <si>
    <t>灌溉</t>
  </si>
  <si>
    <t>thực tiễn</t>
  </si>
  <si>
    <t>我们需要把理论应用到实践中。</t>
  </si>
  <si>
    <t>guàn gài</t>
  </si>
  <si>
    <t>tưới tiêu, tưới</t>
  </si>
  <si>
    <t>农民们在灌溉田地。</t>
  </si>
  <si>
    <t>惯例</t>
  </si>
  <si>
    <t>guàn lì</t>
  </si>
  <si>
    <t>thói quen, thông lệ</t>
  </si>
  <si>
    <t>实习</t>
  </si>
  <si>
    <t>根据惯例，这个节日要庆祝三天。</t>
  </si>
  <si>
    <t>shí xí</t>
  </si>
  <si>
    <t>thực tập</t>
  </si>
  <si>
    <t>她正在实习，学习公司的运营。</t>
  </si>
  <si>
    <t>实现</t>
  </si>
  <si>
    <t>光彩</t>
  </si>
  <si>
    <t>shí xiàn</t>
  </si>
  <si>
    <t>guāng cǎi</t>
  </si>
  <si>
    <t>thực hiện (kế hoạch, nguyện vọng, ước mơ)</t>
  </si>
  <si>
    <t>rực rỡ, vẻ vang</t>
  </si>
  <si>
    <t>他们努力工作，以实现他们的目标。</t>
  </si>
  <si>
    <t>他的脸上充满了光彩。</t>
  </si>
  <si>
    <t>实验</t>
  </si>
  <si>
    <t>shí yàn</t>
  </si>
  <si>
    <t>这项实验的结果很有趣。</t>
  </si>
  <si>
    <t>实用</t>
  </si>
  <si>
    <t>shí yòng</t>
  </si>
  <si>
    <t>hữu ích</t>
  </si>
  <si>
    <t>这种工具非常实用。</t>
  </si>
  <si>
    <t>食物</t>
  </si>
  <si>
    <t>shí wù</t>
  </si>
  <si>
    <t>đồ ăn</t>
  </si>
  <si>
    <t>这顿饭包含了各种食物。</t>
  </si>
  <si>
    <t>光辉</t>
  </si>
  <si>
    <t>guāng huī</t>
  </si>
  <si>
    <t>hào quang, ánh sáng</t>
  </si>
  <si>
    <t>太阳的光辉照亮了整个城市。</t>
  </si>
  <si>
    <t>使劲儿</t>
  </si>
  <si>
    <t>shǐ jìn ér</t>
  </si>
  <si>
    <t>ra sức, lấy sức</t>
  </si>
  <si>
    <t>他使劲儿地拉开了门。</t>
  </si>
  <si>
    <t>光芒</t>
  </si>
  <si>
    <t>guāng máng</t>
  </si>
  <si>
    <t>tia sáng, ánh sáng</t>
  </si>
  <si>
    <t>她的眼睛闪烁着光芒。</t>
  </si>
  <si>
    <t>始终</t>
  </si>
  <si>
    <t>shǐ zhōng</t>
  </si>
  <si>
    <t xml:space="preserve">luôn luôn, từ đầu đến cuối, </t>
  </si>
  <si>
    <t>我们始终相信他会成功。</t>
  </si>
  <si>
    <t>广阔</t>
  </si>
  <si>
    <t>guǎng kuò</t>
  </si>
  <si>
    <t>rộng lớn, bao la</t>
  </si>
  <si>
    <t>广阔的草原令人心旷神怡。</t>
  </si>
  <si>
    <t>士兵</t>
  </si>
  <si>
    <t>shì bīng</t>
  </si>
  <si>
    <t>binh sĩ</t>
  </si>
  <si>
    <t>他是一名士兵。</t>
  </si>
  <si>
    <t>规范</t>
  </si>
  <si>
    <t>guī fàn</t>
  </si>
  <si>
    <t>quy phạm, quy tắc</t>
  </si>
  <si>
    <t>我们要遵守规范。</t>
  </si>
  <si>
    <t>市场</t>
  </si>
  <si>
    <t>shì chǎng</t>
  </si>
  <si>
    <t>chợ</t>
  </si>
  <si>
    <t>这个市场上有很多商品。</t>
  </si>
  <si>
    <t>规格</t>
  </si>
  <si>
    <t>guī gé</t>
  </si>
  <si>
    <t>tiêu chuẩn, quy cách</t>
  </si>
  <si>
    <t>产品的规格必须符合标准。</t>
  </si>
  <si>
    <t>似的</t>
  </si>
  <si>
    <t>shì de</t>
  </si>
  <si>
    <t>giống như….</t>
  </si>
  <si>
    <t>她看起来很像她的姐姐似的。</t>
  </si>
  <si>
    <t>归根到底</t>
  </si>
  <si>
    <t>guī gēn dào dǐ</t>
  </si>
  <si>
    <t>xét đến cùng, cuối cùng</t>
  </si>
  <si>
    <t>归根到底，这是个态度问题。</t>
  </si>
  <si>
    <t>事实</t>
  </si>
  <si>
    <t>shì shí</t>
  </si>
  <si>
    <t>sự thật</t>
  </si>
  <si>
    <t>这不是事实。</t>
  </si>
  <si>
    <t>规划</t>
  </si>
  <si>
    <t>guī huà</t>
  </si>
  <si>
    <t>quy hoạch, kế hoạch</t>
  </si>
  <si>
    <t>我们正在规划明年的工作。</t>
  </si>
  <si>
    <t>事物</t>
  </si>
  <si>
    <t>shì wù</t>
  </si>
  <si>
    <t>sự vật</t>
  </si>
  <si>
    <t>这些事物都很重要。</t>
  </si>
  <si>
    <t>归还</t>
  </si>
  <si>
    <t>guī huán</t>
  </si>
  <si>
    <t>hoàn trả, trả lại</t>
  </si>
  <si>
    <t>请归还借的书。</t>
  </si>
  <si>
    <t>事先</t>
  </si>
  <si>
    <t>shì xiān</t>
  </si>
  <si>
    <t>trước khi việc xảy ra</t>
  </si>
  <si>
    <t>事先做好准备很重要。</t>
  </si>
  <si>
    <t>quy nạp, tóm lại</t>
  </si>
  <si>
    <t>这篇文章归纳了主要观点。</t>
  </si>
  <si>
    <t>试卷</t>
  </si>
  <si>
    <t>shì juàn</t>
  </si>
  <si>
    <t>bài thi</t>
  </si>
  <si>
    <t>请在试卷上写下你的名字。</t>
  </si>
  <si>
    <t>规章</t>
  </si>
  <si>
    <t>guī zhāng</t>
  </si>
  <si>
    <t>quy định, quy tắc</t>
  </si>
  <si>
    <t>我们要遵守公司的规章制度。</t>
  </si>
  <si>
    <t>收获</t>
  </si>
  <si>
    <t>shōu huò</t>
  </si>
  <si>
    <t>thu hoạch</t>
  </si>
  <si>
    <t>这次旅行的收获很丰富。</t>
  </si>
  <si>
    <t>轨道</t>
  </si>
  <si>
    <t>guǐ dào</t>
  </si>
  <si>
    <t>quỹ đạo, đường ray</t>
  </si>
  <si>
    <t>火车正在轨道上运行。</t>
  </si>
  <si>
    <t>收据</t>
  </si>
  <si>
    <t>shōu jù</t>
  </si>
  <si>
    <t>giấy biên nhận</t>
  </si>
  <si>
    <t>我找不到这张收据。</t>
  </si>
  <si>
    <t>跪</t>
  </si>
  <si>
    <t>手工</t>
  </si>
  <si>
    <t>quỳ</t>
  </si>
  <si>
    <t>shǒu gōng</t>
  </si>
  <si>
    <t>他跪在地上请求原谅。</t>
  </si>
  <si>
    <t>thủ công</t>
  </si>
  <si>
    <t>这件手工艺品很有特色。</t>
  </si>
  <si>
    <t>贵族</t>
  </si>
  <si>
    <t>手术</t>
  </si>
  <si>
    <t>guì zú</t>
  </si>
  <si>
    <t>shǒu shù</t>
  </si>
  <si>
    <t>quý tộc</t>
  </si>
  <si>
    <t>phẫu thuật</t>
  </si>
  <si>
    <t>他是个真正的贵族。</t>
  </si>
  <si>
    <t>他需要做一个手术。</t>
  </si>
  <si>
    <t>棍棒</t>
  </si>
  <si>
    <t>手套</t>
  </si>
  <si>
    <t>gùn bàng</t>
  </si>
  <si>
    <t>shǒu tào</t>
  </si>
  <si>
    <t>gậy, côn</t>
  </si>
  <si>
    <t>găng tay</t>
  </si>
  <si>
    <t>他用棍棒打破了窗户。</t>
  </si>
  <si>
    <t>她戴了一双新的手套。</t>
  </si>
  <si>
    <t>手续</t>
  </si>
  <si>
    <t>shǒu xù</t>
  </si>
  <si>
    <t>thủ tục</t>
  </si>
  <si>
    <t>办理手续需要时间。</t>
  </si>
  <si>
    <t>国防</t>
  </si>
  <si>
    <t>guó fáng</t>
  </si>
  <si>
    <t>quốc phòng</t>
  </si>
  <si>
    <t>国防是国家安全的重要保障。</t>
  </si>
  <si>
    <t>手指</t>
  </si>
  <si>
    <t>shǒu zhǐ</t>
  </si>
  <si>
    <t>ngón tay</t>
  </si>
  <si>
    <t>她用手指指着地图上的位置。</t>
  </si>
  <si>
    <t>国务院</t>
  </si>
  <si>
    <t>guó wù yuàn</t>
  </si>
  <si>
    <t>quốc vụ viện</t>
  </si>
  <si>
    <t>国务院发布了新的政策。</t>
  </si>
  <si>
    <t>首</t>
  </si>
  <si>
    <t>shǒu</t>
  </si>
  <si>
    <t>đầu</t>
  </si>
  <si>
    <t>这首歌在排行榜上位居首位。</t>
  </si>
  <si>
    <t>果断</t>
  </si>
  <si>
    <t>guǒ duàn</t>
  </si>
  <si>
    <t>quyết đoán, quả quyết</t>
  </si>
  <si>
    <t>他果断地做出了决定。</t>
  </si>
  <si>
    <t>寿命</t>
  </si>
  <si>
    <t>shòu mìng</t>
  </si>
  <si>
    <t>tuổi thọ</t>
  </si>
  <si>
    <t>他的寿命很长。</t>
  </si>
  <si>
    <t>过度</t>
  </si>
  <si>
    <t>guò dù</t>
  </si>
  <si>
    <t>quá mức, quá độ</t>
  </si>
  <si>
    <t>我们需要控制过度消费。</t>
  </si>
  <si>
    <t>受伤</t>
  </si>
  <si>
    <t>shòu shāng</t>
  </si>
  <si>
    <t>bị thương</t>
  </si>
  <si>
    <t>他在比赛中受伤了。</t>
  </si>
  <si>
    <t>过渡</t>
  </si>
  <si>
    <t>chuyển tiếp, quá độ</t>
  </si>
  <si>
    <t>我们需要一个平稳的过渡期。</t>
  </si>
  <si>
    <t>书架</t>
  </si>
  <si>
    <t>shū jià</t>
  </si>
  <si>
    <t>giá sách</t>
  </si>
  <si>
    <t>书架上摆满了书。</t>
  </si>
  <si>
    <t>过奖</t>
  </si>
  <si>
    <t>guò jiǎng</t>
  </si>
  <si>
    <t>梳子</t>
  </si>
  <si>
    <t>quá khen</t>
  </si>
  <si>
    <t>shū zi</t>
  </si>
  <si>
    <t>cái lược</t>
  </si>
  <si>
    <t>你太过奖了，我只是做了本职工作。</t>
  </si>
  <si>
    <t>她用梳子梳理头发。</t>
  </si>
  <si>
    <t>舒适</t>
  </si>
  <si>
    <t>shū shì</t>
  </si>
  <si>
    <t>过滤</t>
  </si>
  <si>
    <t>这张床非常舒适。</t>
  </si>
  <si>
    <t>guò lǜ</t>
  </si>
  <si>
    <t>lọc, sàng lọc</t>
  </si>
  <si>
    <t>这个过滤器能有效去除水中的杂质。</t>
  </si>
  <si>
    <t>输入</t>
  </si>
  <si>
    <t>shū rù</t>
  </si>
  <si>
    <t>nhập</t>
  </si>
  <si>
    <t>他输入了正确的密码。</t>
  </si>
  <si>
    <t>过失</t>
  </si>
  <si>
    <t>guò shī</t>
  </si>
  <si>
    <t>lỗi lầm, sai lầm</t>
  </si>
  <si>
    <t>他因为一次小小的过失被解雇了。</t>
  </si>
  <si>
    <t>蔬菜</t>
  </si>
  <si>
    <t>shū cài</t>
  </si>
  <si>
    <t>rau xanh</t>
  </si>
  <si>
    <t>我们吃了很多新鲜蔬菜。</t>
  </si>
  <si>
    <t>过问</t>
  </si>
  <si>
    <t>guò wèn</t>
  </si>
  <si>
    <t>can thiệp, hỏi han</t>
  </si>
  <si>
    <t>他对公司的事务一概不过问。</t>
  </si>
  <si>
    <t>熟练</t>
  </si>
  <si>
    <t>shú liàn</t>
  </si>
  <si>
    <t>thành thục, thông thạo</t>
  </si>
  <si>
    <t>她的英语非常熟练。</t>
  </si>
  <si>
    <t>过瘾</t>
  </si>
  <si>
    <t>guò yǐn</t>
  </si>
  <si>
    <t>đã, sướng, thoả thích</t>
  </si>
  <si>
    <t>这部电影真是让人看得过瘾。</t>
  </si>
  <si>
    <t>属于</t>
  </si>
  <si>
    <t>shǔ yú</t>
  </si>
  <si>
    <t>thuộc về</t>
  </si>
  <si>
    <t>这本书属于她的收藏。</t>
  </si>
  <si>
    <t>过于</t>
  </si>
  <si>
    <t>guò yú</t>
  </si>
  <si>
    <t>quá, hơn</t>
  </si>
  <si>
    <t>这件衣服过于紧了。</t>
  </si>
  <si>
    <t>鼠标</t>
  </si>
  <si>
    <t>shǔ biāo</t>
  </si>
  <si>
    <t>chuột máy tính</t>
  </si>
  <si>
    <t>嗨</t>
  </si>
  <si>
    <t>我需要一个鼠标来使用电脑。</t>
  </si>
  <si>
    <t>hāi</t>
  </si>
  <si>
    <t>chào, này</t>
  </si>
  <si>
    <t>嗨，大家好！</t>
  </si>
  <si>
    <t>海拔</t>
  </si>
  <si>
    <t>hǎi bá</t>
  </si>
  <si>
    <t>độ cao so với mặt biển</t>
  </si>
  <si>
    <t>这个山峰的海拔有三千米。</t>
  </si>
  <si>
    <t>数</t>
  </si>
  <si>
    <t>shǔ</t>
  </si>
  <si>
    <t>đếm</t>
  </si>
  <si>
    <t>这是你的钱，请数数。</t>
  </si>
  <si>
    <t>海滨</t>
  </si>
  <si>
    <t>hǎi bīn</t>
  </si>
  <si>
    <t>bờ biển</t>
  </si>
  <si>
    <t>我们在海滨度假。</t>
  </si>
  <si>
    <t>数据</t>
  </si>
  <si>
    <t>shù jù</t>
  </si>
  <si>
    <t>số liệu</t>
  </si>
  <si>
    <t>这些数据需要进行分析。</t>
  </si>
  <si>
    <t>含糊</t>
  </si>
  <si>
    <t>hán hu</t>
  </si>
  <si>
    <t>mơ hồ, không rõ ràng</t>
  </si>
  <si>
    <t>他的回答非常含糊。</t>
  </si>
  <si>
    <t>数码</t>
  </si>
  <si>
    <t>shù mǎ</t>
  </si>
  <si>
    <t>kỹ thuật số</t>
  </si>
  <si>
    <t>他买了一部新的数码相机。</t>
  </si>
  <si>
    <t>寒暄</t>
  </si>
  <si>
    <t>hán xuān</t>
  </si>
  <si>
    <t>hỏi han, trò chuyện</t>
  </si>
  <si>
    <t>寒暄几句后，他们开始谈正事。</t>
  </si>
  <si>
    <t>摔倒</t>
  </si>
  <si>
    <t>shuāi dǎo</t>
  </si>
  <si>
    <t>ngã nhào</t>
  </si>
  <si>
    <t>他不小心摔倒了。</t>
  </si>
  <si>
    <t>含义</t>
  </si>
  <si>
    <t>hán yì</t>
  </si>
  <si>
    <t>hàm ý, ý nghĩa</t>
  </si>
  <si>
    <t>这个词的含义是什么？</t>
  </si>
  <si>
    <t>甩</t>
  </si>
  <si>
    <t>shuǎi</t>
  </si>
  <si>
    <t>vung, hất, bỏ lại</t>
  </si>
  <si>
    <t>她把衣服甩在地上。</t>
  </si>
  <si>
    <t>罕见</t>
  </si>
  <si>
    <t>hǎn jiàn</t>
  </si>
  <si>
    <t>hiếm thấy, hiếm gặp</t>
  </si>
  <si>
    <t>这种病非常罕见。</t>
  </si>
  <si>
    <t>双方</t>
  </si>
  <si>
    <t>shuāng fāng</t>
  </si>
  <si>
    <t>hai bên, song phương</t>
  </si>
  <si>
    <t>双方达成了协议。</t>
  </si>
  <si>
    <t>捍卫</t>
  </si>
  <si>
    <t>税</t>
  </si>
  <si>
    <t>hàn wèi</t>
  </si>
  <si>
    <t>shuì</t>
  </si>
  <si>
    <t>bảo vệ, bảo hộ</t>
  </si>
  <si>
    <t>thuế</t>
  </si>
  <si>
    <t>我们必须捍卫自己的权利。</t>
  </si>
  <si>
    <t>这笔税务很复杂。</t>
  </si>
  <si>
    <t>说不定</t>
  </si>
  <si>
    <t>shuō bù dìng</t>
  </si>
  <si>
    <t>chưa biết chừng</t>
  </si>
  <si>
    <t>他说不定会来的。</t>
  </si>
  <si>
    <t>航空</t>
  </si>
  <si>
    <t>háng kōng</t>
  </si>
  <si>
    <t>hàng không</t>
  </si>
  <si>
    <t>他对航空非常感兴趣。</t>
  </si>
  <si>
    <t>说服</t>
  </si>
  <si>
    <t>shuō fú</t>
  </si>
  <si>
    <t>thuyết phục</t>
  </si>
  <si>
    <t>他用事实说服了大家。</t>
  </si>
  <si>
    <t>行列</t>
  </si>
  <si>
    <t>háng liè</t>
  </si>
  <si>
    <t>hàng, dòng</t>
  </si>
  <si>
    <t>我们参加了阅兵行列。</t>
  </si>
  <si>
    <t>丝绸</t>
  </si>
  <si>
    <t>sī chóu</t>
  </si>
  <si>
    <t>tơ lụa</t>
  </si>
  <si>
    <t>这条丝绸的质量很好。</t>
  </si>
  <si>
    <t>航天</t>
  </si>
  <si>
    <t>háng tiān</t>
  </si>
  <si>
    <t>hàng không vũ trụ</t>
  </si>
  <si>
    <t>航天技术正在迅速发展。</t>
  </si>
  <si>
    <t>丝毫</t>
  </si>
  <si>
    <t>sī háo</t>
  </si>
  <si>
    <t>một chút (dùng dạng phủ định)</t>
  </si>
  <si>
    <t>她的笑容丝毫没有改变。</t>
  </si>
  <si>
    <t>航行</t>
  </si>
  <si>
    <t>háng xíng</t>
  </si>
  <si>
    <t>hàng hải, đi biển</t>
  </si>
  <si>
    <t>他们的船正在大海上航行。</t>
  </si>
  <si>
    <t>私人</t>
  </si>
  <si>
    <t>sī rén</t>
  </si>
  <si>
    <t>tư nhân</t>
  </si>
  <si>
    <t>他喜欢私人时间。</t>
  </si>
  <si>
    <t>豪迈</t>
  </si>
  <si>
    <t>háo mài</t>
  </si>
  <si>
    <t>hào hiệp, hào phóng</t>
  </si>
  <si>
    <t>他豪迈地接受了挑战。</t>
  </si>
  <si>
    <t>思考</t>
  </si>
  <si>
    <t>sī kǎo</t>
  </si>
  <si>
    <t>我们需要深入思考这个问题。</t>
  </si>
  <si>
    <t>毫米</t>
  </si>
  <si>
    <t>háo mǐ</t>
  </si>
  <si>
    <t>milimét</t>
  </si>
  <si>
    <t>这个零件的尺寸是10毫米。</t>
  </si>
  <si>
    <t>思想</t>
  </si>
  <si>
    <t>sī xiǎng</t>
  </si>
  <si>
    <t>tư tưởng</t>
  </si>
  <si>
    <t>他的思想很开放。</t>
  </si>
  <si>
    <t>毫无</t>
  </si>
  <si>
    <t>háo wú</t>
  </si>
  <si>
    <t>không hề, chẳng có</t>
  </si>
  <si>
    <t>他对这件事毫无兴趣。</t>
  </si>
  <si>
    <t>撕</t>
  </si>
  <si>
    <t>sī</t>
  </si>
  <si>
    <t>xé</t>
  </si>
  <si>
    <t>她撕了那张纸。</t>
  </si>
  <si>
    <t>耗费</t>
  </si>
  <si>
    <t>hào fèi</t>
  </si>
  <si>
    <t>tiêu tốn, tiêu hao</t>
  </si>
  <si>
    <t>似乎</t>
  </si>
  <si>
    <t>这项工程耗费了大量人力和物力。</t>
  </si>
  <si>
    <t>sì hū</t>
  </si>
  <si>
    <t>他似乎不太高兴。</t>
  </si>
  <si>
    <t>搜索</t>
  </si>
  <si>
    <t>sōu suǒ</t>
  </si>
  <si>
    <t>他是个非常好客的主人。</t>
  </si>
  <si>
    <t>tìm kiếm</t>
  </si>
  <si>
    <t>我们需要搜索更多的信息。</t>
  </si>
  <si>
    <t>号召</t>
  </si>
  <si>
    <t>hào zhào</t>
  </si>
  <si>
    <t>kêu gọi</t>
  </si>
  <si>
    <t>政府号召大家节约用水。</t>
  </si>
  <si>
    <t>宿舍</t>
  </si>
  <si>
    <t>sù shè</t>
  </si>
  <si>
    <t>ký túc xá</t>
  </si>
  <si>
    <t>学生们住在宿舍里。</t>
  </si>
  <si>
    <t>呵</t>
  </si>
  <si>
    <t>thở ra; hà; hà hơi</t>
  </si>
  <si>
    <t>随身</t>
  </si>
  <si>
    <t>suí shēn</t>
  </si>
  <si>
    <t>mang theo người</t>
  </si>
  <si>
    <r>
      <rPr>
        <rFont val="Times New Roman"/>
        <color rgb="FF000000"/>
        <sz val="12.0"/>
      </rPr>
      <t>张</t>
    </r>
    <r>
      <rPr>
        <rFont val="Times New Roman"/>
        <color rgb="FF000000"/>
        <sz val="12.0"/>
      </rPr>
      <t>嘴</t>
    </r>
    <r>
      <rPr>
        <rFont val="Times New Roman"/>
        <color rgb="FF000000"/>
        <sz val="12.0"/>
      </rPr>
      <t>轻</t>
    </r>
    <r>
      <rPr>
        <rFont val="Times New Roman"/>
        <color rgb="FF000000"/>
        <sz val="12.0"/>
      </rPr>
      <t>轻</t>
    </r>
    <r>
      <rPr>
        <rFont val="Times New Roman"/>
        <color rgb="FF000000"/>
        <sz val="12.0"/>
      </rPr>
      <t>呵</t>
    </r>
    <r>
      <rPr>
        <rFont val="Times New Roman"/>
        <color rgb="FF000000"/>
        <sz val="12.0"/>
      </rPr>
      <t>一</t>
    </r>
    <r>
      <rPr>
        <rFont val="Times New Roman"/>
        <color rgb="FF000000"/>
        <sz val="12.0"/>
      </rPr>
      <t>下</t>
    </r>
    <r>
      <rPr>
        <rFont val="Times New Roman"/>
        <color rgb="FF000000"/>
        <sz val="12.0"/>
      </rPr>
      <t>。</t>
    </r>
  </si>
  <si>
    <t>请随身携带身份证。</t>
  </si>
  <si>
    <t>随时</t>
  </si>
  <si>
    <t>和蔼</t>
  </si>
  <si>
    <t>suí shí</t>
  </si>
  <si>
    <t>hé ǎi</t>
  </si>
  <si>
    <t>bất cứ lúc nào</t>
  </si>
  <si>
    <t>hòa nhã, dễ gần</t>
  </si>
  <si>
    <t>我们随时可以联系。</t>
  </si>
  <si>
    <t>她是个和蔼可亲的老太太。</t>
  </si>
  <si>
    <t>合并</t>
  </si>
  <si>
    <t>hé bìng</t>
  </si>
  <si>
    <t>hợp nhất, sát nhập</t>
  </si>
  <si>
    <t>这两家公司合并了。</t>
  </si>
  <si>
    <t>合成</t>
  </si>
  <si>
    <t>hé chéng</t>
  </si>
  <si>
    <t>hợp thành, tổng hợp</t>
  </si>
  <si>
    <t>这些元素可以合成新的化合物。</t>
  </si>
  <si>
    <t>合乎</t>
  </si>
  <si>
    <t>hé hū</t>
  </si>
  <si>
    <t>hợp với, phù hợp với</t>
  </si>
  <si>
    <t>他的行为完全合乎规定。</t>
  </si>
  <si>
    <t>合伙</t>
  </si>
  <si>
    <t>hé huǒ</t>
  </si>
  <si>
    <t>hợp tác, cùng nhau</t>
  </si>
  <si>
    <t>他们决定合伙开一家餐馆。</t>
  </si>
  <si>
    <t>和解</t>
  </si>
  <si>
    <t>hé jiě</t>
  </si>
  <si>
    <t>hòa giải</t>
  </si>
  <si>
    <t>双方经过谈判终于和解了。</t>
  </si>
  <si>
    <t>随手</t>
  </si>
  <si>
    <t>suí shǒu</t>
  </si>
  <si>
    <t>tiện tay</t>
  </si>
  <si>
    <t>你可以随手放在桌子上。</t>
  </si>
  <si>
    <t>和睦</t>
  </si>
  <si>
    <t>hé mù</t>
  </si>
  <si>
    <t>hòa thuận</t>
  </si>
  <si>
    <t>他们一家人生活得很和睦。</t>
  </si>
  <si>
    <t>和气</t>
  </si>
  <si>
    <t>hé qì</t>
  </si>
  <si>
    <t>hòa nhã, hòa thuận</t>
  </si>
  <si>
    <t>他是个和气的人。</t>
  </si>
  <si>
    <t>碎</t>
  </si>
  <si>
    <t>vỡ vụn</t>
  </si>
  <si>
    <t>他的杯子掉了，摔碎了。</t>
  </si>
  <si>
    <t>合身</t>
  </si>
  <si>
    <t>hé shēn</t>
  </si>
  <si>
    <t>vừa người, vừa vặn</t>
  </si>
  <si>
    <t>这件衣服穿在你身上很合身。</t>
  </si>
  <si>
    <t>损失</t>
  </si>
  <si>
    <t>sǔn shī</t>
  </si>
  <si>
    <t>tổn thất，thiệt hại , mất mát</t>
  </si>
  <si>
    <t>他们遭受了很大的损失。</t>
  </si>
  <si>
    <t>合算</t>
  </si>
  <si>
    <t>hé suàn</t>
  </si>
  <si>
    <t>đáng giá, có lợi</t>
  </si>
  <si>
    <t>这个方案很合算。</t>
  </si>
  <si>
    <t>和谐</t>
  </si>
  <si>
    <t>hé xié</t>
  </si>
  <si>
    <t>hòa hợp, hài hòa</t>
  </si>
  <si>
    <t>他们之间的关系非常和谐。</t>
  </si>
  <si>
    <t>缩短</t>
  </si>
  <si>
    <t>suō duǎn</t>
  </si>
  <si>
    <t>嘿</t>
  </si>
  <si>
    <t>thu hẹp (khoảng cách), rút ngắn (thời gian), cắt ngắn (câu chuyện)</t>
  </si>
  <si>
    <t>hì, này (tiếng gọi)</t>
  </si>
  <si>
    <t>嘿，你在干什么？</t>
  </si>
  <si>
    <t>我们需要缩短这个项目的时间。</t>
  </si>
  <si>
    <t>痕迹</t>
  </si>
  <si>
    <t>hén jì</t>
  </si>
  <si>
    <t>vết tích, dấu vết</t>
  </si>
  <si>
    <t>他在犯罪现场留下了痕迹。</t>
  </si>
  <si>
    <t>狠心</t>
  </si>
  <si>
    <t>所</t>
  </si>
  <si>
    <t>hěn xīn</t>
  </si>
  <si>
    <t>nhẫn tâm</t>
  </si>
  <si>
    <t>suǒ</t>
  </si>
  <si>
    <t>他狠心离开了家。</t>
  </si>
  <si>
    <t>这个问题所涉及的范围很广。</t>
  </si>
  <si>
    <t>恨不得</t>
  </si>
  <si>
    <t>hèn bu de</t>
  </si>
  <si>
    <t>hận không thể</t>
  </si>
  <si>
    <t>我恨不得马上见到他。</t>
  </si>
  <si>
    <t>锁</t>
  </si>
  <si>
    <t>他找不到钥匙，所以锁了门。</t>
  </si>
  <si>
    <t>哼</t>
  </si>
  <si>
    <t>hēng</t>
  </si>
  <si>
    <t>hừ, hừm</t>
  </si>
  <si>
    <t>哼，我才不信呢！</t>
  </si>
  <si>
    <t>哄</t>
  </si>
  <si>
    <t>hōng</t>
  </si>
  <si>
    <t>台阶</t>
  </si>
  <si>
    <t>dỗ, lừa</t>
  </si>
  <si>
    <t>tái jiē</t>
  </si>
  <si>
    <t>他哄孩子睡觉。</t>
  </si>
  <si>
    <t>bậc thềm, bậc</t>
  </si>
  <si>
    <t>他走下了台阶。</t>
  </si>
  <si>
    <t>烘</t>
  </si>
  <si>
    <t>nướng, sấy khô</t>
  </si>
  <si>
    <t>妈妈正在烘衣服。</t>
  </si>
  <si>
    <t>太极拳</t>
  </si>
  <si>
    <t>tài jí quán</t>
  </si>
  <si>
    <t>thái cực quyền</t>
  </si>
  <si>
    <t>她学会了太极拳。</t>
  </si>
  <si>
    <t>轰动</t>
  </si>
  <si>
    <t>hōng dòng</t>
  </si>
  <si>
    <t>náo động, chấn động</t>
  </si>
  <si>
    <t>这个消息在网上引起了轰动。</t>
  </si>
  <si>
    <t>太太</t>
  </si>
  <si>
    <t>tài tai</t>
  </si>
  <si>
    <t>我们要和太太讨论这个问题。</t>
  </si>
  <si>
    <t>红包</t>
  </si>
  <si>
    <t>hóng bāo</t>
  </si>
  <si>
    <t>bao lì xì, phong bì đỏ</t>
  </si>
  <si>
    <t>奶奶给了我一个大红包。</t>
  </si>
  <si>
    <t>谈判</t>
  </si>
  <si>
    <t>tán pàn</t>
  </si>
  <si>
    <t>đàm phán</t>
  </si>
  <si>
    <t>我们在进行谈判。</t>
  </si>
  <si>
    <t>宏观</t>
  </si>
  <si>
    <t>hóng guān</t>
  </si>
  <si>
    <t>vĩ mô</t>
  </si>
  <si>
    <t>他对宏观经济学非常感兴趣。</t>
  </si>
  <si>
    <t>坦率</t>
  </si>
  <si>
    <t>tǎn shuài</t>
  </si>
  <si>
    <t>thẳng thắn</t>
  </si>
  <si>
    <t>他非常坦率地表达了自己的观点。</t>
  </si>
  <si>
    <t>洪水</t>
  </si>
  <si>
    <t>hóng shuǐ</t>
  </si>
  <si>
    <t>lũ lụt</t>
  </si>
  <si>
    <t>大雨引发了洪水。</t>
  </si>
  <si>
    <t>烫</t>
  </si>
  <si>
    <t>bỏng, là, ủi</t>
  </si>
  <si>
    <t>这件衣服需要烫一下。</t>
  </si>
  <si>
    <t>宏伟</t>
  </si>
  <si>
    <t>hóng wěi</t>
  </si>
  <si>
    <t>hùng vĩ, to lớn</t>
  </si>
  <si>
    <t>这座建筑宏伟壮观。</t>
  </si>
  <si>
    <t>喉咙</t>
  </si>
  <si>
    <t>hóu lóng</t>
  </si>
  <si>
    <t>逃</t>
  </si>
  <si>
    <t>他喉咙痛，声音沙哑。</t>
  </si>
  <si>
    <t>chạy trốn</t>
  </si>
  <si>
    <t>他决定逃离那个危险的地方。</t>
  </si>
  <si>
    <t>吼</t>
  </si>
  <si>
    <t>hǒu</t>
  </si>
  <si>
    <t>gào thét, hét lên</t>
  </si>
  <si>
    <t>他吼了一声，表示不满。</t>
  </si>
  <si>
    <t>逃避</t>
  </si>
  <si>
    <t>táo bì</t>
  </si>
  <si>
    <t>trốn tránh</t>
  </si>
  <si>
    <t>她试图逃避责任。</t>
  </si>
  <si>
    <t>后代</t>
  </si>
  <si>
    <t>hòu dài</t>
  </si>
  <si>
    <t>đời sau, hậu thế</t>
  </si>
  <si>
    <t>这些文化遗产是我们的后代的宝贵财富。</t>
  </si>
  <si>
    <t>后顾之忧</t>
  </si>
  <si>
    <t>桃</t>
  </si>
  <si>
    <t>hòu gù zhī yōu</t>
  </si>
  <si>
    <t>lo lắng về sau</t>
  </si>
  <si>
    <t>đào</t>
  </si>
  <si>
    <t>他的工作没有后顾之忧。</t>
  </si>
  <si>
    <t>桃子在夏天很甜。</t>
  </si>
  <si>
    <t>hòu miàn</t>
  </si>
  <si>
    <t>phía sau, đằng sau</t>
  </si>
  <si>
    <t>她站在我后面。</t>
  </si>
  <si>
    <t>淘气</t>
  </si>
  <si>
    <t>táo qì</t>
  </si>
  <si>
    <t>tinh nghịch</t>
  </si>
  <si>
    <t>孩子们有点淘气。</t>
  </si>
  <si>
    <t>后勤</t>
  </si>
  <si>
    <t>hòu qín</t>
  </si>
  <si>
    <t>hậu cần</t>
  </si>
  <si>
    <t>后勤部门负责保障工作。</t>
  </si>
  <si>
    <t>讨价还价</t>
  </si>
  <si>
    <t>tǎo jià huán jià</t>
  </si>
  <si>
    <t>mặc cả</t>
  </si>
  <si>
    <t>他们正在讨价还价。</t>
  </si>
  <si>
    <t>候选</t>
  </si>
  <si>
    <t>hòu xuǎn</t>
  </si>
  <si>
    <t>ứng cử, đề cử</t>
  </si>
  <si>
    <t>他是市长候选人之一。</t>
  </si>
  <si>
    <t>套</t>
  </si>
  <si>
    <t>忽略</t>
  </si>
  <si>
    <t>tào</t>
  </si>
  <si>
    <t>hū lüè</t>
  </si>
  <si>
    <t>bộ (quần áo), căn (nhà)</t>
  </si>
  <si>
    <t>lơ là, bỏ qua</t>
  </si>
  <si>
    <t>这是一套新的设备。</t>
  </si>
  <si>
    <t>他忽略了这个重要细节。</t>
  </si>
  <si>
    <t>呼啸</t>
  </si>
  <si>
    <t>hū xiào</t>
  </si>
  <si>
    <t>hú lên, rít lên</t>
  </si>
  <si>
    <t>火车在山谷中呼啸而过。</t>
  </si>
  <si>
    <t>特色</t>
  </si>
  <si>
    <t>tè sè</t>
  </si>
  <si>
    <t>đặc sắc, đặc điểm đặc sắc</t>
  </si>
  <si>
    <t>这个产品有独特的特色。</t>
  </si>
  <si>
    <t>呼吁</t>
  </si>
  <si>
    <t>hū yù</t>
  </si>
  <si>
    <t>kêu gọi, hô hào</t>
  </si>
  <si>
    <t>他呼吁大家关注环境保护。</t>
  </si>
  <si>
    <t>特殊</t>
  </si>
  <si>
    <t>tè shū</t>
  </si>
  <si>
    <t>đặc biệt, đặc thù (quan hệ, nghi lễ, yêu cầu, đãi ngộ)</t>
  </si>
  <si>
    <t>他对这个项目有特殊的理解。</t>
  </si>
  <si>
    <t>胡乱</t>
  </si>
  <si>
    <t>hú luàn</t>
  </si>
  <si>
    <t>lung tung, bừa bãi</t>
  </si>
  <si>
    <t>他说话总是胡乱。</t>
  </si>
  <si>
    <t>湖泊</t>
  </si>
  <si>
    <t>hú pō</t>
  </si>
  <si>
    <t>hồ nước</t>
  </si>
  <si>
    <t>特征</t>
  </si>
  <si>
    <t>湖泊周围有美丽的风景。</t>
  </si>
  <si>
    <t>tè zhēng</t>
  </si>
  <si>
    <t>đặc trưng</t>
  </si>
  <si>
    <t>每个人都有自己的特征。</t>
  </si>
  <si>
    <t>互联网改变了我们的生活方式。</t>
  </si>
  <si>
    <t>疼爱</t>
  </si>
  <si>
    <t>téng ài</t>
  </si>
  <si>
    <t>chiều chuộng, yêu chiều</t>
  </si>
  <si>
    <t>父母对孩子的疼爱是无条件的。</t>
  </si>
  <si>
    <t>华丽</t>
  </si>
  <si>
    <t>huá lì</t>
  </si>
  <si>
    <t>lộng lẫy, hoa lệ</t>
  </si>
  <si>
    <t>她穿着一件华丽的晚礼服。</t>
  </si>
  <si>
    <t>提倡</t>
  </si>
  <si>
    <t>华侨</t>
  </si>
  <si>
    <t>tí chàng</t>
  </si>
  <si>
    <t>huá qiáo</t>
  </si>
  <si>
    <t>đề xướng</t>
  </si>
  <si>
    <t>Hoa kiều</t>
  </si>
  <si>
    <t>他提倡环保活动。</t>
  </si>
  <si>
    <t>华侨在国外建立了很多华人社区。</t>
  </si>
  <si>
    <t>化肥</t>
  </si>
  <si>
    <t>huà féi</t>
  </si>
  <si>
    <t>phân bón hóa học</t>
  </si>
  <si>
    <t>化肥提高了农作物的产量。</t>
  </si>
  <si>
    <t>提纲</t>
  </si>
  <si>
    <t>tí gāng</t>
  </si>
  <si>
    <t>đề cương</t>
  </si>
  <si>
    <t>这篇文章的提纲很详细。</t>
  </si>
  <si>
    <t>划分</t>
  </si>
  <si>
    <t>huà fēn</t>
  </si>
  <si>
    <t>phân chia</t>
  </si>
  <si>
    <t>我们需要划分明确的职责。</t>
  </si>
  <si>
    <t>提问</t>
  </si>
  <si>
    <t>tí wèn</t>
  </si>
  <si>
    <t>画蛇添足</t>
  </si>
  <si>
    <t>他在提问时表现得很认真。</t>
  </si>
  <si>
    <t>huà shé tiān zú</t>
  </si>
  <si>
    <t>vẽ rắn thêm chân</t>
  </si>
  <si>
    <t>这个故事有点画蛇添足。</t>
  </si>
  <si>
    <t>化石</t>
  </si>
  <si>
    <t>huà shí</t>
  </si>
  <si>
    <t>hóa thạch</t>
  </si>
  <si>
    <t>这些化石有上百万年的历史。</t>
  </si>
  <si>
    <t>题目</t>
  </si>
  <si>
    <t>tí mù</t>
  </si>
  <si>
    <t>đề mục</t>
  </si>
  <si>
    <t>这个题目很有挑战性。</t>
  </si>
  <si>
    <t>话筒</t>
  </si>
  <si>
    <t>huà tǒng</t>
  </si>
  <si>
    <t>micro, ống nói</t>
  </si>
  <si>
    <t>他用话筒讲话。</t>
  </si>
  <si>
    <t>体会</t>
  </si>
  <si>
    <t>tǐ huì</t>
  </si>
  <si>
    <t xml:space="preserve">cảm nhận, nhận thức, hiểu </t>
  </si>
  <si>
    <t>他从这次旅行中体会到了很多东西。</t>
  </si>
  <si>
    <t>化验</t>
  </si>
  <si>
    <t>huà yàn</t>
  </si>
  <si>
    <t>xét nghiệm, hóa nghiệm</t>
  </si>
  <si>
    <t>化验结果显示他有轻度贫血。</t>
  </si>
  <si>
    <t>体贴</t>
  </si>
  <si>
    <t>tǐ tiē</t>
  </si>
  <si>
    <t>sống tình cảm, chu đáo</t>
  </si>
  <si>
    <t>她很体贴，总是关心别人的感受。</t>
  </si>
  <si>
    <t>化妆</t>
  </si>
  <si>
    <t>huà zhuāng</t>
  </si>
  <si>
    <t>hóa trang, trang điểm</t>
  </si>
  <si>
    <t>她每天早上花时间化妆。</t>
  </si>
  <si>
    <t>体现</t>
  </si>
  <si>
    <t>mang thai, có thai</t>
  </si>
  <si>
    <t>tǐ xiàn</t>
  </si>
  <si>
    <t>她刚刚怀孕三个月。</t>
  </si>
  <si>
    <t>thể hiện</t>
  </si>
  <si>
    <t>他的工作体现了高水平的专业性。</t>
  </si>
  <si>
    <t>欢乐</t>
  </si>
  <si>
    <t>huān lè</t>
  </si>
  <si>
    <t>vui vẻ, hoan lạc</t>
  </si>
  <si>
    <t>孩子们在公园里玩得很欢乐。</t>
  </si>
  <si>
    <t>体验</t>
  </si>
  <si>
    <t>tǐ yàn</t>
  </si>
  <si>
    <t>trải nghiệm</t>
  </si>
  <si>
    <t>这个活动是一个很好的体验。</t>
  </si>
  <si>
    <t>环节</t>
  </si>
  <si>
    <t>huán jié</t>
  </si>
  <si>
    <t>phân đoạn, mắt xích</t>
  </si>
  <si>
    <t>这个环节非常关键。</t>
  </si>
  <si>
    <t>还原</t>
  </si>
  <si>
    <t>huán yuán</t>
  </si>
  <si>
    <t>hoàn nguyên, trở lại</t>
  </si>
  <si>
    <t>这个实验还原了历史事件。</t>
  </si>
  <si>
    <t>天空</t>
  </si>
  <si>
    <t>tiān kōng</t>
  </si>
  <si>
    <t>bầu trời</t>
  </si>
  <si>
    <t>他们在天空中看到了彩虹。</t>
  </si>
  <si>
    <t>缓和</t>
  </si>
  <si>
    <t>huǎn hé</t>
  </si>
  <si>
    <t>dịu lại, hoà dịu</t>
  </si>
  <si>
    <t>双方的紧张关系得到了缓和。</t>
  </si>
  <si>
    <t>天真</t>
  </si>
  <si>
    <t>tiān zhēn</t>
  </si>
  <si>
    <t>hồn nhiên</t>
  </si>
  <si>
    <t>她的天真让人感到温暖。</t>
  </si>
  <si>
    <t>患者</t>
  </si>
  <si>
    <t>huàn zhě</t>
  </si>
  <si>
    <t>bệnh nhân</t>
  </si>
  <si>
    <t>患者需要定期检查身体。</t>
  </si>
  <si>
    <t>荒凉</t>
  </si>
  <si>
    <t>huāng liáng</t>
  </si>
  <si>
    <t>调皮</t>
  </si>
  <si>
    <t>hoang vắng</t>
  </si>
  <si>
    <t>tiáo pí</t>
  </si>
  <si>
    <t>这片土地非常荒凉。</t>
  </si>
  <si>
    <t>nghịch ngợm</t>
  </si>
  <si>
    <t>孩子们在公园里调皮玩耍。</t>
  </si>
  <si>
    <t>慌忙</t>
  </si>
  <si>
    <t>huāng máng</t>
  </si>
  <si>
    <t>vội vàng, hốt hoảng</t>
  </si>
  <si>
    <t>他慌忙地收拾东西。</t>
  </si>
  <si>
    <t>调整</t>
  </si>
  <si>
    <t>tiáo zhěng</t>
  </si>
  <si>
    <t>điều chỉnh</t>
  </si>
  <si>
    <t>他正在调整自己的工作计划。</t>
  </si>
  <si>
    <t>荒谬</t>
  </si>
  <si>
    <t>huāng miù</t>
  </si>
  <si>
    <t>hoang đường, phi lý</t>
  </si>
  <si>
    <t>这种说法太荒谬了。</t>
  </si>
  <si>
    <t>挑战</t>
  </si>
  <si>
    <t>tiǎo zhàn</t>
  </si>
  <si>
    <t>thách thức, thử thách, thách</t>
  </si>
  <si>
    <t>他们接受了一个巨大的挑战。</t>
  </si>
  <si>
    <t>荒唐</t>
  </si>
  <si>
    <t>huāng táng</t>
  </si>
  <si>
    <t>他的行为非常荒唐。</t>
  </si>
  <si>
    <t>黄昏</t>
  </si>
  <si>
    <t>huáng hūn</t>
  </si>
  <si>
    <t>通常</t>
  </si>
  <si>
    <t>hoàng hôn, chiều tối</t>
  </si>
  <si>
    <t>tōng cháng</t>
  </si>
  <si>
    <t>黄昏时分，天空变得非常美丽。</t>
  </si>
  <si>
    <t>这是一种通常的做法。</t>
  </si>
  <si>
    <t>恍然大悟</t>
  </si>
  <si>
    <t>huǎng rán dà wù</t>
  </si>
  <si>
    <t>统一</t>
  </si>
  <si>
    <t>bừng tỉnh hiểu ra</t>
  </si>
  <si>
    <t>tǒng yī</t>
  </si>
  <si>
    <t>我恍然大悟，原来是这样。</t>
  </si>
  <si>
    <t>thống nhất</t>
  </si>
  <si>
    <t>我们需要一个统一的标准。</t>
  </si>
  <si>
    <t>辉煌</t>
  </si>
  <si>
    <t>痛苦</t>
  </si>
  <si>
    <t>huī huáng</t>
  </si>
  <si>
    <t>tòng kǔ</t>
  </si>
  <si>
    <t>huy hoàng, rực rỡ</t>
  </si>
  <si>
    <t>đau khổ</t>
  </si>
  <si>
    <t>他的成就辉煌。</t>
  </si>
  <si>
    <t>她感到非常的痛苦。</t>
  </si>
  <si>
    <t>痛快</t>
  </si>
  <si>
    <t>tòng kuài</t>
  </si>
  <si>
    <t>挥霍</t>
  </si>
  <si>
    <t>sung sướng</t>
  </si>
  <si>
    <t>huī huò</t>
  </si>
  <si>
    <t>这次经历让他感到痛快。</t>
  </si>
  <si>
    <t>hoang phí</t>
  </si>
  <si>
    <t>他挥霍了所有的钱。</t>
  </si>
  <si>
    <t>偷</t>
  </si>
  <si>
    <t>回报</t>
  </si>
  <si>
    <t>tōu</t>
  </si>
  <si>
    <t>huí bào</t>
  </si>
  <si>
    <t>đền đáp, báo đáp</t>
  </si>
  <si>
    <t>ăn trộm</t>
  </si>
  <si>
    <t>他得到了很好的回报。</t>
  </si>
  <si>
    <t>他偷了一块巧克力。</t>
  </si>
  <si>
    <t>回避</t>
  </si>
  <si>
    <t>huí bì</t>
  </si>
  <si>
    <t>tránh né, né tránh</t>
  </si>
  <si>
    <t>他试图回避这个问题。</t>
  </si>
  <si>
    <t>投入</t>
  </si>
  <si>
    <t>tóu rù</t>
  </si>
  <si>
    <t>đút vào, đầu tư vào,</t>
  </si>
  <si>
    <t>她全身心投入到工作中。</t>
  </si>
  <si>
    <t>回顾</t>
  </si>
  <si>
    <t>huí gù</t>
  </si>
  <si>
    <t>hồi tưởng, nhìn lại</t>
  </si>
  <si>
    <t>他回顾了自己的一生。</t>
  </si>
  <si>
    <t>投资</t>
  </si>
  <si>
    <t>tóu zī</t>
  </si>
  <si>
    <t>đầu tư</t>
  </si>
  <si>
    <t>公司决定投资新的项目。</t>
  </si>
  <si>
    <t>回收</t>
  </si>
  <si>
    <t>huí shōu</t>
  </si>
  <si>
    <t>tái chế, thu hồi</t>
  </si>
  <si>
    <t>我们需要回收废旧电池。</t>
  </si>
  <si>
    <t>悔恨</t>
  </si>
  <si>
    <t>huǐ hèn</t>
  </si>
  <si>
    <t>hối hận, ân hận</t>
  </si>
  <si>
    <t>他对自己的错误感到悔恨。</t>
  </si>
  <si>
    <t>透明</t>
  </si>
  <si>
    <t>tòu míng</t>
  </si>
  <si>
    <t>trong suốt</t>
  </si>
  <si>
    <t>这件衣服的材料很透明。</t>
  </si>
  <si>
    <t>突出</t>
  </si>
  <si>
    <t>tū chū</t>
  </si>
  <si>
    <t>làm nổi bật</t>
  </si>
  <si>
    <t>他的观点在演讲中突出表现。</t>
  </si>
  <si>
    <t>毁灭</t>
  </si>
  <si>
    <t>huǐ miè</t>
  </si>
  <si>
    <t>土地</t>
  </si>
  <si>
    <t>hủy diệt, tiêu diệt</t>
  </si>
  <si>
    <t>tǔ dì</t>
  </si>
  <si>
    <t>这个计划失败了，导致了毁灭性的后果。</t>
  </si>
  <si>
    <t>đất đai</t>
  </si>
  <si>
    <t>这块土地很肥沃。</t>
  </si>
  <si>
    <t>汇报</t>
  </si>
  <si>
    <t>huì bào</t>
  </si>
  <si>
    <t>báo cáo, thông báo</t>
  </si>
  <si>
    <t>他向上级汇报了工作进展。</t>
  </si>
  <si>
    <t>土豆</t>
  </si>
  <si>
    <t>tǔ dòu</t>
  </si>
  <si>
    <t>khoai tây</t>
  </si>
  <si>
    <t>他买了很多土豆。</t>
  </si>
  <si>
    <t>贿赂</t>
  </si>
  <si>
    <t>huì lù</t>
  </si>
  <si>
    <t>hối lộ</t>
  </si>
  <si>
    <t>他被指控接受了贿赂。</t>
  </si>
  <si>
    <t>吐</t>
  </si>
  <si>
    <t>会晤</t>
  </si>
  <si>
    <t>tǔ/tù</t>
  </si>
  <si>
    <t>huì wù</t>
  </si>
  <si>
    <t>nhổ, nôn</t>
  </si>
  <si>
    <t>hội đàm, gặp gỡ</t>
  </si>
  <si>
    <t>他呕吐了几次。</t>
  </si>
  <si>
    <t>两国领导人会晤了。</t>
  </si>
  <si>
    <t>昏迷</t>
  </si>
  <si>
    <t>hūn mí</t>
  </si>
  <si>
    <t>hôn mê</t>
  </si>
  <si>
    <t>他昏迷了三天。</t>
  </si>
  <si>
    <t>兔子</t>
  </si>
  <si>
    <t>tù zi</t>
  </si>
  <si>
    <t>con thỏ</t>
  </si>
  <si>
    <t>兔子在草地上跑来跑去。</t>
  </si>
  <si>
    <t>浑身</t>
  </si>
  <si>
    <t>hún shēn</t>
  </si>
  <si>
    <t>toàn thân, khắp người</t>
  </si>
  <si>
    <t>他浑身是汗。</t>
  </si>
  <si>
    <t>混合</t>
  </si>
  <si>
    <t>hùn hé</t>
  </si>
  <si>
    <t>团</t>
  </si>
  <si>
    <t>pha trộn, hỗn hợp</t>
  </si>
  <si>
    <t>tuán</t>
  </si>
  <si>
    <t>这个药是由多种成分混合而成的。</t>
  </si>
  <si>
    <t>cuộn (danh từ)</t>
  </si>
  <si>
    <t>那个小团儿真可爱！</t>
  </si>
  <si>
    <t>混乱</t>
  </si>
  <si>
    <t>hùn luàn</t>
  </si>
  <si>
    <t>hỗn loạn</t>
  </si>
  <si>
    <t>房间里一片混乱。</t>
  </si>
  <si>
    <t>推辞</t>
  </si>
  <si>
    <t>tuī cí</t>
  </si>
  <si>
    <t>他推辞了我们的邀请。</t>
  </si>
  <si>
    <t>混淆</t>
  </si>
  <si>
    <t>hùn xiáo</t>
  </si>
  <si>
    <t>lẫn lộn, nhầm lẫn</t>
  </si>
  <si>
    <t>他把事实和谣言混淆了。</t>
  </si>
  <si>
    <t>混浊</t>
  </si>
  <si>
    <t>hùn zhuó</t>
  </si>
  <si>
    <t>推广</t>
  </si>
  <si>
    <t>đục, vẩn đục</t>
  </si>
  <si>
    <t>tuī guǎng</t>
  </si>
  <si>
    <t>这水看起来有点混浊。</t>
  </si>
  <si>
    <t>quảng bá</t>
  </si>
  <si>
    <t>这个产品的推广非常成功。</t>
  </si>
  <si>
    <t>活该</t>
  </si>
  <si>
    <t>huó gāi</t>
  </si>
  <si>
    <t>đáng đời</t>
  </si>
  <si>
    <t>你活该受到惩罚。</t>
  </si>
  <si>
    <t>推荐</t>
  </si>
  <si>
    <t>tuī jiàn</t>
  </si>
  <si>
    <t xml:space="preserve">tiến cử, giới thiệu </t>
  </si>
  <si>
    <t>我们给你推荐这本书。</t>
  </si>
  <si>
    <t>活力</t>
  </si>
  <si>
    <t>huó lì</t>
  </si>
  <si>
    <t>sinh lực, sức sống</t>
  </si>
  <si>
    <t>他充满了活力。</t>
  </si>
  <si>
    <t>火箭</t>
  </si>
  <si>
    <t>huǒ jiàn</t>
  </si>
  <si>
    <t>火箭发射成功。</t>
  </si>
  <si>
    <t>退</t>
  </si>
  <si>
    <t>tuì</t>
  </si>
  <si>
    <t>lùi</t>
  </si>
  <si>
    <t>她决定退还这个商品。</t>
  </si>
  <si>
    <t>火焰</t>
  </si>
  <si>
    <t>huǒ yàn</t>
  </si>
  <si>
    <t>ngọn lửa, hỏa diễm</t>
  </si>
  <si>
    <t>火焰在壁炉中跳动。</t>
  </si>
  <si>
    <t>退步</t>
  </si>
  <si>
    <t>tuì bù</t>
  </si>
  <si>
    <t>lùi bước</t>
  </si>
  <si>
    <t>他不小心退步了。</t>
  </si>
  <si>
    <t>火药</t>
  </si>
  <si>
    <t>huǒ yào</t>
  </si>
  <si>
    <t>thuốc nổ</t>
  </si>
  <si>
    <t>古代人用火药制造武器。</t>
  </si>
  <si>
    <t>货币</t>
  </si>
  <si>
    <t>huò bì</t>
  </si>
  <si>
    <t>tiền tệ</t>
  </si>
  <si>
    <t>中国的货币是人民币。</t>
  </si>
  <si>
    <t>退休</t>
  </si>
  <si>
    <t>tuì xiū</t>
  </si>
  <si>
    <t>nghỉ hưu</t>
  </si>
  <si>
    <t>他已经退休了。</t>
  </si>
  <si>
    <t>có lẽ, có thể</t>
  </si>
  <si>
    <t>他或许会来。</t>
  </si>
  <si>
    <t>歪</t>
  </si>
  <si>
    <t>wāi</t>
  </si>
  <si>
    <t>xiên (nghiêng)</t>
  </si>
  <si>
    <t>他把椅子放歪了。</t>
  </si>
  <si>
    <t>基地</t>
  </si>
  <si>
    <t>jī dì</t>
  </si>
  <si>
    <t>căn cứ</t>
  </si>
  <si>
    <t>我们在基地上进行训练。</t>
  </si>
  <si>
    <t>外公</t>
  </si>
  <si>
    <t>wài gōng</t>
  </si>
  <si>
    <t>机动</t>
  </si>
  <si>
    <t>ông ngoại</t>
  </si>
  <si>
    <t>我们去外公家玩。</t>
  </si>
  <si>
    <t>linh động, cơ động</t>
  </si>
  <si>
    <t>这个装置可以自动机动。</t>
  </si>
  <si>
    <t>饥饿</t>
  </si>
  <si>
    <t>jī è</t>
  </si>
  <si>
    <t>đói khát, đói</t>
  </si>
  <si>
    <t>饥饿使人感到非常难受。</t>
  </si>
  <si>
    <t>外交</t>
  </si>
  <si>
    <t>wài jiāo</t>
  </si>
  <si>
    <t>ngoại giao</t>
  </si>
  <si>
    <t>外交官在会议上发言。</t>
  </si>
  <si>
    <t>激发</t>
  </si>
  <si>
    <t>jī fā</t>
  </si>
  <si>
    <t>kích thích, khơi dậy</t>
  </si>
  <si>
    <t>他的话激发了我的斗志。</t>
  </si>
  <si>
    <t>完美</t>
  </si>
  <si>
    <t>wán měi</t>
  </si>
  <si>
    <t>hoàn hảo</t>
  </si>
  <si>
    <t>这部电影很完美。</t>
  </si>
  <si>
    <t>机构</t>
  </si>
  <si>
    <t>jī gòu</t>
  </si>
  <si>
    <t>cơ quan, tổ chức</t>
  </si>
  <si>
    <t>公司内部有很多机构。</t>
  </si>
  <si>
    <t>机关</t>
  </si>
  <si>
    <t>jī guān</t>
  </si>
  <si>
    <t>cơ quan, bộ máy</t>
  </si>
  <si>
    <t>他在政府机关工作。</t>
  </si>
  <si>
    <t>完善</t>
  </si>
  <si>
    <t>wán shàn</t>
  </si>
  <si>
    <t>hoàn thiện</t>
  </si>
  <si>
    <t>我们需要完善这个计划。</t>
  </si>
  <si>
    <t>基金</t>
  </si>
  <si>
    <t>jī jīn</t>
  </si>
  <si>
    <t>quỹ, ngân quỹ</t>
  </si>
  <si>
    <t>我们需要更多的基金来支持这个项目。</t>
  </si>
  <si>
    <t>完整</t>
  </si>
  <si>
    <t>wán zhěng</t>
  </si>
  <si>
    <t>hoàn chỉnh</t>
  </si>
  <si>
    <t>激励</t>
  </si>
  <si>
    <t>这本书非常完整。</t>
  </si>
  <si>
    <t>jī lì</t>
  </si>
  <si>
    <t>khuyến khích, động viên</t>
  </si>
  <si>
    <t>他的成功激励了我。</t>
  </si>
  <si>
    <t>机灵</t>
  </si>
  <si>
    <t>jī ling</t>
  </si>
  <si>
    <t>lanh lợi, tinh nhanh</t>
  </si>
  <si>
    <t>他是一个机灵的孩子。</t>
  </si>
  <si>
    <t>玩具</t>
  </si>
  <si>
    <t>wán jù</t>
  </si>
  <si>
    <t>đồ chơi</t>
  </si>
  <si>
    <t>孩子们喜欢玩具。</t>
  </si>
  <si>
    <t>机密</t>
  </si>
  <si>
    <t>jī mì</t>
  </si>
  <si>
    <t>bí mật, cơ mật</t>
  </si>
  <si>
    <t>这个文件是机密的。</t>
  </si>
  <si>
    <t>万一</t>
  </si>
  <si>
    <t>wàn yī</t>
  </si>
  <si>
    <t>vạn nhất, nhỡ</t>
  </si>
  <si>
    <t>激情</t>
  </si>
  <si>
    <t>jī qíng</t>
  </si>
  <si>
    <t>万一遇到困难，我们可以寻求帮助。</t>
  </si>
  <si>
    <t>他的激情感染了所有人。</t>
  </si>
  <si>
    <t>讥笑</t>
  </si>
  <si>
    <t>王子</t>
  </si>
  <si>
    <t>jī xiào</t>
  </si>
  <si>
    <t>wáng zǐ</t>
  </si>
  <si>
    <t>châm chọc, chế giễu</t>
  </si>
  <si>
    <t>vua</t>
  </si>
  <si>
    <t>总是受到讥笑使人非常气馁。</t>
  </si>
  <si>
    <t>王子住在一座城堡里。</t>
  </si>
  <si>
    <t>机械</t>
  </si>
  <si>
    <t>jī xiè</t>
  </si>
  <si>
    <t>máy móc, cơ giới</t>
  </si>
  <si>
    <t>这台机器操作简单。</t>
  </si>
  <si>
    <t>网络</t>
  </si>
  <si>
    <t>wǎng luò</t>
  </si>
  <si>
    <t>网络使沟通变得更方便。</t>
  </si>
  <si>
    <t>基因</t>
  </si>
  <si>
    <t>jī yīn</t>
  </si>
  <si>
    <t>gen, di truyền</t>
  </si>
  <si>
    <t>基因决定了我们的外貌。</t>
  </si>
  <si>
    <t>往返</t>
  </si>
  <si>
    <t>wǎng fǎn</t>
  </si>
  <si>
    <t>khứ hồi</t>
  </si>
  <si>
    <t>他每天往返于两个城市之间。</t>
  </si>
  <si>
    <t>机遇</t>
  </si>
  <si>
    <t>jī yù</t>
  </si>
  <si>
    <t>这次会议给了我们很多机遇。</t>
  </si>
  <si>
    <t>危害</t>
  </si>
  <si>
    <t>wēi hài</t>
  </si>
  <si>
    <t>nguy hại</t>
  </si>
  <si>
    <t>吸烟对健康有危害。</t>
  </si>
  <si>
    <t>机智</t>
  </si>
  <si>
    <t>jī zhì</t>
  </si>
  <si>
    <t>lanh trí, tinh khôn</t>
  </si>
  <si>
    <t>他回答问题非常机智。</t>
  </si>
  <si>
    <t>威胁</t>
  </si>
  <si>
    <t>wēi xié</t>
  </si>
  <si>
    <t>uy hiếp</t>
  </si>
  <si>
    <t>他的行为对我们构成了威胁。</t>
  </si>
  <si>
    <t>即便</t>
  </si>
  <si>
    <t>jí biàn</t>
  </si>
  <si>
    <t>dù cho, cho dù</t>
  </si>
  <si>
    <t>即便你不同意，也请听我说完。</t>
  </si>
  <si>
    <t>级别</t>
  </si>
  <si>
    <t>jí bié</t>
  </si>
  <si>
    <t>cấp bậc, cấp độ</t>
  </si>
  <si>
    <t>他在公司里的级别很高。</t>
  </si>
  <si>
    <t>微笑</t>
  </si>
  <si>
    <t>wēi xiào</t>
  </si>
  <si>
    <t>mỉm cười</t>
  </si>
  <si>
    <t>她对我微笑。</t>
  </si>
  <si>
    <t>疾病</t>
  </si>
  <si>
    <t>jí bìng</t>
  </si>
  <si>
    <t>bệnh tật, ốm đau</t>
  </si>
  <si>
    <t>这种疾病很难治愈。</t>
  </si>
  <si>
    <t>违反</t>
  </si>
  <si>
    <t>wéi fǎn</t>
  </si>
  <si>
    <t>vi phạm</t>
  </si>
  <si>
    <t>他们违反了规则。</t>
  </si>
  <si>
    <t>嫉妒</t>
  </si>
  <si>
    <t>jí dù</t>
  </si>
  <si>
    <t>đố kỵ, ghen tị</t>
  </si>
  <si>
    <t>她总是嫉妒别人的成功。</t>
  </si>
  <si>
    <t>围巾</t>
  </si>
  <si>
    <t>wéi jīn</t>
  </si>
  <si>
    <t>khăn</t>
  </si>
  <si>
    <t>她戴着一条漂亮的围巾。</t>
  </si>
  <si>
    <t>极端</t>
  </si>
  <si>
    <t>jí duān</t>
  </si>
  <si>
    <t>cực đoan</t>
  </si>
  <si>
    <t>他的看法太极端了。</t>
  </si>
  <si>
    <t>围绕</t>
  </si>
  <si>
    <t>wéi rào</t>
  </si>
  <si>
    <t>急功近利</t>
  </si>
  <si>
    <t>xoay quanh, bao quanh, quay quanh</t>
  </si>
  <si>
    <t>jí gōng jìn lì</t>
  </si>
  <si>
    <t>我们围绕这个问题讨论了很久。</t>
  </si>
  <si>
    <t>vội vàng, nôn nóng</t>
  </si>
  <si>
    <t>这种做法太急功近利了。</t>
  </si>
  <si>
    <t>籍贯</t>
  </si>
  <si>
    <t>jí guàn</t>
  </si>
  <si>
    <t>quê quán</t>
  </si>
  <si>
    <t>我的籍贯是北京。</t>
  </si>
  <si>
    <t>唯一</t>
  </si>
  <si>
    <t>wéi yī</t>
  </si>
  <si>
    <t>duy nhất</t>
  </si>
  <si>
    <t>这是我唯一的机会。</t>
  </si>
  <si>
    <t>即将</t>
  </si>
  <si>
    <t>jí jiāng</t>
  </si>
  <si>
    <t>sắp sửa, sắp tới</t>
  </si>
  <si>
    <t>比赛即将开始。</t>
  </si>
  <si>
    <t>维修</t>
  </si>
  <si>
    <t>wéi xiū</t>
  </si>
  <si>
    <t>这个机器需要维修。</t>
  </si>
  <si>
    <t>急剧</t>
  </si>
  <si>
    <t>jí jù</t>
  </si>
  <si>
    <t>nhanh chóng, mãnh liệt</t>
  </si>
  <si>
    <t>气温急剧下降。</t>
  </si>
  <si>
    <t>急切</t>
  </si>
  <si>
    <t>jí qiè</t>
  </si>
  <si>
    <t>伟大</t>
  </si>
  <si>
    <t>cấp thiết, khẩn cấp</t>
  </si>
  <si>
    <t>他急切地想知道答案。</t>
  </si>
  <si>
    <t>wěi dà</t>
  </si>
  <si>
    <t>vĩ đại</t>
  </si>
  <si>
    <t>他是一位伟大的科学家。</t>
  </si>
  <si>
    <t>集团</t>
  </si>
  <si>
    <t>jí tuán</t>
  </si>
  <si>
    <t>tập đoàn</t>
  </si>
  <si>
    <t>这个集团在国际市场上非常有影响力。</t>
  </si>
  <si>
    <t>尾巴</t>
  </si>
  <si>
    <t>wěi bā</t>
  </si>
  <si>
    <t>cái đuôi</t>
  </si>
  <si>
    <t>小狗的尾巴摇得很快。</t>
  </si>
  <si>
    <t>极限</t>
  </si>
  <si>
    <t>jí xiàn</t>
  </si>
  <si>
    <t>cực hạn, giới hạn</t>
  </si>
  <si>
    <t>他挑战了极限。</t>
  </si>
  <si>
    <t>委屈</t>
  </si>
  <si>
    <t>wěi qu</t>
  </si>
  <si>
    <t>tủi thân</t>
  </si>
  <si>
    <t>吉祥</t>
  </si>
  <si>
    <t>他感到很委屈。</t>
  </si>
  <si>
    <t>jí xiáng</t>
  </si>
  <si>
    <t>cát tường, may mắn</t>
  </si>
  <si>
    <t>这个符号象征着吉祥。</t>
  </si>
  <si>
    <t>未必</t>
  </si>
  <si>
    <t>wèi bì</t>
  </si>
  <si>
    <t>急于求成</t>
  </si>
  <si>
    <t>这未必是一个好主意。</t>
  </si>
  <si>
    <t>jí yú qiú chéng</t>
  </si>
  <si>
    <t>nóng lòng, sốt ruột</t>
  </si>
  <si>
    <t>他急于求成，结果事与愿违。</t>
  </si>
  <si>
    <t>未来</t>
  </si>
  <si>
    <t>wèi lái</t>
  </si>
  <si>
    <t>及早</t>
  </si>
  <si>
    <t>我们的未来充满了希望。</t>
  </si>
  <si>
    <t>jí zǎo</t>
  </si>
  <si>
    <t>sớm, trước</t>
  </si>
  <si>
    <t>我们需要及早完成任务。</t>
  </si>
  <si>
    <t>位于</t>
  </si>
  <si>
    <t>wèi yú</t>
  </si>
  <si>
    <t>急躁</t>
  </si>
  <si>
    <t>nằm ở (vị trí địa lý)</t>
  </si>
  <si>
    <t>jí zào</t>
  </si>
  <si>
    <t>这家公司位于市中心。</t>
  </si>
  <si>
    <t>nóng nảy, vội vàng</t>
  </si>
  <si>
    <t>他太急躁了，做事总是三分钟热度。</t>
  </si>
  <si>
    <t>给予</t>
  </si>
  <si>
    <t>jǐ yǔ</t>
  </si>
  <si>
    <t>cho, tặng</t>
  </si>
  <si>
    <t>位置</t>
  </si>
  <si>
    <t>我们应该给予他更多的支持。</t>
  </si>
  <si>
    <t>wèi zhì</t>
  </si>
  <si>
    <t>vị trí</t>
  </si>
  <si>
    <t>这个位置很重要。</t>
  </si>
  <si>
    <t>继承</t>
  </si>
  <si>
    <t>jì chéng</t>
  </si>
  <si>
    <t>kế thừa</t>
  </si>
  <si>
    <t>他继承了父亲的公司。</t>
  </si>
  <si>
    <t>胃</t>
  </si>
  <si>
    <t>dạ dày</t>
  </si>
  <si>
    <t>他感觉胃很不舒服。</t>
  </si>
  <si>
    <t>季度</t>
  </si>
  <si>
    <t>jì dù</t>
  </si>
  <si>
    <t>quý (3 tháng)</t>
  </si>
  <si>
    <t>每个季度我们都会有一次总结会议。</t>
  </si>
  <si>
    <t>胃口</t>
  </si>
  <si>
    <t>wèi kǒu</t>
  </si>
  <si>
    <t>忌讳</t>
  </si>
  <si>
    <t>jì huì</t>
  </si>
  <si>
    <t>这道菜的胃口很好。</t>
  </si>
  <si>
    <t>kiêng kỵ</t>
  </si>
  <si>
    <t>这个话题在公司里是忌讳的。</t>
  </si>
  <si>
    <t>计较</t>
  </si>
  <si>
    <t>jì jiào</t>
  </si>
  <si>
    <t>tính toán, so đo</t>
  </si>
  <si>
    <t>他总是计较小事。</t>
  </si>
  <si>
    <t>温暖</t>
  </si>
  <si>
    <t>wēn nuǎn</t>
  </si>
  <si>
    <t>她喜欢温暖的天气。</t>
  </si>
  <si>
    <t>寂静</t>
  </si>
  <si>
    <t>jì jìng</t>
  </si>
  <si>
    <t>yên tĩnh, tĩnh mịch</t>
  </si>
  <si>
    <t>夜晚的森林非常寂静。</t>
  </si>
  <si>
    <t>温柔</t>
  </si>
  <si>
    <t>wēn róu</t>
  </si>
  <si>
    <t>hiền dịu</t>
  </si>
  <si>
    <t>他用温柔的声音说话。</t>
  </si>
  <si>
    <t>季军</t>
  </si>
  <si>
    <t>jì jūn</t>
  </si>
  <si>
    <t>hạng ba, giải ba</t>
  </si>
  <si>
    <t>他在比赛中获得了季军。</t>
  </si>
  <si>
    <t>技能</t>
  </si>
  <si>
    <t>jì néng</t>
  </si>
  <si>
    <t>文件</t>
  </si>
  <si>
    <t>kỹ năng</t>
  </si>
  <si>
    <t>wén jiàn</t>
  </si>
  <si>
    <t>他在计算机方面有很高的技能。</t>
  </si>
  <si>
    <t>tài liệu, văn kiện</t>
  </si>
  <si>
    <t>我们需要准备一些文件。</t>
  </si>
  <si>
    <t>技巧</t>
  </si>
  <si>
    <t>jì qiǎo</t>
  </si>
  <si>
    <t>kỹ xảo, khéo léo</t>
  </si>
  <si>
    <t>他的讲话技巧非常好。</t>
  </si>
  <si>
    <t>文具</t>
  </si>
  <si>
    <t>wén jù</t>
  </si>
  <si>
    <t>đồ dùng học tập</t>
  </si>
  <si>
    <t>我买了一些文具。</t>
  </si>
  <si>
    <t>寄托</t>
  </si>
  <si>
    <t>jì tuō</t>
  </si>
  <si>
    <t>gửi gắm, nhờ cậy</t>
  </si>
  <si>
    <t>我把希望寄托在你身上。</t>
  </si>
  <si>
    <t>文明</t>
  </si>
  <si>
    <t>wén míng</t>
  </si>
  <si>
    <t>继往开来</t>
  </si>
  <si>
    <t>jì wǎng kāi lái</t>
  </si>
  <si>
    <t>văn minh</t>
  </si>
  <si>
    <t>tiếp nối phát triển</t>
  </si>
  <si>
    <t>这座城市有着悠久的文明历史。</t>
  </si>
  <si>
    <t>我们要继往开来，继续努力。</t>
  </si>
  <si>
    <t>迹象</t>
  </si>
  <si>
    <t>jì xiàng</t>
  </si>
  <si>
    <t>dấu hiệu, dấu vết</t>
  </si>
  <si>
    <t>这些迹象表明了经济正在好转。</t>
  </si>
  <si>
    <t>文学</t>
  </si>
  <si>
    <t>wén xué</t>
  </si>
  <si>
    <t>văn học</t>
  </si>
  <si>
    <t>我正在学习中国文学。</t>
  </si>
  <si>
    <t>记性</t>
  </si>
  <si>
    <t>jì xìng</t>
  </si>
  <si>
    <t>trí nhớ</t>
  </si>
  <si>
    <t>他的记性非常好，从来不忘记重要的事情。</t>
  </si>
  <si>
    <t>文字</t>
  </si>
  <si>
    <t>wén zì</t>
  </si>
  <si>
    <t>văn tự</t>
  </si>
  <si>
    <t>他的文字很优美。</t>
  </si>
  <si>
    <t>纪要</t>
  </si>
  <si>
    <t>jì yào</t>
  </si>
  <si>
    <t>tóm tắt, ghi chép</t>
  </si>
  <si>
    <t>会议的纪要已经发给了所有参加者。</t>
  </si>
  <si>
    <t>闻</t>
  </si>
  <si>
    <t>wén</t>
  </si>
  <si>
    <t>ngửi</t>
  </si>
  <si>
    <t>她闻到了花香。</t>
  </si>
  <si>
    <t>记载</t>
  </si>
  <si>
    <t>jì zǎi</t>
  </si>
  <si>
    <t>ghi chép, ghi lại</t>
  </si>
  <si>
    <t>这个故事被详细地记载在书中。</t>
  </si>
  <si>
    <t>家常</t>
  </si>
  <si>
    <t>jiā cháng</t>
  </si>
  <si>
    <t>吻</t>
  </si>
  <si>
    <t>wěn</t>
  </si>
  <si>
    <t>这道菜是我们家常的做法。</t>
  </si>
  <si>
    <t>hôn</t>
  </si>
  <si>
    <t>他亲吻了孩子的额头。</t>
  </si>
  <si>
    <t>加工</t>
  </si>
  <si>
    <t>jiā gōng</t>
  </si>
  <si>
    <t>gia công, chế biến</t>
  </si>
  <si>
    <t>这个产品需要经过精细的加工。</t>
  </si>
  <si>
    <t>稳定</t>
  </si>
  <si>
    <t>wěn dìng</t>
  </si>
  <si>
    <t>ổn định</t>
  </si>
  <si>
    <t>这个房子的结构很稳定。</t>
  </si>
  <si>
    <t>家伙</t>
  </si>
  <si>
    <t>jiā huǒ</t>
  </si>
  <si>
    <t>dụng cụ, khí cụ</t>
  </si>
  <si>
    <t>他是个非常聪明的家伙。</t>
  </si>
  <si>
    <t>问候</t>
  </si>
  <si>
    <t>wèn hòu</t>
  </si>
  <si>
    <t>我们向你们问候。</t>
  </si>
  <si>
    <t>卧室</t>
  </si>
  <si>
    <t>wò shì</t>
  </si>
  <si>
    <t>phòng ngủ</t>
  </si>
  <si>
    <t>他在卧室里休息。</t>
  </si>
  <si>
    <t>握手</t>
  </si>
  <si>
    <t>wò shǒu</t>
  </si>
  <si>
    <t>bắt tay</t>
  </si>
  <si>
    <t>我们握手告别。</t>
  </si>
  <si>
    <t>加剧</t>
  </si>
  <si>
    <t>trầm trọng thêm</t>
  </si>
  <si>
    <t>经济问题的加剧让人们感到不安。</t>
  </si>
  <si>
    <t>屋子</t>
  </si>
  <si>
    <t>wū zi</t>
  </si>
  <si>
    <t>căn nhà</t>
  </si>
  <si>
    <t>这个屋子很温馨。</t>
  </si>
  <si>
    <t>家属</t>
  </si>
  <si>
    <t>jiā shǔ</t>
  </si>
  <si>
    <t>gia thuộc, người nhà</t>
  </si>
  <si>
    <t>他是军人的家属，享有特别的待遇。</t>
  </si>
  <si>
    <t>无奈</t>
  </si>
  <si>
    <t>佳肴</t>
  </si>
  <si>
    <t>wú nài</t>
  </si>
  <si>
    <t>jiā yáo</t>
  </si>
  <si>
    <t>món ngon, món ngon miệng</t>
  </si>
  <si>
    <t>bó tay, không có cách nào, bất lực</t>
  </si>
  <si>
    <t>这顿佳肴真是美味无比。</t>
  </si>
  <si>
    <t>他无奈地摇了摇头。</t>
  </si>
  <si>
    <t>家喻户晓</t>
  </si>
  <si>
    <t>jiā yù hù xiǎo</t>
  </si>
  <si>
    <t>ai cũng biết, khắp nơi đều biết</t>
  </si>
  <si>
    <t>这位演员已经是家喻户晓的明星。</t>
  </si>
  <si>
    <t>无数</t>
  </si>
  <si>
    <t>wú shù</t>
  </si>
  <si>
    <t>vô số</t>
  </si>
  <si>
    <t>这里有无数的星星。</t>
  </si>
  <si>
    <t>夹杂</t>
  </si>
  <si>
    <t>jiā zá</t>
  </si>
  <si>
    <t>xen lẫn, trộn lẫn</t>
  </si>
  <si>
    <t>这些书夹杂着很多个人笔记。</t>
  </si>
  <si>
    <t>无所谓</t>
  </si>
  <si>
    <t>wú suǒ wèi</t>
  </si>
  <si>
    <t>không quan tâm, không để ý</t>
  </si>
  <si>
    <t>我无所谓。</t>
  </si>
  <si>
    <t>giả thiết, giả dụ</t>
  </si>
  <si>
    <t>假设你是老板，你会怎么做？</t>
  </si>
  <si>
    <t>武术</t>
  </si>
  <si>
    <t>wǔ shù</t>
  </si>
  <si>
    <t>võ thuật</t>
  </si>
  <si>
    <t>假使</t>
  </si>
  <si>
    <t>他练习武术已经很多年了。</t>
  </si>
  <si>
    <t>jiǎ shǐ</t>
  </si>
  <si>
    <t>nếu, giả sử</t>
  </si>
  <si>
    <t>假使他知道了真相，他会非常生气。</t>
  </si>
  <si>
    <t>坚定</t>
  </si>
  <si>
    <t>jiān dìng</t>
  </si>
  <si>
    <t>勿</t>
  </si>
  <si>
    <t>kiên định, vững chắc</t>
  </si>
  <si>
    <t>他坚定地相信自己的选择。</t>
  </si>
  <si>
    <t>wù</t>
  </si>
  <si>
    <t>đừng</t>
  </si>
  <si>
    <t>请勿打扰。</t>
  </si>
  <si>
    <t>监督</t>
  </si>
  <si>
    <t>jiān dū</t>
  </si>
  <si>
    <t>giám sát, quản lý</t>
  </si>
  <si>
    <t>老师在监督学生们的考试。</t>
  </si>
  <si>
    <t>物理</t>
  </si>
  <si>
    <t>wù lǐ</t>
  </si>
  <si>
    <t>vật lý</t>
  </si>
  <si>
    <t>物理是一门有趣的学科。</t>
  </si>
  <si>
    <t>尖端</t>
  </si>
  <si>
    <t>jiān duān</t>
  </si>
  <si>
    <t>mũi nhọn, tiên tiến</t>
  </si>
  <si>
    <t>科学家们正在研究尖端技术。</t>
  </si>
  <si>
    <t>物质</t>
  </si>
  <si>
    <t>wù zhì</t>
  </si>
  <si>
    <t>坚固</t>
  </si>
  <si>
    <t>jiān gù</t>
  </si>
  <si>
    <t>vật chất</t>
  </si>
  <si>
    <t>kiên cố, vững chắc</t>
  </si>
  <si>
    <t>这块物质非常坚硬。</t>
  </si>
  <si>
    <t>这个建筑非常坚固，能抗强风。</t>
  </si>
  <si>
    <t>艰难</t>
  </si>
  <si>
    <t>jiān nán</t>
  </si>
  <si>
    <t>gian nan, khó khăn</t>
  </si>
  <si>
    <t>他经历了很多艰难的时刻。</t>
  </si>
  <si>
    <t>雾</t>
  </si>
  <si>
    <t>sương mù</t>
  </si>
  <si>
    <t>外面有一层雾。</t>
  </si>
  <si>
    <t>坚韧</t>
  </si>
  <si>
    <t>jiān rèn</t>
  </si>
  <si>
    <t>kiên cường, bền bỉ</t>
  </si>
  <si>
    <t>她以坚韧的意志克服了困难。</t>
  </si>
  <si>
    <t>吸取</t>
  </si>
  <si>
    <t>xī qǔ</t>
  </si>
  <si>
    <t>hút, rút ra (bài học kinh nghiệm)</t>
  </si>
  <si>
    <t>他从失败中吸取了经验。</t>
  </si>
  <si>
    <t>坚实</t>
  </si>
  <si>
    <t>jiān shí</t>
  </si>
  <si>
    <t>chắc chắn, vững chắc</t>
  </si>
  <si>
    <t>这个计划非常坚实，值得信赖。</t>
  </si>
  <si>
    <t>吸收</t>
  </si>
  <si>
    <t>xī shōu</t>
  </si>
  <si>
    <t>thẩm thấu, ngấm</t>
  </si>
  <si>
    <t>这台机器能有效地吸收能量。</t>
  </si>
  <si>
    <t>监视</t>
  </si>
  <si>
    <t>jiān shì</t>
  </si>
  <si>
    <t>giám sát, theo dõi</t>
  </si>
  <si>
    <t>警察在监视嫌疑人的一举一动。</t>
  </si>
  <si>
    <t>坚硬</t>
  </si>
  <si>
    <t>jiān yìng</t>
  </si>
  <si>
    <t>cứng rắn, kiên cố</t>
  </si>
  <si>
    <t>戏剧</t>
  </si>
  <si>
    <t>xì jù</t>
  </si>
  <si>
    <t>这种材料非常坚硬，适合建筑。</t>
  </si>
  <si>
    <t>kịch</t>
  </si>
  <si>
    <t>她对戏剧有浓厚的兴趣。</t>
  </si>
  <si>
    <t>监狱</t>
  </si>
  <si>
    <t>jiān yù</t>
  </si>
  <si>
    <t>nhà tù, trại giam</t>
  </si>
  <si>
    <t>犯人被关在监狱里等待审判。</t>
  </si>
  <si>
    <t>系</t>
  </si>
  <si>
    <t>xì</t>
  </si>
  <si>
    <t>thắt, buộc</t>
  </si>
  <si>
    <t>我们系上了安全带。</t>
  </si>
  <si>
    <t>việc làm thêm, bán thời gian</t>
  </si>
  <si>
    <t>他在学校里做兼职，赚取生活费。</t>
  </si>
  <si>
    <t>系统</t>
  </si>
  <si>
    <t>xì tǒng</t>
  </si>
  <si>
    <t>hệ thống</t>
  </si>
  <si>
    <t>这个系统很复杂。</t>
  </si>
  <si>
    <t>拣</t>
  </si>
  <si>
    <t>chọn, nhặt</t>
  </si>
  <si>
    <t>我在花园里拣了几朵花。</t>
  </si>
  <si>
    <t>剪彩</t>
  </si>
  <si>
    <t>jiǎn cǎi</t>
  </si>
  <si>
    <t>cắt băng khánh thành</t>
  </si>
  <si>
    <t>今天的典礼上，他们为新图书馆剪彩。</t>
  </si>
  <si>
    <t>细节</t>
  </si>
  <si>
    <t>xì jié</t>
  </si>
  <si>
    <t xml:space="preserve">tình tiết, chi tiết </t>
  </si>
  <si>
    <t>细节决定成败。</t>
  </si>
  <si>
    <t>简化</t>
  </si>
  <si>
    <t>jiǎn huà</t>
  </si>
  <si>
    <t>giản hóa, đơn giản hóa</t>
  </si>
  <si>
    <t>我们需要简化工作流程，提高效率。</t>
  </si>
  <si>
    <t>瞎</t>
  </si>
  <si>
    <t>xiā</t>
  </si>
  <si>
    <t>mù</t>
  </si>
  <si>
    <t>他的右眼瞎 了。</t>
  </si>
  <si>
    <t>简陋</t>
  </si>
  <si>
    <t>jiǎn lòu</t>
  </si>
  <si>
    <t>sơ sài, thô sơ</t>
  </si>
  <si>
    <t>这间房子简陋，但很温馨。</t>
  </si>
  <si>
    <t>检讨</t>
  </si>
  <si>
    <t>jiǎn tǎo</t>
  </si>
  <si>
    <t>下载</t>
  </si>
  <si>
    <t>kiểm điểm, xem xét lại</t>
  </si>
  <si>
    <t>xià zǎi</t>
  </si>
  <si>
    <t>我们会在会议上检讨这个计划。</t>
  </si>
  <si>
    <t>tải xuống</t>
  </si>
  <si>
    <t>我需要下载这个文件。</t>
  </si>
  <si>
    <t>简体字</t>
  </si>
  <si>
    <t>jiǎn tǐ zì</t>
  </si>
  <si>
    <t>chữ giản thể</t>
  </si>
  <si>
    <t>简体字比繁体字更容易学习。</t>
  </si>
  <si>
    <t>吓</t>
  </si>
  <si>
    <t>dọa</t>
  </si>
  <si>
    <t>那个声音吓了我一跳。</t>
  </si>
  <si>
    <t>检验</t>
  </si>
  <si>
    <t>jiǎn yàn</t>
  </si>
  <si>
    <t>kiểm nghiệm, kiểm tra</t>
  </si>
  <si>
    <t>科学家正在检验新药的效果。</t>
  </si>
  <si>
    <t>夏令营</t>
  </si>
  <si>
    <t>xià lìng yíng</t>
  </si>
  <si>
    <t>trại</t>
  </si>
  <si>
    <t>我们去参加夏令营吧！</t>
  </si>
  <si>
    <t>简要</t>
  </si>
  <si>
    <t>jiǎn yào</t>
  </si>
  <si>
    <t>tóm tắt, ngắn gọn</t>
  </si>
  <si>
    <t>他简要地介绍了会议的主要内容。</t>
  </si>
  <si>
    <t>鲜艳</t>
  </si>
  <si>
    <t>xiān yàn</t>
  </si>
  <si>
    <t>tươi tắn</t>
  </si>
  <si>
    <t>她穿着一件鲜艳的衣服。</t>
  </si>
  <si>
    <t>溅</t>
  </si>
  <si>
    <t>bắn lên, văng ra</t>
  </si>
  <si>
    <t>水溅到了我的衣服上。</t>
  </si>
  <si>
    <t>显得</t>
  </si>
  <si>
    <t>xiǎn dé</t>
  </si>
  <si>
    <t xml:space="preserve">lộ rõ, bộc lộ </t>
  </si>
  <si>
    <t>他显得很紧张。</t>
  </si>
  <si>
    <t>鉴别</t>
  </si>
  <si>
    <t>jiàn bié</t>
  </si>
  <si>
    <t>phân biệt, nhận định</t>
  </si>
  <si>
    <t>专家们正在鉴别这幅画的真伪。</t>
  </si>
  <si>
    <t>显然</t>
  </si>
  <si>
    <t>xiǎn rán</t>
  </si>
  <si>
    <t>hiển nhiên, rõ ràng</t>
  </si>
  <si>
    <t>显然她已经知道了这个消息。</t>
  </si>
  <si>
    <t>间谍</t>
  </si>
  <si>
    <t>jiàn dié</t>
  </si>
  <si>
    <t>gián điệp</t>
  </si>
  <si>
    <t>他是一个间谍，潜伏在敌人内部。</t>
  </si>
  <si>
    <t>显示</t>
  </si>
  <si>
    <t>xiǎn shì</t>
  </si>
  <si>
    <t>hiển thị, cho thấy, tôn lên</t>
  </si>
  <si>
    <t>鉴定</t>
  </si>
  <si>
    <t>电脑显示器的分辨率很高。</t>
  </si>
  <si>
    <t>jiàn dìng</t>
  </si>
  <si>
    <t>giám định, xác định</t>
  </si>
  <si>
    <t>这栋建筑需要进行安全鉴定。</t>
  </si>
  <si>
    <t>县</t>
  </si>
  <si>
    <t>xiàn</t>
  </si>
  <si>
    <t>huyện</t>
  </si>
  <si>
    <t>见多识广</t>
  </si>
  <si>
    <t>我们住在一个县城里。</t>
  </si>
  <si>
    <t>jiàn duō shí guǎng</t>
  </si>
  <si>
    <t>hiểu biết rộng rãi</t>
  </si>
  <si>
    <t>他是个见多识广的人，什么都知道。</t>
  </si>
  <si>
    <t>现代</t>
  </si>
  <si>
    <t>xiàn dài</t>
  </si>
  <si>
    <t>间隔</t>
  </si>
  <si>
    <t>hiện đại</t>
  </si>
  <si>
    <t>jiàn gé</t>
  </si>
  <si>
    <t>现代科技正在改变世界。</t>
  </si>
  <si>
    <t>khoảng cách, khoảng thời gian</t>
  </si>
  <si>
    <t>两次会议之间有一个小时的间隔。</t>
  </si>
  <si>
    <t>现实</t>
  </si>
  <si>
    <t>间接</t>
  </si>
  <si>
    <t>xiàn shí</t>
  </si>
  <si>
    <t>jiàn jiē</t>
  </si>
  <si>
    <t>hiện thực</t>
  </si>
  <si>
    <t>gián tiếp</t>
  </si>
  <si>
    <t>现实情况比我们想象的要复杂。</t>
  </si>
  <si>
    <t>我们通过间接证据推断出真相。</t>
  </si>
  <si>
    <t>见解</t>
  </si>
  <si>
    <t>现象</t>
  </si>
  <si>
    <t>jiàn jiě</t>
  </si>
  <si>
    <t>xiàn xiàng</t>
  </si>
  <si>
    <t>cách nhìn, quan điểm</t>
  </si>
  <si>
    <t>hiện tượng</t>
  </si>
  <si>
    <t>他的见解很独特，值得参考。</t>
  </si>
  <si>
    <t>这种现象在很多地方都能看到。</t>
  </si>
  <si>
    <t>健全</t>
  </si>
  <si>
    <t>jiàn quán</t>
  </si>
  <si>
    <t>kiện toàn, hoàn thiện</t>
  </si>
  <si>
    <t>限制</t>
  </si>
  <si>
    <t>我们需要建立一个健全的制度。</t>
  </si>
  <si>
    <t>xiàn zhì</t>
  </si>
  <si>
    <t>hạn chế, giới hạn</t>
  </si>
  <si>
    <t>这条路的行车速度有限制。</t>
  </si>
  <si>
    <t>践踏</t>
  </si>
  <si>
    <t>jiàn tà</t>
  </si>
  <si>
    <t>dẫm đạp, đạp nát</t>
  </si>
  <si>
    <t>他们肆意践踏法律，必须受到惩罚。</t>
  </si>
  <si>
    <t>相处</t>
  </si>
  <si>
    <t>xiāng chǔ</t>
  </si>
  <si>
    <t>ở cùng nhau, tiếp xúc nhiều</t>
  </si>
  <si>
    <t>我们相处得很好。</t>
  </si>
  <si>
    <t>舰艇</t>
  </si>
  <si>
    <t>相当</t>
  </si>
  <si>
    <t>jiàn tǐng</t>
  </si>
  <si>
    <t>xiāng dāng</t>
  </si>
  <si>
    <t>tàu chiến</t>
  </si>
  <si>
    <t>tương đối</t>
  </si>
  <si>
    <t>这艘舰艇将在下个月服役。</t>
  </si>
  <si>
    <t>这道菜的辣味相当强。</t>
  </si>
  <si>
    <t>相对</t>
  </si>
  <si>
    <t>见闻</t>
  </si>
  <si>
    <t>xiāng duì</t>
  </si>
  <si>
    <t>jiàn wén</t>
  </si>
  <si>
    <t>hiểu biết, sự từng trải</t>
  </si>
  <si>
    <t>这个问题相对简单。</t>
  </si>
  <si>
    <t>他的见闻非常广泛，知识丰富。</t>
  </si>
  <si>
    <t>相关</t>
  </si>
  <si>
    <t>见义勇为</t>
  </si>
  <si>
    <t>xiāng guān</t>
  </si>
  <si>
    <t>jiàn yì yǒng wéi</t>
  </si>
  <si>
    <t>liên quan</t>
  </si>
  <si>
    <t>thấy việc nghĩa thì làm</t>
  </si>
  <si>
    <t>这些问题是相关的。</t>
  </si>
  <si>
    <t>他见义勇为，救了很多人。</t>
  </si>
  <si>
    <t>鉴于</t>
  </si>
  <si>
    <t>相似</t>
  </si>
  <si>
    <t>jiàn yú</t>
  </si>
  <si>
    <t>bởi vì, xét thấy</t>
  </si>
  <si>
    <t>xiāng sì</t>
  </si>
  <si>
    <t>鉴于天气恶劣，我们决定取消旅行。</t>
  </si>
  <si>
    <t>这两个问题非常相似。</t>
  </si>
  <si>
    <t>将近</t>
  </si>
  <si>
    <t>jiāng jìn</t>
  </si>
  <si>
    <t>gần, xấp xỉ</t>
  </si>
  <si>
    <t>香肠</t>
  </si>
  <si>
    <t>他将近六十岁了，还在工作。</t>
  </si>
  <si>
    <t>xiāng cháng</t>
  </si>
  <si>
    <t>xúc xích</t>
  </si>
  <si>
    <t>这种香肠的味道很好。</t>
  </si>
  <si>
    <t>将军</t>
  </si>
  <si>
    <t>jiāng jūn</t>
  </si>
  <si>
    <t>tướng quân, tướng lĩnh</t>
  </si>
  <si>
    <t>将军亲自指挥这次行动。</t>
  </si>
  <si>
    <t>享受</t>
  </si>
  <si>
    <t>僵硬</t>
  </si>
  <si>
    <t>jiāng yìng</t>
  </si>
  <si>
    <t>cứng đờ, không linh hoạt</t>
  </si>
  <si>
    <t>他的手指冻得僵硬。</t>
  </si>
  <si>
    <t>xiǎng shòu</t>
  </si>
  <si>
    <t>桨</t>
  </si>
  <si>
    <t>mái chèo</t>
  </si>
  <si>
    <t>他划着一只小船，用桨轻轻划水。</t>
  </si>
  <si>
    <t>hưởng thụ</t>
  </si>
  <si>
    <t>我非常享受这个假期。</t>
  </si>
  <si>
    <t>奖励</t>
  </si>
  <si>
    <t>jiǎng lì</t>
  </si>
  <si>
    <t>khen thưởng, khuyến khích</t>
  </si>
  <si>
    <t>老板奖励了他一笔奖金。</t>
  </si>
  <si>
    <t>奖赏</t>
  </si>
  <si>
    <t>jiǎng shǎng</t>
  </si>
  <si>
    <t>thưởng, phần thưởng</t>
  </si>
  <si>
    <t>他因表现出色而得到奖赏。</t>
  </si>
  <si>
    <t>降临</t>
  </si>
  <si>
    <t>jiàng lín</t>
  </si>
  <si>
    <t>đến, xảy đến</t>
  </si>
  <si>
    <t>春天的到来让人们感到兴奋，降临在每个人的心中。</t>
  </si>
  <si>
    <t>交叉</t>
  </si>
  <si>
    <t>jiāo chā</t>
  </si>
  <si>
    <t>giao nhau, cắt ngang</t>
  </si>
  <si>
    <t>这两条路在这里交叉。</t>
  </si>
  <si>
    <t>交代</t>
  </si>
  <si>
    <t>jiāo dài</t>
  </si>
  <si>
    <t>giải thích, bàn giao</t>
  </si>
  <si>
    <t>他向老板交代了工作进展情况。</t>
  </si>
  <si>
    <t>焦点</t>
  </si>
  <si>
    <t>jiāo diǎn</t>
  </si>
  <si>
    <t>tiêu điểm, điểm nóng</t>
  </si>
  <si>
    <t>我们要解决这个问题的焦点。</t>
  </si>
  <si>
    <t>想念</t>
  </si>
  <si>
    <t>xiǎng niàn</t>
  </si>
  <si>
    <t>nhớ nhung</t>
  </si>
  <si>
    <t>我很想念你。</t>
  </si>
  <si>
    <t>焦急</t>
  </si>
  <si>
    <t>jiāo jí</t>
  </si>
  <si>
    <t>lo lắng, sốt ruột</t>
  </si>
  <si>
    <t>他的焦急心情显而易见。</t>
  </si>
  <si>
    <t>娇气</t>
  </si>
  <si>
    <t>jiāo qì</t>
  </si>
  <si>
    <t>mềm yếu, mỏng manh</t>
  </si>
  <si>
    <t>她的娇气让人受不了。</t>
  </si>
  <si>
    <t>想象</t>
  </si>
  <si>
    <t>xiǎng xiàng</t>
  </si>
  <si>
    <t>tưởng tượng</t>
  </si>
  <si>
    <t>他很擅长想象力的运用。</t>
  </si>
  <si>
    <t>交涉</t>
  </si>
  <si>
    <t>jiāo shè</t>
  </si>
  <si>
    <t>我们正在和对方公司交涉合同细节。</t>
  </si>
  <si>
    <t>项</t>
  </si>
  <si>
    <t>hạng, môn (thể thao)</t>
  </si>
  <si>
    <t>qua lại, giao lưu</t>
  </si>
  <si>
    <t>我们需要完成这一项任务。</t>
  </si>
  <si>
    <t>他们之间的交往非常密切。</t>
  </si>
  <si>
    <t>交易</t>
  </si>
  <si>
    <t>jiāo yì</t>
  </si>
  <si>
    <t>giao dịch, buôn bán</t>
  </si>
  <si>
    <t>项链</t>
  </si>
  <si>
    <t>他们达成了一项重要的交易。</t>
  </si>
  <si>
    <t>xiàng liàn</t>
  </si>
  <si>
    <t>dây chuyền</t>
  </si>
  <si>
    <t>她戴着一条漂亮的项链。</t>
  </si>
  <si>
    <t>搅拌</t>
  </si>
  <si>
    <t>jiǎo bàn</t>
  </si>
  <si>
    <t>khuấy, trộn</t>
  </si>
  <si>
    <t>厨师正在搅拌材料，准备做蛋糕。</t>
  </si>
  <si>
    <t>角落</t>
  </si>
  <si>
    <t>jiǎo luò</t>
  </si>
  <si>
    <t>góc, xó xỉnh</t>
  </si>
  <si>
    <t>这个角落很隐蔽，没人会发现。</t>
  </si>
  <si>
    <t>项目</t>
  </si>
  <si>
    <t>xiàng mù</t>
  </si>
  <si>
    <t>hạng mục</t>
  </si>
  <si>
    <t>这个项目非常重要。</t>
  </si>
  <si>
    <t>缴纳</t>
  </si>
  <si>
    <t>jiǎo nà</t>
  </si>
  <si>
    <t>nộp, đóng tiền</t>
  </si>
  <si>
    <t>请按时缴纳水电费。</t>
  </si>
  <si>
    <t>较量</t>
  </si>
  <si>
    <t>jiào liàng</t>
  </si>
  <si>
    <t>so tài, đấu</t>
  </si>
  <si>
    <t>他们在赛场上激烈较量。</t>
  </si>
  <si>
    <t>象棋</t>
  </si>
  <si>
    <t>xiàng qí</t>
  </si>
  <si>
    <t>cờ tướng</t>
  </si>
  <si>
    <t>我喜欢下象棋。</t>
  </si>
  <si>
    <t>教养</t>
  </si>
  <si>
    <t>jiào yǎng</t>
  </si>
  <si>
    <t>giáo dục, nuôi dạy</t>
  </si>
  <si>
    <t>他的教养非常好，待人很有礼貌。</t>
  </si>
  <si>
    <t>皆</t>
  </si>
  <si>
    <t>象征</t>
  </si>
  <si>
    <t>tất cả, đều</t>
  </si>
  <si>
    <t>人人皆知，这是一件大事。</t>
  </si>
  <si>
    <t>xiàng zhēng</t>
  </si>
  <si>
    <t>tượng trưng</t>
  </si>
  <si>
    <t>鸽子象征和平。</t>
  </si>
  <si>
    <t>阶层</t>
  </si>
  <si>
    <t>jiē céng</t>
  </si>
  <si>
    <t>tầng lớp, giai tầng</t>
  </si>
  <si>
    <t>社会的阶层结构非常复杂。</t>
  </si>
  <si>
    <t>揭发</t>
  </si>
  <si>
    <t>消费</t>
  </si>
  <si>
    <t>jiē fā</t>
  </si>
  <si>
    <t>xiāo fèi</t>
  </si>
  <si>
    <t>vạch trần, phát giác</t>
  </si>
  <si>
    <t>他揭发了公司的贪污行为。</t>
  </si>
  <si>
    <t>tiêu dùng</t>
  </si>
  <si>
    <t>我们需要节省消费。</t>
  </si>
  <si>
    <t>接连</t>
  </si>
  <si>
    <t>jiē lián</t>
  </si>
  <si>
    <t>liên tiếp, liên tục</t>
  </si>
  <si>
    <t>我们连续接连发生了好几起事故。</t>
  </si>
  <si>
    <t>消化</t>
  </si>
  <si>
    <t>xiāo huà</t>
  </si>
  <si>
    <t>tiêu hóa</t>
  </si>
  <si>
    <t>消化过程很复杂。</t>
  </si>
  <si>
    <t>揭露</t>
  </si>
  <si>
    <t>jiē lù</t>
  </si>
  <si>
    <t>phơi bày, lộ ra</t>
  </si>
  <si>
    <t>他揭露了这件事的真相。</t>
  </si>
  <si>
    <t>杰出</t>
  </si>
  <si>
    <t>消极</t>
  </si>
  <si>
    <t>jié chū</t>
  </si>
  <si>
    <t>xuất sắc, kiệt xuất</t>
  </si>
  <si>
    <t>xiāo jí</t>
  </si>
  <si>
    <t>她是一个杰出的科学家。</t>
  </si>
  <si>
    <t>tiêu cực</t>
  </si>
  <si>
    <t>她对这些消极的评论不以为然。</t>
  </si>
  <si>
    <t>结果显示他的努力没有白费。</t>
  </si>
  <si>
    <t>消失</t>
  </si>
  <si>
    <t>xiāo shī</t>
  </si>
  <si>
    <t>biến mất</t>
  </si>
  <si>
    <t>那个文件已经消失了。</t>
  </si>
  <si>
    <t>竭尽全力</t>
  </si>
  <si>
    <t>jié jìn quán lì</t>
  </si>
  <si>
    <t>dốc hết sức lực</t>
  </si>
  <si>
    <t>他竭尽全力完成了任务。</t>
  </si>
  <si>
    <t>结晶</t>
  </si>
  <si>
    <t>jié jīng</t>
  </si>
  <si>
    <t>kết tinh, kết quả</t>
  </si>
  <si>
    <t>这块宝石是天然结晶。</t>
  </si>
  <si>
    <t>销售</t>
  </si>
  <si>
    <t>xiāo shòu</t>
  </si>
  <si>
    <t>这家店的销售额很高。</t>
  </si>
  <si>
    <t>结局</t>
  </si>
  <si>
    <t>jié jú</t>
  </si>
  <si>
    <t>kết cục, kết thúc</t>
  </si>
  <si>
    <t>故事的结局出乎意料。</t>
  </si>
  <si>
    <t>小麦</t>
  </si>
  <si>
    <t>xiǎo mài</t>
  </si>
  <si>
    <t>lúa mạch</t>
  </si>
  <si>
    <t>我们种了很多小麦。</t>
  </si>
  <si>
    <t>结算</t>
  </si>
  <si>
    <t>jié suàn</t>
  </si>
  <si>
    <t>我们需要结算一下本月的费用。</t>
  </si>
  <si>
    <t>小气</t>
  </si>
  <si>
    <t>xiǎo qì</t>
  </si>
  <si>
    <t>keo kiệt</t>
  </si>
  <si>
    <t>截至</t>
  </si>
  <si>
    <t>jié zhì</t>
  </si>
  <si>
    <t>他有点儿小气。</t>
  </si>
  <si>
    <t>cho đến, tính đến</t>
  </si>
  <si>
    <t>截至目前，他还没有回复。</t>
  </si>
  <si>
    <t>节奏</t>
  </si>
  <si>
    <t>jié zòu</t>
  </si>
  <si>
    <t>孝顺</t>
  </si>
  <si>
    <t>nhịp điệu, tiết tấu</t>
  </si>
  <si>
    <t>xiào shùn</t>
  </si>
  <si>
    <t>音乐的节奏很快，让人想跳舞。</t>
  </si>
  <si>
    <t>hiếu thảo</t>
  </si>
  <si>
    <t>他是一个孝顺的儿子。</t>
  </si>
  <si>
    <t>解除</t>
  </si>
  <si>
    <t>jiě chú</t>
  </si>
  <si>
    <t>效率</t>
  </si>
  <si>
    <t>giải trừ, hủy bỏ</t>
  </si>
  <si>
    <t>xiào lǜ</t>
  </si>
  <si>
    <t>我们解除了一切合同关系。</t>
  </si>
  <si>
    <t xml:space="preserve">hiệu suất, hiệu quả </t>
  </si>
  <si>
    <t>提高效率是我们的目标。</t>
  </si>
  <si>
    <t>解雇</t>
  </si>
  <si>
    <t>jiě gù</t>
  </si>
  <si>
    <t>sa thải, đuổi việc</t>
  </si>
  <si>
    <t>公司决定解雇一些员工。</t>
  </si>
  <si>
    <t>歇</t>
  </si>
  <si>
    <t>他需要歇一会儿。</t>
  </si>
  <si>
    <t>解剖</t>
  </si>
  <si>
    <t>jiě pōu</t>
  </si>
  <si>
    <t>giải phẫu</t>
  </si>
  <si>
    <t>医生解剖了那具尸体。</t>
  </si>
  <si>
    <t>斜</t>
  </si>
  <si>
    <t>nghiêng, chéo</t>
  </si>
  <si>
    <t>这条路有点儿斜。</t>
  </si>
  <si>
    <t>解散</t>
  </si>
  <si>
    <t>jiě sàn</t>
  </si>
  <si>
    <t>giải tán, tan rã</t>
  </si>
  <si>
    <t>我们已经决定解散这个团队。</t>
  </si>
  <si>
    <t>写作</t>
  </si>
  <si>
    <t>解体</t>
  </si>
  <si>
    <t>xiě zuò</t>
  </si>
  <si>
    <t>jiě tǐ</t>
  </si>
  <si>
    <t>giải thế, tan rã</t>
  </si>
  <si>
    <t>结果大部分土地产权解体。</t>
  </si>
  <si>
    <t>她擅长写作。</t>
  </si>
  <si>
    <t>戒备</t>
  </si>
  <si>
    <t>jiè bèi</t>
  </si>
  <si>
    <t>cảnh giới, phòng bị</t>
  </si>
  <si>
    <t>警察加强了戒备，防止事故发生。</t>
  </si>
  <si>
    <t>血</t>
  </si>
  <si>
    <t>máu</t>
  </si>
  <si>
    <t>血液循环对身体健康很重要。</t>
  </si>
  <si>
    <t>借鉴</t>
  </si>
  <si>
    <t>jiè jiàn</t>
  </si>
  <si>
    <t>học hỏi, tham khảo</t>
  </si>
  <si>
    <t>我们可以借鉴其他国家的经验。</t>
  </si>
  <si>
    <t>界限</t>
  </si>
  <si>
    <t>jiè xiàn</t>
  </si>
  <si>
    <t>心理</t>
  </si>
  <si>
    <t>giới hạn, ranh giới</t>
  </si>
  <si>
    <t>他们的分界线很明确。</t>
  </si>
  <si>
    <t>xīn lǐ</t>
  </si>
  <si>
    <t>tâm lý</t>
  </si>
  <si>
    <t>心理健康对生活质量有很大影响。</t>
  </si>
  <si>
    <t>借助</t>
  </si>
  <si>
    <t>jiè zhù</t>
  </si>
  <si>
    <t>nhờ cậy, dựa vào</t>
  </si>
  <si>
    <t>我们借助工具完成了这个任务。</t>
  </si>
  <si>
    <t>心脏</t>
  </si>
  <si>
    <t>xīn zàng</t>
  </si>
  <si>
    <t>tim</t>
  </si>
  <si>
    <t>心脏是人体重要的器官之一。</t>
  </si>
  <si>
    <t>津津有味</t>
  </si>
  <si>
    <t>jīn jīn yǒu wèi</t>
  </si>
  <si>
    <t>thích thú, say mê</t>
  </si>
  <si>
    <t>这道菜让人吃得津津有味。</t>
  </si>
  <si>
    <t>金融</t>
  </si>
  <si>
    <t>jīn róng</t>
  </si>
  <si>
    <t>金融市场最近波动很大。</t>
  </si>
  <si>
    <t>欣赏</t>
  </si>
  <si>
    <t>xīn shǎng</t>
  </si>
  <si>
    <t>thưởng thức, đánh giá cao</t>
  </si>
  <si>
    <t>我非常欣赏你的工作态度。</t>
  </si>
  <si>
    <t>nhanh chóng, càng sớm càng tốt</t>
  </si>
  <si>
    <t>我们需要尽快完成这个项目。</t>
  </si>
  <si>
    <t>信号</t>
  </si>
  <si>
    <t>xìn hào</t>
  </si>
  <si>
    <t>tín hiệu</t>
  </si>
  <si>
    <t>信号不太强，手机信号不好。</t>
  </si>
  <si>
    <t>hết sức, cố gắng hết mức</t>
  </si>
  <si>
    <t>请尽量简化流程，提高效率。</t>
  </si>
  <si>
    <t>信任</t>
  </si>
  <si>
    <t>xìn rèn</t>
  </si>
  <si>
    <t xml:space="preserve">tín nhiệm, tin tưởng </t>
  </si>
  <si>
    <t>我信任你能完成这个任务。</t>
  </si>
  <si>
    <t>紧密</t>
  </si>
  <si>
    <t>jǐn mì</t>
  </si>
  <si>
    <t>chặt chẽ, mật thiết</t>
  </si>
  <si>
    <t>我们要保持紧密的合作关系。</t>
  </si>
  <si>
    <t>行动</t>
  </si>
  <si>
    <t>xíng dòng</t>
  </si>
  <si>
    <t>hành động</t>
  </si>
  <si>
    <t>紧迫</t>
  </si>
  <si>
    <t>他的行动非常迅速。</t>
  </si>
  <si>
    <t>jǐn pò</t>
  </si>
  <si>
    <t>cấp bách, khẩn cấp</t>
  </si>
  <si>
    <t>这个任务非常紧迫，必须立即完成。</t>
  </si>
  <si>
    <t>行人</t>
  </si>
  <si>
    <t>xíng rén</t>
  </si>
  <si>
    <t>người đi đường</t>
  </si>
  <si>
    <t>行人请遵守交通规则。</t>
  </si>
  <si>
    <t>锦绣前程</t>
  </si>
  <si>
    <t>jǐn xiù qián chéng</t>
  </si>
  <si>
    <t>tiền đồ sáng lạn</t>
  </si>
  <si>
    <t>你有一段锦绣前程。</t>
  </si>
  <si>
    <t>行为</t>
  </si>
  <si>
    <t>xíng wéi</t>
  </si>
  <si>
    <t>hành vi</t>
  </si>
  <si>
    <t>这种行为是不允许的。</t>
  </si>
  <si>
    <t>进而</t>
  </si>
  <si>
    <t>jìn ér</t>
  </si>
  <si>
    <t>tiếp đó, sau đó</t>
  </si>
  <si>
    <t>他进而提出了新的建议。</t>
  </si>
  <si>
    <t>形成</t>
  </si>
  <si>
    <t>xíng chéng</t>
  </si>
  <si>
    <t>hình thành</t>
  </si>
  <si>
    <t>进攻</t>
  </si>
  <si>
    <t>jìn gōng</t>
  </si>
  <si>
    <t>这项计划的实施将形成新的市场。</t>
  </si>
  <si>
    <t>敌军发动了猛烈的进攻。</t>
  </si>
  <si>
    <t>进化</t>
  </si>
  <si>
    <t>jìn huà</t>
  </si>
  <si>
    <t>tiến hóa</t>
  </si>
  <si>
    <t>人类在不断进化中。</t>
  </si>
  <si>
    <t>形容</t>
  </si>
  <si>
    <t>xíng róng</t>
  </si>
  <si>
    <t>hình dung</t>
  </si>
  <si>
    <t>她形容了那次旅行的美好经历。</t>
  </si>
  <si>
    <t>近来</t>
  </si>
  <si>
    <t>jìn lái</t>
  </si>
  <si>
    <t>近来，天气变得越来越热。</t>
  </si>
  <si>
    <t>形式</t>
  </si>
  <si>
    <t>xíng shì</t>
  </si>
  <si>
    <t>hình thức</t>
  </si>
  <si>
    <t>他们采用了新的形式来解决问题。</t>
  </si>
  <si>
    <t>浸泡</t>
  </si>
  <si>
    <t>jìn pào</t>
  </si>
  <si>
    <t>ngâm, tẩm</t>
  </si>
  <si>
    <t>他把茶叶浸泡在热水中。</t>
  </si>
  <si>
    <t>形势</t>
  </si>
  <si>
    <t>当前形势比较复杂。</t>
  </si>
  <si>
    <t>晋升</t>
  </si>
  <si>
    <t>jìn shēng</t>
  </si>
  <si>
    <t>thăng tiến, thăng chức</t>
  </si>
  <si>
    <t>他被晋升为经理。</t>
  </si>
  <si>
    <t>形象</t>
  </si>
  <si>
    <t>xíng xiàng</t>
  </si>
  <si>
    <t>hình tượng</t>
  </si>
  <si>
    <t>他的形象很亲切。</t>
  </si>
  <si>
    <t>近视</t>
  </si>
  <si>
    <t>jìn shì</t>
  </si>
  <si>
    <t>cận thị</t>
  </si>
  <si>
    <t>她患有近视，需要戴眼镜。</t>
  </si>
  <si>
    <t>形状</t>
  </si>
  <si>
    <t>xíng zhuàng</t>
  </si>
  <si>
    <t>劲头</t>
  </si>
  <si>
    <t>hình dáng, dáng</t>
  </si>
  <si>
    <t>jìn tóu</t>
  </si>
  <si>
    <t>这块石头的形状很奇特。</t>
  </si>
  <si>
    <t>hứng thú, động lực</t>
  </si>
  <si>
    <t>他做事非常有劲头。</t>
  </si>
  <si>
    <t>进展</t>
  </si>
  <si>
    <t>jìn zhǎn</t>
  </si>
  <si>
    <t>tiến triển, tiến độ</t>
  </si>
  <si>
    <t>项目进展顺利。</t>
  </si>
  <si>
    <t>幸亏</t>
  </si>
  <si>
    <t>xìng kuī</t>
  </si>
  <si>
    <t>may mà</t>
  </si>
  <si>
    <t>幸亏我们提前准备了。</t>
  </si>
  <si>
    <t>茎</t>
  </si>
  <si>
    <t>jīng</t>
  </si>
  <si>
    <t>cuống, thân cây</t>
  </si>
  <si>
    <t>植物的茎很长。</t>
  </si>
  <si>
    <t>幸运</t>
  </si>
  <si>
    <t>xìng yùn</t>
  </si>
  <si>
    <t>may mắn</t>
  </si>
  <si>
    <t>他总是幸运的。</t>
  </si>
  <si>
    <t>精打细算</t>
  </si>
  <si>
    <t>jīng dǎ xì suàn</t>
  </si>
  <si>
    <t>tính toán kỹ lưỡng</t>
  </si>
  <si>
    <t>她总是精打细算。</t>
  </si>
  <si>
    <t>惊动</t>
  </si>
  <si>
    <t>jīng dòng</t>
  </si>
  <si>
    <t>làm kinh động, quấy rầy</t>
  </si>
  <si>
    <t>这件事惊动了所有人。</t>
  </si>
  <si>
    <t>性质</t>
  </si>
  <si>
    <t>xìng zhì</t>
  </si>
  <si>
    <t>tính chất</t>
  </si>
  <si>
    <t>这件事的性质很特殊。</t>
  </si>
  <si>
    <t>经费</t>
  </si>
  <si>
    <t>jīng fèi</t>
  </si>
  <si>
    <t>kinh phí</t>
  </si>
  <si>
    <t>他们的研究经费充足。</t>
  </si>
  <si>
    <t>精华</t>
  </si>
  <si>
    <t>jīng huá</t>
  </si>
  <si>
    <t>兄弟</t>
  </si>
  <si>
    <t>tinh hoa, tinh túy</t>
  </si>
  <si>
    <t>这本书是这位作家的精华。</t>
  </si>
  <si>
    <t>xiōng dì</t>
  </si>
  <si>
    <t xml:space="preserve">huynh đệ, anh em </t>
  </si>
  <si>
    <t>他是我的亲兄弟。</t>
  </si>
  <si>
    <t>精简</t>
  </si>
  <si>
    <t>jīng jiǎn</t>
  </si>
  <si>
    <t>giản đơn, tinh gọn</t>
  </si>
  <si>
    <t>我们需要精简工作流程。</t>
  </si>
  <si>
    <t>胸</t>
  </si>
  <si>
    <t>xiōng</t>
  </si>
  <si>
    <t>ngực</t>
  </si>
  <si>
    <t>她的胸很大。</t>
  </si>
  <si>
    <t>兢兢业业</t>
  </si>
  <si>
    <t>jīng jīng yè yè</t>
  </si>
  <si>
    <t>cẩn thận, chăm chỉ</t>
  </si>
  <si>
    <t>他兢兢业业地工作。</t>
  </si>
  <si>
    <t>休闲</t>
  </si>
  <si>
    <t>xiū xián</t>
  </si>
  <si>
    <t>nhàn hạ, thoải mái</t>
  </si>
  <si>
    <t>我喜欢休闲的活动。</t>
  </si>
  <si>
    <t>精密</t>
  </si>
  <si>
    <t>jīng mì</t>
  </si>
  <si>
    <t>chính xác, tỉ mỉ</t>
  </si>
  <si>
    <t>这个机器非常精密。</t>
  </si>
  <si>
    <t>修改</t>
  </si>
  <si>
    <t>xiū gǎi</t>
  </si>
  <si>
    <t>惊奇</t>
  </si>
  <si>
    <t>sửa lỗi (văn bản)</t>
  </si>
  <si>
    <t>jīng qí</t>
  </si>
  <si>
    <t>kinh ngạc, ngạc nhiên</t>
  </si>
  <si>
    <t>你可以修改这份报告。</t>
  </si>
  <si>
    <t>她对新发现感到惊奇。</t>
  </si>
  <si>
    <t>精确</t>
  </si>
  <si>
    <t>jīng què</t>
  </si>
  <si>
    <t>chính xác, đúng đắn</t>
  </si>
  <si>
    <t>数据需要精确到小数点后两位。</t>
  </si>
  <si>
    <t>虚心</t>
  </si>
  <si>
    <t>xū xīn</t>
  </si>
  <si>
    <t>他总是虚心接受别人的意见。</t>
  </si>
  <si>
    <t>他打算经商。</t>
  </si>
  <si>
    <t>精通</t>
  </si>
  <si>
    <t>jīng tōng</t>
  </si>
  <si>
    <t>thông thạo, tinh thông</t>
  </si>
  <si>
    <t>她精通多国语言。</t>
  </si>
  <si>
    <t>叙述</t>
  </si>
  <si>
    <t>xù shù</t>
  </si>
  <si>
    <t>kể, thuật</t>
  </si>
  <si>
    <t>我们需要叙述这个事件的经过。</t>
  </si>
  <si>
    <t>经纬</t>
  </si>
  <si>
    <t>jīng wěi</t>
  </si>
  <si>
    <t>kinh độ và vĩ độ</t>
  </si>
  <si>
    <t>这条道路是城市的经纬。</t>
  </si>
  <si>
    <t>精心</t>
  </si>
  <si>
    <t>jīng xīn</t>
  </si>
  <si>
    <t>宣布</t>
  </si>
  <si>
    <t>dày công, tỉ mỉ</t>
  </si>
  <si>
    <t>她精心准备了晚餐。</t>
  </si>
  <si>
    <t>xuān bù</t>
  </si>
  <si>
    <t>tuyên bố</t>
  </si>
  <si>
    <t>公司宣布了新的政策。</t>
  </si>
  <si>
    <t>惊讶</t>
  </si>
  <si>
    <t>jīng yà</t>
  </si>
  <si>
    <t>他感到非常惊讶。</t>
  </si>
  <si>
    <t>宣传</t>
  </si>
  <si>
    <t>xuān chuán</t>
  </si>
  <si>
    <t>tuyên truyền</t>
  </si>
  <si>
    <t>我们需要宣传这个活动。</t>
  </si>
  <si>
    <t>精益求精</t>
  </si>
  <si>
    <t>jīng yì qiú jīng</t>
  </si>
  <si>
    <t>cải tiến, hoàn thiện</t>
  </si>
  <si>
    <t>我们精益求精，追求完美。</t>
  </si>
  <si>
    <t>精致</t>
  </si>
  <si>
    <t>jīng zhì</t>
  </si>
  <si>
    <t>学历</t>
  </si>
  <si>
    <t>tinh xảo, tinh tế</t>
  </si>
  <si>
    <t>xué lì</t>
  </si>
  <si>
    <t>这个花瓶制作得非常精致。</t>
  </si>
  <si>
    <t>她有很高的学历。</t>
  </si>
  <si>
    <t>井</t>
  </si>
  <si>
    <t>jǐng</t>
  </si>
  <si>
    <t>giếng, thùng</t>
  </si>
  <si>
    <t>井水很清凉。</t>
  </si>
  <si>
    <t>学术</t>
  </si>
  <si>
    <t>xué shù</t>
  </si>
  <si>
    <t>học thuật</t>
  </si>
  <si>
    <t>这篇论文涉及到很多学术问题。</t>
  </si>
  <si>
    <t>警告</t>
  </si>
  <si>
    <t>jǐng gào</t>
  </si>
  <si>
    <t>cảnh báo</t>
  </si>
  <si>
    <t>他收到了警告信。</t>
  </si>
  <si>
    <t>警惕</t>
  </si>
  <si>
    <t>jǐng tì</t>
  </si>
  <si>
    <t>cảnh giác</t>
  </si>
  <si>
    <t>我们需要警惕危险。</t>
  </si>
  <si>
    <t>学问</t>
  </si>
  <si>
    <t>xué wèn</t>
  </si>
  <si>
    <t>học vấn</t>
  </si>
  <si>
    <t>他的学问非常渊博。</t>
  </si>
  <si>
    <t>颈椎</t>
  </si>
  <si>
    <t>jǐng zhuī</t>
  </si>
  <si>
    <t>đốt sống cổ</t>
  </si>
  <si>
    <t>他的颈椎有问题。</t>
  </si>
  <si>
    <t>境界</t>
  </si>
  <si>
    <t>jìng jiè</t>
  </si>
  <si>
    <t>寻找</t>
  </si>
  <si>
    <t>cảnh giới, ranh giới</t>
  </si>
  <si>
    <t>他达到了一个新的境界。</t>
  </si>
  <si>
    <t>xún zhǎo</t>
  </si>
  <si>
    <t>我们正在寻找合适的解决方案。</t>
  </si>
  <si>
    <t>敬礼</t>
  </si>
  <si>
    <t>jìng lǐ</t>
  </si>
  <si>
    <t>chào hỏi, chào kính</t>
  </si>
  <si>
    <t>警察向我们敬礼。</t>
  </si>
  <si>
    <t>询问</t>
  </si>
  <si>
    <t>xún wèn</t>
  </si>
  <si>
    <t>hỏi han</t>
  </si>
  <si>
    <t>请你询问一下那个问题。</t>
  </si>
  <si>
    <t>竞赛</t>
  </si>
  <si>
    <t>jìng sài</t>
  </si>
  <si>
    <t>thi đấu, cạnh tranh</t>
  </si>
  <si>
    <t>他在竞赛中获得了冠军。</t>
  </si>
  <si>
    <t>训练</t>
  </si>
  <si>
    <t>xùn liàn</t>
  </si>
  <si>
    <t>huấn luyện</t>
  </si>
  <si>
    <t>我们在进行训练以提高能力。</t>
  </si>
  <si>
    <t>镜头</t>
  </si>
  <si>
    <t>jìng tóu</t>
  </si>
  <si>
    <t>ống kính, cảnh quay</t>
  </si>
  <si>
    <t>摄影师调整了镜头。</t>
  </si>
  <si>
    <t>迅速</t>
  </si>
  <si>
    <t>xùn sù</t>
  </si>
  <si>
    <t>nhanh chóng, nhanh</t>
  </si>
  <si>
    <t>他处理问题非常迅速。</t>
  </si>
  <si>
    <t>竞选</t>
  </si>
  <si>
    <t>jìng xuǎn</t>
  </si>
  <si>
    <t>tranh cử, vận động bầu cử</t>
  </si>
  <si>
    <t>他正在竞选市长。</t>
  </si>
  <si>
    <t>纠纷</t>
  </si>
  <si>
    <t>押金</t>
  </si>
  <si>
    <t>jiū fēn</t>
  </si>
  <si>
    <t>yā jīn</t>
  </si>
  <si>
    <t>tranh chấp, mâu thuẫn</t>
  </si>
  <si>
    <t>tiền cọc</t>
  </si>
  <si>
    <t>他们之间有纠纷。</t>
  </si>
  <si>
    <t>请先支付押金。</t>
  </si>
  <si>
    <t>纠正</t>
  </si>
  <si>
    <t>jiū zhèng</t>
  </si>
  <si>
    <t>sửa chữa, đính chính</t>
  </si>
  <si>
    <t>我们必须纠正错误。</t>
  </si>
  <si>
    <t>牙齿</t>
  </si>
  <si>
    <t>yá chǐ</t>
  </si>
  <si>
    <t>răng</t>
  </si>
  <si>
    <t>我需要检查你的牙齿。</t>
  </si>
  <si>
    <t>酒精</t>
  </si>
  <si>
    <t>jiǔ jīng</t>
  </si>
  <si>
    <t>cồn, rượu</t>
  </si>
  <si>
    <t>这种酒含有很高的酒精。</t>
  </si>
  <si>
    <t>延长</t>
  </si>
  <si>
    <t>yán cháng</t>
  </si>
  <si>
    <t>kéo dài (thời gian)</t>
  </si>
  <si>
    <t>我们需要延长截止日期。</t>
  </si>
  <si>
    <t>救济</t>
  </si>
  <si>
    <t>jiù jì</t>
  </si>
  <si>
    <t>cứu trợ</t>
  </si>
  <si>
    <t>政府提供了紧急救济。</t>
  </si>
  <si>
    <t>严肃</t>
  </si>
  <si>
    <t>yán sù</t>
  </si>
  <si>
    <t>就近</t>
  </si>
  <si>
    <t>jiù jìn</t>
  </si>
  <si>
    <t>gần, lân cận</t>
  </si>
  <si>
    <t>请就近找个餐馆吃饭。</t>
  </si>
  <si>
    <t>他在会议上表现得非常严肃。</t>
  </si>
  <si>
    <t>就业</t>
  </si>
  <si>
    <t>jiù yè</t>
  </si>
  <si>
    <t>việc làm, tìm việc</t>
  </si>
  <si>
    <t>他最近找到了就业机会。</t>
  </si>
  <si>
    <t>演讲</t>
  </si>
  <si>
    <t>yǎn jiǎng</t>
  </si>
  <si>
    <t>diễn thuyết</t>
  </si>
  <si>
    <t>她在演讲中讲述了她的经历。</t>
  </si>
  <si>
    <t>就职</t>
  </si>
  <si>
    <t>jiù zhí</t>
  </si>
  <si>
    <t>nhậm chức, nhận chức</t>
  </si>
  <si>
    <t>他新就职的公司很好。</t>
  </si>
  <si>
    <t>鞠躬</t>
  </si>
  <si>
    <t>jū gōng</t>
  </si>
  <si>
    <t>cúi đầu, cúi chào</t>
  </si>
  <si>
    <t>他向我们鞠躬致意。</t>
  </si>
  <si>
    <t>宴会</t>
  </si>
  <si>
    <t>yàn huì</t>
  </si>
  <si>
    <t>yến tiệc</t>
  </si>
  <si>
    <t>我们在宴会上度过了一个愉快的夜晚。</t>
  </si>
  <si>
    <t>拘留</t>
  </si>
  <si>
    <t>jū liú</t>
  </si>
  <si>
    <t>tạm giam, tạm giữ</t>
  </si>
  <si>
    <t>他被警方拘留了。</t>
  </si>
  <si>
    <t>拘束</t>
  </si>
  <si>
    <t>jū shù</t>
  </si>
  <si>
    <t>gò bó, ràng buộc</t>
  </si>
  <si>
    <t>阳台</t>
  </si>
  <si>
    <t>他的行为有点拘束。</t>
  </si>
  <si>
    <t>yáng tái</t>
  </si>
  <si>
    <t>ban công</t>
  </si>
  <si>
    <t>我们可以在阳台上喝咖啡。</t>
  </si>
  <si>
    <t>居住</t>
  </si>
  <si>
    <t>jū zhù</t>
  </si>
  <si>
    <t>cư trú, sinh sống</t>
  </si>
  <si>
    <t>他居住在市中心。</t>
  </si>
  <si>
    <t>痒</t>
  </si>
  <si>
    <t>yǎng</t>
  </si>
  <si>
    <t>ngứa</t>
  </si>
  <si>
    <t>我的皮肤有点发痒。</t>
  </si>
  <si>
    <t>局部</t>
  </si>
  <si>
    <t>jú bù</t>
  </si>
  <si>
    <t>cục bộ, một phần</t>
  </si>
  <si>
    <t>这个问题只涉及到局部。</t>
  </si>
  <si>
    <t>样式</t>
  </si>
  <si>
    <t>yàng shì</t>
  </si>
  <si>
    <t>局面</t>
  </si>
  <si>
    <t>jú miàn</t>
  </si>
  <si>
    <t>kiểu dáng</t>
  </si>
  <si>
    <t>cục diện, tình thế</t>
  </si>
  <si>
    <t>局面的发展令人担忧。</t>
  </si>
  <si>
    <t>这种样式的设计很现代。</t>
  </si>
  <si>
    <t>局势</t>
  </si>
  <si>
    <t>jú shì</t>
  </si>
  <si>
    <t>tình hình, tình thế</t>
  </si>
  <si>
    <t>政府正在评估局势。</t>
  </si>
  <si>
    <t>腰</t>
  </si>
  <si>
    <t>yāo</t>
  </si>
  <si>
    <t>lưng</t>
  </si>
  <si>
    <t>她的腰很细。</t>
  </si>
  <si>
    <t>局限</t>
  </si>
  <si>
    <t>jú xiàn</t>
  </si>
  <si>
    <t>我们需要打破局限。</t>
  </si>
  <si>
    <t>摇</t>
  </si>
  <si>
    <t>yáo</t>
  </si>
  <si>
    <t>举动</t>
  </si>
  <si>
    <t>lắc</t>
  </si>
  <si>
    <t>jǔ dòng</t>
  </si>
  <si>
    <t>他摇了摇头表示不同意。</t>
  </si>
  <si>
    <t>hành động, động thái</t>
  </si>
  <si>
    <t>他的举动很可疑。</t>
  </si>
  <si>
    <t>咀嚼</t>
  </si>
  <si>
    <t>jǔ jué</t>
  </si>
  <si>
    <t>咬</t>
  </si>
  <si>
    <t>nhai, nghiền ngẫm</t>
  </si>
  <si>
    <t>yǎo</t>
  </si>
  <si>
    <t>她正在咀嚼食物。</t>
  </si>
  <si>
    <t>cắn</t>
  </si>
  <si>
    <t>她咬了一口苹果。</t>
  </si>
  <si>
    <t>沮丧</t>
  </si>
  <si>
    <t>jǔ sàng</t>
  </si>
  <si>
    <t>thất vọng, buồn bã</t>
  </si>
  <si>
    <t>他感到非常沮丧。</t>
  </si>
  <si>
    <t>要不</t>
  </si>
  <si>
    <t>yào bù</t>
  </si>
  <si>
    <t>要不我们去看电影？</t>
  </si>
  <si>
    <t>举世闻名</t>
  </si>
  <si>
    <t>jǔ shì wén míng</t>
  </si>
  <si>
    <t>nổi tiếng khắp thế giới</t>
  </si>
  <si>
    <t>他的发明举世闻名。</t>
  </si>
  <si>
    <t>举世瞩目</t>
  </si>
  <si>
    <t>jǔ shì zhǔ mù</t>
  </si>
  <si>
    <t>chú ý khắp thế giới</t>
  </si>
  <si>
    <t>业务</t>
  </si>
  <si>
    <t>这个问题引起了举世瞩目。</t>
  </si>
  <si>
    <t>yè wù</t>
  </si>
  <si>
    <t>nghiệp vụ</t>
  </si>
  <si>
    <t>他在公司里负责业务发展。</t>
  </si>
  <si>
    <t>举足轻重</t>
  </si>
  <si>
    <t>jǔ zú qīng zhòng</t>
  </si>
  <si>
    <t>có vai trò quan trọng</t>
  </si>
  <si>
    <t>他在团队中举足轻重。</t>
  </si>
  <si>
    <t>业余</t>
  </si>
  <si>
    <t>yè yú</t>
  </si>
  <si>
    <t>nghiệp dư</t>
  </si>
  <si>
    <t>他有很多业余爱好。</t>
  </si>
  <si>
    <t>剧本</t>
  </si>
  <si>
    <t>jù běn</t>
  </si>
  <si>
    <t>kịch bản, kịch bản phim</t>
  </si>
  <si>
    <t>他正在写一个剧本。</t>
  </si>
  <si>
    <t>夜</t>
  </si>
  <si>
    <t>đêm</t>
  </si>
  <si>
    <t>夜晚的风很凉爽。</t>
  </si>
  <si>
    <t>聚精会神</t>
  </si>
  <si>
    <t>jù jīng huì shén</t>
  </si>
  <si>
    <t>tập trung cao độ</t>
  </si>
  <si>
    <t>他聚精会神地听讲。</t>
  </si>
  <si>
    <t>剧烈</t>
  </si>
  <si>
    <t>jù liè</t>
  </si>
  <si>
    <t>dữ dội, kịch liệt</t>
  </si>
  <si>
    <t>一辈子</t>
  </si>
  <si>
    <t>这次运动非常剧烈。</t>
  </si>
  <si>
    <t>yí bèi zi</t>
  </si>
  <si>
    <t>một đời người</t>
  </si>
  <si>
    <t>我希望能过一辈子的好生活。</t>
  </si>
  <si>
    <t>据悉</t>
  </si>
  <si>
    <t>jù xī</t>
  </si>
  <si>
    <t>được biết, theo tin</t>
  </si>
  <si>
    <t>据悉，会议将延期。</t>
  </si>
  <si>
    <t>决策</t>
  </si>
  <si>
    <t>jué cè</t>
  </si>
  <si>
    <t>quyết sách, quyết định</t>
  </si>
  <si>
    <t>公司正在制定新的决策。</t>
  </si>
  <si>
    <t>绝望</t>
  </si>
  <si>
    <t>jué wàng</t>
  </si>
  <si>
    <t>tuyệt vọng</t>
  </si>
  <si>
    <t>他的态度非常绝望。</t>
  </si>
  <si>
    <t>一旦</t>
  </si>
  <si>
    <t>yí dàn</t>
  </si>
  <si>
    <t>một khi</t>
  </si>
  <si>
    <t>一旦你开始，就必须坚持下去。</t>
  </si>
  <si>
    <t>觉悟</t>
  </si>
  <si>
    <t>jué wù</t>
  </si>
  <si>
    <t>giác ngộ, tỉnh ngộ</t>
  </si>
  <si>
    <t>我们需要提高觉悟。</t>
  </si>
  <si>
    <t>一律</t>
  </si>
  <si>
    <t>yí lǜ</t>
  </si>
  <si>
    <t>nhất loạt</t>
  </si>
  <si>
    <t>他们的意见是一律的。</t>
  </si>
  <si>
    <t>觉醒</t>
  </si>
  <si>
    <t>jué xǐng</t>
  </si>
  <si>
    <t>thức tỉnh, tỉnh ngộ</t>
  </si>
  <si>
    <t>他在战争中觉醒了。</t>
  </si>
  <si>
    <t>一再</t>
  </si>
  <si>
    <t>军队</t>
  </si>
  <si>
    <t>yí zài</t>
  </si>
  <si>
    <t>jūn duì</t>
  </si>
  <si>
    <t>quân đội</t>
  </si>
  <si>
    <t>nhiều lần</t>
  </si>
  <si>
    <t>军队在边境部署。</t>
  </si>
  <si>
    <t>他一再强调这个问题的重要性。</t>
  </si>
  <si>
    <t>卡通</t>
  </si>
  <si>
    <t>kǎ tōng</t>
  </si>
  <si>
    <t>hoạt hình</t>
  </si>
  <si>
    <t>孩子们喜欢看卡通。</t>
  </si>
  <si>
    <t>一致</t>
  </si>
  <si>
    <t>yí zhì</t>
  </si>
  <si>
    <t>他们的看法与我的一致。</t>
  </si>
  <si>
    <t>开采</t>
  </si>
  <si>
    <t>kāi cǎi</t>
  </si>
  <si>
    <t>khai thác</t>
  </si>
  <si>
    <t>矿工们在山中开采矿石。</t>
  </si>
  <si>
    <t>依然</t>
  </si>
  <si>
    <t>开除</t>
  </si>
  <si>
    <t>kāi chú</t>
  </si>
  <si>
    <t>yī rán</t>
  </si>
  <si>
    <t>khai trừ, đuổi học</t>
  </si>
  <si>
    <t>vẫn như xưa</t>
  </si>
  <si>
    <t>他被学校开除了。</t>
  </si>
  <si>
    <t>尽管情况很困难，我们依然坚持。</t>
  </si>
  <si>
    <t>开阔</t>
  </si>
  <si>
    <t>kāi kuò</t>
  </si>
  <si>
    <t>mở rộng, rộng rãi</t>
  </si>
  <si>
    <t>我们需要开阔视野。</t>
  </si>
  <si>
    <t>移动</t>
  </si>
  <si>
    <t>yí dòng</t>
  </si>
  <si>
    <t>di động</t>
  </si>
  <si>
    <t>我们需要移动这些家具。</t>
  </si>
  <si>
    <t>开朗</t>
  </si>
  <si>
    <t>kāi lǎng</t>
  </si>
  <si>
    <t>vui vẻ, cởi mở</t>
  </si>
  <si>
    <t>她的性格很开朗。</t>
  </si>
  <si>
    <t>移民</t>
  </si>
  <si>
    <t>yí mín</t>
  </si>
  <si>
    <t>开明</t>
  </si>
  <si>
    <t>di dân</t>
  </si>
  <si>
    <t>kāi míng</t>
  </si>
  <si>
    <t>他决定移民到加拿大。</t>
  </si>
  <si>
    <t>khai sáng, sáng suốt</t>
  </si>
  <si>
    <t>他是一个开明的领导。</t>
  </si>
  <si>
    <t>开辟</t>
  </si>
  <si>
    <t>kāi pì</t>
  </si>
  <si>
    <t>mở đường, khai mở</t>
  </si>
  <si>
    <t>我们正在开辟新的市场。</t>
  </si>
  <si>
    <t>遗憾</t>
  </si>
  <si>
    <t>yí hàn</t>
  </si>
  <si>
    <t>hối hận, đáng tiếc , tiếc nuối</t>
  </si>
  <si>
    <t>我对这个结果感到遗憾。</t>
  </si>
  <si>
    <t>请给我一杯开水。</t>
  </si>
  <si>
    <t>疑问</t>
  </si>
  <si>
    <t>yí wèn</t>
  </si>
  <si>
    <t>nghi vấn, nghi ngờ</t>
  </si>
  <si>
    <t>他提出了一个很大的疑问。</t>
  </si>
  <si>
    <t>开拓</t>
  </si>
  <si>
    <t>kāi tuò</t>
  </si>
  <si>
    <t>khai thác, mở rộng</t>
  </si>
  <si>
    <t>我们正在开拓新的业务。</t>
  </si>
  <si>
    <t>开展</t>
  </si>
  <si>
    <t>kāi zhǎn</t>
  </si>
  <si>
    <t>triển khai, phát triển</t>
  </si>
  <si>
    <t>活动正在如火如荼地开展。</t>
  </si>
  <si>
    <t>乙</t>
  </si>
  <si>
    <t>ất</t>
  </si>
  <si>
    <t>乙是第二个字母。</t>
  </si>
  <si>
    <t>开支</t>
  </si>
  <si>
    <t>kāi zhī</t>
  </si>
  <si>
    <t>chi phí, chi tiêu</t>
  </si>
  <si>
    <t>公司的开支不断增加。</t>
  </si>
  <si>
    <t>以及</t>
  </si>
  <si>
    <t>yǐ jí</t>
  </si>
  <si>
    <t>他和我以及其他人一起去了。</t>
  </si>
  <si>
    <t>刊登</t>
  </si>
  <si>
    <t>kān dēng</t>
  </si>
  <si>
    <t>đăng tải, đăng báo</t>
  </si>
  <si>
    <t>报纸上刊登了这则新闻。</t>
  </si>
  <si>
    <t>勘探</t>
  </si>
  <si>
    <t>kān tàn</t>
  </si>
  <si>
    <t>khảo sát, thăm dò</t>
  </si>
  <si>
    <t>他们在山中勘探资源。</t>
  </si>
  <si>
    <t>以来</t>
  </si>
  <si>
    <t>yǐ lái</t>
  </si>
  <si>
    <t>trở lại đây (thời gian)</t>
  </si>
  <si>
    <t>这家公司自1990年以来一直在发展。</t>
  </si>
  <si>
    <t>刊物</t>
  </si>
  <si>
    <t>kān wù</t>
  </si>
  <si>
    <t>ấn phẩm, tạp chí</t>
  </si>
  <si>
    <t>这本刊物很受欢迎。</t>
  </si>
  <si>
    <t>亿</t>
  </si>
  <si>
    <t>yì</t>
  </si>
  <si>
    <t>trăm triệu</t>
  </si>
  <si>
    <t>中国有十亿多人口。</t>
  </si>
  <si>
    <t>看待</t>
  </si>
  <si>
    <t>kàn dài</t>
  </si>
  <si>
    <t>xem xét, đánh giá</t>
  </si>
  <si>
    <t>我们需要认真看待这个问题。</t>
  </si>
  <si>
    <t>看来</t>
  </si>
  <si>
    <t>义务</t>
  </si>
  <si>
    <t>kàn lái</t>
  </si>
  <si>
    <t>yì wù</t>
  </si>
  <si>
    <t>xem ra, có vẻ như</t>
  </si>
  <si>
    <t>看来今天要下雨了。</t>
  </si>
  <si>
    <t>nghĩa vụ</t>
  </si>
  <si>
    <t>我们有义务保护环境。</t>
  </si>
  <si>
    <t>thăm hỏi, thăm viếng</t>
  </si>
  <si>
    <t>他来看望了生病的朋友。</t>
  </si>
  <si>
    <t>议论</t>
  </si>
  <si>
    <t>yì lùn</t>
  </si>
  <si>
    <t>nghị luận</t>
  </si>
  <si>
    <t>他们对这项政策的议论很多。</t>
  </si>
  <si>
    <t>慷慨</t>
  </si>
  <si>
    <t>kāng kǎi</t>
  </si>
  <si>
    <t>hào phóng, rộng lượng</t>
  </si>
  <si>
    <t>他很慷慨地捐款。</t>
  </si>
  <si>
    <t>考察</t>
  </si>
  <si>
    <t>kǎo chá</t>
  </si>
  <si>
    <t>khảo sát, điều tra</t>
  </si>
  <si>
    <t>科学家们在这里考察地质。</t>
  </si>
  <si>
    <t>意外</t>
  </si>
  <si>
    <t>yì wài</t>
  </si>
  <si>
    <t>ngoài ý muốn</t>
  </si>
  <si>
    <t>他的意外表现让大家都惊讶。</t>
  </si>
  <si>
    <t>考古</t>
  </si>
  <si>
    <t>kǎo gǔ</t>
  </si>
  <si>
    <t>khảo cổ</t>
  </si>
  <si>
    <t>他对古代文化很感兴趣。</t>
  </si>
  <si>
    <t>意义</t>
  </si>
  <si>
    <t>yì yì</t>
  </si>
  <si>
    <t>考核</t>
  </si>
  <si>
    <t>kǎo hé</t>
  </si>
  <si>
    <t>kiểm tra, đánh giá</t>
  </si>
  <si>
    <t>这个决定的意义很大。</t>
  </si>
  <si>
    <t>公司将对员工进行考核。</t>
  </si>
  <si>
    <t>考验</t>
  </si>
  <si>
    <t>kǎo yàn</t>
  </si>
  <si>
    <t>thử thách, kiểm nghiệm</t>
  </si>
  <si>
    <t>这次考验了他的能力。</t>
  </si>
  <si>
    <t>因而</t>
  </si>
  <si>
    <t>yīn ér</t>
  </si>
  <si>
    <t>他因而成功了。</t>
  </si>
  <si>
    <t>靠拢</t>
  </si>
  <si>
    <t>kào lǒng</t>
  </si>
  <si>
    <t>xích lại, gần kề</t>
  </si>
  <si>
    <t>我们应该向前靠拢。</t>
  </si>
  <si>
    <t>磕</t>
  </si>
  <si>
    <t>因素</t>
  </si>
  <si>
    <t>yīn sù</t>
  </si>
  <si>
    <t>đập, va đập</t>
  </si>
  <si>
    <t>他不小心磕到了头。</t>
  </si>
  <si>
    <t>nhân tố</t>
  </si>
  <si>
    <t>这些因素都需要考虑。</t>
  </si>
  <si>
    <t>颗粒</t>
  </si>
  <si>
    <t>kē lì</t>
  </si>
  <si>
    <t>hạt, hạt nhỏ</t>
  </si>
  <si>
    <t>这种药有很多颗粒。</t>
  </si>
  <si>
    <t>银</t>
  </si>
  <si>
    <t>yín</t>
  </si>
  <si>
    <t>bạc</t>
  </si>
  <si>
    <t>科目</t>
  </si>
  <si>
    <t>你的手镯是银的吗?</t>
  </si>
  <si>
    <t>kē mù</t>
  </si>
  <si>
    <t>数学是他的主要科目。</t>
  </si>
  <si>
    <t>可观</t>
  </si>
  <si>
    <t>kě guān</t>
  </si>
  <si>
    <t>đáng kể, to lớn</t>
  </si>
  <si>
    <t>这个景点的风景非常可观。</t>
  </si>
  <si>
    <t>可口</t>
  </si>
  <si>
    <t>印刷</t>
  </si>
  <si>
    <t>kě kǒu</t>
  </si>
  <si>
    <t>ngon miệng</t>
  </si>
  <si>
    <t>yìn shuā</t>
  </si>
  <si>
    <t>这个菜很好吃，非常可口。</t>
  </si>
  <si>
    <t>这本书的印刷质量很好。</t>
  </si>
  <si>
    <t>渴望</t>
  </si>
  <si>
    <t>kě wàng</t>
  </si>
  <si>
    <t>khao khát, mong đợi</t>
  </si>
  <si>
    <t>他渴望成功。</t>
  </si>
  <si>
    <t>英俊</t>
  </si>
  <si>
    <t>yīng jùn</t>
  </si>
  <si>
    <t>tuấn tú</t>
  </si>
  <si>
    <t>他长得非常英俊。</t>
  </si>
  <si>
    <t>可恶</t>
  </si>
  <si>
    <t>kě wù</t>
  </si>
  <si>
    <t>đáng ghét</t>
  </si>
  <si>
    <t>这个人非常可恶。</t>
  </si>
  <si>
    <t>可笑</t>
  </si>
  <si>
    <t>kě xiào</t>
  </si>
  <si>
    <t>buồn cười, nực cười</t>
  </si>
  <si>
    <t>他的行为非常可笑。</t>
  </si>
  <si>
    <t>英雄</t>
  </si>
  <si>
    <t>yīng xióng</t>
  </si>
  <si>
    <t>anh hùng</t>
  </si>
  <si>
    <t>他们是战争中的英雄。</t>
  </si>
  <si>
    <t>可行</t>
  </si>
  <si>
    <t>kě xíng</t>
  </si>
  <si>
    <t>khả thi, có thể thực hiện</t>
  </si>
  <si>
    <t>这个计划可行。</t>
  </si>
  <si>
    <t>刻不容缓</t>
  </si>
  <si>
    <t>kè bù róng huǎn</t>
  </si>
  <si>
    <t>cấp bách, không thể trì hoãn</t>
  </si>
  <si>
    <t>我们必须刻不容缓地行动。</t>
  </si>
  <si>
    <t>迎接</t>
  </si>
  <si>
    <t>yíng jiē</t>
  </si>
  <si>
    <t>nghênh đón</t>
  </si>
  <si>
    <t>我们会去机场迎接他。</t>
  </si>
  <si>
    <t>客户</t>
  </si>
  <si>
    <t>kè hù</t>
  </si>
  <si>
    <t>我们要关注客户需求。</t>
  </si>
  <si>
    <t>营养</t>
  </si>
  <si>
    <t>yíng yǎng</t>
  </si>
  <si>
    <t>dinh dưỡng</t>
  </si>
  <si>
    <t>课题</t>
  </si>
  <si>
    <t>这个食物很有营养。</t>
  </si>
  <si>
    <t>kè tí</t>
  </si>
  <si>
    <t>đề tài, vấn đề</t>
  </si>
  <si>
    <t>这个研究课题很有趣。</t>
  </si>
  <si>
    <t>啃</t>
  </si>
  <si>
    <t>kěn</t>
  </si>
  <si>
    <t>gặm, nhấm</t>
  </si>
  <si>
    <t>他不停地啃骨头。</t>
  </si>
  <si>
    <t>营业</t>
  </si>
  <si>
    <t>yíng yè</t>
  </si>
  <si>
    <t>这家店的营业时间是从早上九点到晚上九点。</t>
  </si>
  <si>
    <t>恳切</t>
  </si>
  <si>
    <t>kěn qiè</t>
  </si>
  <si>
    <t>tha thiết, khẩn thiết</t>
  </si>
  <si>
    <t>他的话非常恳切。</t>
  </si>
  <si>
    <t>坑</t>
  </si>
  <si>
    <t>kēng</t>
  </si>
  <si>
    <t>hố, hố sâu</t>
  </si>
  <si>
    <t>小心别掉进坑里。</t>
  </si>
  <si>
    <t>影子</t>
  </si>
  <si>
    <t>yǐng zi</t>
  </si>
  <si>
    <t>cái bóng</t>
  </si>
  <si>
    <t>小宝贝喜欢看自己的影子。</t>
  </si>
  <si>
    <t>空洞</t>
  </si>
  <si>
    <t>kōng dòng</t>
  </si>
  <si>
    <t>trống rỗng, hời hợt</t>
  </si>
  <si>
    <t>这个洞很空洞。</t>
  </si>
  <si>
    <t>空前绝后</t>
  </si>
  <si>
    <t>应付</t>
  </si>
  <si>
    <t>kōng qián jué hòu</t>
  </si>
  <si>
    <t>yìng fù</t>
  </si>
  <si>
    <t>có một không hai</t>
  </si>
  <si>
    <t>ứng phó</t>
  </si>
  <si>
    <t>他的成就空前绝后。</t>
  </si>
  <si>
    <t>他总是很轻松地应付工作。</t>
  </si>
  <si>
    <t>空想</t>
  </si>
  <si>
    <t>kōng xiǎng</t>
  </si>
  <si>
    <t>mơ tưởng, ảo tưởng</t>
  </si>
  <si>
    <t>她总是空想未来。</t>
  </si>
  <si>
    <t>空虚</t>
  </si>
  <si>
    <t>kōng xū</t>
  </si>
  <si>
    <t>trống trải, vô vị</t>
  </si>
  <si>
    <t>他感到非常空虚。</t>
  </si>
  <si>
    <t>孔</t>
  </si>
  <si>
    <t>kǒng</t>
  </si>
  <si>
    <t>lỗ, hố</t>
  </si>
  <si>
    <t>这个孔非常深。</t>
  </si>
  <si>
    <t>恐吓</t>
  </si>
  <si>
    <t>kǒng hè</t>
  </si>
  <si>
    <t>đe dọa, hăm dọa</t>
  </si>
  <si>
    <t>他受到恐吓。</t>
  </si>
  <si>
    <t>恐惧</t>
  </si>
  <si>
    <t>应用</t>
  </si>
  <si>
    <t>kǒng jù</t>
  </si>
  <si>
    <t>sợ hãi, kinh hãi</t>
  </si>
  <si>
    <t>她对蜘蛛有恐惧。</t>
  </si>
  <si>
    <t>yìng yòng</t>
  </si>
  <si>
    <t>ứng dụng</t>
  </si>
  <si>
    <t>这个软件在多个领域都有应用。</t>
  </si>
  <si>
    <t>空白</t>
  </si>
  <si>
    <t>kòng bái</t>
  </si>
  <si>
    <t>chỗ trống, khoảng trống</t>
  </si>
  <si>
    <t>他的笔记本上有很多空白。</t>
  </si>
  <si>
    <t>硬</t>
  </si>
  <si>
    <t>空隙</t>
  </si>
  <si>
    <t>yìng</t>
  </si>
  <si>
    <t>kòng xì</t>
  </si>
  <si>
    <t>cứng</t>
  </si>
  <si>
    <t>khoảng trống, khe hở</t>
  </si>
  <si>
    <t>这块石头非常硬。</t>
  </si>
  <si>
    <t>墙上有一个空隙。</t>
  </si>
  <si>
    <t>口气</t>
  </si>
  <si>
    <t>kǒu qì</t>
  </si>
  <si>
    <t>khẩu khí, giọng điệu</t>
  </si>
  <si>
    <t>他说话的口气很坚决。</t>
  </si>
  <si>
    <t>硬件</t>
  </si>
  <si>
    <t>yìng jiàn</t>
  </si>
  <si>
    <t>phần cứng</t>
  </si>
  <si>
    <t>电脑硬件包括处理器、内存和硬盘。</t>
  </si>
  <si>
    <t>口腔</t>
  </si>
  <si>
    <t>kǒu qiāng</t>
  </si>
  <si>
    <t>khoang miệng</t>
  </si>
  <si>
    <t>他有口腔问题。</t>
  </si>
  <si>
    <t>拥抱</t>
  </si>
  <si>
    <t>口头</t>
  </si>
  <si>
    <t>yōng bào</t>
  </si>
  <si>
    <t>kǒu tóu</t>
  </si>
  <si>
    <t>ôm, ôm ấp</t>
  </si>
  <si>
    <t>bằng miệng, bằng lời nói</t>
  </si>
  <si>
    <t>母亲拥抱了孩子。</t>
  </si>
  <si>
    <t>他们进行了一场口头辩论。</t>
  </si>
  <si>
    <t>口音</t>
  </si>
  <si>
    <t>拥挤</t>
  </si>
  <si>
    <t>kǒu yīn</t>
  </si>
  <si>
    <t>yōng jǐ</t>
  </si>
  <si>
    <t>giọng, giọng nói</t>
  </si>
  <si>
    <t>他说话有乡村口音。</t>
  </si>
  <si>
    <t>chen chúc, đông đúc</t>
  </si>
  <si>
    <t>早上地铁上非常拥挤。</t>
  </si>
  <si>
    <t>枯竭</t>
  </si>
  <si>
    <t>kū jié</t>
  </si>
  <si>
    <t>khô cạn, cạn kiệt</t>
  </si>
  <si>
    <t>河流已经枯竭。</t>
  </si>
  <si>
    <t>勇气</t>
  </si>
  <si>
    <t>yǒng qì</t>
  </si>
  <si>
    <t>dũng khí</t>
  </si>
  <si>
    <t>成功需要勇气和坚持。</t>
  </si>
  <si>
    <t>枯燥</t>
  </si>
  <si>
    <t>kū zào</t>
  </si>
  <si>
    <t>khô khan, buồn tẻ</t>
  </si>
  <si>
    <t>这本书内容枯燥。</t>
  </si>
  <si>
    <t>用功</t>
  </si>
  <si>
    <t>yòng gōng</t>
  </si>
  <si>
    <t>dụng công, công phu</t>
  </si>
  <si>
    <t>她是一个非常用功的学生。</t>
  </si>
  <si>
    <t>苦尽甘来</t>
  </si>
  <si>
    <t>kǔ jìn gān lái</t>
  </si>
  <si>
    <t>khổ tận cam lai, qua cơn bĩ cực đến hồi thái lai</t>
  </si>
  <si>
    <t>他们经历了苦尽甘来。</t>
  </si>
  <si>
    <t>挎</t>
  </si>
  <si>
    <t>kuà</t>
  </si>
  <si>
    <t>用途</t>
  </si>
  <si>
    <t>đeo, khoác</t>
  </si>
  <si>
    <t>yòng tú</t>
  </si>
  <si>
    <t>她挎着一个小包。</t>
  </si>
  <si>
    <t>cách dùng</t>
  </si>
  <si>
    <t>这种材料的用途很广泛。</t>
  </si>
  <si>
    <t>跨</t>
  </si>
  <si>
    <t>bước qua, vượt qua</t>
  </si>
  <si>
    <t>他可以轻松跨过障碍。</t>
  </si>
  <si>
    <t>优惠</t>
  </si>
  <si>
    <t>yōu huì</t>
  </si>
  <si>
    <t>ưu đãi</t>
  </si>
  <si>
    <t>商店提供了很多优惠。</t>
  </si>
  <si>
    <t>快活</t>
  </si>
  <si>
    <t>kuài huó</t>
  </si>
  <si>
    <t>vui vẻ, hạnh phúc</t>
  </si>
  <si>
    <t>他们过得很快活。</t>
  </si>
  <si>
    <t>优美</t>
  </si>
  <si>
    <t>宽敞</t>
  </si>
  <si>
    <t>yōu měi</t>
  </si>
  <si>
    <t>kuān chang</t>
  </si>
  <si>
    <t>rộng rãi, thoáng đãng</t>
  </si>
  <si>
    <t>房间很宽敞。</t>
  </si>
  <si>
    <t>trang nhã, thanh lịch, thanh nhã, đẹp, xinh xắn</t>
  </si>
  <si>
    <t>这个地方的风景非常优美。</t>
  </si>
  <si>
    <t>款待</t>
  </si>
  <si>
    <t>kuǎn dài</t>
  </si>
  <si>
    <t>khoản đãi, tiếp đãi</t>
  </si>
  <si>
    <t>他款待了所有客人。</t>
  </si>
  <si>
    <t>优势</t>
  </si>
  <si>
    <t>yōu shì</t>
  </si>
  <si>
    <t>ưu thế</t>
  </si>
  <si>
    <t>这个产品有很大的市场优势。</t>
  </si>
  <si>
    <t>款式</t>
  </si>
  <si>
    <t>kuǎn shì</t>
  </si>
  <si>
    <t>kiểu dáng, mẫu mã</t>
  </si>
  <si>
    <t>这款衣服很时尚。</t>
  </si>
  <si>
    <t>筐</t>
  </si>
  <si>
    <t>悠久</t>
  </si>
  <si>
    <t>kuāng</t>
  </si>
  <si>
    <t>giỏ, sọt</t>
  </si>
  <si>
    <t>他用筐收集水果。</t>
  </si>
  <si>
    <t>yōu jiǔ</t>
  </si>
  <si>
    <t>lâu đời</t>
  </si>
  <si>
    <t>这是一个历史悠久的城市。</t>
  </si>
  <si>
    <t>框架</t>
  </si>
  <si>
    <t>kuàng jià</t>
  </si>
  <si>
    <t>khung, sườn</t>
  </si>
  <si>
    <t>房子有坚固的框架。</t>
  </si>
  <si>
    <t>犹豫</t>
  </si>
  <si>
    <t>yóu yù</t>
  </si>
  <si>
    <t>do dự</t>
  </si>
  <si>
    <t>他在做决定时总是犹豫不决。</t>
  </si>
  <si>
    <t>旷课</t>
  </si>
  <si>
    <t>kuàng kè</t>
  </si>
  <si>
    <t>bỏ học, trốn học</t>
  </si>
  <si>
    <t>他旷课了几天。</t>
  </si>
  <si>
    <t>况且</t>
  </si>
  <si>
    <t>kuàng qiě</t>
  </si>
  <si>
    <t>油炸</t>
  </si>
  <si>
    <t>hơn nữa, vả lại</t>
  </si>
  <si>
    <t>yóu zhá</t>
  </si>
  <si>
    <t>况且，我们还没有决定。</t>
  </si>
  <si>
    <t>chiên giòn</t>
  </si>
  <si>
    <t>我喜欢吃油炸食品。</t>
  </si>
  <si>
    <t>亏待</t>
  </si>
  <si>
    <t>kuī dài</t>
  </si>
  <si>
    <t>đối xử tệ, bạc đãi</t>
  </si>
  <si>
    <t>他感到被亏待了。</t>
  </si>
  <si>
    <t>游览</t>
  </si>
  <si>
    <t>yóu lǎn</t>
  </si>
  <si>
    <t>du ngoạn, thưởng ngoạn</t>
  </si>
  <si>
    <t>他们计划在假期游览长城。</t>
  </si>
  <si>
    <t>亏损</t>
  </si>
  <si>
    <t>kuī sǔn</t>
  </si>
  <si>
    <t>tổn thất, thua lỗ</t>
  </si>
  <si>
    <t>公司出现了亏损。</t>
  </si>
  <si>
    <t>有利</t>
  </si>
  <si>
    <t>yǒu lì</t>
  </si>
  <si>
    <t>côn trùng, sâu bọ</t>
  </si>
  <si>
    <t>có lợi</t>
  </si>
  <si>
    <t>这个计划对我们非常有利。</t>
  </si>
  <si>
    <t>他喜欢研究昆虫。</t>
  </si>
  <si>
    <t>幼儿园</t>
  </si>
  <si>
    <t>yòu ér yuán</t>
  </si>
  <si>
    <t>nhà trẻ</t>
  </si>
  <si>
    <t>孩子们在幼儿园玩得很开心。</t>
  </si>
  <si>
    <t>娱乐</t>
  </si>
  <si>
    <t>yú lè</t>
  </si>
  <si>
    <t>giải trí</t>
  </si>
  <si>
    <t>电影是最受欢迎的娱乐方式之一。</t>
  </si>
  <si>
    <t>捆绑</t>
  </si>
  <si>
    <t>kǔn bǎng</t>
  </si>
  <si>
    <t>trói, buộc, ràng buộc</t>
  </si>
  <si>
    <t>她把箱子捆绑好了。</t>
  </si>
  <si>
    <t>与其</t>
  </si>
  <si>
    <t>yǔ qí</t>
  </si>
  <si>
    <t>thay vì</t>
  </si>
  <si>
    <t>与其抱怨，不如努力工作。</t>
  </si>
  <si>
    <t>扩充</t>
  </si>
  <si>
    <t>kuò chōng</t>
  </si>
  <si>
    <t>mở rộng, khuếch trương</t>
  </si>
  <si>
    <t>公司正在扩充业务。</t>
  </si>
  <si>
    <t>扩散</t>
  </si>
  <si>
    <t>kuò sàn</t>
  </si>
  <si>
    <t>lan rộng, khuếch tán</t>
  </si>
  <si>
    <t>语气</t>
  </si>
  <si>
    <t>这些谣言迅速扩散。</t>
  </si>
  <si>
    <t>yǔ qì</t>
  </si>
  <si>
    <t>ngữ khí</t>
  </si>
  <si>
    <t>他的语气有点严肃。</t>
  </si>
  <si>
    <t>扩张</t>
  </si>
  <si>
    <t>kuò zhāng</t>
  </si>
  <si>
    <t>mở rộng, bành trướng</t>
  </si>
  <si>
    <t>帝国不断扩张。</t>
  </si>
  <si>
    <t>玉米</t>
  </si>
  <si>
    <t>yù mǐ</t>
  </si>
  <si>
    <t>ngô, bắp</t>
  </si>
  <si>
    <t>这片玉米非常甜。</t>
  </si>
  <si>
    <t>啦</t>
  </si>
  <si>
    <t>la</t>
  </si>
  <si>
    <t>(trợ từ ngữ khí)</t>
  </si>
  <si>
    <t>他回来啦，真高兴。</t>
  </si>
  <si>
    <t>预报</t>
  </si>
  <si>
    <t>喇叭</t>
  </si>
  <si>
    <t>lǎ ba</t>
  </si>
  <si>
    <t>yù bào</t>
  </si>
  <si>
    <t>loa, còi</t>
  </si>
  <si>
    <t>dự báo</t>
  </si>
  <si>
    <t>他吹喇叭很厉害。</t>
  </si>
  <si>
    <t>天气预报说明天有雨。</t>
  </si>
  <si>
    <t>来历</t>
  </si>
  <si>
    <t>lái lì</t>
  </si>
  <si>
    <t>lai lịch, nguồn gốc</t>
  </si>
  <si>
    <t>他的来历不明。</t>
  </si>
  <si>
    <t>预订</t>
  </si>
  <si>
    <t>yù dìng</t>
  </si>
  <si>
    <t>đặt trước, dự định trước</t>
  </si>
  <si>
    <t>我们已经预订了今晚的餐厅。</t>
  </si>
  <si>
    <t>来源</t>
  </si>
  <si>
    <t>lái yuán</t>
  </si>
  <si>
    <t>nguồn gốc, xuất xứ</t>
  </si>
  <si>
    <t>水的来源是什么？</t>
  </si>
  <si>
    <t>预防</t>
  </si>
  <si>
    <t>yù fáng</t>
  </si>
  <si>
    <t>phòng, phòng chống</t>
  </si>
  <si>
    <t>预防胜于治疗。</t>
  </si>
  <si>
    <t>栏目</t>
  </si>
  <si>
    <t>lán mù</t>
  </si>
  <si>
    <t>chuyên mục, mục báo</t>
  </si>
  <si>
    <t>他主持了一个栏目。</t>
  </si>
  <si>
    <t>元旦</t>
  </si>
  <si>
    <t>yuán dàn</t>
  </si>
  <si>
    <t>nguyên đán</t>
  </si>
  <si>
    <t>懒惰</t>
  </si>
  <si>
    <t>元旦是新年的第一天。</t>
  </si>
  <si>
    <t>lǎn duò</t>
  </si>
  <si>
    <t>他很懒惰。</t>
  </si>
  <si>
    <t>狼狈</t>
  </si>
  <si>
    <t>láng bèi</t>
  </si>
  <si>
    <t>khốn khổ, nhục nhã</t>
  </si>
  <si>
    <t>他感到狼狈。</t>
  </si>
  <si>
    <t>员工</t>
  </si>
  <si>
    <t>yuán gōng</t>
  </si>
  <si>
    <t>nhân công</t>
  </si>
  <si>
    <t>公司需要招聘新的员工。</t>
  </si>
  <si>
    <t>đọc to, đọc diễn cảm</t>
  </si>
  <si>
    <t>他大声朗读文章。</t>
  </si>
  <si>
    <t>原料</t>
  </si>
  <si>
    <t>yuán liào</t>
  </si>
  <si>
    <t>nguyên liệu</t>
  </si>
  <si>
    <t>这道菜的原料很新鲜。</t>
  </si>
  <si>
    <t>捞</t>
  </si>
  <si>
    <t>lāo</t>
  </si>
  <si>
    <t>vớt, moi móc</t>
  </si>
  <si>
    <t>他从水里捞鱼。</t>
  </si>
  <si>
    <t>原则</t>
  </si>
  <si>
    <t>唠叨</t>
  </si>
  <si>
    <t>yuán zé</t>
  </si>
  <si>
    <t>láo dao</t>
  </si>
  <si>
    <t>nguyên tắc</t>
  </si>
  <si>
    <t>nói lải nhải, càm ràm</t>
  </si>
  <si>
    <t>我们需要遵守基本原则。</t>
  </si>
  <si>
    <t>她总是唠叨。</t>
  </si>
  <si>
    <t>牢固</t>
  </si>
  <si>
    <t>láo gù</t>
  </si>
  <si>
    <t>vững chắc, kiên cố</t>
  </si>
  <si>
    <t>桥梁非常牢固。</t>
  </si>
  <si>
    <t>圆</t>
  </si>
  <si>
    <t>hình tròn</t>
  </si>
  <si>
    <t>这张桌子是圆形的。</t>
  </si>
  <si>
    <t>牢骚</t>
  </si>
  <si>
    <t>láo sāo</t>
  </si>
  <si>
    <t>bất mãn, oán giận</t>
  </si>
  <si>
    <t>他对工作充满牢骚。</t>
  </si>
  <si>
    <t>愿望</t>
  </si>
  <si>
    <t>yuàn wàng</t>
  </si>
  <si>
    <t>nguyện vọng</t>
  </si>
  <si>
    <t>我们的愿望是世界和平。</t>
  </si>
  <si>
    <t>乐趣</t>
  </si>
  <si>
    <t>lè qù</t>
  </si>
  <si>
    <t>niềm vui, thú vui</t>
  </si>
  <si>
    <t>他的工作充满乐趣。</t>
  </si>
  <si>
    <t>乐意</t>
  </si>
  <si>
    <t>lè yì</t>
  </si>
  <si>
    <t>vui lòng, sẵn lòng</t>
  </si>
  <si>
    <t>我乐意帮助你。</t>
  </si>
  <si>
    <t>乐器</t>
  </si>
  <si>
    <t>yuè qì</t>
  </si>
  <si>
    <t>nhạc cụ</t>
  </si>
  <si>
    <t>她能演奏多种乐器。</t>
  </si>
  <si>
    <t>雷达</t>
  </si>
  <si>
    <t>léi dá</t>
  </si>
  <si>
    <t>radar</t>
  </si>
  <si>
    <t>雷达探测到目标。</t>
  </si>
  <si>
    <t>晕</t>
  </si>
  <si>
    <t>yūn</t>
  </si>
  <si>
    <t>say (xe)</t>
  </si>
  <si>
    <t>类似</t>
  </si>
  <si>
    <t>他因为晕车而感到不适。</t>
  </si>
  <si>
    <t>lèi sì</t>
  </si>
  <si>
    <t>tương tự, giống như</t>
  </si>
  <si>
    <t>这些情况类似。</t>
  </si>
  <si>
    <t>lạnh nhạt, hờ hững</t>
  </si>
  <si>
    <t>他对我们很冷淡。</t>
  </si>
  <si>
    <t>运气</t>
  </si>
  <si>
    <t>yùn qì</t>
  </si>
  <si>
    <t>vận may</t>
  </si>
  <si>
    <t>最近他的运气很好。</t>
  </si>
  <si>
    <t>冷酷</t>
  </si>
  <si>
    <t>lěng kù</t>
  </si>
  <si>
    <t>lạnh lùng, tàn nhẫn</t>
  </si>
  <si>
    <t>他的态度冷酷。</t>
  </si>
  <si>
    <t>运输</t>
  </si>
  <si>
    <t>yùn shū</t>
  </si>
  <si>
    <t>vận tải</t>
  </si>
  <si>
    <t>这家公司专注于货物运输。</t>
  </si>
  <si>
    <t>冷却</t>
  </si>
  <si>
    <t>lěngquè</t>
  </si>
  <si>
    <t>Làm lạnh, làm nguội</t>
  </si>
  <si>
    <t>冰块冷却得很快。</t>
  </si>
  <si>
    <t>愣</t>
  </si>
  <si>
    <t>lèng</t>
  </si>
  <si>
    <t>Ngây ra, sững sờ</t>
  </si>
  <si>
    <t>他愣了一下。</t>
  </si>
  <si>
    <t>运用</t>
  </si>
  <si>
    <t>yùn yòng</t>
  </si>
  <si>
    <t>黎明</t>
  </si>
  <si>
    <t>vận dụng</t>
  </si>
  <si>
    <t>límíng</t>
  </si>
  <si>
    <t>这个方法可以运用在不同的情况中。</t>
  </si>
  <si>
    <t>Bình minh</t>
  </si>
  <si>
    <t>黎明时分，天空很美。</t>
  </si>
  <si>
    <t>理睬</t>
  </si>
  <si>
    <t>lǐcǎi</t>
  </si>
  <si>
    <t>Quan tâm, để ý</t>
  </si>
  <si>
    <t>他不理睬别人的意见。</t>
  </si>
  <si>
    <t>灾害</t>
  </si>
  <si>
    <t>zāi hài</t>
  </si>
  <si>
    <t>thiên tai</t>
  </si>
  <si>
    <t>这次的灾害造成了很多损失。</t>
  </si>
  <si>
    <t>里程碑</t>
  </si>
  <si>
    <t>lǐchéngbēi</t>
  </si>
  <si>
    <t>Cột mốc</t>
  </si>
  <si>
    <t>这次会议是一个里程碑。</t>
  </si>
  <si>
    <t>再三</t>
  </si>
  <si>
    <t>zài sān</t>
  </si>
  <si>
    <t>hết lần này đến lần khác</t>
  </si>
  <si>
    <t>我们需要再三考虑这个问题。</t>
  </si>
  <si>
    <t>礼节</t>
  </si>
  <si>
    <t>lǐjié</t>
  </si>
  <si>
    <t>Lễ tiết, lễ nghi</t>
  </si>
  <si>
    <t>他们遵守礼节。</t>
  </si>
  <si>
    <t>在乎</t>
  </si>
  <si>
    <t>zài hū</t>
  </si>
  <si>
    <t>để ý</t>
  </si>
  <si>
    <t>我非常在乎你的感受。</t>
  </si>
  <si>
    <t>理所当然</t>
  </si>
  <si>
    <t>lǐsuǒdāngrán</t>
  </si>
  <si>
    <t>Lẽ dĩ nhiên</t>
  </si>
  <si>
    <t>这是理所当然的事。</t>
  </si>
  <si>
    <t>在于</t>
  </si>
  <si>
    <t>zài yú</t>
  </si>
  <si>
    <t>ở chỗ</t>
  </si>
  <si>
    <t>关键在于如何处理这个问题。</t>
  </si>
  <si>
    <t>理直气壮</t>
  </si>
  <si>
    <t>lǐzhíqìzhuàng</t>
  </si>
  <si>
    <t>Đầy lý lẽ</t>
  </si>
  <si>
    <t>他理直气壮地回答。</t>
  </si>
  <si>
    <t>赞成</t>
  </si>
  <si>
    <t>zàn chéng</t>
  </si>
  <si>
    <t>tán thành</t>
  </si>
  <si>
    <t>我完全赞成你的观点。</t>
  </si>
  <si>
    <t>理智</t>
  </si>
  <si>
    <t>lǐzhì</t>
  </si>
  <si>
    <t>Lý trí, lý trí cao</t>
  </si>
  <si>
    <t>他很理智。</t>
  </si>
  <si>
    <t>赞美</t>
  </si>
  <si>
    <t>zàn měi</t>
  </si>
  <si>
    <t>立场</t>
  </si>
  <si>
    <t xml:space="preserve">ca tụng, khen ngợi </t>
  </si>
  <si>
    <t>lìchǎng</t>
  </si>
  <si>
    <t>他常常赞美别人的工作。</t>
  </si>
  <si>
    <t>Lập trường</t>
  </si>
  <si>
    <t>他的立场很明确。</t>
  </si>
  <si>
    <t>历代</t>
  </si>
  <si>
    <t>lìdài</t>
  </si>
  <si>
    <t>糟糕</t>
  </si>
  <si>
    <t>Các đời, qua các thời đại</t>
  </si>
  <si>
    <t>zāo gāo</t>
  </si>
  <si>
    <t>这些传统历代相传。</t>
  </si>
  <si>
    <t>tồi tệ</t>
  </si>
  <si>
    <t>这个地方的情况非常糟糕。</t>
  </si>
  <si>
    <t>利害</t>
  </si>
  <si>
    <t>lìhài</t>
  </si>
  <si>
    <t>造成</t>
  </si>
  <si>
    <t>Lợi hại</t>
  </si>
  <si>
    <t>zào chéng</t>
  </si>
  <si>
    <t>他们的利益相关。</t>
  </si>
  <si>
    <t>gây nên</t>
  </si>
  <si>
    <t>这次事故造成了严重的伤害。</t>
  </si>
  <si>
    <t>立交桥</t>
  </si>
  <si>
    <t>lìjiāoqiáo</t>
  </si>
  <si>
    <t>Cầu vượt</t>
  </si>
  <si>
    <t>城市有许多立交桥。</t>
  </si>
  <si>
    <t>则</t>
  </si>
  <si>
    <t>zé</t>
  </si>
  <si>
    <t xml:space="preserve">这个任务很难完成，他则不觉得。        </t>
  </si>
  <si>
    <t>责备</t>
  </si>
  <si>
    <t>zé bèi</t>
  </si>
  <si>
    <t>trách cứ</t>
  </si>
  <si>
    <t>历来</t>
  </si>
  <si>
    <t>她责备自己没有做好工作。</t>
  </si>
  <si>
    <t>lìlái</t>
  </si>
  <si>
    <t>Từ trước đến nay</t>
  </si>
  <si>
    <t>这种风俗历来存在。</t>
  </si>
  <si>
    <t>摘</t>
  </si>
  <si>
    <t>zhāi</t>
  </si>
  <si>
    <t>利率</t>
  </si>
  <si>
    <t>我们要摘一些水果。</t>
  </si>
  <si>
    <t>lìlǜ</t>
  </si>
  <si>
    <t>Lãi suất</t>
  </si>
  <si>
    <t>银行的利率很高。</t>
  </si>
  <si>
    <t>窄</t>
  </si>
  <si>
    <t>zhǎi</t>
  </si>
  <si>
    <t>力所能及</t>
  </si>
  <si>
    <t>hẹp</t>
  </si>
  <si>
    <t>lìsuǒnéngjí</t>
  </si>
  <si>
    <t>这条路很窄，车子不能通过。</t>
  </si>
  <si>
    <t>Trong khả năng</t>
  </si>
  <si>
    <t>他做了力所能及的事情。</t>
  </si>
  <si>
    <t>粘贴</t>
  </si>
  <si>
    <t>zhān tiē</t>
  </si>
  <si>
    <t>dính, dán</t>
  </si>
  <si>
    <t>请将这张纸粘贴在墙上。</t>
  </si>
  <si>
    <t>立体</t>
  </si>
  <si>
    <t>lìtǐ</t>
  </si>
  <si>
    <t>Lập thể, ba chiều</t>
  </si>
  <si>
    <t>这是一座立体雕像。</t>
  </si>
  <si>
    <t>展开</t>
  </si>
  <si>
    <t>zhǎn kāi</t>
  </si>
  <si>
    <t>xòe ra, triển khai</t>
  </si>
  <si>
    <t>我们需要展开新的计划。</t>
  </si>
  <si>
    <t>力图</t>
  </si>
  <si>
    <t>lìtú</t>
  </si>
  <si>
    <t>Cố gắng</t>
  </si>
  <si>
    <t>他力图解决问题。</t>
  </si>
  <si>
    <t>展览</t>
  </si>
  <si>
    <t>zhǎn lǎn</t>
  </si>
  <si>
    <t>这个展览吸引了很多游客。</t>
  </si>
  <si>
    <t>例外</t>
  </si>
  <si>
    <t>lìwài</t>
  </si>
  <si>
    <t>Ngoại lệ</t>
  </si>
  <si>
    <t>这是一个例外情况。</t>
  </si>
  <si>
    <t>占</t>
  </si>
  <si>
    <t>力争</t>
  </si>
  <si>
    <t>chiếm</t>
  </si>
  <si>
    <t>lìzhēng</t>
  </si>
  <si>
    <t>这个地区占据了很大的面积。</t>
  </si>
  <si>
    <t>Cố gắng giành được</t>
  </si>
  <si>
    <t>他力争达到目标。</t>
  </si>
  <si>
    <t>立足</t>
  </si>
  <si>
    <t>战争</t>
  </si>
  <si>
    <t>lìzú</t>
  </si>
  <si>
    <t>Đứng chân, có chỗ đứng</t>
  </si>
  <si>
    <t>zhàn zhēng</t>
  </si>
  <si>
    <t>立足当下，才能更好地把握未来。</t>
  </si>
  <si>
    <t>chiến tranh</t>
  </si>
  <si>
    <t>战争给人民带来了巨大的痛苦。</t>
  </si>
  <si>
    <t>长辈</t>
  </si>
  <si>
    <t>zhǎng bèi</t>
  </si>
  <si>
    <t>tiền bối</t>
  </si>
  <si>
    <t>我们应该尊敬长辈。</t>
  </si>
  <si>
    <t>联欢</t>
  </si>
  <si>
    <t>liánhuān</t>
  </si>
  <si>
    <t>Liên hoan</t>
  </si>
  <si>
    <t>他们举办了联欢会。</t>
  </si>
  <si>
    <t>廉洁</t>
  </si>
  <si>
    <t>liánjié</t>
  </si>
  <si>
    <t>Liêm khiết</t>
  </si>
  <si>
    <t>他是一个廉洁的官员。</t>
  </si>
  <si>
    <t>联络</t>
  </si>
  <si>
    <t>liánluò</t>
  </si>
  <si>
    <t>Liên lạc</t>
  </si>
  <si>
    <t>我们联络了很多人。</t>
  </si>
  <si>
    <t>涨</t>
  </si>
  <si>
    <t>zhàng</t>
  </si>
  <si>
    <t>tăng lên (giá cả, lương)</t>
  </si>
  <si>
    <t>价格上涨了很多。</t>
  </si>
  <si>
    <t>联盟</t>
  </si>
  <si>
    <t>liánméng</t>
  </si>
  <si>
    <t>Liên minh</t>
  </si>
  <si>
    <t>他们形成了联盟。</t>
  </si>
  <si>
    <t>连年</t>
  </si>
  <si>
    <t>liánnián</t>
  </si>
  <si>
    <t>Nhiều năm liên tiếp</t>
  </si>
  <si>
    <t>连年干旱影响了农业。</t>
  </si>
  <si>
    <t>掌握</t>
  </si>
  <si>
    <t>zhǎng wò</t>
  </si>
  <si>
    <t>nắm vững</t>
  </si>
  <si>
    <t>他掌握了这门技能。</t>
  </si>
  <si>
    <t>连锁</t>
  </si>
  <si>
    <t>liánsuǒ</t>
  </si>
  <si>
    <t>Chuỗi, liên tiếp</t>
  </si>
  <si>
    <t>连锁反应导致了事故。</t>
  </si>
  <si>
    <t>账户</t>
  </si>
  <si>
    <t>zhàng hù</t>
  </si>
  <si>
    <t>tài khoản</t>
  </si>
  <si>
    <t>请在账户上写下你的名字。</t>
  </si>
  <si>
    <t>连同</t>
  </si>
  <si>
    <t>liántóng</t>
  </si>
  <si>
    <t>Kèm theo, cùng với</t>
  </si>
  <si>
    <t>请把文件连同邮件发送。</t>
  </si>
  <si>
    <t>联想</t>
  </si>
  <si>
    <t>liánxiǎng</t>
  </si>
  <si>
    <t>Liên tưởng</t>
  </si>
  <si>
    <t>招待</t>
  </si>
  <si>
    <t>这让我联想到了童年。</t>
  </si>
  <si>
    <t>zhāo dài</t>
  </si>
  <si>
    <t>chiêu đãi</t>
  </si>
  <si>
    <t>我们将在晚会上招待客人。</t>
  </si>
  <si>
    <t>良心</t>
  </si>
  <si>
    <t>liángxīn</t>
  </si>
  <si>
    <t>Lương tâm</t>
  </si>
  <si>
    <t>他的良心很清白。</t>
  </si>
  <si>
    <t>着火</t>
  </si>
  <si>
    <t>zháo huǒ</t>
  </si>
  <si>
    <t>bắt lửa, bén lửa</t>
  </si>
  <si>
    <t>火灾导致了房屋的严重损毁。</t>
  </si>
  <si>
    <t>晾</t>
  </si>
  <si>
    <t>Phơi</t>
  </si>
  <si>
    <t>请把衣服晾干。</t>
  </si>
  <si>
    <t>着凉</t>
  </si>
  <si>
    <t>zháo liáng</t>
  </si>
  <si>
    <t>nhiễm lạnh</t>
  </si>
  <si>
    <t>他感冒了，结果着凉了。</t>
  </si>
  <si>
    <t>谅解</t>
  </si>
  <si>
    <t>liàngjiě</t>
  </si>
  <si>
    <t>Thấu hiểu, thông cảm</t>
  </si>
  <si>
    <t>我们达成了谅解。</t>
  </si>
  <si>
    <t>召开</t>
  </si>
  <si>
    <t>zhào kāi</t>
  </si>
  <si>
    <t>辽阔</t>
  </si>
  <si>
    <t>liáokuò</t>
  </si>
  <si>
    <t>triệu tập (cuộc họp)</t>
  </si>
  <si>
    <t>Rộng lớn, bao la</t>
  </si>
  <si>
    <t>草原辽阔无边。</t>
  </si>
  <si>
    <t>我们将在下周召开会议。</t>
  </si>
  <si>
    <t>列举</t>
  </si>
  <si>
    <t>lièjǔ</t>
  </si>
  <si>
    <t>Liệt kê</t>
  </si>
  <si>
    <t>请列举几个例子。</t>
  </si>
  <si>
    <t>照常</t>
  </si>
  <si>
    <t>zhào cháng</t>
  </si>
  <si>
    <t>như thường lệ</t>
  </si>
  <si>
    <t>今天的工作会照常进行。</t>
  </si>
  <si>
    <t>淋</t>
  </si>
  <si>
    <t>lín</t>
  </si>
  <si>
    <t>Dầm, ướt sũng</t>
  </si>
  <si>
    <t>雨水淋湿了衣服。</t>
  </si>
  <si>
    <t>临床</t>
  </si>
  <si>
    <t>línchuáng</t>
  </si>
  <si>
    <t>Lâm sàng</t>
  </si>
  <si>
    <t>医生正在进行临床试验。</t>
  </si>
  <si>
    <t>哲学</t>
  </si>
  <si>
    <t>zhé xué</t>
  </si>
  <si>
    <t>triết học</t>
  </si>
  <si>
    <t>哲学是一门探讨人生和宇宙的学科。</t>
  </si>
  <si>
    <t>吝啬</t>
  </si>
  <si>
    <t>lìnsè</t>
  </si>
  <si>
    <t>Keo kiệt</t>
  </si>
  <si>
    <t>他很吝啬，不愿意分享。</t>
  </si>
  <si>
    <t>凌晨</t>
  </si>
  <si>
    <t>língchén</t>
  </si>
  <si>
    <t>针对</t>
  </si>
  <si>
    <t>Rạng sáng</t>
  </si>
  <si>
    <t>zhēn duì</t>
  </si>
  <si>
    <t>凌晨时分，他还在工作。</t>
  </si>
  <si>
    <t>nhằm (tổ chức, người, vấn đề)</t>
  </si>
  <si>
    <t>我们需要针对这个问题制定解决方案。</t>
  </si>
  <si>
    <t>灵感</t>
  </si>
  <si>
    <t>línggǎn</t>
  </si>
  <si>
    <t>Cảm hứng</t>
  </si>
  <si>
    <t>他在寻找灵感。</t>
  </si>
  <si>
    <t>珍惜</t>
  </si>
  <si>
    <t>zhēn xī</t>
  </si>
  <si>
    <t>trân trọng</t>
  </si>
  <si>
    <t>我们应该珍惜每一刻时光。</t>
  </si>
  <si>
    <t>灵魂</t>
  </si>
  <si>
    <t>línghún</t>
  </si>
  <si>
    <t>Linh hồn</t>
  </si>
  <si>
    <t>他的灵魂很纯洁。</t>
  </si>
  <si>
    <t>伶俐</t>
  </si>
  <si>
    <t>línglì</t>
  </si>
  <si>
    <t>Lanh lợi</t>
  </si>
  <si>
    <t>她很伶俐，回答得很快。</t>
  </si>
  <si>
    <t>真实</t>
  </si>
  <si>
    <t>zhēn shí</t>
  </si>
  <si>
    <t>chân thực</t>
  </si>
  <si>
    <t>灵敏</t>
  </si>
  <si>
    <t>língmǐn</t>
  </si>
  <si>
    <t>Nhạy bén</t>
  </si>
  <si>
    <t>他的反应很灵敏。</t>
  </si>
  <si>
    <t xml:space="preserve">他说的是事实，非常真实。        </t>
  </si>
  <si>
    <t>零星</t>
  </si>
  <si>
    <t>língxīng</t>
  </si>
  <si>
    <t>Lẻ tẻ, rời rạc</t>
  </si>
  <si>
    <t>他收集了很多零星的资料。</t>
  </si>
  <si>
    <t>领会</t>
  </si>
  <si>
    <t>lǐnghuì</t>
  </si>
  <si>
    <t>Hiểu rõ, lĩnh hội</t>
  </si>
  <si>
    <t>他能领会这篇文章的深意。</t>
  </si>
  <si>
    <t>领事馆</t>
  </si>
  <si>
    <t>lǐngshìguǎn</t>
  </si>
  <si>
    <t>Lãnh sự quán</t>
  </si>
  <si>
    <t>他们参观了领事馆。</t>
  </si>
  <si>
    <t>领土</t>
  </si>
  <si>
    <t>lǐngtǔ</t>
  </si>
  <si>
    <t>Lãnh thổ</t>
  </si>
  <si>
    <t>这块领土属于中国。</t>
  </si>
  <si>
    <t>领悟</t>
  </si>
  <si>
    <t>lǐngwù</t>
  </si>
  <si>
    <t>Hiểu rõ, lĩnh ngộ</t>
  </si>
  <si>
    <t>他终于领悟到了真理。</t>
  </si>
  <si>
    <t>领先</t>
  </si>
  <si>
    <t>lǐngxiān</t>
  </si>
  <si>
    <t>Dẫn đầu</t>
  </si>
  <si>
    <t>他在比赛中领先。</t>
  </si>
  <si>
    <t>诊断</t>
  </si>
  <si>
    <t>领袖</t>
  </si>
  <si>
    <t>zhěn duàn</t>
  </si>
  <si>
    <t>lǐngxiù</t>
  </si>
  <si>
    <t>Lãnh tụ, người đứng đầu</t>
  </si>
  <si>
    <t>他是一个伟大的领袖。</t>
  </si>
  <si>
    <t>chẩn đoán</t>
  </si>
  <si>
    <t>溜</t>
  </si>
  <si>
    <t>liū</t>
  </si>
  <si>
    <t>trượt, lẻn đi</t>
  </si>
  <si>
    <t>孩子们在院子里溜冰。</t>
  </si>
  <si>
    <t>医生正在进行诊断。</t>
  </si>
  <si>
    <t>流浪</t>
  </si>
  <si>
    <t>liúlàng</t>
  </si>
  <si>
    <t>Lang thang</t>
  </si>
  <si>
    <t>他在城市里流浪了很久。</t>
  </si>
  <si>
    <t>留恋</t>
  </si>
  <si>
    <t>liúliàn</t>
  </si>
  <si>
    <t>Lưu luyến</t>
  </si>
  <si>
    <t>她对故乡有深深的留恋。</t>
  </si>
  <si>
    <t>流露</t>
  </si>
  <si>
    <t>liúlù</t>
  </si>
  <si>
    <t>Thổ lộ</t>
  </si>
  <si>
    <t>他的眼神流露出悲伤。</t>
  </si>
  <si>
    <t>流氓</t>
  </si>
  <si>
    <t>liúmáng</t>
  </si>
  <si>
    <t>Lưu manh</t>
  </si>
  <si>
    <t>他曾经是个流氓。</t>
  </si>
  <si>
    <t>留念</t>
  </si>
  <si>
    <t>liúniàn</t>
  </si>
  <si>
    <t>Lưu niệm</t>
  </si>
  <si>
    <t>请留念这美好的时刻。</t>
  </si>
  <si>
    <t>阵</t>
  </si>
  <si>
    <t>zhèn</t>
  </si>
  <si>
    <t>trận (chiến đấu, chiến tranh), khoảng thời gian, mùi hương</t>
  </si>
  <si>
    <t>阵雨可能在下午来临。</t>
  </si>
  <si>
    <t>留神</t>
  </si>
  <si>
    <t>liúshén</t>
  </si>
  <si>
    <t>Chú ý, cẩn thận</t>
  </si>
  <si>
    <t>过马路时要留神。</t>
  </si>
  <si>
    <t>流通</t>
  </si>
  <si>
    <t>liútōng</t>
  </si>
  <si>
    <t>Lưu thông</t>
  </si>
  <si>
    <t>货物需要流通才能销售。</t>
  </si>
  <si>
    <t>振动</t>
  </si>
  <si>
    <t>zhèn dòng</t>
  </si>
  <si>
    <t>trấn động</t>
  </si>
  <si>
    <t>手机的震动声打断了会议。</t>
  </si>
  <si>
    <t>聋哑</t>
  </si>
  <si>
    <t>lóngyǎ</t>
  </si>
  <si>
    <t>Điếc và câm</t>
  </si>
  <si>
    <t>他是一个聋哑人。</t>
  </si>
  <si>
    <t>隆重</t>
  </si>
  <si>
    <t>lóngzhòng</t>
  </si>
  <si>
    <t>Long trọng</t>
  </si>
  <si>
    <t>争论</t>
  </si>
  <si>
    <t>会议进行得很隆重。</t>
  </si>
  <si>
    <t>zhēng lùn</t>
  </si>
  <si>
    <t>tranh luận</t>
  </si>
  <si>
    <t>关于这个问题，有很多争论。</t>
  </si>
  <si>
    <t>垄断</t>
  </si>
  <si>
    <t>lǒngduàn</t>
  </si>
  <si>
    <t>Lũng đoạn</t>
  </si>
  <si>
    <t>他们垄断了市场。</t>
  </si>
  <si>
    <t>争取</t>
  </si>
  <si>
    <t>zhēng qǔ</t>
  </si>
  <si>
    <t>tranh thủ (ủng hộ, ý kiến)</t>
  </si>
  <si>
    <t>我们要争取更多的机会。</t>
  </si>
  <si>
    <t>笼罩</t>
  </si>
  <si>
    <t>lǒngzhào</t>
  </si>
  <si>
    <t>Bao trùm</t>
  </si>
  <si>
    <t>大雾笼罩了整个城市。</t>
  </si>
  <si>
    <t>征求</t>
  </si>
  <si>
    <t>搂</t>
  </si>
  <si>
    <t>zhēng qiú</t>
  </si>
  <si>
    <t>lǒu</t>
  </si>
  <si>
    <t>Ôm</t>
  </si>
  <si>
    <t>trưng cầu (ý kiến, ý kiến phản hồi), xin (ý kiến lãnh đạo, đồng ý)</t>
  </si>
  <si>
    <t>她搂着孩子睡觉。</t>
  </si>
  <si>
    <t>我们征求了大家的意见。</t>
  </si>
  <si>
    <t>炉灶</t>
  </si>
  <si>
    <t>lúzào</t>
  </si>
  <si>
    <t>Bếp lò</t>
  </si>
  <si>
    <t>我们家有一个炉灶。</t>
  </si>
  <si>
    <t>睁</t>
  </si>
  <si>
    <t>zhēng</t>
  </si>
  <si>
    <t>mở to mắt, trợn mắt</t>
  </si>
  <si>
    <t>请睁开眼睛看清楚。</t>
  </si>
  <si>
    <t>轮船</t>
  </si>
  <si>
    <t>lúnchuán</t>
  </si>
  <si>
    <t>Tàu thuỷ</t>
  </si>
  <si>
    <t>轮船正在驶向港口。</t>
  </si>
  <si>
    <t>整个</t>
  </si>
  <si>
    <t>zhěng gè</t>
  </si>
  <si>
    <t>cả, toàn bộ</t>
  </si>
  <si>
    <t>整个城市都被雪覆盖了。</t>
  </si>
  <si>
    <t>轮廓</t>
  </si>
  <si>
    <t>lúnkuò</t>
  </si>
  <si>
    <t>Đường nét, hình dáng</t>
  </si>
  <si>
    <t>他的脸轮廓分明。</t>
  </si>
  <si>
    <t>整齐</t>
  </si>
  <si>
    <t>zhěng qí</t>
  </si>
  <si>
    <t>gọn gàng, ngăn nắp</t>
  </si>
  <si>
    <t>他的房间非常整齐。</t>
  </si>
  <si>
    <t>轮胎</t>
  </si>
  <si>
    <t>lúntāi</t>
  </si>
  <si>
    <t>Lốp xe</t>
  </si>
  <si>
    <t>轮胎已经磨损了。</t>
  </si>
  <si>
    <t>论坛</t>
  </si>
  <si>
    <t>整体</t>
  </si>
  <si>
    <t>lùntán</t>
  </si>
  <si>
    <t>Diễn đàn</t>
  </si>
  <si>
    <t>zhěng tǐ</t>
  </si>
  <si>
    <t>他在论坛上发表了演讲。</t>
  </si>
  <si>
    <t>tổng thể</t>
  </si>
  <si>
    <t>我们需要考虑整体方案。</t>
  </si>
  <si>
    <t>论证</t>
  </si>
  <si>
    <t>lùnzhèng</t>
  </si>
  <si>
    <t>Chứng minh, luận chứng</t>
  </si>
  <si>
    <t>他们用事实论证了这个观点。</t>
  </si>
  <si>
    <t>正</t>
  </si>
  <si>
    <t>zhèng</t>
  </si>
  <si>
    <t>đứng (trái )</t>
  </si>
  <si>
    <t>这篇文章正好符合要求。</t>
  </si>
  <si>
    <t>啰唆</t>
  </si>
  <si>
    <t>luōsuo</t>
  </si>
  <si>
    <t>Lắm lời, lằng nhằng</t>
  </si>
  <si>
    <t>她很啰唆，总是说个不停。</t>
  </si>
  <si>
    <t>证件</t>
  </si>
  <si>
    <t>zhèng jiàn</t>
  </si>
  <si>
    <t>giấy tờ</t>
  </si>
  <si>
    <t>请出示你的证件。</t>
  </si>
  <si>
    <t>螺丝钉</t>
  </si>
  <si>
    <t>luósīdīng</t>
  </si>
  <si>
    <t>Đinh vít</t>
  </si>
  <si>
    <t>他拧紧了螺丝钉。</t>
  </si>
  <si>
    <t>证据</t>
  </si>
  <si>
    <t>zhèng jù</t>
  </si>
  <si>
    <t>落成</t>
  </si>
  <si>
    <t>chứng cứ</t>
  </si>
  <si>
    <t>luòchéng</t>
  </si>
  <si>
    <t>我们需要提供证据来支持我们的观点。</t>
  </si>
  <si>
    <t>Hoàn thành (công trình)</t>
  </si>
  <si>
    <t>新楼已经落成。</t>
  </si>
  <si>
    <t>落实</t>
  </si>
  <si>
    <t>luòshí</t>
  </si>
  <si>
    <t>Thực hiện, thực thi</t>
  </si>
  <si>
    <t>计划得到了落实。</t>
  </si>
  <si>
    <t>政府</t>
  </si>
  <si>
    <t>zhèng fǔ</t>
  </si>
  <si>
    <t>chính phủ</t>
  </si>
  <si>
    <t>政府正在制定新的政策。</t>
  </si>
  <si>
    <t>络绎不绝</t>
  </si>
  <si>
    <t>luòyìbùjué</t>
  </si>
  <si>
    <t>Liên tục không dứt</t>
  </si>
  <si>
    <t>游客络绎不绝。</t>
  </si>
  <si>
    <t>屡次</t>
  </si>
  <si>
    <t>lǚcì</t>
  </si>
  <si>
    <t>Nhiều lần</t>
  </si>
  <si>
    <t>政治</t>
  </si>
  <si>
    <t>他屡次犯错。</t>
  </si>
  <si>
    <t>zhèng zhì</t>
  </si>
  <si>
    <t>chính trị</t>
  </si>
  <si>
    <t>政治问题很复杂。</t>
  </si>
  <si>
    <t>履行</t>
  </si>
  <si>
    <t>lǚxíng</t>
  </si>
  <si>
    <t>Thực hiện, thi hành</t>
  </si>
  <si>
    <t>我们必须履行合同。</t>
  </si>
  <si>
    <t>挣</t>
  </si>
  <si>
    <t>tranh, giành</t>
  </si>
  <si>
    <t>掠夺</t>
  </si>
  <si>
    <t>lüèduó</t>
  </si>
  <si>
    <t>Cướp bóc</t>
  </si>
  <si>
    <t>他挣了很多钱。</t>
  </si>
  <si>
    <t>海盗掠夺了船只。</t>
  </si>
  <si>
    <t>略微</t>
  </si>
  <si>
    <t>lüèwēi</t>
  </si>
  <si>
    <t>Hơi, một chút</t>
  </si>
  <si>
    <t>她略微有点紧张。</t>
  </si>
  <si>
    <t>支</t>
  </si>
  <si>
    <t>chiếc (lượng từ cho bút…)</t>
  </si>
  <si>
    <t>麻痹</t>
  </si>
  <si>
    <t>mábì</t>
  </si>
  <si>
    <t>Tê liệt</t>
  </si>
  <si>
    <t>他对危险的麻痹使他受伤。</t>
  </si>
  <si>
    <t xml:space="preserve">这支笔很好用。        </t>
  </si>
  <si>
    <t>麻木</t>
  </si>
  <si>
    <t>mámù</t>
  </si>
  <si>
    <t>Tê dại, tê liệt</t>
  </si>
  <si>
    <t>他的手指麻木了。</t>
  </si>
  <si>
    <t>麻醉</t>
  </si>
  <si>
    <t>mázuì</t>
  </si>
  <si>
    <t>Gây mê</t>
  </si>
  <si>
    <t>医生给他注射了麻醉药。</t>
  </si>
  <si>
    <t>码头</t>
  </si>
  <si>
    <t>mǎtóu</t>
  </si>
  <si>
    <t>Bến cảng</t>
  </si>
  <si>
    <t>码头上停满了船只。</t>
  </si>
  <si>
    <t>支票</t>
  </si>
  <si>
    <t>zhī piào</t>
  </si>
  <si>
    <t>ngân phiếu</t>
  </si>
  <si>
    <t>请把这笔支票填好。</t>
  </si>
  <si>
    <t>嘛</t>
  </si>
  <si>
    <t>Mà, nhé</t>
  </si>
  <si>
    <t>有意见就提嘛。</t>
  </si>
  <si>
    <t>执照</t>
  </si>
  <si>
    <t>埋伏</t>
  </si>
  <si>
    <t>máifú</t>
  </si>
  <si>
    <t>zhí zhào</t>
  </si>
  <si>
    <t>Mai phục</t>
  </si>
  <si>
    <t>他在树林里埋伏。</t>
  </si>
  <si>
    <t>giấy phép</t>
  </si>
  <si>
    <t>这个执照是有效的。</t>
  </si>
  <si>
    <t>埋没</t>
  </si>
  <si>
    <t>máimò</t>
  </si>
  <si>
    <t>Chôn vùi, vùi lấp</t>
  </si>
  <si>
    <t>他的才能被埋没了。</t>
  </si>
  <si>
    <t>直</t>
  </si>
  <si>
    <t>zhí</t>
  </si>
  <si>
    <t>thẳng</t>
  </si>
  <si>
    <t>这条路很直。</t>
  </si>
  <si>
    <t>埋葬</t>
  </si>
  <si>
    <t>máizàng</t>
  </si>
  <si>
    <t>Chôn cất</t>
  </si>
  <si>
    <t>他被埋葬在山上。</t>
  </si>
  <si>
    <t>迈</t>
  </si>
  <si>
    <t>Bước</t>
  </si>
  <si>
    <t>他迈出了第一步。</t>
  </si>
  <si>
    <t>脉搏</t>
  </si>
  <si>
    <t>màibó</t>
  </si>
  <si>
    <t>Mạch đập, nhịp đập</t>
  </si>
  <si>
    <t>医生检查了他的脉搏。</t>
  </si>
  <si>
    <t>指导</t>
  </si>
  <si>
    <t>zhǐ dǎo</t>
  </si>
  <si>
    <t>chỉ đạo</t>
  </si>
  <si>
    <t>经理将指导你完成任务。</t>
  </si>
  <si>
    <t>埋怨</t>
  </si>
  <si>
    <t>mányuàn</t>
  </si>
  <si>
    <t>Oán trách</t>
  </si>
  <si>
    <t>她埋怨自己没有抓住机会。</t>
  </si>
  <si>
    <t>指挥</t>
  </si>
  <si>
    <t>漫长</t>
  </si>
  <si>
    <t>màncháng</t>
  </si>
  <si>
    <t>zhǐ huī</t>
  </si>
  <si>
    <t>Dài đằng đẵng</t>
  </si>
  <si>
    <t>chỉ huy</t>
  </si>
  <si>
    <t>漫长的等待让人很疲惫。</t>
  </si>
  <si>
    <t>指挥家正在指挥乐团演奏。</t>
  </si>
  <si>
    <t>漫画</t>
  </si>
  <si>
    <t>mànhuà</t>
  </si>
  <si>
    <t>Truyện tranh</t>
  </si>
  <si>
    <t>他喜欢看漫画。</t>
  </si>
  <si>
    <t>至今</t>
  </si>
  <si>
    <t>zhì jīn</t>
  </si>
  <si>
    <t>đến nay</t>
  </si>
  <si>
    <t>他至今还记得那个瞬间。</t>
  </si>
  <si>
    <t>慢性</t>
  </si>
  <si>
    <t>mànxìng</t>
  </si>
  <si>
    <t>Mãn tính</t>
  </si>
  <si>
    <t>他患有慢性疾病。</t>
  </si>
  <si>
    <t>至于</t>
  </si>
  <si>
    <t>zhì yú</t>
  </si>
  <si>
    <t>còn như…..</t>
  </si>
  <si>
    <t>这件事情至于你能否参加会议。</t>
  </si>
  <si>
    <t>蔓延</t>
  </si>
  <si>
    <t>mànyán</t>
  </si>
  <si>
    <t>Lan rộng</t>
  </si>
  <si>
    <t>火势迅速蔓延。</t>
  </si>
  <si>
    <t>志愿者</t>
  </si>
  <si>
    <t>zhì yuàn zhě</t>
  </si>
  <si>
    <t>tình nguyện viên</t>
  </si>
  <si>
    <t>她是一个热心的志愿者。</t>
  </si>
  <si>
    <t>忙碌</t>
  </si>
  <si>
    <t>mánglù</t>
  </si>
  <si>
    <t>Bận rộn</t>
  </si>
  <si>
    <t>他忙碌了一整天。</t>
  </si>
  <si>
    <t>制定</t>
  </si>
  <si>
    <t>zhì dìng</t>
  </si>
  <si>
    <t>茫茫</t>
  </si>
  <si>
    <t>lập ra, thiết lập, xây dựng, lập (chính sách, qui định, kế hoạch, sách lược, phương án)</t>
  </si>
  <si>
    <t>mángmáng</t>
  </si>
  <si>
    <t>我们需要制定详细的计划。</t>
  </si>
  <si>
    <t>Mênh mông</t>
  </si>
  <si>
    <t>茫茫的草原看不到尽头。</t>
  </si>
  <si>
    <t>盲目</t>
  </si>
  <si>
    <t>mángmù</t>
  </si>
  <si>
    <t>制度</t>
  </si>
  <si>
    <t>Mù quáng</t>
  </si>
  <si>
    <t>zhì dù</t>
  </si>
  <si>
    <t>他盲目地跟随别人。</t>
  </si>
  <si>
    <t>chế độ, chính sách</t>
  </si>
  <si>
    <t>这个制度需要改进。</t>
  </si>
  <si>
    <t>茫然</t>
  </si>
  <si>
    <t>mángrán</t>
  </si>
  <si>
    <t>Mờ mịt, ngơ ngác</t>
  </si>
  <si>
    <t>她茫然不知所措。</t>
  </si>
  <si>
    <t>制造</t>
  </si>
  <si>
    <t>zhì zào</t>
  </si>
  <si>
    <t>这家公司专注于制造电子产品。</t>
  </si>
  <si>
    <t>冒充</t>
  </si>
  <si>
    <t>màochōng</t>
  </si>
  <si>
    <t>Giả danh</t>
  </si>
  <si>
    <t>他冒充医生进入了医院。</t>
  </si>
  <si>
    <t>制作</t>
  </si>
  <si>
    <t>zhì zuò</t>
  </si>
  <si>
    <t>làm, chế tạo</t>
  </si>
  <si>
    <t>我们正在制作一个新的视频。</t>
  </si>
  <si>
    <t>茂盛</t>
  </si>
  <si>
    <t>màoshèng</t>
  </si>
  <si>
    <t>Tươi tốt</t>
  </si>
  <si>
    <t>花园里花草茂盛。</t>
  </si>
  <si>
    <t>治疗</t>
  </si>
  <si>
    <t>枚</t>
  </si>
  <si>
    <t>zhì liáo</t>
  </si>
  <si>
    <t>điều trị</t>
  </si>
  <si>
    <t>Cái, tấm, chiếc, đồng (lượng từ)</t>
  </si>
  <si>
    <t>这个药可以治疗你的病。</t>
  </si>
  <si>
    <t>他递给我一枚硬币。</t>
  </si>
  <si>
    <t>媒介</t>
  </si>
  <si>
    <t>méijiè</t>
  </si>
  <si>
    <t>Môi giới, trung gian</t>
  </si>
  <si>
    <t>互联网是重要的媒介。</t>
  </si>
  <si>
    <t>秩序</t>
  </si>
  <si>
    <t>zhì xù</t>
  </si>
  <si>
    <t>trật tự</t>
  </si>
  <si>
    <t>维持社会的秩序很重要。</t>
  </si>
  <si>
    <t>méitǐ</t>
  </si>
  <si>
    <t>Phương tiện truyền thông</t>
  </si>
  <si>
    <t>新闻媒体报道了这个消息。</t>
  </si>
  <si>
    <t>智慧</t>
  </si>
  <si>
    <t>zhì huì</t>
  </si>
  <si>
    <t>trí tuệ</t>
  </si>
  <si>
    <t>他以智慧解决了这个难题。</t>
  </si>
  <si>
    <t>没辙</t>
  </si>
  <si>
    <t>méi zhé</t>
  </si>
  <si>
    <t>Hết cách, bó tay</t>
  </si>
  <si>
    <t>我真是没辙了。</t>
  </si>
  <si>
    <t>中介</t>
  </si>
  <si>
    <t>zhōng jiè</t>
  </si>
  <si>
    <t>môi giới, trung gian</t>
  </si>
  <si>
    <t>他是一个有经验的中介。</t>
  </si>
  <si>
    <t>美观</t>
  </si>
  <si>
    <t>měiguān</t>
  </si>
  <si>
    <t>Đẹp đẽ</t>
  </si>
  <si>
    <t>他的设计很美观。</t>
  </si>
  <si>
    <t>中心</t>
  </si>
  <si>
    <t>zhōng xīn</t>
  </si>
  <si>
    <t>trung tâm</t>
  </si>
  <si>
    <t>这个中心的服务很到位。</t>
  </si>
  <si>
    <t>美满</t>
  </si>
  <si>
    <t>měimǎn</t>
  </si>
  <si>
    <t>Hạnh phúc, mỹ mãn</t>
  </si>
  <si>
    <t>他们的生活很美满。</t>
  </si>
  <si>
    <t>中旬</t>
  </si>
  <si>
    <t>zhōng xún</t>
  </si>
  <si>
    <t>trung tuần</t>
  </si>
  <si>
    <t>会议将在中旬举行。</t>
  </si>
  <si>
    <t>美妙</t>
  </si>
  <si>
    <t>měimiào</t>
  </si>
  <si>
    <t>Tuyệt vời</t>
  </si>
  <si>
    <t>这段音乐真是美妙。</t>
  </si>
  <si>
    <t>种类</t>
  </si>
  <si>
    <t>zhǒng lèi</t>
  </si>
  <si>
    <t>chủng loại</t>
  </si>
  <si>
    <t>这家超市有很多种类的商品。</t>
  </si>
  <si>
    <t>门诊</t>
  </si>
  <si>
    <t>ménzhěn</t>
  </si>
  <si>
    <t>Khám bệnh</t>
  </si>
  <si>
    <t>医院有一个门诊部。</t>
  </si>
  <si>
    <t>重大</t>
  </si>
  <si>
    <t>zhòng dà</t>
  </si>
  <si>
    <t>trọng đại, lớn</t>
  </si>
  <si>
    <t>这是一个重大项目。</t>
  </si>
  <si>
    <t>蒙</t>
  </si>
  <si>
    <t>mēng</t>
  </si>
  <si>
    <t>lừa gạt, bịp bợm</t>
  </si>
  <si>
    <t>你怎能蒙我？</t>
  </si>
  <si>
    <t>重量</t>
  </si>
  <si>
    <t>zhòng liàng</t>
  </si>
  <si>
    <t>trọng lượng</t>
  </si>
  <si>
    <t>这个箱子的重量很大。</t>
  </si>
  <si>
    <t>萌芽</t>
  </si>
  <si>
    <t>méngyá</t>
  </si>
  <si>
    <t>Mầm mống, nảy mầm</t>
  </si>
  <si>
    <t>春天来了，花朵开始萌芽。</t>
  </si>
  <si>
    <t>周到</t>
  </si>
  <si>
    <t>zhōu dào</t>
  </si>
  <si>
    <t>chu đáo</t>
  </si>
  <si>
    <t>她对每一件事情都考虑得很周到。</t>
  </si>
  <si>
    <t>猛烈</t>
  </si>
  <si>
    <t>měngliè</t>
  </si>
  <si>
    <t>Mãnh liệt</t>
  </si>
  <si>
    <t>他猛烈地摇晃着树枝。</t>
  </si>
  <si>
    <t>猪</t>
  </si>
  <si>
    <t>zhū</t>
  </si>
  <si>
    <t>mèngxiǎng</t>
  </si>
  <si>
    <t>con lợn</t>
  </si>
  <si>
    <t>Mộng tưởng, ước mơ</t>
  </si>
  <si>
    <t>那只猪非常肥胖。</t>
  </si>
  <si>
    <t>他的梦想终于实现了。</t>
  </si>
  <si>
    <t>眯</t>
  </si>
  <si>
    <t>mī</t>
  </si>
  <si>
    <t>Híp mắt</t>
  </si>
  <si>
    <t>她眯起眼睛看东西。</t>
  </si>
  <si>
    <t>竹子</t>
  </si>
  <si>
    <t>zhú zi</t>
  </si>
  <si>
    <t>cây trúc</t>
  </si>
  <si>
    <t>竹子是一种非常有用的植物。</t>
  </si>
  <si>
    <t>弥补</t>
  </si>
  <si>
    <t>míbǔ</t>
  </si>
  <si>
    <t>Bù đắp</t>
  </si>
  <si>
    <t>我们需要弥补错误。</t>
  </si>
  <si>
    <t>逐步</t>
  </si>
  <si>
    <t>zhú bù</t>
  </si>
  <si>
    <t>từng bước</t>
  </si>
  <si>
    <t>他们的计划是逐步实施的。</t>
  </si>
  <si>
    <t>迷惑</t>
  </si>
  <si>
    <t>míhuò</t>
  </si>
  <si>
    <t>Mê hoặc</t>
  </si>
  <si>
    <t>他的解释让我迷惑。</t>
  </si>
  <si>
    <t>逐渐</t>
  </si>
  <si>
    <t>zhú jiàn</t>
  </si>
  <si>
    <t>dần dần</t>
  </si>
  <si>
    <t>这个问题会逐渐解决的。</t>
  </si>
  <si>
    <t>弥漫</t>
  </si>
  <si>
    <t>mímàn</t>
  </si>
  <si>
    <t>Lan toả, dâng tràn</t>
  </si>
  <si>
    <t>整个房间弥漫着香气。</t>
  </si>
  <si>
    <t>主持</t>
  </si>
  <si>
    <t>zhǔ chí</t>
  </si>
  <si>
    <t>dẫn (chương trình),</t>
  </si>
  <si>
    <t>主持人正在主持会议。</t>
  </si>
  <si>
    <t>迷人</t>
  </si>
  <si>
    <t>mírén</t>
  </si>
  <si>
    <t>Quyến rũ</t>
  </si>
  <si>
    <t>她有一双迷人的眼睛。</t>
  </si>
  <si>
    <t>主动</t>
  </si>
  <si>
    <t>迷失</t>
  </si>
  <si>
    <t>zhǔ dòng</t>
  </si>
  <si>
    <t>míshī</t>
  </si>
  <si>
    <t>chủ động</t>
  </si>
  <si>
    <t>Lạc mất</t>
  </si>
  <si>
    <t>她总是主动帮助别人。</t>
  </si>
  <si>
    <t>他在陌生的城市迷失了方向。</t>
  </si>
  <si>
    <t>迷信</t>
  </si>
  <si>
    <t>míxìn</t>
  </si>
  <si>
    <t>Mê tín</t>
  </si>
  <si>
    <t>他非常迷信，不敢做坏事。</t>
  </si>
  <si>
    <t>主观</t>
  </si>
  <si>
    <t>zhǔ guān</t>
  </si>
  <si>
    <t>chủ quan</t>
  </si>
  <si>
    <t>这是一个主观的问题。</t>
  </si>
  <si>
    <t>密度</t>
  </si>
  <si>
    <t>mìdù</t>
  </si>
  <si>
    <t>Mật độ</t>
  </si>
  <si>
    <t>这座城市的建筑密度很高。</t>
  </si>
  <si>
    <t>主人</t>
  </si>
  <si>
    <t>zhǔ rén</t>
  </si>
  <si>
    <t>chủ nhân</t>
  </si>
  <si>
    <t>这位先生是我们的主人。</t>
  </si>
  <si>
    <t>密封</t>
  </si>
  <si>
    <t>mìfēng</t>
  </si>
  <si>
    <t>Niêm phong</t>
  </si>
  <si>
    <t>我们需要密封这些文件。</t>
  </si>
  <si>
    <t>主任</t>
  </si>
  <si>
    <t>zhǔ rèn</t>
  </si>
  <si>
    <t>免得</t>
  </si>
  <si>
    <t>chủ nhiệm</t>
  </si>
  <si>
    <t>miǎnde</t>
  </si>
  <si>
    <t>他是这个项目的主任。</t>
  </si>
  <si>
    <t>Tránh, khỏi phải</t>
  </si>
  <si>
    <t>请戴上口罩，免得感冒。</t>
  </si>
  <si>
    <t>勉励</t>
  </si>
  <si>
    <t>miǎnlì</t>
  </si>
  <si>
    <t>Khuyến khích</t>
  </si>
  <si>
    <t>他勉励学生们努力学习。</t>
  </si>
  <si>
    <t>主题</t>
  </si>
  <si>
    <t>zhǔ tí</t>
  </si>
  <si>
    <t>主题是环保。</t>
  </si>
  <si>
    <t>勉强</t>
  </si>
  <si>
    <t>miǎnqiǎng</t>
  </si>
  <si>
    <t>Cố gắng, miễn cưỡng</t>
  </si>
  <si>
    <t>他勉强同意了我们的建议。</t>
  </si>
  <si>
    <t>主席</t>
  </si>
  <si>
    <t>zhǔ xí</t>
  </si>
  <si>
    <t>chủ tịch</t>
  </si>
  <si>
    <t>主席正在发言。</t>
  </si>
  <si>
    <t>免疫</t>
  </si>
  <si>
    <t>miǎnyì</t>
  </si>
  <si>
    <t>Miễn dịch</t>
  </si>
  <si>
    <t>这种病很难免疫。</t>
  </si>
  <si>
    <t>面貌</t>
  </si>
  <si>
    <t>miànmào</t>
  </si>
  <si>
    <t>Diện mạo, dung mạo</t>
  </si>
  <si>
    <t>主张</t>
  </si>
  <si>
    <t>他的面貌变了很多。</t>
  </si>
  <si>
    <t>zhǔ zhāng</t>
  </si>
  <si>
    <t>ý tưởng, ý kiến</t>
  </si>
  <si>
    <t>我们主张保护环境。</t>
  </si>
  <si>
    <t>面子</t>
  </si>
  <si>
    <t>miànzi</t>
  </si>
  <si>
    <t>Thể diện</t>
  </si>
  <si>
    <t>他很在意自己的面子。</t>
  </si>
  <si>
    <t>煮</t>
  </si>
  <si>
    <t>zhǔ</t>
  </si>
  <si>
    <t>luộc, đun</t>
  </si>
  <si>
    <t>我们需要煮一些水。</t>
  </si>
  <si>
    <t>描绘</t>
  </si>
  <si>
    <t>miáohuì</t>
  </si>
  <si>
    <t>Miêu tả</t>
  </si>
  <si>
    <t>他描绘了一幅美丽的画。</t>
  </si>
  <si>
    <t>注册</t>
  </si>
  <si>
    <t>渺小</t>
  </si>
  <si>
    <t>miǎoxiǎo</t>
  </si>
  <si>
    <t>zhù cè</t>
  </si>
  <si>
    <t>Nhỏ bé</t>
  </si>
  <si>
    <t>这个村庄非常渺小。</t>
  </si>
  <si>
    <t>请注册你的账户。</t>
  </si>
  <si>
    <t>蔑视</t>
  </si>
  <si>
    <t>mièshì</t>
  </si>
  <si>
    <t>Coi thường, khinh miệt</t>
  </si>
  <si>
    <t>他蔑视别人的意见。</t>
  </si>
  <si>
    <t>祝福</t>
  </si>
  <si>
    <t>zhù fú</t>
  </si>
  <si>
    <t>chúc phúc</t>
  </si>
  <si>
    <t>我祝福你们幸福快乐。</t>
  </si>
  <si>
    <t>灭亡</t>
  </si>
  <si>
    <t>mièwáng</t>
  </si>
  <si>
    <t>Diệt vong</t>
  </si>
  <si>
    <t>这个王朝灭亡了。</t>
  </si>
  <si>
    <t>抓</t>
  </si>
  <si>
    <t>zhuā</t>
  </si>
  <si>
    <t>bắt, véo</t>
  </si>
  <si>
    <t>他用力抓住了绳子。</t>
  </si>
  <si>
    <t>民间</t>
  </si>
  <si>
    <t>mínjiān</t>
  </si>
  <si>
    <t>Dân gian</t>
  </si>
  <si>
    <t>民间故事很有趣。</t>
  </si>
  <si>
    <t>抓紧</t>
  </si>
  <si>
    <t>zhuā jǐn</t>
  </si>
  <si>
    <t>(tay) nắm chắc, tranh thủ (thời gian)</t>
  </si>
  <si>
    <t>请抓紧时间完成任务。</t>
  </si>
  <si>
    <t>民用</t>
  </si>
  <si>
    <t>mínyòng</t>
  </si>
  <si>
    <t>Dân dụng</t>
  </si>
  <si>
    <t>这些产品主要是民用的。</t>
  </si>
  <si>
    <t>专家</t>
  </si>
  <si>
    <t>zhuān jiā</t>
  </si>
  <si>
    <t>chuyên gia</t>
  </si>
  <si>
    <t>他是一位专家。</t>
  </si>
  <si>
    <t>mǐngǎn</t>
  </si>
  <si>
    <t>Nhạy cảm</t>
  </si>
  <si>
    <t>他对外界非常敏感。</t>
  </si>
  <si>
    <t>敏捷</t>
  </si>
  <si>
    <t>mǐnjié</t>
  </si>
  <si>
    <t>专心</t>
  </si>
  <si>
    <t>Nhanh nhẹn</t>
  </si>
  <si>
    <t>她的动作非常敏捷。</t>
  </si>
  <si>
    <t>zhuān xīn</t>
  </si>
  <si>
    <t>chuyên tâm</t>
  </si>
  <si>
    <t>你要专心听讲。</t>
  </si>
  <si>
    <t>转变</t>
  </si>
  <si>
    <t>zhuǎn biàn</t>
  </si>
  <si>
    <t>chuyển biến</t>
  </si>
  <si>
    <t>这次转变对公司很重要。</t>
  </si>
  <si>
    <t>转告</t>
  </si>
  <si>
    <t>zhuǎn gào</t>
  </si>
  <si>
    <t>chuyển lời</t>
  </si>
  <si>
    <t>我会把这个消息转告给你。</t>
  </si>
  <si>
    <t>装</t>
  </si>
  <si>
    <t>zhuāng</t>
  </si>
  <si>
    <t>đựng, chứa</t>
  </si>
  <si>
    <t>敏锐</t>
  </si>
  <si>
    <t xml:space="preserve">她正在装行李。        </t>
  </si>
  <si>
    <t>mǐnruì</t>
  </si>
  <si>
    <t>他的思维非常敏锐。</t>
  </si>
  <si>
    <t>装饰</t>
  </si>
  <si>
    <t>zhuāng shì</t>
  </si>
  <si>
    <t>trang hoàng, trang trí</t>
  </si>
  <si>
    <t>她在房间里做了很多装饰。</t>
  </si>
  <si>
    <t>名次</t>
  </si>
  <si>
    <t>míngcì</t>
  </si>
  <si>
    <t>Thứ hạng</t>
  </si>
  <si>
    <t>比赛名次已经公布。</t>
  </si>
  <si>
    <t>装修</t>
  </si>
  <si>
    <t>zhuāng xiū</t>
  </si>
  <si>
    <t>sửa nội thất, sửa chữa</t>
  </si>
  <si>
    <t>我们正在装修房子。</t>
  </si>
  <si>
    <t>名额</t>
  </si>
  <si>
    <t>míng'é</t>
  </si>
  <si>
    <t>Số người, số lượng quy định</t>
  </si>
  <si>
    <t>这个活动有固定的名额。</t>
  </si>
  <si>
    <t>状况</t>
  </si>
  <si>
    <t>zhuàng kuàng</t>
  </si>
  <si>
    <t>tình trạng</t>
  </si>
  <si>
    <t>他的健康状况很好。</t>
  </si>
  <si>
    <t>名副其实</t>
  </si>
  <si>
    <t>míngfùqíshí</t>
  </si>
  <si>
    <t>Danh xứng kỳ thực</t>
  </si>
  <si>
    <t>他是名副其实的专家。</t>
  </si>
  <si>
    <t>状态</t>
  </si>
  <si>
    <t>zhuàng tài</t>
  </si>
  <si>
    <t>trạng thái</t>
  </si>
  <si>
    <t>目前的状态不是很理想。</t>
  </si>
  <si>
    <t>明明</t>
  </si>
  <si>
    <t>míngmíng</t>
  </si>
  <si>
    <t>Rõ ràng</t>
  </si>
  <si>
    <t>他明明知道却装作不懂。</t>
  </si>
  <si>
    <t>撞</t>
  </si>
  <si>
    <t>zhuàng</t>
  </si>
  <si>
    <t>va vào, đâm vào</t>
  </si>
  <si>
    <t>名誉</t>
  </si>
  <si>
    <t>他不小心撞到了墙。</t>
  </si>
  <si>
    <t>míngyù</t>
  </si>
  <si>
    <t>Danh dự</t>
  </si>
  <si>
    <t>他的名誉受到了损害。</t>
  </si>
  <si>
    <t>追</t>
  </si>
  <si>
    <t>命名</t>
  </si>
  <si>
    <t>mìngmíng</t>
  </si>
  <si>
    <t>zhuī</t>
  </si>
  <si>
    <t>Đặt tên</t>
  </si>
  <si>
    <t>我们需要给这个产品命名。</t>
  </si>
  <si>
    <t xml:space="preserve">他在追一辆公共汽车。        </t>
  </si>
  <si>
    <t>摸索</t>
  </si>
  <si>
    <t>mōsuǒ</t>
  </si>
  <si>
    <t>Mò mẫm</t>
  </si>
  <si>
    <t>他在黑暗中摸索前行。</t>
  </si>
  <si>
    <t>追求</t>
  </si>
  <si>
    <t>zhuī qiú</t>
  </si>
  <si>
    <t>她一直在追求自己的梦想。</t>
  </si>
  <si>
    <t>膜</t>
  </si>
  <si>
    <t>mó</t>
  </si>
  <si>
    <t>Màng</t>
  </si>
  <si>
    <t>显微镜下可以看到膜。</t>
  </si>
  <si>
    <t>咨询</t>
  </si>
  <si>
    <t>zī xún</t>
  </si>
  <si>
    <t>tư vấn</t>
  </si>
  <si>
    <t>我们需要咨询专家的意见。</t>
  </si>
  <si>
    <t>摩擦</t>
  </si>
  <si>
    <t>mócā</t>
  </si>
  <si>
    <t>Ma sát, cọ sát</t>
  </si>
  <si>
    <t>他们之间摩擦不断。</t>
  </si>
  <si>
    <t>姿势</t>
  </si>
  <si>
    <t>zī shì</t>
  </si>
  <si>
    <t>tư thế</t>
  </si>
  <si>
    <t>你的姿势很优雅。</t>
  </si>
  <si>
    <t>模范</t>
  </si>
  <si>
    <t>mófàn</t>
  </si>
  <si>
    <t>Gương mẫu</t>
  </si>
  <si>
    <t>他是一个模范学生。</t>
  </si>
  <si>
    <t>资格</t>
  </si>
  <si>
    <t>zī gé</t>
  </si>
  <si>
    <t>tư cách</t>
  </si>
  <si>
    <t>这个职位需要一定的资格。</t>
  </si>
  <si>
    <t>魔鬼</t>
  </si>
  <si>
    <t>móguǐ</t>
  </si>
  <si>
    <t>Ma quỷ</t>
  </si>
  <si>
    <t>电影里的魔鬼吓坏了我。</t>
  </si>
  <si>
    <t>资金</t>
  </si>
  <si>
    <t>zī jīn</t>
  </si>
  <si>
    <t>vốn (tiền)</t>
  </si>
  <si>
    <t>我们需要更多的资金。</t>
  </si>
  <si>
    <t>磨合</t>
  </si>
  <si>
    <t>móhé</t>
  </si>
  <si>
    <t>Mài giũa, hoà hợp</t>
  </si>
  <si>
    <t>他们需要时间磨合。</t>
  </si>
  <si>
    <t>资料</t>
  </si>
  <si>
    <t>zī liào</t>
  </si>
  <si>
    <t>tư liệu</t>
  </si>
  <si>
    <t>这些资料非常重要。</t>
  </si>
  <si>
    <t>模式</t>
  </si>
  <si>
    <t>móshì</t>
  </si>
  <si>
    <t>Mô thức, kiểu mẫu</t>
  </si>
  <si>
    <t>这种模式很受欢迎。</t>
  </si>
  <si>
    <t>资源</t>
  </si>
  <si>
    <t>zī yuán</t>
  </si>
  <si>
    <t>nguồn tài nguyên</t>
  </si>
  <si>
    <t>这个国家资源丰富。</t>
  </si>
  <si>
    <t>魔术</t>
  </si>
  <si>
    <t>móshù</t>
  </si>
  <si>
    <t>Ảo thuật</t>
  </si>
  <si>
    <t>他的魔术表演很精彩。</t>
  </si>
  <si>
    <t>紫</t>
  </si>
  <si>
    <t>zǐ</t>
  </si>
  <si>
    <t>màu tím</t>
  </si>
  <si>
    <t>她穿了一件紫色的裙子。</t>
  </si>
  <si>
    <t>模型</t>
  </si>
  <si>
    <t>móxíng</t>
  </si>
  <si>
    <t>Mô hình</t>
  </si>
  <si>
    <t>这个模型很逼真。</t>
  </si>
  <si>
    <t>自从</t>
  </si>
  <si>
    <t>zì cóng</t>
  </si>
  <si>
    <t>抹杀</t>
  </si>
  <si>
    <t>từ khi….</t>
  </si>
  <si>
    <t>mǒshā</t>
  </si>
  <si>
    <t>自从那次事故以后，她变得很小心。</t>
  </si>
  <si>
    <t>Phủ nhận, xoá bỏ</t>
  </si>
  <si>
    <t>他们试图抹杀证据。</t>
  </si>
  <si>
    <t>莫名其妙</t>
  </si>
  <si>
    <t>mòmíngqímiào</t>
  </si>
  <si>
    <t>Không thể hiểu nổi</t>
  </si>
  <si>
    <t>他突然莫名其妙地笑了起来。</t>
  </si>
  <si>
    <t>自动</t>
  </si>
  <si>
    <t>zì dòng</t>
  </si>
  <si>
    <t>tự động</t>
  </si>
  <si>
    <t>这个机器是自动的。</t>
  </si>
  <si>
    <t>默默</t>
  </si>
  <si>
    <t>mòmò</t>
  </si>
  <si>
    <t>Lặng lẽ, âm thầm</t>
  </si>
  <si>
    <t>他默默地离开了房间。</t>
  </si>
  <si>
    <t>自豪</t>
  </si>
  <si>
    <t>zì háo</t>
  </si>
  <si>
    <t>他为自己的成功感到自豪。</t>
  </si>
  <si>
    <t>墨水儿</t>
  </si>
  <si>
    <t>mòshuǐr</t>
  </si>
  <si>
    <t>Mực viết</t>
  </si>
  <si>
    <t>这瓶墨水儿很贵。</t>
  </si>
  <si>
    <t>自觉</t>
  </si>
  <si>
    <t>zì jué</t>
  </si>
  <si>
    <t>谋求</t>
  </si>
  <si>
    <t>móuqiú</t>
  </si>
  <si>
    <t>tự giác</t>
  </si>
  <si>
    <t>Mưu cầu</t>
  </si>
  <si>
    <t>你应该自觉遵守规定。</t>
  </si>
  <si>
    <t>他正在谋求新的工作机会。</t>
  </si>
  <si>
    <t>模样</t>
  </si>
  <si>
    <t>múyàng</t>
  </si>
  <si>
    <t>Hình dáng, dáng vẻ</t>
  </si>
  <si>
    <t>她的模样很像她的母亲。</t>
  </si>
  <si>
    <t>自私</t>
  </si>
  <si>
    <t>zì sī</t>
  </si>
  <si>
    <t>ích kỉ</t>
  </si>
  <si>
    <t>他有点儿自私。</t>
  </si>
  <si>
    <t>母语</t>
  </si>
  <si>
    <t>mǔyǔ</t>
  </si>
  <si>
    <t>Tiếng mẹ đẻ</t>
  </si>
  <si>
    <t>他的母语是英语。</t>
  </si>
  <si>
    <t>自由</t>
  </si>
  <si>
    <t>zì yóu</t>
  </si>
  <si>
    <t>tự do</t>
  </si>
  <si>
    <t>在这个国家，人们享有自由。</t>
  </si>
  <si>
    <t>目睹</t>
  </si>
  <si>
    <t>mùdǔ</t>
  </si>
  <si>
    <t>Mắt thấy, chứng kiến</t>
  </si>
  <si>
    <t>我亲眼目睹了事故发生。</t>
  </si>
  <si>
    <t>自愿</t>
  </si>
  <si>
    <t>目光</t>
  </si>
  <si>
    <t>mùguāng</t>
  </si>
  <si>
    <t>zì yuàn</t>
  </si>
  <si>
    <t>Ánh mắt</t>
  </si>
  <si>
    <t>tình nguyện, tự nguyện</t>
  </si>
  <si>
    <t>他目光坚定地看着前方。</t>
  </si>
  <si>
    <t>她自愿参加志愿者活动。</t>
  </si>
  <si>
    <t>沐浴</t>
  </si>
  <si>
    <t>mùyù</t>
  </si>
  <si>
    <t>Tắm gội</t>
  </si>
  <si>
    <t>他喜欢在早晨沐浴阳光。</t>
  </si>
  <si>
    <t>字母</t>
  </si>
  <si>
    <t>zì mǔ</t>
  </si>
  <si>
    <t>chữ cái</t>
  </si>
  <si>
    <t>英文的字母有二十六个。</t>
  </si>
  <si>
    <t>拿手</t>
  </si>
  <si>
    <t>náshǒu</t>
  </si>
  <si>
    <t>Giỏi, sở trường</t>
  </si>
  <si>
    <t>她很拿手做蛋糕。</t>
  </si>
  <si>
    <t>字幕</t>
  </si>
  <si>
    <t>zì mù</t>
  </si>
  <si>
    <t>phụ đề</t>
  </si>
  <si>
    <t>电影有中文字幕。</t>
  </si>
  <si>
    <t>纳闷儿</t>
  </si>
  <si>
    <t>nàmènr</t>
  </si>
  <si>
    <t>Bồn chồn, khó hiểu</t>
  </si>
  <si>
    <t>他感到有点纳闷儿。</t>
  </si>
  <si>
    <t>综合</t>
  </si>
  <si>
    <t>zōng hé</t>
  </si>
  <si>
    <t>tổng hợp</t>
  </si>
  <si>
    <t>这次考试的内容是综合的。</t>
  </si>
  <si>
    <t>耐用</t>
  </si>
  <si>
    <t>nàiyòng</t>
  </si>
  <si>
    <t>Bền, dùng lâu</t>
  </si>
  <si>
    <t>这种材料非常耐用。</t>
  </si>
  <si>
    <t>总裁</t>
  </si>
  <si>
    <t>zǒng cái</t>
  </si>
  <si>
    <t>难得</t>
  </si>
  <si>
    <t>giám đốc</t>
  </si>
  <si>
    <t>nándé</t>
  </si>
  <si>
    <t>他是公司的总裁。</t>
  </si>
  <si>
    <t>Khó có được, hiếm có</t>
  </si>
  <si>
    <t>他难得回家一次。</t>
  </si>
  <si>
    <t>总共</t>
  </si>
  <si>
    <t>难堪</t>
  </si>
  <si>
    <t>zǒng gòng</t>
  </si>
  <si>
    <t>nánkān</t>
  </si>
  <si>
    <t>Khó chịu, khó xử</t>
  </si>
  <si>
    <t>总共需要三天完成这个任务。</t>
  </si>
  <si>
    <t>他的表现让人难堪。</t>
  </si>
  <si>
    <t>总理</t>
  </si>
  <si>
    <t>zǒng lǐ</t>
  </si>
  <si>
    <t>nánmiǎn</t>
  </si>
  <si>
    <t>thủ tướng</t>
  </si>
  <si>
    <t>Khó tránh, khó khỏi</t>
  </si>
  <si>
    <t>总理发表了讲话。</t>
  </si>
  <si>
    <t>犯错误是难免的。</t>
  </si>
  <si>
    <t>难能可贵</t>
  </si>
  <si>
    <t>nánnéngkěguì</t>
  </si>
  <si>
    <t>Đáng khen ngợi</t>
  </si>
  <si>
    <t>他在这方面的成就难能可贵。</t>
  </si>
  <si>
    <t>总算</t>
  </si>
  <si>
    <t>zǒng suàn</t>
  </si>
  <si>
    <t>他总算找到了工作。</t>
  </si>
  <si>
    <t>恼火</t>
  </si>
  <si>
    <t>nǎohuǒ</t>
  </si>
  <si>
    <t>Bực mình, tức giận</t>
  </si>
  <si>
    <t>他对这件事感到非常恼火。</t>
  </si>
  <si>
    <t>总统</t>
  </si>
  <si>
    <t>zǒng tǒng</t>
  </si>
  <si>
    <t>tổng thống</t>
  </si>
  <si>
    <t>总统今天将发表演讲。</t>
  </si>
  <si>
    <t>内涵</t>
  </si>
  <si>
    <t>nèihán</t>
  </si>
  <si>
    <t>Nội hàm, hàm súc</t>
  </si>
  <si>
    <t>这本书的内涵很深。</t>
  </si>
  <si>
    <t>内幕</t>
  </si>
  <si>
    <t>nèimù</t>
  </si>
  <si>
    <t>Bên trong, nội tình</t>
  </si>
  <si>
    <t>我不知道这件事的内幕。</t>
  </si>
  <si>
    <t>总之</t>
  </si>
  <si>
    <t>zǒng zhī</t>
  </si>
  <si>
    <t>tóm lại</t>
  </si>
  <si>
    <t>总之，我们要好好努力。</t>
  </si>
  <si>
    <t>内在</t>
  </si>
  <si>
    <t>nèizài</t>
  </si>
  <si>
    <t>Nội tại, bên trong</t>
  </si>
  <si>
    <t>她有丰富的内在美。</t>
  </si>
  <si>
    <t>阻止</t>
  </si>
  <si>
    <t>zǔ zhī</t>
  </si>
  <si>
    <t>ngăn chặn, ngăn cản</t>
  </si>
  <si>
    <t>他们试图阻止这项计划。</t>
  </si>
  <si>
    <t>能量</t>
  </si>
  <si>
    <t>néngliàng</t>
  </si>
  <si>
    <t>Năng lượng</t>
  </si>
  <si>
    <t>阳光给我们带来了能量。</t>
  </si>
  <si>
    <t>组</t>
  </si>
  <si>
    <t>zǔ</t>
  </si>
  <si>
    <t>ēn</t>
  </si>
  <si>
    <t>tổ, cụm, nhóm</t>
  </si>
  <si>
    <t>Ừ, ừm</t>
  </si>
  <si>
    <t xml:space="preserve">我们组成了一个团队。        </t>
  </si>
  <si>
    <t>拟定</t>
  </si>
  <si>
    <t>nǐdìng</t>
  </si>
  <si>
    <t>Đề ra, vạch ra</t>
  </si>
  <si>
    <t>他们正在拟定新计划。</t>
  </si>
  <si>
    <t>组成</t>
  </si>
  <si>
    <t>zǔ chéng</t>
  </si>
  <si>
    <t>tổ thành</t>
  </si>
  <si>
    <t>这两个部分组成了一个整体。</t>
  </si>
  <si>
    <t>年度</t>
  </si>
  <si>
    <t>niándù</t>
  </si>
  <si>
    <t>Niên độ, hàng năm</t>
  </si>
  <si>
    <t>我们的年度报告很详细。</t>
  </si>
  <si>
    <t>组合</t>
  </si>
  <si>
    <t>zǔ hé</t>
  </si>
  <si>
    <t>捏</t>
  </si>
  <si>
    <t>tổ hợp, tổ hợp thành, nhóm</t>
  </si>
  <si>
    <t>niē</t>
  </si>
  <si>
    <t>Nặn, bóp</t>
  </si>
  <si>
    <t>我们需要一个合理的组合。</t>
  </si>
  <si>
    <t>她捏了一下他的脸。</t>
  </si>
  <si>
    <t>拧</t>
  </si>
  <si>
    <t>níng</t>
  </si>
  <si>
    <t>Vặn, xoay</t>
  </si>
  <si>
    <t>他拧开了水龙头。</t>
  </si>
  <si>
    <t>组织</t>
  </si>
  <si>
    <t>他们组织了一个大型活动。</t>
  </si>
  <si>
    <t>凝固</t>
  </si>
  <si>
    <t>nínggù</t>
  </si>
  <si>
    <t>Đóng băng, đông cứng</t>
  </si>
  <si>
    <t>水变冷后会凝固。</t>
  </si>
  <si>
    <t>最初</t>
  </si>
  <si>
    <t>zuì chū</t>
  </si>
  <si>
    <t>ban đầu</t>
  </si>
  <si>
    <t>这是最初的设计方案。</t>
  </si>
  <si>
    <t>凝聚</t>
  </si>
  <si>
    <t>níngjù</t>
  </si>
  <si>
    <t>Ngưng tụ</t>
  </si>
  <si>
    <t xml:space="preserve">
水蒸气凝聚成了小水滴。</t>
  </si>
  <si>
    <t>醉</t>
  </si>
  <si>
    <t>say, say đắm</t>
  </si>
  <si>
    <t>凝视</t>
  </si>
  <si>
    <t>他喝酒后会很容易醉。</t>
  </si>
  <si>
    <t>níngshì</t>
  </si>
  <si>
    <t>Nhìn chằm chằm</t>
  </si>
  <si>
    <t>她凝视着远方的山脉。</t>
  </si>
  <si>
    <t>尊敬</t>
  </si>
  <si>
    <t>zūn jìng</t>
  </si>
  <si>
    <t>宁肯</t>
  </si>
  <si>
    <t>nìngkěn</t>
  </si>
  <si>
    <t>tôn kính, kính trọng</t>
  </si>
  <si>
    <t>Thà rằng, thà</t>
  </si>
  <si>
    <t>我们应该尊敬每一个人。</t>
  </si>
  <si>
    <t>我宁肯独自解决问题。</t>
  </si>
  <si>
    <t>遵守</t>
  </si>
  <si>
    <t>宁愿</t>
  </si>
  <si>
    <t>zūn shǒu</t>
  </si>
  <si>
    <t>nìngyuàn</t>
  </si>
  <si>
    <t>tuân thủ</t>
  </si>
  <si>
    <t>Thà, thà rằng</t>
  </si>
  <si>
    <t>请遵守交通规则。</t>
  </si>
  <si>
    <t>他宁愿放弃也不想继续。</t>
  </si>
  <si>
    <t>纽扣儿</t>
  </si>
  <si>
    <t>niǔkòur</t>
  </si>
  <si>
    <t>Khuy áo, cúc áo</t>
  </si>
  <si>
    <t>他的衬衫纽扣儿掉了。</t>
  </si>
  <si>
    <t>扭转</t>
  </si>
  <si>
    <t>niǔzhuǎn</t>
  </si>
  <si>
    <t>Xoay chuyển, xoay ngược</t>
  </si>
  <si>
    <t>他们正在努力扭转局面。</t>
  </si>
  <si>
    <t>浓厚</t>
  </si>
  <si>
    <t>nónghòu</t>
  </si>
  <si>
    <t>Đậm đặc, sâu đậm</t>
  </si>
  <si>
    <t>他对这项工作充满了浓厚的兴趣。</t>
  </si>
  <si>
    <t>作品</t>
  </si>
  <si>
    <t>zuò pǐn</t>
  </si>
  <si>
    <t>tác phẩm</t>
  </si>
  <si>
    <t>这部小说是他的最新作品。</t>
  </si>
  <si>
    <t>农历</t>
  </si>
  <si>
    <t>nónglì</t>
  </si>
  <si>
    <t>Lịch âm, âm lịch</t>
  </si>
  <si>
    <t>农历新年快到了。</t>
  </si>
  <si>
    <t>奴隶</t>
  </si>
  <si>
    <t>作为</t>
  </si>
  <si>
    <t>núlì</t>
  </si>
  <si>
    <t>zuò wéi</t>
  </si>
  <si>
    <t>Nô lệ</t>
  </si>
  <si>
    <t>coi là, làm, là</t>
  </si>
  <si>
    <t>作为老师，他很有责任心。</t>
  </si>
  <si>
    <t>他是一个奴隶主。</t>
  </si>
  <si>
    <t>挪</t>
  </si>
  <si>
    <t>nuó</t>
  </si>
  <si>
    <t>Chuyển, dời</t>
  </si>
  <si>
    <t>他把桌子挪到窗边。</t>
  </si>
  <si>
    <t>作文</t>
  </si>
  <si>
    <t>zuò wén</t>
  </si>
  <si>
    <t>bài viết</t>
  </si>
  <si>
    <t>我们需要写一篇作文。</t>
  </si>
  <si>
    <t>虐待</t>
  </si>
  <si>
    <t>nüèdài</t>
  </si>
  <si>
    <t>Ngược đãi</t>
  </si>
  <si>
    <t>他被指控虐待动物。</t>
  </si>
  <si>
    <t>哦</t>
  </si>
  <si>
    <t>ó</t>
  </si>
  <si>
    <t>Ồ, a</t>
  </si>
  <si>
    <t>哦，我明白了。</t>
  </si>
  <si>
    <t>殴打</t>
  </si>
  <si>
    <t>ōudǎ</t>
  </si>
  <si>
    <t>Đánh đập</t>
  </si>
  <si>
    <t>他被殴打得很严重。</t>
  </si>
  <si>
    <t>Ōuzhōu</t>
  </si>
  <si>
    <t>Châu Âu</t>
  </si>
  <si>
    <t>他计划去欧洲旅游。</t>
  </si>
  <si>
    <t>呕吐</t>
  </si>
  <si>
    <t>ǒutù</t>
  </si>
  <si>
    <t>Nôn mửa</t>
  </si>
  <si>
    <t>他吃了不干净的食物后呕吐了。</t>
  </si>
  <si>
    <t>趴</t>
  </si>
  <si>
    <t>pā</t>
  </si>
  <si>
    <t>Nằm sấp, phủ phục</t>
  </si>
  <si>
    <t>他趴在桌子上睡觉。</t>
  </si>
  <si>
    <t>排斥</t>
  </si>
  <si>
    <t>páichì</t>
  </si>
  <si>
    <t>Bài xích, loại trừ</t>
  </si>
  <si>
    <t>他总是排斥新的观点。</t>
  </si>
  <si>
    <t>排除</t>
  </si>
  <si>
    <t>páichú</t>
  </si>
  <si>
    <t>Loại trừ, loại bỏ</t>
  </si>
  <si>
    <t>我们必须排除所有可能的风险。</t>
  </si>
  <si>
    <t>排放</t>
  </si>
  <si>
    <t>páifàng</t>
  </si>
  <si>
    <t>Thải ra, xả thải</t>
  </si>
  <si>
    <t>这家工厂排放大量废气。</t>
  </si>
  <si>
    <t>徘徊</t>
  </si>
  <si>
    <t>páihuái</t>
  </si>
  <si>
    <t>Đi loanh quanh, lưỡng lự</t>
  </si>
  <si>
    <t>他在街上徘徊。</t>
  </si>
  <si>
    <t>派别</t>
  </si>
  <si>
    <t>pàibié</t>
  </si>
  <si>
    <t>Phái, bè phái</t>
  </si>
  <si>
    <t>他们是不同的派别。</t>
  </si>
  <si>
    <t>派遣</t>
  </si>
  <si>
    <t>pàiqiǎn</t>
  </si>
  <si>
    <t>Phái đi, cử đi</t>
  </si>
  <si>
    <t>公司派遣他去国外出差。</t>
  </si>
  <si>
    <t>攀登</t>
  </si>
  <si>
    <t>pāndēng</t>
  </si>
  <si>
    <t>Leo, trèo</t>
  </si>
  <si>
    <t>他喜欢攀登高山。</t>
  </si>
  <si>
    <t>盘旋</t>
  </si>
  <si>
    <t>pánxuán</t>
  </si>
  <si>
    <t>Lượn quanh</t>
  </si>
  <si>
    <t>直升机在空中盘旋。</t>
  </si>
  <si>
    <t>畔</t>
  </si>
  <si>
    <t>pàn</t>
  </si>
  <si>
    <t>Bờ, cạnh</t>
  </si>
  <si>
    <t>小溪在山畔流淌。</t>
  </si>
  <si>
    <t>判决</t>
  </si>
  <si>
    <t>pànjué</t>
  </si>
  <si>
    <t>Phán quyết</t>
  </si>
  <si>
    <t>法院宣布了判决。</t>
  </si>
  <si>
    <t>庞大</t>
  </si>
  <si>
    <t>pángdà</t>
  </si>
  <si>
    <t>To lớn, khổng lồ</t>
  </si>
  <si>
    <t>这家公司规模庞大。</t>
  </si>
  <si>
    <t>抛弃</t>
  </si>
  <si>
    <t>pāoqì</t>
  </si>
  <si>
    <t>Vứt bỏ, bỏ rơi</t>
  </si>
  <si>
    <t>他决定抛弃旧习惯。</t>
  </si>
  <si>
    <t>泡沫</t>
  </si>
  <si>
    <t>pàomò</t>
  </si>
  <si>
    <t>Bọt, bong bóng</t>
  </si>
  <si>
    <t>这种泡沫塑料很轻。</t>
  </si>
  <si>
    <t>péixùn</t>
  </si>
  <si>
    <t>Đào tạo, huấn luyện</t>
  </si>
  <si>
    <t>公司提供员工培训。</t>
  </si>
  <si>
    <t>培育</t>
  </si>
  <si>
    <t>péiyù</t>
  </si>
  <si>
    <t>Bồi dưỡng, nuôi dưỡng, chăm chút; gây trồng</t>
  </si>
  <si>
    <t>农民们正在培育新作物。</t>
  </si>
  <si>
    <t>配备</t>
  </si>
  <si>
    <t>pèibèi</t>
  </si>
  <si>
    <t>Trang bị</t>
  </si>
  <si>
    <t>我们需要配备更好的设备。</t>
  </si>
  <si>
    <t>配偶</t>
  </si>
  <si>
    <t>pèi'ǒu</t>
  </si>
  <si>
    <t>Bạn đời, vợ/chồng</t>
  </si>
  <si>
    <t>他找到了理想的配偶。</t>
  </si>
  <si>
    <t>配套</t>
  </si>
  <si>
    <t>pèitào</t>
  </si>
  <si>
    <t>Đồng bộ, hoàn chỉnh</t>
  </si>
  <si>
    <t>这个项目已经配套完成。</t>
  </si>
  <si>
    <t>盆地</t>
  </si>
  <si>
    <t>péndì</t>
  </si>
  <si>
    <t>Thung lũng</t>
  </si>
  <si>
    <t>这个盆地非常肥沃。</t>
  </si>
  <si>
    <t>烹饪</t>
  </si>
  <si>
    <t>pēngrèn</t>
  </si>
  <si>
    <t>Nấu ăn, nấu nướng</t>
  </si>
  <si>
    <t>她对烹饪很有兴趣。</t>
  </si>
  <si>
    <t>捧</t>
  </si>
  <si>
    <t>pěng</t>
  </si>
  <si>
    <t>Nâng, bưng</t>
  </si>
  <si>
    <t>她捧着一束鲜花。</t>
  </si>
  <si>
    <t>劈</t>
  </si>
  <si>
    <t>Chẻ, bổ</t>
  </si>
  <si>
    <t>他劈开了木头。</t>
  </si>
  <si>
    <t>批发</t>
  </si>
  <si>
    <t>pīfā</t>
  </si>
  <si>
    <t>Bán buôn</t>
  </si>
  <si>
    <t>他们批发了大量商品。</t>
  </si>
  <si>
    <t>批判</t>
  </si>
  <si>
    <t>pīpàn</t>
  </si>
  <si>
    <t>Phê phán, phê bình</t>
  </si>
  <si>
    <t>他的言论受到了批判。</t>
  </si>
  <si>
    <t>疲惫</t>
  </si>
  <si>
    <t>píbèi</t>
  </si>
  <si>
    <t>Mệt mỏi, mệt lả</t>
  </si>
  <si>
    <t>工作让他感到疲惫。</t>
  </si>
  <si>
    <t>皮革</t>
  </si>
  <si>
    <t>pígé</t>
  </si>
  <si>
    <t>Da thuộc</t>
  </si>
  <si>
    <t>这件皮革制品很贵。</t>
  </si>
  <si>
    <t>疲倦</t>
  </si>
  <si>
    <t>píjuàn</t>
  </si>
  <si>
    <t>Mệt mỏi, chán chường</t>
  </si>
  <si>
    <t>他看起来很疲倦。</t>
  </si>
  <si>
    <t>píqi</t>
  </si>
  <si>
    <t>Tính tình, tính khí</t>
  </si>
  <si>
    <t>他的脾气很暴躁。</t>
  </si>
  <si>
    <t>屁股</t>
  </si>
  <si>
    <t>pìgu</t>
  </si>
  <si>
    <t>Mông, đít</t>
  </si>
  <si>
    <t>他摔倒在地上，屁股很痛。</t>
  </si>
  <si>
    <t>譬如</t>
  </si>
  <si>
    <t>pìrú</t>
  </si>
  <si>
    <t>Ví dụ như</t>
  </si>
  <si>
    <t>譬如说，你可以试试这个方法。</t>
  </si>
  <si>
    <t>偏差</t>
  </si>
  <si>
    <t>piānchā</t>
  </si>
  <si>
    <t>Sai lệch, lệch lạc</t>
  </si>
  <si>
    <t>这个计划存在偏差。</t>
  </si>
  <si>
    <t>偏见</t>
  </si>
  <si>
    <t>piānjiàn</t>
  </si>
  <si>
    <t>Định kiến, thành kiến</t>
  </si>
  <si>
    <t>他对她有偏见。</t>
  </si>
  <si>
    <t>偏僻</t>
  </si>
  <si>
    <t>piānpì</t>
  </si>
  <si>
    <t>Hẻo lánh, xa xôi</t>
  </si>
  <si>
    <t>他们住在一个偏僻的村庄。</t>
  </si>
  <si>
    <t>偏偏</t>
  </si>
  <si>
    <t>piānpiān</t>
  </si>
  <si>
    <t>Cố ý, cố tình</t>
  </si>
  <si>
    <t>他偏偏喜欢这个。</t>
  </si>
  <si>
    <t>片段</t>
  </si>
  <si>
    <t>piànduàn</t>
  </si>
  <si>
    <t>Đoạn, mảnh</t>
  </si>
  <si>
    <t>这只是故事的一个片段。</t>
  </si>
  <si>
    <t>片刻</t>
  </si>
  <si>
    <t>piànkè</t>
  </si>
  <si>
    <t>Khoảnh khắc, một lát</t>
  </si>
  <si>
    <t>请等待片刻。</t>
  </si>
  <si>
    <t>漂浮</t>
  </si>
  <si>
    <t>piāofú</t>
  </si>
  <si>
    <t>Nổi, lơ lửng</t>
  </si>
  <si>
    <t>小船在湖面上漂浮。</t>
  </si>
  <si>
    <t>飘扬</t>
  </si>
  <si>
    <t>piāoyáng</t>
  </si>
  <si>
    <t>Bay phấp phới</t>
  </si>
  <si>
    <t>旗帜在风中飘扬。</t>
  </si>
  <si>
    <t>拼搏</t>
  </si>
  <si>
    <t>pīnbó</t>
  </si>
  <si>
    <t>Phấn đấu, nỗ lực</t>
  </si>
  <si>
    <t>他为了梦想拼搏。</t>
  </si>
  <si>
    <t>拼命</t>
  </si>
  <si>
    <t>pīnmìng</t>
  </si>
  <si>
    <t>Liều mạng, cố hết sức</t>
  </si>
  <si>
    <t>他拼命工作。</t>
  </si>
  <si>
    <t>贫乏</t>
  </si>
  <si>
    <t>pínfá</t>
  </si>
  <si>
    <t>Nghèo nàn</t>
  </si>
  <si>
    <t>资源贫乏使得发展困难。</t>
  </si>
  <si>
    <t>频繁</t>
  </si>
  <si>
    <t>pínfán</t>
  </si>
  <si>
    <t>Thường xuyên, nhiều lần</t>
  </si>
  <si>
    <t>他频繁地给我打电话。</t>
  </si>
  <si>
    <t>贫困</t>
  </si>
  <si>
    <t>pínkùn</t>
  </si>
  <si>
    <t>Nghèo khổ, nghèo khó</t>
  </si>
  <si>
    <t>这个地区非常贫困。</t>
  </si>
  <si>
    <t>频率</t>
  </si>
  <si>
    <t>pínlǜ</t>
  </si>
  <si>
    <t>Tần suất</t>
  </si>
  <si>
    <t>我们需要提高学习的频率。</t>
  </si>
  <si>
    <t>品尝</t>
  </si>
  <si>
    <t>pǐncháng</t>
  </si>
  <si>
    <t>Nếm, thưởng thức</t>
  </si>
  <si>
    <t>他品尝了所有的菜肴。</t>
  </si>
  <si>
    <t>品德</t>
  </si>
  <si>
    <t>pǐndé</t>
  </si>
  <si>
    <t>Đức hạnh</t>
  </si>
  <si>
    <t>他是一个有高尚品德的人。</t>
  </si>
  <si>
    <t>品行</t>
  </si>
  <si>
    <t>pǐnxíng</t>
  </si>
  <si>
    <t>Hạnh kiểm, hành vi</t>
  </si>
  <si>
    <t>他的品行无可挑剔。</t>
  </si>
  <si>
    <t>品质</t>
  </si>
  <si>
    <t>pǐnzhì</t>
  </si>
  <si>
    <t>Chất lượng</t>
  </si>
  <si>
    <t>他们的产品品质很好。</t>
  </si>
  <si>
    <t>平凡</t>
  </si>
  <si>
    <t>píngfán</t>
  </si>
  <si>
    <t>Bình thường</t>
  </si>
  <si>
    <t>他是一个平凡的人。</t>
  </si>
  <si>
    <t>评估</t>
  </si>
  <si>
    <t>pínggū</t>
  </si>
  <si>
    <t>Đánh giá</t>
  </si>
  <si>
    <t>我们需要评估这个项目的风险。</t>
  </si>
  <si>
    <t>评论</t>
  </si>
  <si>
    <t>pínglùn</t>
  </si>
  <si>
    <t>Bình luận</t>
  </si>
  <si>
    <t>他的评论很中肯。</t>
  </si>
  <si>
    <t>平面</t>
  </si>
  <si>
    <t>píngmiàn</t>
  </si>
  <si>
    <t>Bề mặt phẳng</t>
  </si>
  <si>
    <t>这是一幅美丽的平面图。</t>
  </si>
  <si>
    <t>平坦</t>
  </si>
  <si>
    <t>píngtǎn</t>
  </si>
  <si>
    <t>Bằng phẳng</t>
  </si>
  <si>
    <t>这条路很平坦。</t>
  </si>
  <si>
    <t>平行</t>
  </si>
  <si>
    <t>píngxíng</t>
  </si>
  <si>
    <t>Song song</t>
  </si>
  <si>
    <t>他们是平行线。</t>
  </si>
  <si>
    <t>平原</t>
  </si>
  <si>
    <t>píngyuán</t>
  </si>
  <si>
    <t>Đồng bằng</t>
  </si>
  <si>
    <t>这个平原很广阔。</t>
  </si>
  <si>
    <t>屏障</t>
  </si>
  <si>
    <t>píngzhàng</t>
  </si>
  <si>
    <t>Hàng rào, tường chắn</t>
  </si>
  <si>
    <t>树木形成了天然屏障。</t>
  </si>
  <si>
    <t>坡</t>
  </si>
  <si>
    <t>pō</t>
  </si>
  <si>
    <t>Dốc, sườn dốc</t>
  </si>
  <si>
    <t>他们从山坡上滑下来。</t>
  </si>
  <si>
    <t>泼</t>
  </si>
  <si>
    <t>Té, hắt</t>
  </si>
  <si>
    <t>他把水泼在了地上。</t>
  </si>
  <si>
    <t>颇</t>
  </si>
  <si>
    <t>Khá, hơi</t>
  </si>
  <si>
    <t>他的观点颇受争议。</t>
  </si>
  <si>
    <t>迫不及待</t>
  </si>
  <si>
    <t>pòbùjídài</t>
  </si>
  <si>
    <t>Không thể chờ được</t>
  </si>
  <si>
    <t>我迫不及待地想告诉你这个好消息。</t>
  </si>
  <si>
    <t>迫害</t>
  </si>
  <si>
    <t>pòhài</t>
  </si>
  <si>
    <t>Bức hại, đàn áp</t>
  </si>
  <si>
    <t>他因言论而受到迫害。</t>
  </si>
  <si>
    <t>破例</t>
  </si>
  <si>
    <t>pòlì</t>
  </si>
  <si>
    <t>Phá lệ</t>
  </si>
  <si>
    <t>这次我们破例允许他参加。</t>
  </si>
  <si>
    <t>魄力</t>
  </si>
  <si>
    <t>Quyết đoán, dũng khí</t>
  </si>
  <si>
    <t>她有很大的魄力。</t>
  </si>
  <si>
    <t>扑</t>
  </si>
  <si>
    <t>pū</t>
  </si>
  <si>
    <t>Vồ, bổ nhào</t>
  </si>
  <si>
    <t>他扑向了前面的敌人。</t>
  </si>
  <si>
    <t>铺</t>
  </si>
  <si>
    <t>Trải, bày</t>
  </si>
  <si>
    <t>他们在地上铺了一张毯子。</t>
  </si>
  <si>
    <t>普及</t>
  </si>
  <si>
    <t>pǔjí</t>
  </si>
  <si>
    <t>Phổ cập</t>
  </si>
  <si>
    <t>这本书的内容很普及。</t>
  </si>
  <si>
    <t>朴实</t>
  </si>
  <si>
    <t>pǔshí</t>
  </si>
  <si>
    <t>Chất phác, giản dị</t>
  </si>
  <si>
    <t>他的生活非常朴实。</t>
  </si>
  <si>
    <t>瀑布</t>
  </si>
  <si>
    <t>pùbù</t>
  </si>
  <si>
    <t>Thác nước</t>
  </si>
  <si>
    <t>我们去了一个美丽的瀑布。</t>
  </si>
  <si>
    <t>欺负</t>
  </si>
  <si>
    <t>qīfu</t>
  </si>
  <si>
    <t>Bắt nạt, ức hiếp</t>
  </si>
  <si>
    <t>他总是欺负弱小。</t>
  </si>
  <si>
    <t>凄凉</t>
  </si>
  <si>
    <t>qīliáng</t>
  </si>
  <si>
    <t>Thê lương, buồn bã</t>
  </si>
  <si>
    <t>这个地方显得很凄凉。</t>
  </si>
  <si>
    <t>欺骗</t>
  </si>
  <si>
    <t>qīpiàn</t>
  </si>
  <si>
    <t>Lừa dối</t>
  </si>
  <si>
    <t>他被朋友欺骗了。</t>
  </si>
  <si>
    <t>期望</t>
  </si>
  <si>
    <t>qīwàng</t>
  </si>
  <si>
    <t>Kỳ vọng, mong đợi</t>
  </si>
  <si>
    <t>我对你的期望很高。</t>
  </si>
  <si>
    <t>期限</t>
  </si>
  <si>
    <t>qīxiàn</t>
  </si>
  <si>
    <t>Thời hạn</t>
  </si>
  <si>
    <t>请在期限内完成任务。</t>
  </si>
  <si>
    <t>奇妙</t>
  </si>
  <si>
    <t>qímiào</t>
  </si>
  <si>
    <t>Kỳ diệu</t>
  </si>
  <si>
    <t>这个地方有很多奇妙的事情。</t>
  </si>
  <si>
    <t>旗袍</t>
  </si>
  <si>
    <t>qípáo</t>
  </si>
  <si>
    <t>Sườn xám</t>
  </si>
  <si>
    <t>她穿了一件漂亮的旗袍。</t>
  </si>
  <si>
    <t>齐全</t>
  </si>
  <si>
    <t>qíquán</t>
  </si>
  <si>
    <t>Đầy đủ, trọn vẹn</t>
  </si>
  <si>
    <t>这个房间设备齐全。</t>
  </si>
  <si>
    <t>歧视</t>
  </si>
  <si>
    <t>qíshì</t>
  </si>
  <si>
    <t>Kỳ thị</t>
  </si>
  <si>
    <t>我们必须杜绝歧视。</t>
  </si>
  <si>
    <t>齐心协力</t>
  </si>
  <si>
    <t>qíxīnxiélì</t>
  </si>
  <si>
    <t>Đồng tâm hiệp lực</t>
  </si>
  <si>
    <t>大家齐心协力完成了任务。</t>
  </si>
  <si>
    <t>旗帜</t>
  </si>
  <si>
    <t>qízhì</t>
  </si>
  <si>
    <t>Cờ, biểu ngữ</t>
  </si>
  <si>
    <t>那面旗帜在风中飘扬。</t>
  </si>
  <si>
    <t>起草</t>
  </si>
  <si>
    <t>qǐcǎo</t>
  </si>
  <si>
    <t>khởi thảo; thảo ra; phác; viết nháp</t>
  </si>
  <si>
    <t>他负责起草这份文件。</t>
  </si>
  <si>
    <t>启程</t>
  </si>
  <si>
    <t>qǐchéng</t>
  </si>
  <si>
    <t>Khởi hành</t>
  </si>
  <si>
    <t>我们明天启程去旅行。</t>
  </si>
  <si>
    <t>起初</t>
  </si>
  <si>
    <t>qǐchū</t>
  </si>
  <si>
    <t>Ban đầu, lúc đầu</t>
  </si>
  <si>
    <t>起初他不太愿意。</t>
  </si>
  <si>
    <t>起伏</t>
  </si>
  <si>
    <t>qǐfú</t>
  </si>
  <si>
    <t>Nhấp nhô, thăng trầm</t>
  </si>
  <si>
    <t>这条路起伏不平。</t>
  </si>
  <si>
    <t>乞丐</t>
  </si>
  <si>
    <t>qǐgài</t>
  </si>
  <si>
    <t>Ăn mày, ăn xin</t>
  </si>
  <si>
    <t>乞丐在街上乞讨。</t>
  </si>
  <si>
    <t>起哄</t>
  </si>
  <si>
    <t>qǐhòng</t>
  </si>
  <si>
    <t>Gây rối, quấy phá</t>
  </si>
  <si>
    <t>孩子们在起哄。</t>
  </si>
  <si>
    <t>起码</t>
  </si>
  <si>
    <t>qǐmǎ</t>
  </si>
  <si>
    <t>Tối thiểu, ít nhất</t>
  </si>
  <si>
    <t>起码你应该道歉。</t>
  </si>
  <si>
    <t>启示</t>
  </si>
  <si>
    <t>qǐshì</t>
  </si>
  <si>
    <t>Gợi ý, khơi dậy</t>
  </si>
  <si>
    <t>这件事给了我很大的启示。</t>
  </si>
  <si>
    <t>启事</t>
  </si>
  <si>
    <t>Thông báo</t>
  </si>
  <si>
    <t>公告栏上贴了一个启事。</t>
  </si>
  <si>
    <t>起义</t>
  </si>
  <si>
    <t>qǐyì</t>
  </si>
  <si>
    <t>Khởi nghĩa</t>
  </si>
  <si>
    <t>他们策划了一场起义。</t>
  </si>
  <si>
    <t>岂有此理</t>
  </si>
  <si>
    <t>qǐyǒucǐlǐ</t>
  </si>
  <si>
    <t>lẽ nào lại như vậy; lẽ nào có lí đó; đâu có thế được</t>
  </si>
  <si>
    <t>这种行为真是岂有此理。</t>
  </si>
  <si>
    <t>起源</t>
  </si>
  <si>
    <t>qǐyuán</t>
  </si>
  <si>
    <t>Nguồn gốc</t>
  </si>
  <si>
    <t>文化起源于生活。</t>
  </si>
  <si>
    <t>器材</t>
  </si>
  <si>
    <t>qìcái</t>
  </si>
  <si>
    <t>Thiết bị, dụng cụ</t>
  </si>
  <si>
    <t>运动器材已经准备好了。</t>
  </si>
  <si>
    <t>气概</t>
  </si>
  <si>
    <t>qìgài</t>
  </si>
  <si>
    <t>Khí phách</t>
  </si>
  <si>
    <t>他有很大的气概。</t>
  </si>
  <si>
    <t>气功</t>
  </si>
  <si>
    <t>qìgōng</t>
  </si>
  <si>
    <t>Khí công</t>
  </si>
  <si>
    <t>他在练气功。</t>
  </si>
  <si>
    <t>器官</t>
  </si>
  <si>
    <t>qìguān</t>
  </si>
  <si>
    <t>Cơ quan (cơ thể)</t>
  </si>
  <si>
    <t>人体的器官很复杂。</t>
  </si>
  <si>
    <t>迄今为止</t>
  </si>
  <si>
    <t>qìjīnwéizhǐ</t>
  </si>
  <si>
    <t>Cho đến nay</t>
  </si>
  <si>
    <t>迄今为止，一切顺利。</t>
  </si>
  <si>
    <t>气魄</t>
  </si>
  <si>
    <t>qìpò</t>
  </si>
  <si>
    <t>Khí phách, dũng khí</t>
  </si>
  <si>
    <t>他的气魄令人敬佩。</t>
  </si>
  <si>
    <t>气色</t>
  </si>
  <si>
    <t>qìsè</t>
  </si>
  <si>
    <t>Thần sắc</t>
  </si>
  <si>
    <t>他的气色很好。</t>
  </si>
  <si>
    <t>气势</t>
  </si>
  <si>
    <t>qìshì</t>
  </si>
  <si>
    <t>Khí thế</t>
  </si>
  <si>
    <t>他的气势很强。</t>
  </si>
  <si>
    <t>气味</t>
  </si>
  <si>
    <t>qìwèi</t>
  </si>
  <si>
    <t>Mùi hương, mùi vị</t>
  </si>
  <si>
    <t>这花闻起来有特殊的气味。</t>
  </si>
  <si>
    <t>气象</t>
  </si>
  <si>
    <t>qìxiàng</t>
  </si>
  <si>
    <t>Khí tượng</t>
  </si>
  <si>
    <t>气象预报说今天有雨。</t>
  </si>
  <si>
    <t>气压</t>
  </si>
  <si>
    <t>qìyā</t>
  </si>
  <si>
    <t>Áp suất không khí</t>
  </si>
  <si>
    <t>我们要考虑气压变化。</t>
  </si>
  <si>
    <t>掐</t>
  </si>
  <si>
    <t>qiā</t>
  </si>
  <si>
    <t>Véo, ngắt</t>
  </si>
  <si>
    <t>她掐了一朵花。</t>
  </si>
  <si>
    <t>恰当</t>
  </si>
  <si>
    <t>qiàdàng</t>
  </si>
  <si>
    <t>Thích hợp, hợp lý</t>
  </si>
  <si>
    <t>这次会议的安排非常恰当。</t>
  </si>
  <si>
    <t>恰到好处</t>
  </si>
  <si>
    <t>qiàdàohǎochù</t>
  </si>
  <si>
    <t>Vừa vặn, đúng chỗ</t>
  </si>
  <si>
    <t>他做事总是恰到好处。</t>
  </si>
  <si>
    <t>恰巧</t>
  </si>
  <si>
    <t>qiàqiǎo</t>
  </si>
  <si>
    <t>Đúng lúc, khéo léo</t>
  </si>
  <si>
    <t>恰巧我们有相同的兴趣爱好。</t>
  </si>
  <si>
    <t>洽谈</t>
  </si>
  <si>
    <t>qiàtán</t>
  </si>
  <si>
    <t>Thảo luận, bàn bạc</t>
  </si>
  <si>
    <t>他们在洽谈合作事宜。</t>
  </si>
  <si>
    <t>牵扯</t>
  </si>
  <si>
    <t>qiānchě</t>
  </si>
  <si>
    <t>Dính líu, liên lụy</t>
  </si>
  <si>
    <t>这个问题牵扯到很多人。</t>
  </si>
  <si>
    <t>签订</t>
  </si>
  <si>
    <t>qiāndìng</t>
  </si>
  <si>
    <t>Ký kết</t>
  </si>
  <si>
    <t>他们签订了合同。</t>
  </si>
  <si>
    <t>千方百计</t>
  </si>
  <si>
    <t>qiānfāngbǎijì</t>
  </si>
  <si>
    <t>Trăm phương ngàn kế</t>
  </si>
  <si>
    <t>我们千方百计地解决问题。</t>
  </si>
  <si>
    <t>迁就</t>
  </si>
  <si>
    <t>qiānjiù</t>
  </si>
  <si>
    <t>Nhường nhịn, nhún nhường</t>
  </si>
  <si>
    <t>他总是迁就别人。</t>
  </si>
  <si>
    <t>签署</t>
  </si>
  <si>
    <t>qiānshǔ</t>
  </si>
  <si>
    <t>Ký, phê chuẩn</t>
  </si>
  <si>
    <t>双方签署了协议。</t>
  </si>
  <si>
    <t>迁徙</t>
  </si>
  <si>
    <t>qiānxǐ</t>
  </si>
  <si>
    <t>Di cư, chuyển chỗ ở</t>
  </si>
  <si>
    <t>动物在季节变化时会迁徙。</t>
  </si>
  <si>
    <t>谦逊</t>
  </si>
  <si>
    <t>qiānxùn</t>
  </si>
  <si>
    <t>Khiêm tốn</t>
  </si>
  <si>
    <t>他很谦逊，从不夸耀。</t>
  </si>
  <si>
    <t>牵制</t>
  </si>
  <si>
    <t>qiānzhì</t>
  </si>
  <si>
    <t>Kìm chế, ràng buộc</t>
  </si>
  <si>
    <t>她的发言起到了牵制作用。</t>
  </si>
  <si>
    <t>前景</t>
  </si>
  <si>
    <t>qiánjǐng</t>
  </si>
  <si>
    <t>Triển vọng</t>
  </si>
  <si>
    <t>公司的前景很光明。</t>
  </si>
  <si>
    <t>潜力</t>
  </si>
  <si>
    <t>qiánlì</t>
  </si>
  <si>
    <t>Tiềm năng</t>
  </si>
  <si>
    <t>他有很大的潜力。</t>
  </si>
  <si>
    <t>潜水</t>
  </si>
  <si>
    <t>qiánshuǐ</t>
  </si>
  <si>
    <t>Lặn</t>
  </si>
  <si>
    <t>他喜欢潜水。</t>
  </si>
  <si>
    <t>前提</t>
  </si>
  <si>
    <t>qiántí</t>
  </si>
  <si>
    <t>Tiền đề</t>
  </si>
  <si>
    <t>这是合作的前提。</t>
  </si>
  <si>
    <t>潜移默化</t>
  </si>
  <si>
    <t>qiányímòhuà</t>
  </si>
  <si>
    <t>Thay đổi ngầm</t>
  </si>
  <si>
    <t>这种影响是潜移默化的。</t>
  </si>
  <si>
    <t>谴责</t>
  </si>
  <si>
    <t>qiǎnzé</t>
  </si>
  <si>
    <t>Khiển trách, lên án</t>
  </si>
  <si>
    <t>他们谴责了这种行为。</t>
  </si>
  <si>
    <t>抢劫</t>
  </si>
  <si>
    <t>qiǎngjié</t>
  </si>
  <si>
    <t>警察阻止了抢劫。</t>
  </si>
  <si>
    <t>强制</t>
  </si>
  <si>
    <t>qiángzhì</t>
  </si>
  <si>
    <t>Ép buộc, cưỡng chế</t>
  </si>
  <si>
    <t>法律强制执行。</t>
  </si>
  <si>
    <t>抢救</t>
  </si>
  <si>
    <t>qiǎngjiù</t>
  </si>
  <si>
    <t>Cứu trợ, cấp cứu</t>
  </si>
  <si>
    <t>他因心脏病被紧急抢救。</t>
  </si>
  <si>
    <t>强迫</t>
  </si>
  <si>
    <t>qiǎngpò</t>
  </si>
  <si>
    <t>Ép buộc, cưỡng ép</t>
  </si>
  <si>
    <t>你不能强迫别人。</t>
  </si>
  <si>
    <t>桥梁</t>
  </si>
  <si>
    <t>qiáoliáng</t>
  </si>
  <si>
    <t>Cầu, cầu nối</t>
  </si>
  <si>
    <t>这座桥梁连接了两地。</t>
  </si>
  <si>
    <t>翘</t>
  </si>
  <si>
    <t>qiào</t>
  </si>
  <si>
    <t>Vểnh, nhô lên,cong</t>
  </si>
  <si>
    <t>她的睫毛很翘。</t>
  </si>
  <si>
    <t>锲而不舍</t>
  </si>
  <si>
    <t>qiè'érbùshě</t>
  </si>
  <si>
    <t>Kiên trì không bỏ cuộc</t>
  </si>
  <si>
    <t>我们要锲而不舍地追求梦想。</t>
  </si>
  <si>
    <t>切实</t>
  </si>
  <si>
    <t>qièshí</t>
  </si>
  <si>
    <t>Thiết thực, cụ thể</t>
  </si>
  <si>
    <t>我们要采取切实的措施。</t>
  </si>
  <si>
    <t>侵犯</t>
  </si>
  <si>
    <t>qīnfàn</t>
  </si>
  <si>
    <t>Xâm phạm, xâm lấn</t>
  </si>
  <si>
    <t>侵犯他人的权利是不对的。</t>
  </si>
  <si>
    <t>钦佩</t>
  </si>
  <si>
    <t>qīnpèi</t>
  </si>
  <si>
    <t>Kính phục, thán phục</t>
  </si>
  <si>
    <t>我钦佩他的勇气。</t>
  </si>
  <si>
    <t>亲热</t>
  </si>
  <si>
    <t>qīnrè</t>
  </si>
  <si>
    <t>Thân mật, nồng nhiệt</t>
  </si>
  <si>
    <t>他们关系很亲热。</t>
  </si>
  <si>
    <t>亲身</t>
  </si>
  <si>
    <t>qīnshēn</t>
  </si>
  <si>
    <t>Tự mình, bản thân</t>
  </si>
  <si>
    <t>他亲身经历了这件事。</t>
  </si>
  <si>
    <t>勤俭</t>
  </si>
  <si>
    <t>qínjiǎn</t>
  </si>
  <si>
    <t>Cần kiệm</t>
  </si>
  <si>
    <t>我们要勤俭节约。</t>
  </si>
  <si>
    <t>勤恳</t>
  </si>
  <si>
    <t>qínkěn</t>
  </si>
  <si>
    <t>Chăm chỉ, cần cù</t>
  </si>
  <si>
    <t>她做事非常勤恳。</t>
  </si>
  <si>
    <t>氢</t>
  </si>
  <si>
    <t>Khinh, khí hiếm</t>
  </si>
  <si>
    <t>氢是一种轻气体。</t>
  </si>
  <si>
    <t>清澈</t>
  </si>
  <si>
    <t>qīngchè</t>
  </si>
  <si>
    <t>Trong suốt</t>
  </si>
  <si>
    <t>湖水清澈见底。</t>
  </si>
  <si>
    <t>清晨</t>
  </si>
  <si>
    <t>qīngchén</t>
  </si>
  <si>
    <t>Sáng sớm</t>
  </si>
  <si>
    <t>清晨的空气很新鲜。</t>
  </si>
  <si>
    <t>清除</t>
  </si>
  <si>
    <t>qīngchú</t>
  </si>
  <si>
    <t>Dọn sạch, loại bỏ</t>
  </si>
  <si>
    <t>我们需要清除杂草。</t>
  </si>
  <si>
    <t>轻而易举</t>
  </si>
  <si>
    <t>qīng'éryìjǔ</t>
  </si>
  <si>
    <t>Dễ dàng, dễ như trở bàn tay</t>
  </si>
  <si>
    <t>这个任务轻而易举。</t>
  </si>
  <si>
    <t>清洁</t>
  </si>
  <si>
    <t>qīngjié</t>
  </si>
  <si>
    <t>Sạch sẽ, vệ sinh</t>
  </si>
  <si>
    <t>房间需要清洁。</t>
  </si>
  <si>
    <t>清理</t>
  </si>
  <si>
    <t>qīnglǐ</t>
  </si>
  <si>
    <t>Dọn dẹp, sắp xếp</t>
  </si>
  <si>
    <t>请清理桌子上的书。</t>
  </si>
  <si>
    <t>倾听</t>
  </si>
  <si>
    <t>qīngtīng</t>
  </si>
  <si>
    <t>Lắng nghe</t>
  </si>
  <si>
    <t>他静静地倾听大家的意见。</t>
  </si>
  <si>
    <t>清晰</t>
  </si>
  <si>
    <t>qīngxī</t>
  </si>
  <si>
    <t>Rõ ràng, rõ nét</t>
  </si>
  <si>
    <t>图片非常清晰。</t>
  </si>
  <si>
    <t>倾向</t>
  </si>
  <si>
    <t>qīngxiàng</t>
  </si>
  <si>
    <t>Khuynh hướng, xu hướng</t>
  </si>
  <si>
    <t>他倾向于支持这个提案。</t>
  </si>
  <si>
    <t>倾斜</t>
  </si>
  <si>
    <t>qīngxié</t>
  </si>
  <si>
    <t>Nghiêng, lệch</t>
  </si>
  <si>
    <t>这栋房子有点倾斜。</t>
  </si>
  <si>
    <t>清醒</t>
  </si>
  <si>
    <t>qīngxǐng</t>
  </si>
  <si>
    <t>Tỉnh táo, sáng suốt</t>
  </si>
  <si>
    <t>他终于清醒了过来。</t>
  </si>
  <si>
    <t>清真</t>
  </si>
  <si>
    <t>qīngzhēn</t>
  </si>
  <si>
    <t>Hồi giáo, chính giáo, trong sạch; chất phác</t>
  </si>
  <si>
    <t>他是一位清真厨师。</t>
  </si>
  <si>
    <t>情报</t>
  </si>
  <si>
    <t>qíngbào</t>
  </si>
  <si>
    <t>Tình báo, thông tin</t>
  </si>
  <si>
    <t>情报显示敌人正在接近。</t>
  </si>
  <si>
    <t>情节</t>
  </si>
  <si>
    <t>qíngjié</t>
  </si>
  <si>
    <t>Tình tiết, chi tiết</t>
  </si>
  <si>
    <t>这本小说的情节很紧张。</t>
  </si>
  <si>
    <t>晴朗</t>
  </si>
  <si>
    <t>qínglǎng</t>
  </si>
  <si>
    <t>Trời quang, trời trong</t>
  </si>
  <si>
    <t>天气晴朗，非常适合出游。</t>
  </si>
  <si>
    <t>情理</t>
  </si>
  <si>
    <t>qínglǐ</t>
  </si>
  <si>
    <t>Lý lẽ, đạo lý</t>
  </si>
  <si>
    <t>这种行为不符合情理。</t>
  </si>
  <si>
    <t>情形</t>
  </si>
  <si>
    <t>qíngxíng</t>
  </si>
  <si>
    <t>Tình hình, hoàn cảnh</t>
  </si>
  <si>
    <t>目前的情形非常复杂。</t>
  </si>
  <si>
    <t>请柬</t>
  </si>
  <si>
    <t>qǐngjiǎn</t>
  </si>
  <si>
    <t>Thiệp mời</t>
  </si>
  <si>
    <t>我们收到了你的请柬。</t>
  </si>
  <si>
    <t>请教</t>
  </si>
  <si>
    <t>qǐngjiào</t>
  </si>
  <si>
    <t>Thỉnh giáo, xin ý kiến</t>
  </si>
  <si>
    <t>请教我如何使用这个软件。</t>
  </si>
  <si>
    <t>请示</t>
  </si>
  <si>
    <t>qǐngshì</t>
  </si>
  <si>
    <t>Xin chỉ thị, xin ý kiến</t>
  </si>
  <si>
    <t>他向上级请示了这件事。</t>
  </si>
  <si>
    <t>请帖</t>
  </si>
  <si>
    <t>qǐngtiě</t>
  </si>
  <si>
    <t>我们收到了结婚请帖。</t>
  </si>
  <si>
    <t>丘陵</t>
  </si>
  <si>
    <t>qiūlíng</t>
  </si>
  <si>
    <t>Đồi núi, đồi cỏ</t>
  </si>
  <si>
    <t>丘陵地区非常适合种植葡萄。</t>
  </si>
  <si>
    <t>区分</t>
  </si>
  <si>
    <t>qūfēn</t>
  </si>
  <si>
    <t>Phân biệt, chia tách</t>
  </si>
  <si>
    <t>我们需要区分事实和观点。</t>
  </si>
  <si>
    <t>屈服</t>
  </si>
  <si>
    <t>qūfú</t>
  </si>
  <si>
    <t>Khuất phục, đầu hàng</t>
  </si>
  <si>
    <t>面对强大的对手，他不得不屈服。</t>
  </si>
  <si>
    <t>区域</t>
  </si>
  <si>
    <t>qūyù</t>
  </si>
  <si>
    <t>Khu vực, vùng</t>
  </si>
  <si>
    <t>这个区域禁止吸烟。</t>
  </si>
  <si>
    <t>曲折</t>
  </si>
  <si>
    <t>qūzhé</t>
  </si>
  <si>
    <t>Quanh co, khúc khuỷu</t>
  </si>
  <si>
    <t>这条路非常曲折。</t>
  </si>
  <si>
    <t>驱逐</t>
  </si>
  <si>
    <t>qūzhú</t>
  </si>
  <si>
    <t>Trục xuất, xua đuổi</t>
  </si>
  <si>
    <t>他被驱逐出境了。</t>
  </si>
  <si>
    <t>渠道</t>
  </si>
  <si>
    <t>qúdào</t>
  </si>
  <si>
    <t>Kênh rạch, kênh</t>
  </si>
  <si>
    <t>他们正在挖掘新的渠道。</t>
  </si>
  <si>
    <t>取缔</t>
  </si>
  <si>
    <t>qǔdì</t>
  </si>
  <si>
    <t>Cấm đoán, cấm chỉ</t>
  </si>
  <si>
    <t>政府取缔了非法活动。</t>
  </si>
  <si>
    <t>曲子</t>
  </si>
  <si>
    <t>qǔzi</t>
  </si>
  <si>
    <t>Bài hát, bản nhạc</t>
  </si>
  <si>
    <t>这首曲子很动听。</t>
  </si>
  <si>
    <t>趣味</t>
  </si>
  <si>
    <t>qùwèi</t>
  </si>
  <si>
    <t>Hứng thú, thú vị</t>
  </si>
  <si>
    <t>他对生活充满了趣味。</t>
  </si>
  <si>
    <t>圈套</t>
  </si>
  <si>
    <t>quāntào</t>
  </si>
  <si>
    <t>Cái bẫy, cạm bẫy</t>
  </si>
  <si>
    <t>他掉进了对手设的圈套。</t>
  </si>
  <si>
    <t>权衡</t>
  </si>
  <si>
    <t>quánhéng</t>
  </si>
  <si>
    <t>Cân nhắc, xem xét</t>
  </si>
  <si>
    <t>我们需要权衡利弊。</t>
  </si>
  <si>
    <t>全局</t>
  </si>
  <si>
    <t>quánjú</t>
  </si>
  <si>
    <t>Toàn bộ cục diện</t>
  </si>
  <si>
    <t>公司的全局策略非常成功。</t>
  </si>
  <si>
    <t>全力以赴</t>
  </si>
  <si>
    <t>quánlìyǐfù</t>
  </si>
  <si>
    <t>Dốc toàn lực, toàn tâm toàn ý</t>
  </si>
  <si>
    <t>我们将全力以赴完成任务。</t>
  </si>
  <si>
    <t>拳头</t>
  </si>
  <si>
    <t>quántou</t>
  </si>
  <si>
    <t>Nắm đấm, quyền lực</t>
  </si>
  <si>
    <t>他的拳头很有力。</t>
  </si>
  <si>
    <t>权威</t>
  </si>
  <si>
    <t>quánwēi</t>
  </si>
  <si>
    <t>Quyền uy, uy tín</t>
  </si>
  <si>
    <t>他是一位权威的学者。</t>
  </si>
  <si>
    <t>权益</t>
  </si>
  <si>
    <t>quányì</t>
  </si>
  <si>
    <t>Quyền lợi và lợi ích</t>
  </si>
  <si>
    <t>我们必须维护自己的权益。</t>
  </si>
  <si>
    <t>犬</t>
  </si>
  <si>
    <t>quǎn</t>
  </si>
  <si>
    <t>Chó, cẩu</t>
  </si>
  <si>
    <t>他养了一只可爱的犬。</t>
  </si>
  <si>
    <t>缺口</t>
  </si>
  <si>
    <t>quēkǒu</t>
  </si>
  <si>
    <t>Chỗ hổng, khe hở</t>
  </si>
  <si>
    <t>墙上有一个缺口。</t>
  </si>
  <si>
    <t>缺席</t>
  </si>
  <si>
    <t>quēxí</t>
  </si>
  <si>
    <t>Vắng mặt, không tham dự</t>
  </si>
  <si>
    <t>他因病缺席了会议。</t>
  </si>
  <si>
    <t>缺陷</t>
  </si>
  <si>
    <t>quēxiàn</t>
  </si>
  <si>
    <t>Khiếm khuyết, khuyết điểm</t>
  </si>
  <si>
    <t>这个机器有一些缺陷。</t>
  </si>
  <si>
    <t>瘸</t>
  </si>
  <si>
    <t>qué</t>
  </si>
  <si>
    <t>Khập khiễng, què</t>
  </si>
  <si>
    <t>他摔倒了，腿瘸了。</t>
  </si>
  <si>
    <t>确保</t>
  </si>
  <si>
    <t>quèbǎo</t>
  </si>
  <si>
    <t>Đảm bảo, bảo đảm</t>
  </si>
  <si>
    <t>我们必须确保安全。</t>
  </si>
  <si>
    <t>确立</t>
  </si>
  <si>
    <t>quèlì</t>
  </si>
  <si>
    <t>Xác lập, thiết lập</t>
  </si>
  <si>
    <t>我们确立了新的目标。</t>
  </si>
  <si>
    <t>确切</t>
  </si>
  <si>
    <t>quèqiè</t>
  </si>
  <si>
    <t>Chính xác, xác thực</t>
  </si>
  <si>
    <t>他的话很确切。</t>
  </si>
  <si>
    <t>确信</t>
  </si>
  <si>
    <t>quèxìn</t>
  </si>
  <si>
    <t>Tin chắc, tin tưởng</t>
  </si>
  <si>
    <t>我确信他会成功。</t>
  </si>
  <si>
    <t>群众</t>
  </si>
  <si>
    <t>qúnzhòng</t>
  </si>
  <si>
    <t>Quần chúng, nhân dân</t>
  </si>
  <si>
    <t>群众对这个政策表示支持。</t>
  </si>
  <si>
    <t>染</t>
  </si>
  <si>
    <t>rǎn</t>
  </si>
  <si>
    <t>Nhuộm, tô điểm, nhiễm</t>
  </si>
  <si>
    <t>他染上了坏习惯。</t>
  </si>
  <si>
    <t>让步</t>
  </si>
  <si>
    <t>ràngbù</t>
  </si>
  <si>
    <t>Nhượng bộ, lùi bước</t>
  </si>
  <si>
    <t>他最终做出了让步。</t>
  </si>
  <si>
    <t>饶恕</t>
  </si>
  <si>
    <t>ráoshù</t>
  </si>
  <si>
    <t>Tha thứ, tha lỗi</t>
  </si>
  <si>
    <t>请你饶恕我的错误。</t>
  </si>
  <si>
    <t>扰乱</t>
  </si>
  <si>
    <t>rǎoluàn</t>
  </si>
  <si>
    <t>Quấy rối, làm loạn</t>
  </si>
  <si>
    <t>这个消息扰乱了秩序。</t>
  </si>
  <si>
    <t>惹祸</t>
  </si>
  <si>
    <t>rěhuò</t>
  </si>
  <si>
    <t>Gây họa, gây rắc rối</t>
  </si>
  <si>
    <t>他的行为惹祸了。</t>
  </si>
  <si>
    <t>热泪盈眶</t>
  </si>
  <si>
    <t>rèlèiyíngkuàng</t>
  </si>
  <si>
    <t>Nước mắt đầm đìa</t>
  </si>
  <si>
    <t>听到这个消息，她热泪盈眶。</t>
  </si>
  <si>
    <t>热门</t>
  </si>
  <si>
    <t>rèmén</t>
  </si>
  <si>
    <t>Phổ biến, thịnh hành</t>
  </si>
  <si>
    <t>这个话题非常热门。</t>
  </si>
  <si>
    <t>仁慈</t>
  </si>
  <si>
    <t>réncí</t>
  </si>
  <si>
    <t>Nhân từ, nhân hậu</t>
  </si>
  <si>
    <t>他是一个仁慈的人。</t>
  </si>
  <si>
    <t>人道</t>
  </si>
  <si>
    <t>réndào</t>
  </si>
  <si>
    <t>Nhân đạo</t>
  </si>
  <si>
    <t>他们提倡人道待遇。</t>
  </si>
  <si>
    <t>人格</t>
  </si>
  <si>
    <t>réngé</t>
  </si>
  <si>
    <t>Nhân cách, phẩm cách</t>
  </si>
  <si>
    <t xml:space="preserve"> 主人和仆人的人格是平等的
</t>
  </si>
  <si>
    <t>人工</t>
  </si>
  <si>
    <t>réngōng</t>
  </si>
  <si>
    <t>Nhân công, lao động</t>
  </si>
  <si>
    <t>这种技术需要人工操作。</t>
  </si>
  <si>
    <t>人家</t>
  </si>
  <si>
    <t>rénjiā</t>
  </si>
  <si>
    <t>Nhà cửa, gia đình</t>
  </si>
  <si>
    <t>人家都说他很聪明。</t>
  </si>
  <si>
    <t>人间</t>
  </si>
  <si>
    <t>rénjiān</t>
  </si>
  <si>
    <t>Nhân gian, thế gian</t>
  </si>
  <si>
    <t>这是人间的天堂。</t>
  </si>
  <si>
    <t>人士</t>
  </si>
  <si>
    <t>rénshì</t>
  </si>
  <si>
    <t>Nhân sĩ, người</t>
  </si>
  <si>
    <t>参加研讨会的各界人士济济一堂，气氛相当热烈。</t>
  </si>
  <si>
    <t>人为</t>
  </si>
  <si>
    <t>rénwéi</t>
  </si>
  <si>
    <t>Do con người làm</t>
  </si>
  <si>
    <t>他的成功不是偶然的，而是人为的。</t>
  </si>
  <si>
    <t>人性</t>
  </si>
  <si>
    <t>rénxìng</t>
  </si>
  <si>
    <t>Nhân tính, bản tính</t>
  </si>
  <si>
    <t>人性有时是复杂的。</t>
  </si>
  <si>
    <t>人质</t>
  </si>
  <si>
    <t>rénzhì</t>
  </si>
  <si>
    <t>Con tin, người bị bắt</t>
  </si>
  <si>
    <t>绑架者要求人质的家人支付赎金。</t>
  </si>
  <si>
    <t>忍耐</t>
  </si>
  <si>
    <t>rěnnài</t>
  </si>
  <si>
    <t>Nhẫn nại, chịu đựng</t>
  </si>
  <si>
    <t>你必须学会忍耐。</t>
  </si>
  <si>
    <t>忍受</t>
  </si>
  <si>
    <t>rěnshòu</t>
  </si>
  <si>
    <t>Chịu đựng, cam chịu</t>
  </si>
  <si>
    <t>我无法忍受这种痛苦。</t>
  </si>
  <si>
    <t>认定</t>
  </si>
  <si>
    <t>rèndìng</t>
  </si>
  <si>
    <t>Nhận định, xác định</t>
  </si>
  <si>
    <t>他认定这个计划是可行的。</t>
  </si>
  <si>
    <t>认可</t>
  </si>
  <si>
    <t>rènkě</t>
  </si>
  <si>
    <t>Công nhận, phê duyệt</t>
  </si>
  <si>
    <t>他的工作得到了认可。</t>
  </si>
  <si>
    <t>任命</t>
  </si>
  <si>
    <t>rènmìng</t>
  </si>
  <si>
    <t>Bổ nhiệm, cử nhiệm</t>
  </si>
  <si>
    <t>他被任命为公司经理。</t>
  </si>
  <si>
    <t>任性</t>
  </si>
  <si>
    <t>rènxìng</t>
  </si>
  <si>
    <t>Tùy hứng, bướng bỉnh</t>
  </si>
  <si>
    <t>她有点任性。</t>
  </si>
  <si>
    <t>任意</t>
  </si>
  <si>
    <t>rènyì</t>
  </si>
  <si>
    <t>Tùy ý, tự do</t>
  </si>
  <si>
    <t>你可以任意选择。</t>
  </si>
  <si>
    <t>任重道远</t>
  </si>
  <si>
    <t>rènzhòngdàoyuǎn</t>
  </si>
  <si>
    <t>Trách nhiệm nặng nề và đường dài</t>
  </si>
  <si>
    <t>我们的任务任重道远。</t>
  </si>
  <si>
    <t>仍旧</t>
  </si>
  <si>
    <t>réngjiù</t>
  </si>
  <si>
    <t>Vẫn như cũ</t>
  </si>
  <si>
    <t>他仍旧没有改变他的计划。</t>
  </si>
  <si>
    <t>日新月异</t>
  </si>
  <si>
    <t>rìxīnyuèyì</t>
  </si>
  <si>
    <t>Thay đổi từng ngày</t>
  </si>
  <si>
    <t>现代科技日新月异。</t>
  </si>
  <si>
    <t>日益</t>
  </si>
  <si>
    <t>rìyì</t>
  </si>
  <si>
    <t>Ngày càng</t>
  </si>
  <si>
    <t>他的英语水平日益提高。</t>
  </si>
  <si>
    <t>溶解</t>
  </si>
  <si>
    <t>róngjiě</t>
  </si>
  <si>
    <t>Hòa tan</t>
  </si>
  <si>
    <t>这种物质可以在水中溶解。</t>
  </si>
  <si>
    <t>容貌</t>
  </si>
  <si>
    <t>róngmào</t>
  </si>
  <si>
    <t>Dung mạo</t>
  </si>
  <si>
    <t>她的容貌非常美丽。</t>
  </si>
  <si>
    <t>容纳</t>
  </si>
  <si>
    <t>róngnà</t>
  </si>
  <si>
    <t>Chứa đựng</t>
  </si>
  <si>
    <t>这个房间可以容纳50人。</t>
  </si>
  <si>
    <t>容器</t>
  </si>
  <si>
    <t>róngqì</t>
  </si>
  <si>
    <t>Đồ đựng, dụng cụ chứa</t>
  </si>
  <si>
    <t>请把液体倒入这个容器中。</t>
  </si>
  <si>
    <t>融洽</t>
  </si>
  <si>
    <t>róngqià</t>
  </si>
  <si>
    <t>Hòa hợp, êm thấm</t>
  </si>
  <si>
    <t>他们的关系非常融洽。</t>
  </si>
  <si>
    <t>容忍</t>
  </si>
  <si>
    <t>róngrěn</t>
  </si>
  <si>
    <t>Chịu đựng, nhẫn nhịn</t>
  </si>
  <si>
    <t>我们必须学会容忍不同的意见。</t>
  </si>
  <si>
    <t>揉</t>
  </si>
  <si>
    <t>róu</t>
  </si>
  <si>
    <t>Xoa, bóp</t>
  </si>
  <si>
    <t>她轻轻地揉了揉眼睛。</t>
  </si>
  <si>
    <t>柔和</t>
  </si>
  <si>
    <t>róuhé</t>
  </si>
  <si>
    <t>Dịu dàng, mềm mại</t>
  </si>
  <si>
    <t>他的声音非常柔和。</t>
  </si>
  <si>
    <t>弱点</t>
  </si>
  <si>
    <t>ruòdiǎn</t>
  </si>
  <si>
    <t>Điểm yếu</t>
  </si>
  <si>
    <t>每个人都有弱点。</t>
  </si>
  <si>
    <t>若干</t>
  </si>
  <si>
    <t>ruògān</t>
  </si>
  <si>
    <t>Một vài, bao nhiêu</t>
  </si>
  <si>
    <t>你可以问我若干问题。</t>
  </si>
  <si>
    <t>撒谎</t>
  </si>
  <si>
    <t>sāhuǎng</t>
  </si>
  <si>
    <t>Nói dối</t>
  </si>
  <si>
    <t>他撒谎了。</t>
  </si>
  <si>
    <t>腮</t>
  </si>
  <si>
    <t>sāi</t>
  </si>
  <si>
    <t>Má, cằm</t>
  </si>
  <si>
    <t>她的腮很红。</t>
  </si>
  <si>
    <t>三角</t>
  </si>
  <si>
    <t>sānjiǎo</t>
  </si>
  <si>
    <t>Tam giác</t>
  </si>
  <si>
    <t>这个三角形有三个角。</t>
  </si>
  <si>
    <t>散文</t>
  </si>
  <si>
    <t>sǎnwén</t>
  </si>
  <si>
    <t>Tản văn</t>
  </si>
  <si>
    <t>他写了一篇散文。</t>
  </si>
  <si>
    <t>散发</t>
  </si>
  <si>
    <t>sànfā</t>
  </si>
  <si>
    <t>Tỏa ra, phát tán</t>
  </si>
  <si>
    <t>这个房间散发着香气。</t>
  </si>
  <si>
    <t>丧失</t>
  </si>
  <si>
    <t>sàngshī</t>
  </si>
  <si>
    <t>Mất mát</t>
  </si>
  <si>
    <t>他丧失了信心。</t>
  </si>
  <si>
    <t>嫂子</t>
  </si>
  <si>
    <t>sǎozi</t>
  </si>
  <si>
    <t>Chị dâu</t>
  </si>
  <si>
    <t>她是我的嫂子。</t>
  </si>
  <si>
    <t>sècǎi</t>
  </si>
  <si>
    <t>Màu sắc</t>
  </si>
  <si>
    <t>这个画作的色彩非常鲜艳。</t>
  </si>
  <si>
    <t>刹车</t>
  </si>
  <si>
    <t>shāchē</t>
  </si>
  <si>
    <t>Phanh, thắng</t>
  </si>
  <si>
    <t>刹车系统需要检查。</t>
  </si>
  <si>
    <t>啥</t>
  </si>
  <si>
    <t>shá</t>
  </si>
  <si>
    <t>Gì (dạng khẩu ngữ của "什么")</t>
  </si>
  <si>
    <t>你在干啥呢？</t>
  </si>
  <si>
    <t>筛选</t>
  </si>
  <si>
    <t>shāixuǎn</t>
  </si>
  <si>
    <t>Sàng lọc, tuyển chọn</t>
  </si>
  <si>
    <t>我们需要筛选最好的候选人。</t>
  </si>
  <si>
    <t>山脉</t>
  </si>
  <si>
    <t>shānmài</t>
  </si>
  <si>
    <t>Dãy núi</t>
  </si>
  <si>
    <t>这座山脉很壮观。</t>
  </si>
  <si>
    <t>闪烁</t>
  </si>
  <si>
    <t>shǎnshuò</t>
  </si>
  <si>
    <t>Lấp lánh, lung linh</t>
  </si>
  <si>
    <t>星星在天空中闪烁。</t>
  </si>
  <si>
    <t>擅长</t>
  </si>
  <si>
    <t>shàncháng</t>
  </si>
  <si>
    <t>Giỏi về, sở trường</t>
  </si>
  <si>
    <t>他擅长绘画。</t>
  </si>
  <si>
    <t>擅自</t>
  </si>
  <si>
    <t>shànzì</t>
  </si>
  <si>
    <t>Tự ý, tự tiện</t>
  </si>
  <si>
    <t>不要擅自行动。</t>
  </si>
  <si>
    <t>shànzi</t>
  </si>
  <si>
    <t>Quạt</t>
  </si>
  <si>
    <t>她给我买了一把扇子。</t>
  </si>
  <si>
    <t>商标</t>
  </si>
  <si>
    <t>shāngbiāo</t>
  </si>
  <si>
    <t>Thương hiệu</t>
  </si>
  <si>
    <t>这个商标很有名。</t>
  </si>
  <si>
    <t>伤脑筋</t>
  </si>
  <si>
    <t>shāng nǎojīn</t>
  </si>
  <si>
    <t>Đau đầu, khó khăn</t>
  </si>
  <si>
    <t>这个问题真是伤脑筋。</t>
  </si>
  <si>
    <t>上级</t>
  </si>
  <si>
    <t>shàngjí</t>
  </si>
  <si>
    <t>Cấp trên</t>
  </si>
  <si>
    <t>你需要向上级汇报。</t>
  </si>
  <si>
    <t>上进心</t>
  </si>
  <si>
    <t>shàngjìnxīn</t>
  </si>
  <si>
    <t>Tinh thần cầu tiến</t>
  </si>
  <si>
    <t>他有很强的上进心。</t>
  </si>
  <si>
    <t>上任</t>
  </si>
  <si>
    <t>shàngrèn</t>
  </si>
  <si>
    <t>Nhậm chức</t>
  </si>
  <si>
    <t>新上任的经理很有能力。</t>
  </si>
  <si>
    <t>上瘾</t>
  </si>
  <si>
    <t>shàngyǐn</t>
  </si>
  <si>
    <t>Nghiện</t>
  </si>
  <si>
    <t>他对咖啡上瘾了。</t>
  </si>
  <si>
    <t>上游</t>
  </si>
  <si>
    <t>shàngyóu</t>
  </si>
  <si>
    <t>Thượng nguồn, phần tiên tiến</t>
  </si>
  <si>
    <t>这条河的上游很清澈。</t>
  </si>
  <si>
    <t>梢</t>
  </si>
  <si>
    <t>shāo</t>
  </si>
  <si>
    <t>Ngọn, chóp</t>
  </si>
  <si>
    <t>树梢上有一只鸟。</t>
  </si>
  <si>
    <t>捎</t>
  </si>
  <si>
    <t>Mang theo, đưa cho</t>
  </si>
  <si>
    <t>请把这封信捎给他。</t>
  </si>
  <si>
    <t>哨</t>
  </si>
  <si>
    <t>shào</t>
  </si>
  <si>
    <t>Còi, kèn</t>
  </si>
  <si>
    <t>哨声响起，比赛开始了。</t>
  </si>
  <si>
    <t>奢侈</t>
  </si>
  <si>
    <t>shēchǐ</t>
  </si>
  <si>
    <t>Xa xỉ</t>
  </si>
  <si>
    <t>她喜欢奢侈品。</t>
  </si>
  <si>
    <t>涉及</t>
  </si>
  <si>
    <t>shèjí</t>
  </si>
  <si>
    <t>Liên quan đến</t>
  </si>
  <si>
    <t>这件事涉及到很多人。</t>
  </si>
  <si>
    <t>设立</t>
  </si>
  <si>
    <t>shèlì</t>
  </si>
  <si>
    <t>Thiết lập, thành lập</t>
  </si>
  <si>
    <t>我们决定设立一个新项目。</t>
  </si>
  <si>
    <t>社区</t>
  </si>
  <si>
    <t>shèqū</t>
  </si>
  <si>
    <t>Cộng đồng, khu vực</t>
  </si>
  <si>
    <t>这个社区很安全。</t>
  </si>
  <si>
    <t>摄取</t>
  </si>
  <si>
    <t>shèqǔ</t>
  </si>
  <si>
    <t>Hấp thụ, tiếp thu</t>
  </si>
  <si>
    <t>摄取足够的营养对健康很重要。</t>
  </si>
  <si>
    <t>摄氏度</t>
  </si>
  <si>
    <t>shèshìdù</t>
  </si>
  <si>
    <t>độ C</t>
  </si>
  <si>
    <t>水的摄氏度是零度。</t>
  </si>
  <si>
    <t>设想</t>
  </si>
  <si>
    <t>shèxiǎng</t>
  </si>
  <si>
    <t>Dự tính, giả định</t>
  </si>
  <si>
    <t>我们需要设想未来的发展。</t>
  </si>
  <si>
    <t>设置</t>
  </si>
  <si>
    <t>shèzhì</t>
  </si>
  <si>
    <t>Lắp đặt, thiết lập</t>
  </si>
  <si>
    <t>这个设备很先进。</t>
  </si>
  <si>
    <t>深奥</t>
  </si>
  <si>
    <t>shēn'ào</t>
  </si>
  <si>
    <t>Sâu sắc, khó hiểu</t>
  </si>
  <si>
    <t>这个问题非常深奥。</t>
  </si>
  <si>
    <t>申报</t>
  </si>
  <si>
    <t>shēnbào</t>
  </si>
  <si>
    <t>Trình báo, khai báo</t>
  </si>
  <si>
    <t>我们需要申报个人所得税。</t>
  </si>
  <si>
    <t>深沉</t>
  </si>
  <si>
    <t>shēnchén</t>
  </si>
  <si>
    <t>Sâu sắc, thâm trầm</t>
  </si>
  <si>
    <t>他的声音很深沉。</t>
  </si>
  <si>
    <t>深情厚谊</t>
  </si>
  <si>
    <t>shēnqíng hòuyì</t>
  </si>
  <si>
    <t>Tình cảm sâu đậm</t>
  </si>
  <si>
    <t>他们之间有着深情厚谊。</t>
  </si>
  <si>
    <t>绅士</t>
  </si>
  <si>
    <t>shēnshì</t>
  </si>
  <si>
    <t>Quý ông, người lịch sự</t>
  </si>
  <si>
    <t>他是个绅士。</t>
  </si>
  <si>
    <t>呻吟</t>
  </si>
  <si>
    <t>shēnyín</t>
  </si>
  <si>
    <t>Rên rỉ</t>
  </si>
  <si>
    <t>他在床上呻吟。</t>
  </si>
  <si>
    <t>神奇</t>
  </si>
  <si>
    <t>shénqí</t>
  </si>
  <si>
    <t>这个地方真是神奇。</t>
  </si>
  <si>
    <t>神气</t>
  </si>
  <si>
    <t>shénqì</t>
  </si>
  <si>
    <t>Vẻ, dáng vẻ</t>
  </si>
  <si>
    <t>他看起来神气十足。</t>
  </si>
  <si>
    <t>神情</t>
  </si>
  <si>
    <t>shénqíng</t>
  </si>
  <si>
    <t>Thần thái, cảm xúc</t>
  </si>
  <si>
    <t>她的神情很平静。</t>
  </si>
  <si>
    <t>神色</t>
  </si>
  <si>
    <t>shénsè</t>
  </si>
  <si>
    <t>他的神色很严肃。</t>
  </si>
  <si>
    <t>神圣</t>
  </si>
  <si>
    <t>shénshèng</t>
  </si>
  <si>
    <t>Thần thánh</t>
  </si>
  <si>
    <t>这是一项神圣的任务。</t>
  </si>
  <si>
    <t>神态</t>
  </si>
  <si>
    <t>shéntài</t>
  </si>
  <si>
    <t>Thần thái, dáng vẻ</t>
  </si>
  <si>
    <t>他的神态自若。</t>
  </si>
  <si>
    <t>神仙</t>
  </si>
  <si>
    <t>shénxiān</t>
  </si>
  <si>
    <t>Thần tiên</t>
  </si>
  <si>
    <t>神仙的故事很有趣。</t>
  </si>
  <si>
    <t>审查</t>
  </si>
  <si>
    <t>shěnchá</t>
  </si>
  <si>
    <t>Thẩm tra</t>
  </si>
  <si>
    <t>我们需要审查这些文件。</t>
  </si>
  <si>
    <t>审理</t>
  </si>
  <si>
    <t>shěnlǐ</t>
  </si>
  <si>
    <t>Xét xử</t>
  </si>
  <si>
    <t>法庭开始审理此案。</t>
  </si>
  <si>
    <t>审美</t>
  </si>
  <si>
    <t>shěnměi</t>
  </si>
  <si>
    <t>Thẩm mỹ</t>
  </si>
  <si>
    <t>她对审美有独特的见解。</t>
  </si>
  <si>
    <t>审判</t>
  </si>
  <si>
    <t>shěnpàn</t>
  </si>
  <si>
    <t>Xét xử, phán xét</t>
  </si>
  <si>
    <t>他们有一位法官和两个审判员</t>
  </si>
  <si>
    <t>渗透</t>
  </si>
  <si>
    <t>shèntòu</t>
  </si>
  <si>
    <t>Thẩm thấu, thấm vào</t>
  </si>
  <si>
    <t>这些信息已经渗透到各个角落。</t>
  </si>
  <si>
    <t>慎重</t>
  </si>
  <si>
    <t>shènzhòng</t>
  </si>
  <si>
    <t>Cẩn trọng</t>
  </si>
  <si>
    <t>我们需要慎重考虑。</t>
  </si>
  <si>
    <t>牲畜</t>
  </si>
  <si>
    <t>shēngchù</t>
  </si>
  <si>
    <t>Gia súc</t>
  </si>
  <si>
    <t>这个农场有很多牲畜。</t>
  </si>
  <si>
    <t>生存</t>
  </si>
  <si>
    <t>shēngcún</t>
  </si>
  <si>
    <t>Sinh tồn</t>
  </si>
  <si>
    <t>动物在野外生存很困难。</t>
  </si>
  <si>
    <t>生机</t>
  </si>
  <si>
    <t>shēngjī</t>
  </si>
  <si>
    <t>Sức sống</t>
  </si>
  <si>
    <t>春天带来了新的生机。</t>
  </si>
  <si>
    <t>生理</t>
  </si>
  <si>
    <t>shēnglǐ</t>
  </si>
  <si>
    <t>Sinh lý</t>
  </si>
  <si>
    <t>生理健康非常重要。</t>
  </si>
  <si>
    <t>声明</t>
  </si>
  <si>
    <t>shēngmíng</t>
  </si>
  <si>
    <t>Tuyên bố</t>
  </si>
  <si>
    <t>公司发布了一项重要声明。</t>
  </si>
  <si>
    <t>声势</t>
  </si>
  <si>
    <t>shēngshì</t>
  </si>
  <si>
    <t>Thanh thế</t>
  </si>
  <si>
    <t>他的声势越来越大。</t>
  </si>
  <si>
    <t>生疏</t>
  </si>
  <si>
    <t>shēngshū</t>
  </si>
  <si>
    <t>Lạ lẫm, không quen thuộc</t>
  </si>
  <si>
    <t>他对新环境感到生疏。</t>
  </si>
  <si>
    <t>生态</t>
  </si>
  <si>
    <t>shēngtài</t>
  </si>
  <si>
    <t>Sinh thái</t>
  </si>
  <si>
    <t>保护生态环境很重要。</t>
  </si>
  <si>
    <t>生物</t>
  </si>
  <si>
    <t>shēngwù</t>
  </si>
  <si>
    <t>Sinh vật</t>
  </si>
  <si>
    <t>生物多样性对生态平衡很重要。</t>
  </si>
  <si>
    <t>生效</t>
  </si>
  <si>
    <t>shēngxiào</t>
  </si>
  <si>
    <t>Có hiệu lực</t>
  </si>
  <si>
    <t>这项法律开始生效。</t>
  </si>
  <si>
    <t>生锈</t>
  </si>
  <si>
    <t>shēngxiù</t>
  </si>
  <si>
    <t>Bị gỉ sét</t>
  </si>
  <si>
    <t>铁会在潮湿的环境中生锈。</t>
  </si>
  <si>
    <t>生育</t>
  </si>
  <si>
    <t>shēngyù</t>
  </si>
  <si>
    <t>Sinh sản</t>
  </si>
  <si>
    <t>计划生育政策在中国很普遍。</t>
  </si>
  <si>
    <t>声誉</t>
  </si>
  <si>
    <t>Danh tiếng</t>
  </si>
  <si>
    <t>他在国际上享有很高的声誉。</t>
  </si>
  <si>
    <t>省会</t>
  </si>
  <si>
    <t>shěnghuì</t>
  </si>
  <si>
    <t>Thủ phủ tỉnh</t>
  </si>
  <si>
    <t>省会城市通常是该省的政治中心。</t>
  </si>
  <si>
    <t>盛产</t>
  </si>
  <si>
    <t>shèngchǎn</t>
  </si>
  <si>
    <t>Sản xuất nhiều, phong phú</t>
  </si>
  <si>
    <t>这个地区盛产水果。</t>
  </si>
  <si>
    <t>胜负</t>
  </si>
  <si>
    <t>shèngfù</t>
  </si>
  <si>
    <t>Thắng thua</t>
  </si>
  <si>
    <t>比赛结果取决于胜负。</t>
  </si>
  <si>
    <t>盛开</t>
  </si>
  <si>
    <t>shèngkāi</t>
  </si>
  <si>
    <t>Nở rộ</t>
  </si>
  <si>
    <t>春天，花朵盛开。</t>
  </si>
  <si>
    <t>盛情</t>
  </si>
  <si>
    <t>shèngqíng</t>
  </si>
  <si>
    <t>Nồng hậu, ân cần</t>
  </si>
  <si>
    <t>他对我们表示盛情款待。</t>
  </si>
  <si>
    <t>盛行</t>
  </si>
  <si>
    <t>shèngxíng</t>
  </si>
  <si>
    <t>Thịnh hành</t>
  </si>
  <si>
    <t>这种风格在当地盛行。</t>
  </si>
  <si>
    <t>师范</t>
  </si>
  <si>
    <t>shīfàn</t>
  </si>
  <si>
    <t>Sư phạm</t>
  </si>
  <si>
    <t>他在师范学校学习。</t>
  </si>
  <si>
    <t>施加</t>
  </si>
  <si>
    <t>shījiā</t>
  </si>
  <si>
    <t>Áp đặt, tác động</t>
  </si>
  <si>
    <t>我们必须施加压力。</t>
  </si>
  <si>
    <t>尸体</t>
  </si>
  <si>
    <t>shītǐ</t>
  </si>
  <si>
    <t>Thi thể</t>
  </si>
  <si>
    <t>他们找到了尸体。</t>
  </si>
  <si>
    <t>失误</t>
  </si>
  <si>
    <t>shīwù</t>
  </si>
  <si>
    <t>Sai lầm, lỗi lầm</t>
  </si>
  <si>
    <t>他的演讲中有几次失误。</t>
  </si>
  <si>
    <t>施展</t>
  </si>
  <si>
    <t>shīzhǎn</t>
  </si>
  <si>
    <t>Phát huy, thực hiện</t>
  </si>
  <si>
    <t>她在比赛中施展了全部实力。</t>
  </si>
  <si>
    <t>shīzi</t>
  </si>
  <si>
    <t>Sư tử</t>
  </si>
  <si>
    <t>动物园里有一只狮子。</t>
  </si>
  <si>
    <t>失踪</t>
  </si>
  <si>
    <t>shīzōng</t>
  </si>
  <si>
    <t>Mất tích</t>
  </si>
  <si>
    <t>他失踪已经三天了。</t>
  </si>
  <si>
    <t>拾</t>
  </si>
  <si>
    <t>Nhặt, lượm</t>
  </si>
  <si>
    <t>他拾到了一个钱包。</t>
  </si>
  <si>
    <t>识别</t>
  </si>
  <si>
    <t>shíbié</t>
  </si>
  <si>
    <t>Nhận biết, phân biệt</t>
  </si>
  <si>
    <t>这种花很容易识别。</t>
  </si>
  <si>
    <t>shíchā</t>
  </si>
  <si>
    <t>Chênh lệch múi giờ</t>
  </si>
  <si>
    <t>由于时差，他感到很累。</t>
  </si>
  <si>
    <t>时常</t>
  </si>
  <si>
    <t>shícháng</t>
  </si>
  <si>
    <t>Thường xuyên</t>
  </si>
  <si>
    <t>她时常去健身房锻炼。</t>
  </si>
  <si>
    <t>时而</t>
  </si>
  <si>
    <t>shí'ér</t>
  </si>
  <si>
    <t>Thỉnh thoảng, đôi khi</t>
  </si>
  <si>
    <t>他时而工作，时而休息。</t>
  </si>
  <si>
    <t>时光</t>
  </si>
  <si>
    <t>shíguāng</t>
  </si>
  <si>
    <t>Thời gian</t>
  </si>
  <si>
    <t>时光飞逝，我们已经毕业了。</t>
  </si>
  <si>
    <t>实惠</t>
  </si>
  <si>
    <t>shíhuì</t>
  </si>
  <si>
    <t>Giá trị thực, có lợi ích thực sự</t>
  </si>
  <si>
    <t>这家餐厅提供实惠的午餐。</t>
  </si>
  <si>
    <t>时机</t>
  </si>
  <si>
    <t>shíjī</t>
  </si>
  <si>
    <t>Thời cơ, cơ hội</t>
  </si>
  <si>
    <t>这是一个重要的时机。</t>
  </si>
  <si>
    <t>实力</t>
  </si>
  <si>
    <t>shílì</t>
  </si>
  <si>
    <t>Thực lực</t>
  </si>
  <si>
    <t>他的实力不容小觑。</t>
  </si>
  <si>
    <t>实施</t>
  </si>
  <si>
    <t>shíshī</t>
  </si>
  <si>
    <t>Thực thi, thực hiện</t>
  </si>
  <si>
    <t>政府计划实施新政策。</t>
  </si>
  <si>
    <t>时事</t>
  </si>
  <si>
    <t>shíshì</t>
  </si>
  <si>
    <t>Thời sự</t>
  </si>
  <si>
    <t>我喜欢阅读有关时事的文章。</t>
  </si>
  <si>
    <t>实事求是</t>
  </si>
  <si>
    <t>shíshìqiúshì</t>
  </si>
  <si>
    <t>Thực sự cầu thị</t>
  </si>
  <si>
    <t>我们需要实事求是地看待问题。</t>
  </si>
  <si>
    <t>石油</t>
  </si>
  <si>
    <t>shíyóu</t>
  </si>
  <si>
    <t>Dầu mỏ</t>
  </si>
  <si>
    <t>石油是重要的能源资源。</t>
  </si>
  <si>
    <t>实质</t>
  </si>
  <si>
    <t>shízhì</t>
  </si>
  <si>
    <t>Thực chất</t>
  </si>
  <si>
    <t>我们需要理解事物的实质。</t>
  </si>
  <si>
    <t>时装</t>
  </si>
  <si>
    <t>shízhuāng</t>
  </si>
  <si>
    <t>Thời trang</t>
  </si>
  <si>
    <t>她喜欢穿时装。</t>
  </si>
  <si>
    <t>十足</t>
  </si>
  <si>
    <t>shízú</t>
  </si>
  <si>
    <t>Đầy đủ, hoàn toàn</t>
  </si>
  <si>
    <t>他的解释十足有力。</t>
  </si>
  <si>
    <t>使命</t>
  </si>
  <si>
    <t>shǐmìng</t>
  </si>
  <si>
    <t>Sứ mệnh</t>
  </si>
  <si>
    <t>我们的使命是保护环境。</t>
  </si>
  <si>
    <t>势必</t>
  </si>
  <si>
    <t>shìbì</t>
  </si>
  <si>
    <t>Chắc chắn</t>
  </si>
  <si>
    <t>他势必会成功。</t>
  </si>
  <si>
    <t>世代</t>
  </si>
  <si>
    <t>shìdài</t>
  </si>
  <si>
    <t>Thế hệ</t>
  </si>
  <si>
    <t>这个传统世代相传。</t>
  </si>
  <si>
    <t>示范</t>
  </si>
  <si>
    <t>shìfàn</t>
  </si>
  <si>
    <t>Làm mẫu, mô phỏng</t>
  </si>
  <si>
    <t>老师示范了如何解决这个问题。</t>
  </si>
  <si>
    <t>释放</t>
  </si>
  <si>
    <t>shìfàng</t>
  </si>
  <si>
    <t>Giải phóng</t>
  </si>
  <si>
    <t>他被释放了。</t>
  </si>
  <si>
    <t>是非</t>
  </si>
  <si>
    <t>shìfēi</t>
  </si>
  <si>
    <t>Đúng sai, thị phi</t>
  </si>
  <si>
    <t>我们需要分辨是非。</t>
  </si>
  <si>
    <t>事故</t>
  </si>
  <si>
    <t>shìgù</t>
  </si>
  <si>
    <t>Sự cố</t>
  </si>
  <si>
    <t>事故发生后，交通被封闭了。</t>
  </si>
  <si>
    <t>事迹</t>
  </si>
  <si>
    <t>shìjì</t>
  </si>
  <si>
    <t>Sự tích, hành động đáng chú ý</t>
  </si>
  <si>
    <t>他的事迹激励了很多人。</t>
  </si>
  <si>
    <t>事件</t>
  </si>
  <si>
    <t>shìjiàn</t>
  </si>
  <si>
    <t>Sự kiện</t>
  </si>
  <si>
    <t>这次事件引起了广泛关注。</t>
  </si>
  <si>
    <t>世界观</t>
  </si>
  <si>
    <t>shìjièguān</t>
  </si>
  <si>
    <t>Thế giới quan</t>
  </si>
  <si>
    <t>每个人都有不同的世界观。</t>
  </si>
  <si>
    <t>视力</t>
  </si>
  <si>
    <t>shìlì</t>
  </si>
  <si>
    <t>Thị lực</t>
  </si>
  <si>
    <t>他的视力很好。</t>
  </si>
  <si>
    <t>势力</t>
  </si>
  <si>
    <t>Thế lực</t>
  </si>
  <si>
    <t>他的势力遍布全国。</t>
  </si>
  <si>
    <t>逝世</t>
  </si>
  <si>
    <t>shìshì</t>
  </si>
  <si>
    <t>Qua đời</t>
  </si>
  <si>
    <t>他的逝世让大家很悲伤。</t>
  </si>
  <si>
    <t>事态</t>
  </si>
  <si>
    <t>shìtài</t>
  </si>
  <si>
    <t>Tình hình</t>
  </si>
  <si>
    <t>我们需要关注事态的发展。</t>
  </si>
  <si>
    <t>试图</t>
  </si>
  <si>
    <t>shìtú</t>
  </si>
  <si>
    <t>Thử, cố gắng</t>
  </si>
  <si>
    <t>他试图解决这个问题。</t>
  </si>
  <si>
    <t>示威</t>
  </si>
  <si>
    <t>shìwēi</t>
  </si>
  <si>
    <t>Biểu tình</t>
  </si>
  <si>
    <t>他们正在示威抗议。</t>
  </si>
  <si>
    <t>事务</t>
  </si>
  <si>
    <t>shìwù</t>
  </si>
  <si>
    <t>Công việc</t>
  </si>
  <si>
    <t>他负责管理日常事务。</t>
  </si>
  <si>
    <t>视线</t>
  </si>
  <si>
    <t>shìxiàn</t>
  </si>
  <si>
    <t>Tầm nhìn</t>
  </si>
  <si>
    <t>他的视线集中在屏幕上。</t>
  </si>
  <si>
    <t>事项</t>
  </si>
  <si>
    <t>shìxiàng</t>
  </si>
  <si>
    <t>Hạng mục, vấn đề</t>
  </si>
  <si>
    <t>请填写这些事项。</t>
  </si>
  <si>
    <t>试验</t>
  </si>
  <si>
    <t>shìyàn</t>
  </si>
  <si>
    <t>Thí nghiệm</t>
  </si>
  <si>
    <t>这个新药正在试验中。</t>
  </si>
  <si>
    <t>视野</t>
  </si>
  <si>
    <t>shìyě</t>
  </si>
  <si>
    <t>他的视野很开阔。</t>
  </si>
  <si>
    <t>事业</t>
  </si>
  <si>
    <t>shìyè</t>
  </si>
  <si>
    <t>Sự nghiệp</t>
  </si>
  <si>
    <t>他在事业上取得了成功。</t>
  </si>
  <si>
    <t>适宜</t>
  </si>
  <si>
    <t>shìyí</t>
  </si>
  <si>
    <t>Thích hợp</t>
  </si>
  <si>
    <t>这里的气候非常适宜。</t>
  </si>
  <si>
    <t>示意</t>
  </si>
  <si>
    <t>shìyì</t>
  </si>
  <si>
    <t>Ra hiệu</t>
  </si>
  <si>
    <t>他向我示意继续前进。</t>
  </si>
  <si>
    <t>收藏</t>
  </si>
  <si>
    <t>shōucáng</t>
  </si>
  <si>
    <t>Thu thập, sưu tầm</t>
  </si>
  <si>
    <t>她喜欢收藏古董。</t>
  </si>
  <si>
    <t>收缩</t>
  </si>
  <si>
    <t>shōusuō</t>
  </si>
  <si>
    <t>Co lại</t>
  </si>
  <si>
    <t>我们需要收缩开支。</t>
  </si>
  <si>
    <t>收益</t>
  </si>
  <si>
    <t>shōuyì</t>
  </si>
  <si>
    <t>Lợi nhuận</t>
  </si>
  <si>
    <t>新项目的收益很高。</t>
  </si>
  <si>
    <t>收音机</t>
  </si>
  <si>
    <t>shōuyīnjī</t>
  </si>
  <si>
    <t>Đài radio</t>
  </si>
  <si>
    <t>他喜欢听收音机。</t>
  </si>
  <si>
    <t>手法</t>
  </si>
  <si>
    <t>shǒufǎ</t>
  </si>
  <si>
    <t>Phương pháp, thủ pháp</t>
  </si>
  <si>
    <t>他的手法很熟练。</t>
  </si>
  <si>
    <t>守护</t>
  </si>
  <si>
    <t>shǒuhù</t>
  </si>
  <si>
    <t>Bảo vệ, canh giữ</t>
  </si>
  <si>
    <t>她守护着病床上的孩子。</t>
  </si>
  <si>
    <t>手势</t>
  </si>
  <si>
    <t>shǒushì</t>
  </si>
  <si>
    <t>Cử chỉ, động tác tay</t>
  </si>
  <si>
    <t>他用手势表示同意。</t>
  </si>
  <si>
    <t>首要</t>
  </si>
  <si>
    <t>shǒuyào</t>
  </si>
  <si>
    <t>Quan trọng nhất</t>
  </si>
  <si>
    <t>这是一个首要任务。</t>
  </si>
  <si>
    <t>手艺</t>
  </si>
  <si>
    <t>shǒuyì</t>
  </si>
  <si>
    <t>Tay nghề</t>
  </si>
  <si>
    <t>她的手艺非常精湛。</t>
  </si>
  <si>
    <t>授予</t>
  </si>
  <si>
    <t>shòuyǔ</t>
  </si>
  <si>
    <t>Trao tặng</t>
  </si>
  <si>
    <t>她被授予了杰出贡献奖。</t>
  </si>
  <si>
    <t>受罪</t>
  </si>
  <si>
    <t>shòuzuì</t>
  </si>
  <si>
    <t>Chịu tội, khổ sở</t>
  </si>
  <si>
    <t>他因为贪污受罪了。</t>
  </si>
  <si>
    <t>舒畅</t>
  </si>
  <si>
    <t>shūchàng</t>
  </si>
  <si>
    <t>Thoải mái</t>
  </si>
  <si>
    <t>这次旅行让我感到非常舒畅。</t>
  </si>
  <si>
    <t>书法</t>
  </si>
  <si>
    <t>shūfǎ</t>
  </si>
  <si>
    <t>Thư pháp</t>
  </si>
  <si>
    <t>他的书法作品非常出色。</t>
  </si>
  <si>
    <t>疏忽</t>
  </si>
  <si>
    <t>shūhū</t>
  </si>
  <si>
    <t>Sơ suất</t>
  </si>
  <si>
    <t>因为疏忽，他忘记了重要的会议。</t>
  </si>
  <si>
    <t>书籍</t>
  </si>
  <si>
    <t>shūjí</t>
  </si>
  <si>
    <t>Sách vở</t>
  </si>
  <si>
    <t>我非常喜欢阅读各种书籍。</t>
  </si>
  <si>
    <t>书记</t>
  </si>
  <si>
    <t>shūji</t>
  </si>
  <si>
    <t>Bí thư</t>
  </si>
  <si>
    <t>公司的书记记录了会议纪要。</t>
  </si>
  <si>
    <t>书面</t>
  </si>
  <si>
    <t>shūmiàn</t>
  </si>
  <si>
    <t>Văn bản</t>
  </si>
  <si>
    <t>请提交书面报告。</t>
  </si>
  <si>
    <t>Đếm, số lượng</t>
  </si>
  <si>
    <t>从十五数到三十。</t>
  </si>
  <si>
    <t>竖</t>
  </si>
  <si>
    <t>Dựng đứng</t>
  </si>
  <si>
    <t>他在墙上挂了一幅竖画。</t>
  </si>
  <si>
    <t>束</t>
  </si>
  <si>
    <t>Bó, gói</t>
  </si>
  <si>
    <t>她给妈妈送了一束花。</t>
  </si>
  <si>
    <t>数额</t>
  </si>
  <si>
    <t>shù'é</t>
  </si>
  <si>
    <t>Số lượng</t>
  </si>
  <si>
    <t>这个项目的资金数额很大。</t>
  </si>
  <si>
    <t>束缚</t>
  </si>
  <si>
    <t>shùfù</t>
  </si>
  <si>
    <t>Ràng buộc</t>
  </si>
  <si>
    <t>传统观念束缚了他的思想。</t>
  </si>
  <si>
    <t>树立</t>
  </si>
  <si>
    <t>shùlì</t>
  </si>
  <si>
    <t>Xây dựng, thiết lập</t>
  </si>
  <si>
    <t>我们应该树立正确的价值观。</t>
  </si>
  <si>
    <t>数目</t>
  </si>
  <si>
    <t>shùmù</t>
  </si>
  <si>
    <t>这篇文章的字数目有点多。</t>
  </si>
  <si>
    <t>耍</t>
  </si>
  <si>
    <t>shuǎ</t>
  </si>
  <si>
    <t>Chơi đùa, giỡn</t>
  </si>
  <si>
    <t>小孩子喜欢耍玩具。</t>
  </si>
  <si>
    <t>衰老</t>
  </si>
  <si>
    <t>shuāilǎo</t>
  </si>
  <si>
    <t>Già yếu</t>
  </si>
  <si>
    <t>他感觉身体开始衰老。</t>
  </si>
  <si>
    <t>衰退</t>
  </si>
  <si>
    <t>shuāituì</t>
  </si>
  <si>
    <t>Suy thoái</t>
  </si>
  <si>
    <t>经济衰退影响了很多企业。</t>
  </si>
  <si>
    <t>率领</t>
  </si>
  <si>
    <t>shuàilǐng</t>
  </si>
  <si>
    <t>Lãnh đạo, dẫn dắt</t>
  </si>
  <si>
    <t>他率领团队完成了任务。</t>
  </si>
  <si>
    <t>涮火锅</t>
  </si>
  <si>
    <t>shuàn huǒguō</t>
  </si>
  <si>
    <t>Nhúng lẩu</t>
  </si>
  <si>
    <t>我们晚上去涮火锅吧。</t>
  </si>
  <si>
    <t>双胞胎</t>
  </si>
  <si>
    <t>shuāngbāotāi</t>
  </si>
  <si>
    <t>Sinh đôi</t>
  </si>
  <si>
    <t>他们是一对双胞胎。</t>
  </si>
  <si>
    <t>爽快</t>
  </si>
  <si>
    <t>shuǎngkuài</t>
  </si>
  <si>
    <t>Sảng khoái</t>
  </si>
  <si>
    <t>她的性格非常爽快。</t>
  </si>
  <si>
    <t>水利</t>
  </si>
  <si>
    <t>shuǐlì</t>
  </si>
  <si>
    <t>Thủy lợi</t>
  </si>
  <si>
    <t>这个地方的水利工程很发达。</t>
  </si>
  <si>
    <t>水龙头</t>
  </si>
  <si>
    <t>shuǐlóngtóu</t>
  </si>
  <si>
    <t>Vòi nước</t>
  </si>
  <si>
    <t>请关紧水龙头。</t>
  </si>
  <si>
    <t>水泥</t>
  </si>
  <si>
    <t>shuǐní</t>
  </si>
  <si>
    <t>Xi măng</t>
  </si>
  <si>
    <t>他们用水泥建造了这座桥。</t>
  </si>
  <si>
    <t>司法</t>
  </si>
  <si>
    <t>sīfǎ</t>
  </si>
  <si>
    <t>Tư pháp</t>
  </si>
  <si>
    <t>司法系统需要改革。</t>
  </si>
  <si>
    <t>司令</t>
  </si>
  <si>
    <t>sīlìng</t>
  </si>
  <si>
    <t>Tư lệnh</t>
  </si>
  <si>
    <t>他是军队的司令。</t>
  </si>
  <si>
    <t>思念</t>
  </si>
  <si>
    <t>sīniàn</t>
  </si>
  <si>
    <t>Nhớ nhung</t>
  </si>
  <si>
    <t>她每天晚上都思念家人。</t>
  </si>
  <si>
    <t>思索</t>
  </si>
  <si>
    <t>sīsuǒ</t>
  </si>
  <si>
    <t>Suy nghĩ, suy xét</t>
  </si>
  <si>
    <t>他在思索如何解决这个问题。</t>
  </si>
  <si>
    <t>思维</t>
  </si>
  <si>
    <t>sīwéi</t>
  </si>
  <si>
    <t>Tư duy</t>
  </si>
  <si>
    <t>他的思维方式很独特。</t>
  </si>
  <si>
    <t>斯文</t>
  </si>
  <si>
    <t>sīwén</t>
  </si>
  <si>
    <t>Lịch sự, nhã nhặn</t>
  </si>
  <si>
    <t>他是个斯文的绅士。</t>
  </si>
  <si>
    <t>思绪</t>
  </si>
  <si>
    <t>sīxù</t>
  </si>
  <si>
    <t>Tâm tư, suy nghĩ</t>
  </si>
  <si>
    <t>她的思绪非常混乱。</t>
  </si>
  <si>
    <t>私自</t>
  </si>
  <si>
    <t>sīzì</t>
  </si>
  <si>
    <t>Tự tiện</t>
  </si>
  <si>
    <t>他私自离开了工作岗位。</t>
  </si>
  <si>
    <t>死亡</t>
  </si>
  <si>
    <t>sǐwáng</t>
  </si>
  <si>
    <t>Tử vong</t>
  </si>
  <si>
    <t>事故导致两人死亡。</t>
  </si>
  <si>
    <t>肆无忌惮</t>
  </si>
  <si>
    <t>sìwújìdàn</t>
  </si>
  <si>
    <t>Không kiêng nể, không kiêng dè</t>
  </si>
  <si>
    <t>他的行为肆无忌惮。</t>
  </si>
  <si>
    <t>饲养</t>
  </si>
  <si>
    <t>sìyǎng</t>
  </si>
  <si>
    <t>Chăn nuôi</t>
  </si>
  <si>
    <t>她喜欢饲养小动物。</t>
  </si>
  <si>
    <t>四肢</t>
  </si>
  <si>
    <t>sìzhī</t>
  </si>
  <si>
    <t>Tứ chi</t>
  </si>
  <si>
    <t>他的四肢非常灵活。</t>
  </si>
  <si>
    <t>耸</t>
  </si>
  <si>
    <t>sǒng</t>
  </si>
  <si>
    <t>Cao vút, thẳng đứng</t>
  </si>
  <si>
    <t>他耸了耸肩表示无奈。</t>
  </si>
  <si>
    <t>艘</t>
  </si>
  <si>
    <t>sōu</t>
  </si>
  <si>
    <t>Chiếc (thuyền, tàu)</t>
  </si>
  <si>
    <t>港口停靠了几艘大船。</t>
  </si>
  <si>
    <t>sōusuǒ</t>
  </si>
  <si>
    <t>Tìm kiếm</t>
  </si>
  <si>
    <t>苏醒</t>
  </si>
  <si>
    <t>sūxǐng</t>
  </si>
  <si>
    <t>Tỉnh lại, hồi sinh</t>
  </si>
  <si>
    <t>病人已经苏醒了。</t>
  </si>
  <si>
    <t>俗话</t>
  </si>
  <si>
    <t>súhuà</t>
  </si>
  <si>
    <t>Tục ngữ</t>
  </si>
  <si>
    <t>俗话说，实践出真知。</t>
  </si>
  <si>
    <t>素食主义</t>
  </si>
  <si>
    <t>sùshízhǔyì</t>
  </si>
  <si>
    <t>Chủ nghĩa ăn chay</t>
  </si>
  <si>
    <t>他是一个素食主义者。</t>
  </si>
  <si>
    <t>诉讼</t>
  </si>
  <si>
    <t>sùsòng</t>
  </si>
  <si>
    <t>Kiện tụng</t>
  </si>
  <si>
    <t>他们之间的诉讼已经结束了。</t>
  </si>
  <si>
    <t>塑造</t>
  </si>
  <si>
    <t>sùzào</t>
  </si>
  <si>
    <t>Tạo hình, hình thành</t>
  </si>
  <si>
    <t>这本书塑造了一个经典人物形象。</t>
  </si>
  <si>
    <t>素质</t>
  </si>
  <si>
    <t>sùzhì</t>
  </si>
  <si>
    <t>Tố chất</t>
  </si>
  <si>
    <t>她的素质非常高。</t>
  </si>
  <si>
    <t>算了</t>
  </si>
  <si>
    <t>suànle</t>
  </si>
  <si>
    <t>Bỏ qua, thôi đi</t>
  </si>
  <si>
    <t>这次的事情就算了吧。</t>
  </si>
  <si>
    <t>算数</t>
  </si>
  <si>
    <t>suànshù</t>
  </si>
  <si>
    <t>Đếm, tính toán, tính</t>
  </si>
  <si>
    <t>说话要算数，不能翻悔。</t>
  </si>
  <si>
    <t>随即</t>
  </si>
  <si>
    <t>suíjí</t>
  </si>
  <si>
    <t>Ngay lập tức</t>
  </si>
  <si>
    <t>她随即做出了决定。</t>
  </si>
  <si>
    <t>suíshēn</t>
  </si>
  <si>
    <t>Mang theo người</t>
  </si>
  <si>
    <t>她随身带着一本笔记本。</t>
  </si>
  <si>
    <t>suíshǒu</t>
  </si>
  <si>
    <t>Thuận tay</t>
  </si>
  <si>
    <t>他随手把垃圾扔进垃圾桶。</t>
  </si>
  <si>
    <t>随意</t>
  </si>
  <si>
    <t>suíyì</t>
  </si>
  <si>
    <t>Tùy ý</t>
  </si>
  <si>
    <t>你可以随意选择菜品。</t>
  </si>
  <si>
    <t>隧道</t>
  </si>
  <si>
    <t>suìdào</t>
  </si>
  <si>
    <t>Đường hầm</t>
  </si>
  <si>
    <t>隧道里没有信号。</t>
  </si>
  <si>
    <t>岁月</t>
  </si>
  <si>
    <t>suìyuè</t>
  </si>
  <si>
    <t>Năm tháng</t>
  </si>
  <si>
    <t>岁月不饶人。</t>
  </si>
  <si>
    <t>损坏</t>
  </si>
  <si>
    <t>sǔnhuài</t>
  </si>
  <si>
    <t>Hư hỏng</t>
  </si>
  <si>
    <t>使用不当会导致设备损坏。</t>
  </si>
  <si>
    <t>索赔</t>
  </si>
  <si>
    <t>suǒpéi</t>
  </si>
  <si>
    <t>Yêu cầu bồi thường</t>
  </si>
  <si>
    <t>他向公司索赔损失。</t>
  </si>
  <si>
    <t>索性</t>
  </si>
  <si>
    <t>suǒxìng</t>
  </si>
  <si>
    <t>Dứt khoát</t>
  </si>
  <si>
    <t>他索性不去了。</t>
  </si>
  <si>
    <t>塌</t>
  </si>
  <si>
    <t>Sập, đổ</t>
  </si>
  <si>
    <t>房子倒塌了。</t>
  </si>
  <si>
    <t>踏实</t>
  </si>
  <si>
    <t>tāshi</t>
  </si>
  <si>
    <t>Yên tâm, thoải mái</t>
  </si>
  <si>
    <t>他踏实地完成了工作。</t>
  </si>
  <si>
    <t>台风</t>
  </si>
  <si>
    <t>táifēng</t>
  </si>
  <si>
    <t>Bão tố</t>
  </si>
  <si>
    <t>台风将要来袭。</t>
  </si>
  <si>
    <t>泰斗</t>
  </si>
  <si>
    <t>tàidǒu</t>
  </si>
  <si>
    <t>Người giỏi nhất, đại thụ</t>
  </si>
  <si>
    <t>他是学术界的泰斗。</t>
  </si>
  <si>
    <t>太空</t>
  </si>
  <si>
    <t>tàikōng</t>
  </si>
  <si>
    <t>Không gian</t>
  </si>
  <si>
    <t>太空探索充满了挑战。</t>
  </si>
  <si>
    <t>瘫痪</t>
  </si>
  <si>
    <t>tānhuàn</t>
  </si>
  <si>
    <t>Bại liệt</t>
  </si>
  <si>
    <t>他的腿因瘫痪而不能行动。</t>
  </si>
  <si>
    <t>贪婪</t>
  </si>
  <si>
    <t>tānlán</t>
  </si>
  <si>
    <t>Tham lam</t>
  </si>
  <si>
    <t>他表现出贪婪的本性。</t>
  </si>
  <si>
    <t>摊儿</t>
  </si>
  <si>
    <t>tānr</t>
  </si>
  <si>
    <t>Quầy hàng</t>
  </si>
  <si>
    <t>我们去街上买摊儿的东西吧。</t>
  </si>
  <si>
    <t>贪污</t>
  </si>
  <si>
    <t>tānwū</t>
  </si>
  <si>
    <t>Tham nhũng</t>
  </si>
  <si>
    <t>他因贪污而被判刑。</t>
  </si>
  <si>
    <t>弹性</t>
  </si>
  <si>
    <t>tánxìng</t>
  </si>
  <si>
    <t>Tính đàn hồi</t>
  </si>
  <si>
    <t>这种材料具有很好的弹性。</t>
  </si>
  <si>
    <t>坦白</t>
  </si>
  <si>
    <t>tǎnbái</t>
  </si>
  <si>
    <t>Thẳng thắn, thành thật</t>
  </si>
  <si>
    <t>请坦白地告诉我真相。</t>
  </si>
  <si>
    <t>探测</t>
  </si>
  <si>
    <t>tàncè</t>
  </si>
  <si>
    <t>Thăm dò</t>
  </si>
  <si>
    <t>科学家们正在探测火星的环境。</t>
  </si>
  <si>
    <t>叹气</t>
  </si>
  <si>
    <t>tànqì</t>
  </si>
  <si>
    <t>Thở dài</t>
  </si>
  <si>
    <t>她叹气说，她很累。</t>
  </si>
  <si>
    <t>探索</t>
  </si>
  <si>
    <t>tànsuǒ</t>
  </si>
  <si>
    <t>Khám phá</t>
  </si>
  <si>
    <t>我们一起探索新领域吧。</t>
  </si>
  <si>
    <t>探讨</t>
  </si>
  <si>
    <t>tàntǎo</t>
  </si>
  <si>
    <t>Thảo luận</t>
  </si>
  <si>
    <t>我们需要探讨这个问题的解决办法。</t>
  </si>
  <si>
    <t>探望</t>
  </si>
  <si>
    <t>tànwàng</t>
  </si>
  <si>
    <t>Thăm viếng</t>
  </si>
  <si>
    <t>他每周末探望父母。</t>
  </si>
  <si>
    <t>糖葫芦</t>
  </si>
  <si>
    <t>tánghúlu</t>
  </si>
  <si>
    <t>Kẹo hồ lô</t>
  </si>
  <si>
    <t>我喜欢吃糖葫芦。</t>
  </si>
  <si>
    <t>掏</t>
  </si>
  <si>
    <t>tāo</t>
  </si>
  <si>
    <t>Móc, lấy ra</t>
  </si>
  <si>
    <t>他把垃圾掏出来扔掉了。</t>
  </si>
  <si>
    <t>滔滔不绝</t>
  </si>
  <si>
    <t>tāotāobùjué</t>
  </si>
  <si>
    <t>Nói liên tục, không ngừng</t>
  </si>
  <si>
    <t>他滔滔不绝地讲述着他的故事。</t>
  </si>
  <si>
    <t>陶瓷</t>
  </si>
  <si>
    <t>táocí</t>
  </si>
  <si>
    <t>Gốm sứ</t>
  </si>
  <si>
    <t>这些陶瓷工艺品很精美。</t>
  </si>
  <si>
    <t>táoqì</t>
  </si>
  <si>
    <t>Nghịch ngợm</t>
  </si>
  <si>
    <t>孩子们有时候会很淘气。</t>
  </si>
  <si>
    <t>淘汰</t>
  </si>
  <si>
    <t>táotài</t>
  </si>
  <si>
    <t>Loại bỏ</t>
  </si>
  <si>
    <t>他在比赛中被淘汰了。</t>
  </si>
  <si>
    <t>tǎojiàhuánjià</t>
  </si>
  <si>
    <t>Mặc cả</t>
  </si>
  <si>
    <t>他们在市场上讨价还价。</t>
  </si>
  <si>
    <t>特长</t>
  </si>
  <si>
    <t>tècháng</t>
  </si>
  <si>
    <t>Sở trường</t>
  </si>
  <si>
    <t>他的特长是唱歌。</t>
  </si>
  <si>
    <t>特定</t>
  </si>
  <si>
    <t>tèdìng</t>
  </si>
  <si>
    <t>Cụ thể, nhất định</t>
  </si>
  <si>
    <t>这项任务需要特定的技能。</t>
  </si>
  <si>
    <t>tèsè</t>
  </si>
  <si>
    <t>Đặc sắc</t>
  </si>
  <si>
    <t>这家餐厅有很多特色菜。</t>
  </si>
  <si>
    <t>提拔</t>
  </si>
  <si>
    <t>tíbá</t>
  </si>
  <si>
    <t>Thăng chức</t>
  </si>
  <si>
    <t>老板决定提拔他为经理。</t>
  </si>
  <si>
    <t>题材</t>
  </si>
  <si>
    <t>tícái</t>
  </si>
  <si>
    <t>Đề tài</t>
  </si>
  <si>
    <t>这部电影的题材很独特。</t>
  </si>
  <si>
    <t>提炼</t>
  </si>
  <si>
    <t>tíliàn</t>
  </si>
  <si>
    <t>Tinh luyện, chiết xuất</t>
  </si>
  <si>
    <t>从野生芳草植物中提炼香精。</t>
  </si>
  <si>
    <t>提示</t>
  </si>
  <si>
    <t>tíshì</t>
  </si>
  <si>
    <t>Gợi ý</t>
  </si>
  <si>
    <t>老师提示我们要认真复习。</t>
  </si>
  <si>
    <t>提议</t>
  </si>
  <si>
    <t>tíyì</t>
  </si>
  <si>
    <t>Đề nghị</t>
  </si>
  <si>
    <t>他的提议得到了大家的支持。</t>
  </si>
  <si>
    <t>体谅</t>
  </si>
  <si>
    <t>tǐliàng</t>
  </si>
  <si>
    <t>Thông cảm</t>
  </si>
  <si>
    <t>你需要体谅他的处境。</t>
  </si>
  <si>
    <t>体面</t>
  </si>
  <si>
    <t>tǐmiàn</t>
  </si>
  <si>
    <t>Thể diện, diện mạo</t>
  </si>
  <si>
    <t>他想保持家族的体面。</t>
  </si>
  <si>
    <t>体系</t>
  </si>
  <si>
    <t>tǐxì</t>
  </si>
  <si>
    <t>Hệ thống</t>
  </si>
  <si>
    <t>这个组织的体系很完善。</t>
  </si>
  <si>
    <t>天才</t>
  </si>
  <si>
    <t>tiāncái</t>
  </si>
  <si>
    <t>Thiên tài</t>
  </si>
  <si>
    <t>他是一个天才的音乐家。</t>
  </si>
  <si>
    <t>天伦之乐</t>
  </si>
  <si>
    <t>tiānlún zhī lè</t>
  </si>
  <si>
    <t>Niềm vui gia đình</t>
  </si>
  <si>
    <t>他喜欢与家人共享天伦之乐。</t>
  </si>
  <si>
    <t>天然气</t>
  </si>
  <si>
    <t>tiānránqì</t>
  </si>
  <si>
    <t>Khí thiên nhiên</t>
  </si>
  <si>
    <t>天然气是一种重要的能源。</t>
  </si>
  <si>
    <t>天生</t>
  </si>
  <si>
    <t>tiānshēng</t>
  </si>
  <si>
    <t>Bẩm sinh</t>
  </si>
  <si>
    <t>他天生就有音乐才能。</t>
  </si>
  <si>
    <t>天堂</t>
  </si>
  <si>
    <t>tiāntáng</t>
  </si>
  <si>
    <t>Thiên đường</t>
  </si>
  <si>
    <t>天堂是一个充满美好幻想的地方。</t>
  </si>
  <si>
    <t>天文</t>
  </si>
  <si>
    <t>tiānwén</t>
  </si>
  <si>
    <t>Thiên văn</t>
  </si>
  <si>
    <t>他对天文学充满了兴趣。</t>
  </si>
  <si>
    <t>田径</t>
  </si>
  <si>
    <t>tiánjìng</t>
  </si>
  <si>
    <t>Điền kinh</t>
  </si>
  <si>
    <t>他参加了全国田径比赛。</t>
  </si>
  <si>
    <t>舔</t>
  </si>
  <si>
    <t>tiǎn</t>
  </si>
  <si>
    <t>Liếm</t>
  </si>
  <si>
    <t>小猫喜欢舔它的毛。</t>
  </si>
  <si>
    <t>挑剔</t>
  </si>
  <si>
    <t>tiāoti</t>
  </si>
  <si>
    <t>Kỹ tính, soi mói</t>
  </si>
  <si>
    <t>她对食物非常挑剔。</t>
  </si>
  <si>
    <t>调和</t>
  </si>
  <si>
    <t>tiáohé</t>
  </si>
  <si>
    <t>Điều hòa,thoả hiệp; nhượng bộ</t>
  </si>
  <si>
    <t>他认为在这个原则问题上没有调和的余地。</t>
  </si>
  <si>
    <t>调剂</t>
  </si>
  <si>
    <t>tiáojì</t>
  </si>
  <si>
    <t>Điều chỉnh</t>
  </si>
  <si>
    <t>他每周调剂一次药品。</t>
  </si>
  <si>
    <t>调节</t>
  </si>
  <si>
    <t>tiáojié</t>
  </si>
  <si>
    <t>我们需要调节室内温度。</t>
  </si>
  <si>
    <t>调解</t>
  </si>
  <si>
    <t>tiáojiě</t>
  </si>
  <si>
    <t>Hòa giải</t>
  </si>
  <si>
    <t>双方通过调解达成了协议。</t>
  </si>
  <si>
    <t>条款</t>
  </si>
  <si>
    <t>tiáokuǎn</t>
  </si>
  <si>
    <t>Điều khoản</t>
  </si>
  <si>
    <t>合同的条款需要详细阅读。</t>
  </si>
  <si>
    <t>条理</t>
  </si>
  <si>
    <t>tiáolǐ</t>
  </si>
  <si>
    <t>Trình tự</t>
  </si>
  <si>
    <t>他工作很有条理。</t>
  </si>
  <si>
    <t>调料</t>
  </si>
  <si>
    <t>tiáoliào</t>
  </si>
  <si>
    <t>Gia vị</t>
  </si>
  <si>
    <t>我们需要购买一些调料。</t>
  </si>
  <si>
    <t>条约</t>
  </si>
  <si>
    <t>tiáoyuē</t>
  </si>
  <si>
    <t>Hiệp ước</t>
  </si>
  <si>
    <t>两国签署了和平条约。</t>
  </si>
  <si>
    <t>挑拨</t>
  </si>
  <si>
    <t>tiǎobō</t>
  </si>
  <si>
    <t>Khiêu khích</t>
  </si>
  <si>
    <t>他在背后挑拨离间。</t>
  </si>
  <si>
    <t>挑衅</t>
  </si>
  <si>
    <t>tiǎoxìn</t>
  </si>
  <si>
    <t>Khiêu chiến</t>
  </si>
  <si>
    <t>他们在边界挑衅。</t>
  </si>
  <si>
    <t>跳跃</t>
  </si>
  <si>
    <t>tiàoyuè</t>
  </si>
  <si>
    <t>Nhảy vọt</t>
  </si>
  <si>
    <t>小鹿在草地上跳跃。</t>
  </si>
  <si>
    <t>停泊</t>
  </si>
  <si>
    <t>tíngbó</t>
  </si>
  <si>
    <t>Cập bến</t>
  </si>
  <si>
    <t>他们的船停泊在港口。</t>
  </si>
  <si>
    <t>停顿</t>
  </si>
  <si>
    <t>tíngdùn</t>
  </si>
  <si>
    <t>Tạm dừng</t>
  </si>
  <si>
    <t>他的演讲中有几次停顿。</t>
  </si>
  <si>
    <t>停滞</t>
  </si>
  <si>
    <t>tíngzhì</t>
  </si>
  <si>
    <t>Đình trệ</t>
  </si>
  <si>
    <t>生产进度停滞不前。</t>
  </si>
  <si>
    <t>亭子</t>
  </si>
  <si>
    <t>tíngzi</t>
  </si>
  <si>
    <t>Đình, chòi</t>
  </si>
  <si>
    <t>我们在公园里看到了一个亭子。</t>
  </si>
  <si>
    <t>挺拔</t>
  </si>
  <si>
    <t>tǐngbá</t>
  </si>
  <si>
    <t>Cao ráo, thẳng đứng</t>
  </si>
  <si>
    <t>他身材挺拔，气质非凡。</t>
  </si>
  <si>
    <t>通货膨胀</t>
  </si>
  <si>
    <t>tōnghuò péngzhàng</t>
  </si>
  <si>
    <t>Lạm phát</t>
  </si>
  <si>
    <t>通货膨胀导致物价上涨。</t>
  </si>
  <si>
    <t>通俗</t>
  </si>
  <si>
    <t>tōngsú</t>
  </si>
  <si>
    <t>Thông thường</t>
  </si>
  <si>
    <t>这本书用通俗易懂的语言写成。</t>
  </si>
  <si>
    <t>通用</t>
  </si>
  <si>
    <t>tōngyòng</t>
  </si>
  <si>
    <t>Phổ biến</t>
  </si>
  <si>
    <t>英语是一种通用语言。</t>
  </si>
  <si>
    <t>同胞</t>
  </si>
  <si>
    <t>tóngbāo</t>
  </si>
  <si>
    <t>Đồng bào</t>
  </si>
  <si>
    <t>他们是亲密的同胞兄弟。</t>
  </si>
  <si>
    <t>童话</t>
  </si>
  <si>
    <t>tónghuà</t>
  </si>
  <si>
    <t>Truyện cổ tích</t>
  </si>
  <si>
    <t>童话故事充满了幻想。</t>
  </si>
  <si>
    <t>铜矿</t>
  </si>
  <si>
    <t>tóngkuàng</t>
  </si>
  <si>
    <t>Quặng đồng</t>
  </si>
  <si>
    <t>这座山有丰富的铜矿资源。</t>
  </si>
  <si>
    <t>同志</t>
  </si>
  <si>
    <t>tóngzhì</t>
  </si>
  <si>
    <t>Đồng chí</t>
  </si>
  <si>
    <t>他是一个热心的同志。</t>
  </si>
  <si>
    <t>统筹兼顾</t>
  </si>
  <si>
    <t>tǒngchóu jiāngù</t>
  </si>
  <si>
    <t>Tổng thể và toàn diện</t>
  </si>
  <si>
    <t>我们要统筹兼顾，全面发展。</t>
  </si>
  <si>
    <t>统计</t>
  </si>
  <si>
    <t>tǒngjì</t>
  </si>
  <si>
    <t>Thống kê</t>
  </si>
  <si>
    <t>统计数据显示，经济在增长。</t>
  </si>
  <si>
    <t>统统</t>
  </si>
  <si>
    <t>tǒngtǒng</t>
  </si>
  <si>
    <t>Toàn bộ</t>
  </si>
  <si>
    <t>这些问题我统统解决了。</t>
  </si>
  <si>
    <t>投机</t>
  </si>
  <si>
    <t>tóujī</t>
  </si>
  <si>
    <t>Đầu cơ, cơ hội</t>
  </si>
  <si>
    <t>他在股市中投机，赚了很多钱。</t>
  </si>
  <si>
    <t>投票</t>
  </si>
  <si>
    <t>tóupiào</t>
  </si>
  <si>
    <t>Bỏ phiếu</t>
  </si>
  <si>
    <t>他投票支持这个提案。</t>
  </si>
  <si>
    <t>投降</t>
  </si>
  <si>
    <t>tóuxiáng</t>
  </si>
  <si>
    <t>Đầu hàng</t>
  </si>
  <si>
    <t>战争结束后，他们被迫投降。</t>
  </si>
  <si>
    <t>投掷</t>
  </si>
  <si>
    <t>tóuzhì</t>
  </si>
  <si>
    <t>Ném, quăng</t>
  </si>
  <si>
    <t>他用力投掷了石头。</t>
  </si>
  <si>
    <t>秃</t>
  </si>
  <si>
    <t>tū</t>
  </si>
  <si>
    <t>Hói</t>
  </si>
  <si>
    <t>他的头发开始秃了。</t>
  </si>
  <si>
    <t>突破</t>
  </si>
  <si>
    <t>tūpò</t>
  </si>
  <si>
    <t>Đột phá</t>
  </si>
  <si>
    <t>我们需要突破瓶颈。</t>
  </si>
  <si>
    <t>图案</t>
  </si>
  <si>
    <t>tú'àn</t>
  </si>
  <si>
    <t>Họa tiết</t>
  </si>
  <si>
    <t>这个图案非常漂亮。</t>
  </si>
  <si>
    <t>徒弟</t>
  </si>
  <si>
    <t>túdì</t>
  </si>
  <si>
    <t>Đệ tử</t>
  </si>
  <si>
    <t>他是我的徒弟。</t>
  </si>
  <si>
    <t>途径</t>
  </si>
  <si>
    <t>tújìng</t>
  </si>
  <si>
    <t>Con đường, cách thức</t>
  </si>
  <si>
    <t>我们找到了一条新的途径。</t>
  </si>
  <si>
    <t>涂抹</t>
  </si>
  <si>
    <t>túmǒ</t>
  </si>
  <si>
    <t>Bôi, quét</t>
  </si>
  <si>
    <t>请不要在墙上涂抹。</t>
  </si>
  <si>
    <t>土壤</t>
  </si>
  <si>
    <t>tǔrǎng</t>
  </si>
  <si>
    <t>Đất đai</t>
  </si>
  <si>
    <t>土壤中含有丰富的养分。</t>
  </si>
  <si>
    <t>团结</t>
  </si>
  <si>
    <t>tuánjié</t>
  </si>
  <si>
    <t>Đoàn kết</t>
  </si>
  <si>
    <t>团结就是力量。</t>
  </si>
  <si>
    <t>团体</t>
  </si>
  <si>
    <t>tuántǐ</t>
  </si>
  <si>
    <t>Tập thể</t>
  </si>
  <si>
    <t>这个团体非常活跃。</t>
  </si>
  <si>
    <t>团员</t>
  </si>
  <si>
    <t>tuányuán</t>
  </si>
  <si>
    <t>Đoàn viên</t>
  </si>
  <si>
    <t>她是团员。</t>
  </si>
  <si>
    <t>推测</t>
  </si>
  <si>
    <t>tuīcè</t>
  </si>
  <si>
    <t>Suy đoán</t>
  </si>
  <si>
    <t>我们推测他可能在家。</t>
  </si>
  <si>
    <t>推翻</t>
  </si>
  <si>
    <t>tuīfān</t>
  </si>
  <si>
    <t>Lật đổ</t>
  </si>
  <si>
    <t>他们的政府被推翻了。</t>
  </si>
  <si>
    <t>推理</t>
  </si>
  <si>
    <t>tuīlǐ</t>
  </si>
  <si>
    <t>Suy luận</t>
  </si>
  <si>
    <t>他的推理很有道理。</t>
  </si>
  <si>
    <t>推论</t>
  </si>
  <si>
    <t>tuīlùn</t>
  </si>
  <si>
    <t>这本书的推论很深刻。</t>
  </si>
  <si>
    <t>推销</t>
  </si>
  <si>
    <t>tuīxiāo</t>
  </si>
  <si>
    <t>Tiếp thị</t>
  </si>
  <si>
    <t>他在推销他的产品。</t>
  </si>
  <si>
    <t>吞咽</t>
  </si>
  <si>
    <t>tūnyàn</t>
  </si>
  <si>
    <t>Nuốt</t>
  </si>
  <si>
    <t>他很难吞咽食物。</t>
  </si>
  <si>
    <t>脱离</t>
  </si>
  <si>
    <t>tuōlí</t>
  </si>
  <si>
    <t>Thoát ly</t>
  </si>
  <si>
    <t>我们不能脱离实际。</t>
  </si>
  <si>
    <t>拖延</t>
  </si>
  <si>
    <t>tuōyán</t>
  </si>
  <si>
    <t>Kéo dài, trì hoãn</t>
  </si>
  <si>
    <t>请不要拖延时间。</t>
  </si>
  <si>
    <t>托运</t>
  </si>
  <si>
    <t>tuōyùn</t>
  </si>
  <si>
    <t>Ký gửi</t>
  </si>
  <si>
    <t>行李已经托运了。</t>
  </si>
  <si>
    <t>妥当</t>
  </si>
  <si>
    <t>tuǒdàng</t>
  </si>
  <si>
    <t>Thỏa đáng</t>
  </si>
  <si>
    <t>这个计划很妥当。</t>
  </si>
  <si>
    <t>妥善</t>
  </si>
  <si>
    <t>tuǒshàn</t>
  </si>
  <si>
    <t>我们需要找到妥善的解决办法。</t>
  </si>
  <si>
    <t>妥协</t>
  </si>
  <si>
    <t>tuǒxié</t>
  </si>
  <si>
    <t>Thỏa hiệp</t>
  </si>
  <si>
    <t>双方达成了妥协。</t>
  </si>
  <si>
    <t>椭圆</t>
  </si>
  <si>
    <t>tuǒyuán</t>
  </si>
  <si>
    <t>Hình elip</t>
  </si>
  <si>
    <t>地球不是一个完美的椭圆。</t>
  </si>
  <si>
    <t>唾沫</t>
  </si>
  <si>
    <t>tuòmò</t>
  </si>
  <si>
    <t>Nước bọt</t>
  </si>
  <si>
    <t>他说话时总是带着唾沫。</t>
  </si>
  <si>
    <t>挖掘</t>
  </si>
  <si>
    <t>wājué</t>
  </si>
  <si>
    <t>Đào bới</t>
  </si>
  <si>
    <t>工人们正在挖掘隧道。</t>
  </si>
  <si>
    <t>娃娃</t>
  </si>
  <si>
    <t>wáwa</t>
  </si>
  <si>
    <t>Búp bê, em bé</t>
  </si>
  <si>
    <t>她的女儿喜欢玩娃娃。</t>
  </si>
  <si>
    <t>瓦解</t>
  </si>
  <si>
    <t>wǎjiě</t>
  </si>
  <si>
    <t>Tan rã</t>
  </si>
  <si>
    <t>他们的计划瓦解了。</t>
  </si>
  <si>
    <t>哇</t>
  </si>
  <si>
    <t>wā</t>
  </si>
  <si>
    <t>Wow (thán từ)</t>
  </si>
  <si>
    <t>哇，你看那个！</t>
  </si>
  <si>
    <t>歪曲</t>
  </si>
  <si>
    <t>wāiqū</t>
  </si>
  <si>
    <t>Xuyên tạc</t>
  </si>
  <si>
    <t>他故意歪曲事实。</t>
  </si>
  <si>
    <t>外表</t>
  </si>
  <si>
    <t>wàibiǎo</t>
  </si>
  <si>
    <t>Ngoại hình</t>
  </si>
  <si>
    <t>她的外表很漂亮。</t>
  </si>
  <si>
    <t>外行</t>
  </si>
  <si>
    <t>wàiháng</t>
  </si>
  <si>
    <t>Ngoại đạo</t>
  </si>
  <si>
    <t>他是一个外行。</t>
  </si>
  <si>
    <t>外界</t>
  </si>
  <si>
    <t>wàijiè</t>
  </si>
  <si>
    <t>Thế giới bên ngoài</t>
  </si>
  <si>
    <t>这个消息在外界传开了。</t>
  </si>
  <si>
    <t>外向</t>
  </si>
  <si>
    <t>wàixiàng</t>
  </si>
  <si>
    <t>Hướng ngoại</t>
  </si>
  <si>
    <t>他性格外向。</t>
  </si>
  <si>
    <t>丸</t>
  </si>
  <si>
    <t>Viên, hoàn</t>
  </si>
  <si>
    <t>他吃了一个小药丸。</t>
  </si>
  <si>
    <t>完备</t>
  </si>
  <si>
    <t>wánbèi</t>
  </si>
  <si>
    <t>Hoàn bị, đầy đủ</t>
  </si>
  <si>
    <t>系统已经完备。</t>
  </si>
  <si>
    <t>完毕</t>
  </si>
  <si>
    <t>wánbì</t>
  </si>
  <si>
    <t>Kết thúc</t>
  </si>
  <si>
    <t>任务已经完毕。</t>
  </si>
  <si>
    <t>顽固</t>
  </si>
  <si>
    <t>wángù</t>
  </si>
  <si>
    <t>Ngoan cố</t>
  </si>
  <si>
    <t>他非常顽固，不愿意改变。</t>
  </si>
  <si>
    <t>玩弄</t>
  </si>
  <si>
    <t>wánnòng</t>
  </si>
  <si>
    <t>Trêu chọc</t>
  </si>
  <si>
    <t>她喜欢玩弄别人的感情。</t>
  </si>
  <si>
    <t>顽强</t>
  </si>
  <si>
    <t>wánqiáng</t>
  </si>
  <si>
    <t>Ngoan cường</t>
  </si>
  <si>
    <t>他表现得很顽强。</t>
  </si>
  <si>
    <t>玩意儿</t>
  </si>
  <si>
    <t>wányìr</t>
  </si>
  <si>
    <t>Đồ chơi, món đồ</t>
  </si>
  <si>
    <t>这是一个新玩意儿。</t>
  </si>
  <si>
    <t>挽回</t>
  </si>
  <si>
    <t>wǎnhuí</t>
  </si>
  <si>
    <t>Cứu vãn</t>
  </si>
  <si>
    <t>我们必须挽回损失。</t>
  </si>
  <si>
    <t>挽救</t>
  </si>
  <si>
    <t>wǎnjiù</t>
  </si>
  <si>
    <t>Cứu chữa</t>
  </si>
  <si>
    <t>医生成功地挽救了病人的生命。</t>
  </si>
  <si>
    <t>惋惜</t>
  </si>
  <si>
    <t>wǎnxī</t>
  </si>
  <si>
    <t>Tiếc nuối</t>
  </si>
  <si>
    <t>我对他的去世感到非常惋惜。</t>
  </si>
  <si>
    <t>万分</t>
  </si>
  <si>
    <t>wànfēn</t>
  </si>
  <si>
    <t>Vô cùng</t>
  </si>
  <si>
    <t>我们对他的帮助万分感激。</t>
  </si>
  <si>
    <t>往常</t>
  </si>
  <si>
    <t>wǎngcháng</t>
  </si>
  <si>
    <t>Thường ngày</t>
  </si>
  <si>
    <t>他和往常一样，早早地起床了。</t>
  </si>
  <si>
    <t>wǎngluò</t>
  </si>
  <si>
    <t>Mạng lưới</t>
  </si>
  <si>
    <t>网络让人们更方便地获取信息。</t>
  </si>
  <si>
    <t>往事</t>
  </si>
  <si>
    <t>wǎngshì</t>
  </si>
  <si>
    <t>Chuyện cũ</t>
  </si>
  <si>
    <t>往事历历在目。</t>
  </si>
  <si>
    <t>妄想</t>
  </si>
  <si>
    <t>wàngxiǎng</t>
  </si>
  <si>
    <t>Ảo tưởng</t>
  </si>
  <si>
    <t>他总是妄想自己能中头奖。</t>
  </si>
  <si>
    <t>微不足道</t>
  </si>
  <si>
    <t>wēibùzúdào</t>
  </si>
  <si>
    <t>Không đáng kể</t>
  </si>
  <si>
    <t>这个问题微不足道。</t>
  </si>
  <si>
    <t>威风</t>
  </si>
  <si>
    <t>wēifēng</t>
  </si>
  <si>
    <t>Uy phong</t>
  </si>
  <si>
    <t>他的举动非常威风。</t>
  </si>
  <si>
    <t>微观</t>
  </si>
  <si>
    <t>wēiguān</t>
  </si>
  <si>
    <t>Vi mô</t>
  </si>
  <si>
    <t>我们需要从微观角度分析问题。</t>
  </si>
  <si>
    <t>危机</t>
  </si>
  <si>
    <t>wēijī</t>
  </si>
  <si>
    <t>Khủng hoảng</t>
  </si>
  <si>
    <t>公司正面临财务危机。</t>
  </si>
  <si>
    <t>威力</t>
  </si>
  <si>
    <t>wēilì</t>
  </si>
  <si>
    <t>Uy lực</t>
  </si>
  <si>
    <t>他的威力不容小觑。</t>
  </si>
  <si>
    <t>威望</t>
  </si>
  <si>
    <t>wēiwàng</t>
  </si>
  <si>
    <t>Uy tín</t>
  </si>
  <si>
    <t>他在公司中享有很高的威望。</t>
  </si>
  <si>
    <t>威信</t>
  </si>
  <si>
    <t>wēixìn</t>
  </si>
  <si>
    <t>他在团队中有很高的威信。</t>
  </si>
  <si>
    <t>违背</t>
  </si>
  <si>
    <t>wéibèi</t>
  </si>
  <si>
    <t>Trái ngược</t>
  </si>
  <si>
    <t>他的行为违背了公司的规定。</t>
  </si>
  <si>
    <t>维持</t>
  </si>
  <si>
    <t>wéichí</t>
  </si>
  <si>
    <t>Duy trì</t>
  </si>
  <si>
    <t>我们需要维持现状。</t>
  </si>
  <si>
    <t>唯独</t>
  </si>
  <si>
    <t>wéidú</t>
  </si>
  <si>
    <t>Chỉ có, duy nhất</t>
  </si>
  <si>
    <t>唯独你能理解我。</t>
  </si>
  <si>
    <t>为难</t>
  </si>
  <si>
    <t>wéinán</t>
  </si>
  <si>
    <t>Khó xử</t>
  </si>
  <si>
    <t>他感到非常为难。</t>
  </si>
  <si>
    <t>为期</t>
  </si>
  <si>
    <t>wéiqī</t>
  </si>
  <si>
    <t>Kỳ hạn</t>
  </si>
  <si>
    <t>这个项目为期三个月。</t>
  </si>
  <si>
    <t>维生素</t>
  </si>
  <si>
    <t>wéishēngsù</t>
  </si>
  <si>
    <t>Vitamin</t>
  </si>
  <si>
    <t>多吃水果可以补充维生素。</t>
  </si>
  <si>
    <t>为首</t>
  </si>
  <si>
    <t>wéishǒu</t>
  </si>
  <si>
    <t>Đứng đầu</t>
  </si>
  <si>
    <t>他是这次活动的为首人物。</t>
  </si>
  <si>
    <t>wéixiū</t>
  </si>
  <si>
    <t>Bảo dưỡng</t>
  </si>
  <si>
    <t>我们需要定期维修设备。</t>
  </si>
  <si>
    <t>委员</t>
  </si>
  <si>
    <t>wěiyuán</t>
  </si>
  <si>
    <t>Ủy viên</t>
  </si>
  <si>
    <t>他是委员会的成员。</t>
  </si>
  <si>
    <t>伪造</t>
  </si>
  <si>
    <t>wěizào</t>
  </si>
  <si>
    <t>Làm giả</t>
  </si>
  <si>
    <t>他被指控伪造文件。</t>
  </si>
  <si>
    <t>畏惧</t>
  </si>
  <si>
    <t>wèijù</t>
  </si>
  <si>
    <t>Sợ hãi</t>
  </si>
  <si>
    <t>他对未知的事物感到畏惧。</t>
  </si>
  <si>
    <t>wèikǒu</t>
  </si>
  <si>
    <t>Khẩu vị</t>
  </si>
  <si>
    <t>他没有胃口吃饭。</t>
  </si>
  <si>
    <t>未免</t>
  </si>
  <si>
    <t>wèimiǎn</t>
  </si>
  <si>
    <t>Quả là, hơi bị</t>
  </si>
  <si>
    <t>这件事未免有些夸张。</t>
  </si>
  <si>
    <t>慰问</t>
  </si>
  <si>
    <t>wèiwèn</t>
  </si>
  <si>
    <t>Thăm hỏi</t>
  </si>
  <si>
    <t>我们慰问灾区人民。</t>
  </si>
  <si>
    <t>卫星</t>
  </si>
  <si>
    <t>wèixīng</t>
  </si>
  <si>
    <t>Vệ tinh</t>
  </si>
  <si>
    <t>他们正在发射卫星。</t>
  </si>
  <si>
    <t>wèiyú</t>
  </si>
  <si>
    <t>Nằm ở</t>
  </si>
  <si>
    <t>公司位于市中心。</t>
  </si>
  <si>
    <t>温带</t>
  </si>
  <si>
    <t>wēndài</t>
  </si>
  <si>
    <t>Vùng ôn đới</t>
  </si>
  <si>
    <t>这个地区属于温带气候。</t>
  </si>
  <si>
    <t>温和</t>
  </si>
  <si>
    <t>wēnhé</t>
  </si>
  <si>
    <t>Ôn hòa</t>
  </si>
  <si>
    <t>他性格温和，很容易相处。</t>
  </si>
  <si>
    <t>文凭</t>
  </si>
  <si>
    <t>wénpíng</t>
  </si>
  <si>
    <t>Văn bằng</t>
  </si>
  <si>
    <t>他有博士文凭。</t>
  </si>
  <si>
    <t>文物</t>
  </si>
  <si>
    <t>wénwù</t>
  </si>
  <si>
    <t>Văn vật</t>
  </si>
  <si>
    <t>博物馆里展示了很多文物。</t>
  </si>
  <si>
    <t>文献</t>
  </si>
  <si>
    <t>wénxiàn</t>
  </si>
  <si>
    <t>văn hiến; tài liệu lịch sử</t>
  </si>
  <si>
    <t>清理古代文献。</t>
  </si>
  <si>
    <t>文雅</t>
  </si>
  <si>
    <t>wényǎ</t>
  </si>
  <si>
    <t>Văn nhã</t>
  </si>
  <si>
    <t>他的行为很文雅。</t>
  </si>
  <si>
    <t>文艺</t>
  </si>
  <si>
    <t>wényì</t>
  </si>
  <si>
    <t>Văn nghệ</t>
  </si>
  <si>
    <t>这个文艺活动很受欢迎。</t>
  </si>
  <si>
    <t>问世</t>
  </si>
  <si>
    <t>wènshì</t>
  </si>
  <si>
    <t>Ra đời</t>
  </si>
  <si>
    <t>新书问世了。</t>
  </si>
  <si>
    <t>窝</t>
  </si>
  <si>
    <t>wō</t>
  </si>
  <si>
    <t>Tổ, ổ</t>
  </si>
  <si>
    <t>小猫在窝里睡觉。</t>
  </si>
  <si>
    <t>乌黑</t>
  </si>
  <si>
    <t>wūhēi</t>
  </si>
  <si>
    <t>Đen như mực</t>
  </si>
  <si>
    <t>她有一头乌黑的长发。</t>
  </si>
  <si>
    <t>污蔑</t>
  </si>
  <si>
    <t>wūmiè</t>
  </si>
  <si>
    <t>Vu khống</t>
  </si>
  <si>
    <t>他被人污蔑了。</t>
  </si>
  <si>
    <t>诬陷</t>
  </si>
  <si>
    <t>wūxiàn</t>
  </si>
  <si>
    <t>Vu cáo</t>
  </si>
  <si>
    <t>他被同事诬陷了。</t>
  </si>
  <si>
    <t>无比</t>
  </si>
  <si>
    <t>wúbǐ</t>
  </si>
  <si>
    <t>我无比高兴。</t>
  </si>
  <si>
    <t>无偿</t>
  </si>
  <si>
    <t>wúcháng</t>
  </si>
  <si>
    <t>Không bồi thường</t>
  </si>
  <si>
    <t>这项服务是无偿的。</t>
  </si>
  <si>
    <t>无耻</t>
  </si>
  <si>
    <t>wúchǐ</t>
  </si>
  <si>
    <t>Vô liêm sỉ</t>
  </si>
  <si>
    <t>他的行为真无耻。</t>
  </si>
  <si>
    <t>无从</t>
  </si>
  <si>
    <t>wúcóng</t>
  </si>
  <si>
    <t>Không thể nào, không biết từ đâu</t>
  </si>
  <si>
    <t>我对此无从下手。</t>
  </si>
  <si>
    <t>无动于衷</t>
  </si>
  <si>
    <t>wúdòngyúzhōng</t>
  </si>
  <si>
    <t>Không chút động lòng</t>
  </si>
  <si>
    <t>他对这件事无动于衷。</t>
  </si>
  <si>
    <t>无非</t>
  </si>
  <si>
    <t>wúfēi</t>
  </si>
  <si>
    <t>Chỉ là, chẳng qua là</t>
  </si>
  <si>
    <t>这无非是个误会。</t>
  </si>
  <si>
    <t>无精打采</t>
  </si>
  <si>
    <t>wújīng dǎcǎi</t>
  </si>
  <si>
    <t>Không có sức sống</t>
  </si>
  <si>
    <t>他今天无精打采的。</t>
  </si>
  <si>
    <t>无可奉告</t>
  </si>
  <si>
    <t>wúkě fènggào</t>
  </si>
  <si>
    <t>Không có gì để nói</t>
  </si>
  <si>
    <t>我无可奉告。</t>
  </si>
  <si>
    <t>无可奈何</t>
  </si>
  <si>
    <t>wúkě nàihé</t>
  </si>
  <si>
    <t>Không còn cách nào khác</t>
  </si>
  <si>
    <t>他们感到无可奈何。</t>
  </si>
  <si>
    <t>无赖</t>
  </si>
  <si>
    <t>wúlài</t>
  </si>
  <si>
    <t>Vô lại</t>
  </si>
  <si>
    <t>他是个无赖。</t>
  </si>
  <si>
    <t>无理取闹</t>
  </si>
  <si>
    <t>wúlǐ qǔnào</t>
  </si>
  <si>
    <t>Gây sự vô lý</t>
  </si>
  <si>
    <t>他无理取闹。</t>
  </si>
  <si>
    <t>无能为力</t>
  </si>
  <si>
    <t>wúnéng wéilì</t>
  </si>
  <si>
    <t>Bất lực</t>
  </si>
  <si>
    <t>我对此无能为力。</t>
  </si>
  <si>
    <t>无穷无尽</t>
  </si>
  <si>
    <t>wúqióng wújìn</t>
  </si>
  <si>
    <t>Vô cùng vô tận</t>
  </si>
  <si>
    <t>这本书的内容无穷无尽。</t>
  </si>
  <si>
    <t>无微不至</t>
  </si>
  <si>
    <t>wúwēi bùzhì</t>
  </si>
  <si>
    <t>Tận tình, chu đáo</t>
  </si>
  <si>
    <t>她对他无微不至地关怀。</t>
  </si>
  <si>
    <t>无忧无虑</t>
  </si>
  <si>
    <t>wúyōu wúlǜ</t>
  </si>
  <si>
    <t>Vô lo vô nghĩ</t>
  </si>
  <si>
    <t>小孩子应该无忧无虑地成长。</t>
  </si>
  <si>
    <t>无知</t>
  </si>
  <si>
    <t>wúzhī</t>
  </si>
  <si>
    <t>Vô tri</t>
  </si>
  <si>
    <t>他的无知让人吃惊。</t>
  </si>
  <si>
    <t>舞蹈</t>
  </si>
  <si>
    <t>wǔdǎo</t>
  </si>
  <si>
    <t>Vũ đạo</t>
  </si>
  <si>
    <t>她从小就热爱舞蹈。</t>
  </si>
  <si>
    <t>侮辱</t>
  </si>
  <si>
    <t>wǔrǔ</t>
  </si>
  <si>
    <t>Sỉ nhục</t>
  </si>
  <si>
    <t>他说的话侮辱了我。</t>
  </si>
  <si>
    <t>武侠</t>
  </si>
  <si>
    <t>wǔxiá</t>
  </si>
  <si>
    <t>Võ hiệp</t>
  </si>
  <si>
    <t>他喜欢看武侠小说。</t>
  </si>
  <si>
    <t>武装</t>
  </si>
  <si>
    <t>wǔzhuāng</t>
  </si>
  <si>
    <t>Trang bị vũ khí</t>
  </si>
  <si>
    <t>士兵们武装起来。</t>
  </si>
  <si>
    <t>Đừng, chớ</t>
  </si>
  <si>
    <t>请勿吸烟。</t>
  </si>
  <si>
    <t>务必</t>
  </si>
  <si>
    <t>wùbì</t>
  </si>
  <si>
    <t>Nhất thiết phải</t>
  </si>
  <si>
    <t>务必按时到达。</t>
  </si>
  <si>
    <t>误差</t>
  </si>
  <si>
    <t>wùchā</t>
  </si>
  <si>
    <t>Sai số</t>
  </si>
  <si>
    <t>这只是个小误差。</t>
  </si>
  <si>
    <t>误解</t>
  </si>
  <si>
    <t>wùjiě</t>
  </si>
  <si>
    <t>Hiểu lầm</t>
  </si>
  <si>
    <t>我们之间有误解。</t>
  </si>
  <si>
    <t>物美价廉</t>
  </si>
  <si>
    <t>wùměi jiàlián</t>
  </si>
  <si>
    <t>Hàng tốt giá rẻ</t>
  </si>
  <si>
    <t>这些商品物美价廉。</t>
  </si>
  <si>
    <t>务实</t>
  </si>
  <si>
    <t>wùshí</t>
  </si>
  <si>
    <t>Thực tế</t>
  </si>
  <si>
    <t>他是个务实的人。</t>
  </si>
  <si>
    <t>物资</t>
  </si>
  <si>
    <t>wùzī</t>
  </si>
  <si>
    <t>Vật tư</t>
  </si>
  <si>
    <t>他们需要更多的物资。</t>
  </si>
  <si>
    <t>溪</t>
  </si>
  <si>
    <t>Suối</t>
  </si>
  <si>
    <t>小溪的水很清澈。</t>
  </si>
  <si>
    <t>膝盖</t>
  </si>
  <si>
    <t>xīgài</t>
  </si>
  <si>
    <t>Đầu gối</t>
  </si>
  <si>
    <t>我的膝盖受伤了。</t>
  </si>
  <si>
    <t>熄灭</t>
  </si>
  <si>
    <t>xīmiè</t>
  </si>
  <si>
    <t>Tắt</t>
  </si>
  <si>
    <t>火熄灭了。</t>
  </si>
  <si>
    <t>xīqǔ</t>
  </si>
  <si>
    <t>Hấp thu</t>
  </si>
  <si>
    <t>我从这本书中吸取了很多知识。</t>
  </si>
  <si>
    <t>昔日</t>
  </si>
  <si>
    <t>xīrì</t>
  </si>
  <si>
    <t>Ngày xưa</t>
  </si>
  <si>
    <t>他昔日是个大人物。</t>
  </si>
  <si>
    <t>牺牲</t>
  </si>
  <si>
    <t>xīshēng</t>
  </si>
  <si>
    <t>Hy sinh</t>
  </si>
  <si>
    <t>他为国家牺牲了。</t>
  </si>
  <si>
    <t>夕阳</t>
  </si>
  <si>
    <t>xīyáng</t>
  </si>
  <si>
    <t>Hoàng hôn</t>
  </si>
  <si>
    <t>我喜欢看夕阳。</t>
  </si>
  <si>
    <t>媳妇</t>
  </si>
  <si>
    <t>xífù</t>
  </si>
  <si>
    <t>Con dâu</t>
  </si>
  <si>
    <t>她是我的媳妇。</t>
  </si>
  <si>
    <t>袭击</t>
  </si>
  <si>
    <t>xíjī</t>
  </si>
  <si>
    <t>Tập kích</t>
  </si>
  <si>
    <t>敌人突然袭击了我们。</t>
  </si>
  <si>
    <t>习俗</t>
  </si>
  <si>
    <t>xísú</t>
  </si>
  <si>
    <t>Tập tục</t>
  </si>
  <si>
    <t>每个国家都有自己的习俗。</t>
  </si>
  <si>
    <t>喜闻乐见</t>
  </si>
  <si>
    <t>xǐwén lèjiàn</t>
  </si>
  <si>
    <t>Yêu thích, ưa chuộng</t>
  </si>
  <si>
    <t>这部电影让人喜闻乐见。</t>
  </si>
  <si>
    <t>喜悦</t>
  </si>
  <si>
    <t>xǐyuè</t>
  </si>
  <si>
    <t>Vui vẻ</t>
  </si>
  <si>
    <t>这个消息让他非常喜悦。</t>
  </si>
  <si>
    <t>细胞</t>
  </si>
  <si>
    <t>xìbāo</t>
  </si>
  <si>
    <t>Tế bào</t>
  </si>
  <si>
    <t>细胞是生物的基本单位。</t>
  </si>
  <si>
    <t>细菌</t>
  </si>
  <si>
    <t>xìjūn</t>
  </si>
  <si>
    <t>Vi khuẩn</t>
  </si>
  <si>
    <t>细菌会引起疾病。</t>
  </si>
  <si>
    <t>系列</t>
  </si>
  <si>
    <t>xìliè</t>
  </si>
  <si>
    <t>Loạt, chuỗi</t>
  </si>
  <si>
    <t>这是一系列的活动。</t>
  </si>
  <si>
    <t>细致</t>
  </si>
  <si>
    <t>xìzhì</t>
  </si>
  <si>
    <t>Tỉ mỉ</t>
  </si>
  <si>
    <t>这个工作需要非常细致。</t>
  </si>
  <si>
    <t>霞</t>
  </si>
  <si>
    <t>xiá</t>
  </si>
  <si>
    <t>Ráng, hoàng hôn</t>
  </si>
  <si>
    <t>傍晚的天空满是霞光。</t>
  </si>
  <si>
    <t>狭隘</t>
  </si>
  <si>
    <t>xiá'ài</t>
  </si>
  <si>
    <t>Hẹp hòi</t>
  </si>
  <si>
    <t>他思想很狭隘。</t>
  </si>
  <si>
    <t>峡谷</t>
  </si>
  <si>
    <t>xiágǔ</t>
  </si>
  <si>
    <t>Hẻm núi</t>
  </si>
  <si>
    <t>我们去探险峡谷。</t>
  </si>
  <si>
    <t>狭窄</t>
  </si>
  <si>
    <t>xiázhǎi</t>
  </si>
  <si>
    <t>Hẹp</t>
  </si>
  <si>
    <t>这条路很狭窄。</t>
  </si>
  <si>
    <t>xiàlìngyíng</t>
  </si>
  <si>
    <t>Trại hè</t>
  </si>
  <si>
    <t>夏令营活动丰富多彩。</t>
  </si>
  <si>
    <t>下属</t>
  </si>
  <si>
    <t>xiàshǔ</t>
  </si>
  <si>
    <t>Cấp dưới</t>
  </si>
  <si>
    <t>他是我的下属。</t>
  </si>
  <si>
    <t>先进</t>
  </si>
  <si>
    <t>xiānjìn</t>
  </si>
  <si>
    <t>Tiên tiến</t>
  </si>
  <si>
    <t>这是一项先进的技术。</t>
  </si>
  <si>
    <t>鲜明</t>
  </si>
  <si>
    <t>xiānmíng</t>
  </si>
  <si>
    <t>Rõ ràng, sắc nét</t>
  </si>
  <si>
    <t>他的观点很鲜明。</t>
  </si>
  <si>
    <t>掀起</t>
  </si>
  <si>
    <t>xiānqǐ</t>
  </si>
  <si>
    <t>Khởi động, bắt đầu</t>
  </si>
  <si>
    <t>他掀起了一场革命。</t>
  </si>
  <si>
    <t>先前</t>
  </si>
  <si>
    <t>xiānqián</t>
  </si>
  <si>
    <t>Trước kia</t>
  </si>
  <si>
    <t>先前的计划需要修改。</t>
  </si>
  <si>
    <t>纤维</t>
  </si>
  <si>
    <t>xiānwéi</t>
  </si>
  <si>
    <t>Sợi, chất xơ</t>
  </si>
  <si>
    <t>蔬菜中含有丰富的纤维。</t>
  </si>
  <si>
    <t>弦</t>
  </si>
  <si>
    <t>Dây đàn</t>
  </si>
  <si>
    <t>吉他有六根弦。</t>
  </si>
  <si>
    <t>嫌</t>
  </si>
  <si>
    <t>Ghét</t>
  </si>
  <si>
    <t>我对他的行为感到很嫌。</t>
  </si>
  <si>
    <t>闲话</t>
  </si>
  <si>
    <t>xiánhuà</t>
  </si>
  <si>
    <t>Lời đồn, chuyện tào lao</t>
  </si>
  <si>
    <t>闲话少说，开始工作吧。</t>
  </si>
  <si>
    <t>贤惠</t>
  </si>
  <si>
    <t>xiánhuì</t>
  </si>
  <si>
    <t>Hiền lành, đức hạnh</t>
  </si>
  <si>
    <t>她是个贤惠的妻子。</t>
  </si>
  <si>
    <t>衔接</t>
  </si>
  <si>
    <t>xiánjiē</t>
  </si>
  <si>
    <t>Nối tiếp</t>
  </si>
  <si>
    <t>这两段代码需要衔接。</t>
  </si>
  <si>
    <t>嫌疑</t>
  </si>
  <si>
    <t>xiányí</t>
  </si>
  <si>
    <t>Nghi ngờ</t>
  </si>
  <si>
    <t>他有嫌疑。</t>
  </si>
  <si>
    <t>显著</t>
  </si>
  <si>
    <t>xiǎnzhù</t>
  </si>
  <si>
    <t>Rõ rệt</t>
  </si>
  <si>
    <t>这个词语在文章中显得很显著。</t>
  </si>
  <si>
    <t>现场</t>
  </si>
  <si>
    <t>xiànchǎng</t>
  </si>
  <si>
    <t>Hiện trường</t>
  </si>
  <si>
    <t>这个地方是事故现场。</t>
  </si>
  <si>
    <t>现成</t>
  </si>
  <si>
    <t>xiànchéng</t>
  </si>
  <si>
    <t>Có sẵn, sẵn sàng</t>
  </si>
  <si>
    <t>这个方案已经现成了。</t>
  </si>
  <si>
    <t>宪法</t>
  </si>
  <si>
    <t>xiànfǎ</t>
  </si>
  <si>
    <t>Hiến pháp</t>
  </si>
  <si>
    <t>我们必须遵守宪法。</t>
  </si>
  <si>
    <t>陷害</t>
  </si>
  <si>
    <t>xiànhài</t>
  </si>
  <si>
    <t>Hãm hại</t>
  </si>
  <si>
    <t>他被人陷害了。</t>
  </si>
  <si>
    <t>馅儿</t>
  </si>
  <si>
    <t>xiànr</t>
  </si>
  <si>
    <t>Nhân (bánh)</t>
  </si>
  <si>
    <t>我喜欢吃馅儿饼。</t>
  </si>
  <si>
    <t>陷入</t>
  </si>
  <si>
    <t>xiànrù</t>
  </si>
  <si>
    <t>Rơi vào</t>
  </si>
  <si>
    <t>她陷入了困境。</t>
  </si>
  <si>
    <t>线索</t>
  </si>
  <si>
    <t>xiànsuǒ</t>
  </si>
  <si>
    <t>Manh mối</t>
  </si>
  <si>
    <t>我们找到了一些线索。</t>
  </si>
  <si>
    <t>现状</t>
  </si>
  <si>
    <t>xiànzhuàng</t>
  </si>
  <si>
    <t>Tình hình hiện tại</t>
  </si>
  <si>
    <t>我们需要了解现状。</t>
  </si>
  <si>
    <t>相差</t>
  </si>
  <si>
    <t>xiāngchà</t>
  </si>
  <si>
    <t>Chênh lệch</t>
  </si>
  <si>
    <t>他们之间的相差很大。</t>
  </si>
  <si>
    <t>相等</t>
  </si>
  <si>
    <t>xiāngděng</t>
  </si>
  <si>
    <t>Tương đương</t>
  </si>
  <si>
    <t>他们两个人相等。</t>
  </si>
  <si>
    <t>相辅相成</t>
  </si>
  <si>
    <t>xiāngfǔ xiāngchéng</t>
  </si>
  <si>
    <t>Bổ trợ lẫn nhau</t>
  </si>
  <si>
    <t>理论和实践应该相辅相成。</t>
  </si>
  <si>
    <t>镶嵌</t>
  </si>
  <si>
    <t>xiāngqiàn</t>
  </si>
  <si>
    <t>Khảm nạm</t>
  </si>
  <si>
    <t>墙上镶嵌着美丽的瓷砖。</t>
  </si>
  <si>
    <t>相应</t>
  </si>
  <si>
    <t>xiāngyìng</t>
  </si>
  <si>
    <t>Tương ứng</t>
  </si>
  <si>
    <t>我们需要采取相应的措施。</t>
  </si>
  <si>
    <t>乡镇</t>
  </si>
  <si>
    <t>xiāngzhèn</t>
  </si>
  <si>
    <t>Thị trấn</t>
  </si>
  <si>
    <t>他来自一个小乡镇。</t>
  </si>
  <si>
    <t>想方设法</t>
  </si>
  <si>
    <t>xiǎngfāng shèfǎ</t>
  </si>
  <si>
    <t>Tìm mọi cách</t>
  </si>
  <si>
    <t>我们需要想方设法解决问题。</t>
  </si>
  <si>
    <t>响亮</t>
  </si>
  <si>
    <t>xiǎngliàng</t>
  </si>
  <si>
    <t>Vang dội</t>
  </si>
  <si>
    <t>他的声音很响亮。</t>
  </si>
  <si>
    <t>响应</t>
  </si>
  <si>
    <t>xiǎngyìng</t>
  </si>
  <si>
    <t>Ứng đáp, hưởng ứng</t>
  </si>
  <si>
    <t>我们要积极响应号召。</t>
  </si>
  <si>
    <t>巷</t>
  </si>
  <si>
    <t>Hẻm</t>
  </si>
  <si>
    <t>这条巷子很窄。</t>
  </si>
  <si>
    <t>Hạng, điều khoản, mục (lượng từ)</t>
  </si>
  <si>
    <t>这是一项法律条款。</t>
  </si>
  <si>
    <t>向导</t>
  </si>
  <si>
    <t>xiàngdǎo</t>
  </si>
  <si>
    <t>Hướng dẫn viên</t>
  </si>
  <si>
    <t>他是我们的向导。</t>
  </si>
  <si>
    <t>向来</t>
  </si>
  <si>
    <t>xiànglái</t>
  </si>
  <si>
    <t>他向来很守时。</t>
  </si>
  <si>
    <t>向往</t>
  </si>
  <si>
    <t>xiàngwǎng</t>
  </si>
  <si>
    <t>Hướng về, khao khát</t>
  </si>
  <si>
    <t>她向往自由的生活。</t>
  </si>
  <si>
    <t>消除</t>
  </si>
  <si>
    <t>xiāochú</t>
  </si>
  <si>
    <t>我们需要消除误解。</t>
  </si>
  <si>
    <t>消毒</t>
  </si>
  <si>
    <t>xiāodú</t>
  </si>
  <si>
    <t>Khử trùng</t>
  </si>
  <si>
    <t>他在消毒伤口。</t>
  </si>
  <si>
    <t>消防</t>
  </si>
  <si>
    <t>xiāofáng</t>
  </si>
  <si>
    <t>Phòng cháy chữa cháy</t>
  </si>
  <si>
    <t>他们在进行消防演习。</t>
  </si>
  <si>
    <t>消耗</t>
  </si>
  <si>
    <t>xiāohào</t>
  </si>
  <si>
    <t>Tiêu hao</t>
  </si>
  <si>
    <t>这个机器消耗很多电。</t>
  </si>
  <si>
    <t>销毁</t>
  </si>
  <si>
    <t>xiāohuǐ</t>
  </si>
  <si>
    <t>Tiêu hủy</t>
  </si>
  <si>
    <t>这份文件已经被销毁了。</t>
  </si>
  <si>
    <t>xiāojí</t>
  </si>
  <si>
    <t>Tiêu cực</t>
  </si>
  <si>
    <t>他对生活感到消极。</t>
  </si>
  <si>
    <t>xiǎoqì</t>
  </si>
  <si>
    <t>他很小气，从不请客。</t>
  </si>
  <si>
    <t>小心翼翼</t>
  </si>
  <si>
    <t>xiǎoxīn yìyì</t>
  </si>
  <si>
    <t>Cẩn thận từng chút</t>
  </si>
  <si>
    <t>她做事总是小心翼翼。</t>
  </si>
  <si>
    <t>xiàoshùn</t>
  </si>
  <si>
    <t>Hiếu thảo</t>
  </si>
  <si>
    <t>孝顺是中华民族的传统美德。</t>
  </si>
  <si>
    <t>肖像</t>
  </si>
  <si>
    <t>xiàoxiàng</t>
  </si>
  <si>
    <t>Chân dung</t>
  </si>
  <si>
    <t>这是一幅肖像画儿。</t>
  </si>
  <si>
    <t>效益</t>
  </si>
  <si>
    <t>xiàoyì</t>
  </si>
  <si>
    <t>Hiệu quả và lợi ích</t>
  </si>
  <si>
    <t>这个项目的效益很好。</t>
  </si>
  <si>
    <t>携带</t>
  </si>
  <si>
    <t>xiédài</t>
  </si>
  <si>
    <t>Mang theo</t>
  </si>
  <si>
    <t>请随身携带护照。</t>
  </si>
  <si>
    <t>协会</t>
  </si>
  <si>
    <t>xiéhuì</t>
  </si>
  <si>
    <t>Hiệp hội</t>
  </si>
  <si>
    <t>他是这个协会的成员。</t>
  </si>
  <si>
    <t>协商</t>
  </si>
  <si>
    <t>xiéshāng</t>
  </si>
  <si>
    <t>thỏa thuận; đàm phán</t>
  </si>
  <si>
    <t>我们需要协商解决这个问题。</t>
  </si>
  <si>
    <t>协议</t>
  </si>
  <si>
    <t>xiéyì</t>
  </si>
  <si>
    <t>Thỏa thuận</t>
  </si>
  <si>
    <t>协助</t>
  </si>
  <si>
    <t>xiézhù</t>
  </si>
  <si>
    <t>Hỗ trợ</t>
  </si>
  <si>
    <t>他协助我们完成了任务。</t>
  </si>
  <si>
    <t>xiězuò</t>
  </si>
  <si>
    <t>Viết văn</t>
  </si>
  <si>
    <t>她喜欢写作。</t>
  </si>
  <si>
    <t>屑</t>
  </si>
  <si>
    <t>xiè</t>
  </si>
  <si>
    <t>Mảnh vụn</t>
  </si>
  <si>
    <t>这点小事不值一提，真是鸡毛蒜皮的屑事。</t>
  </si>
  <si>
    <t>谢绝</t>
  </si>
  <si>
    <t>xièjué</t>
  </si>
  <si>
    <t>Từ chối</t>
  </si>
  <si>
    <t>谢绝推销。</t>
  </si>
  <si>
    <t>泄露</t>
  </si>
  <si>
    <t>xièlòu</t>
  </si>
  <si>
    <t>Rò rỉ</t>
  </si>
  <si>
    <t>请不要泄露秘密。</t>
  </si>
  <si>
    <t>泄气</t>
  </si>
  <si>
    <t>xièqì</t>
  </si>
  <si>
    <t>Mất tinh thần</t>
  </si>
  <si>
    <t>他遇到困难时不泄气。</t>
  </si>
  <si>
    <t>新陈代谢</t>
  </si>
  <si>
    <t>xīnchéndàixiè</t>
  </si>
  <si>
    <t>Sự trao đổi chất</t>
  </si>
  <si>
    <t>新陈代谢对健康很重要。</t>
  </si>
  <si>
    <t>心得</t>
  </si>
  <si>
    <t>xīndé</t>
  </si>
  <si>
    <t>Điều tâm đắc</t>
  </si>
  <si>
    <t>我写了一篇关于教学心得的文章。</t>
  </si>
  <si>
    <t>新郎</t>
  </si>
  <si>
    <t>xīnláng</t>
  </si>
  <si>
    <t>Chú rể</t>
  </si>
  <si>
    <t>新郎和新娘站在一起。</t>
  </si>
  <si>
    <t>心灵</t>
  </si>
  <si>
    <t>xīnlíng</t>
  </si>
  <si>
    <t>Tâm hồn</t>
  </si>
  <si>
    <t>他的心灵非常纯洁。</t>
  </si>
  <si>
    <t>新娘</t>
  </si>
  <si>
    <t>xīnniáng</t>
  </si>
  <si>
    <t>Cô dâu</t>
  </si>
  <si>
    <t xml:space="preserve">新娘穿着美丽的婚纱。        </t>
  </si>
  <si>
    <t>辛勤</t>
  </si>
  <si>
    <t>xīnqín</t>
  </si>
  <si>
    <t>Chăm chỉ</t>
  </si>
  <si>
    <t>辛勤劳动换来好收成。</t>
  </si>
  <si>
    <t>薪水</t>
  </si>
  <si>
    <t>xīnshuǐ</t>
  </si>
  <si>
    <t>Lương</t>
  </si>
  <si>
    <t>公司每月发放薪水。</t>
  </si>
  <si>
    <t>心态</t>
  </si>
  <si>
    <t>xīntài</t>
  </si>
  <si>
    <t>Tâm lý</t>
  </si>
  <si>
    <t>保持积极的心态很重要。</t>
  </si>
  <si>
    <t>心疼</t>
  </si>
  <si>
    <t>xīnténg</t>
  </si>
  <si>
    <t>Thương xót</t>
  </si>
  <si>
    <t>看到孩子受伤，他心疼不已。</t>
  </si>
  <si>
    <t>欣慰</t>
  </si>
  <si>
    <t>xīnwèi</t>
  </si>
  <si>
    <t>Vui mừng và an ủi</t>
  </si>
  <si>
    <t>他对此结果感到欣慰。</t>
  </si>
  <si>
    <t>欣欣向荣</t>
  </si>
  <si>
    <t>xīnxīn xiàngróng</t>
  </si>
  <si>
    <t>Thịnh vượng, phát triển mạnh</t>
  </si>
  <si>
    <t>社会经济欣欣向荣。</t>
  </si>
  <si>
    <t>心血</t>
  </si>
  <si>
    <t>xīnxuè</t>
  </si>
  <si>
    <t>Tâm huyết</t>
  </si>
  <si>
    <t>他为这个项目投入了很多心血。</t>
  </si>
  <si>
    <t>心眼儿</t>
  </si>
  <si>
    <t>xīnyǎnr</t>
  </si>
  <si>
    <t>Tâm ý, tấm lòng</t>
  </si>
  <si>
    <t>他心眼儿好，总是帮助别人。</t>
  </si>
  <si>
    <t>新颖</t>
  </si>
  <si>
    <t>xīnyǐng</t>
  </si>
  <si>
    <t>Mới mẻ</t>
  </si>
  <si>
    <t>这件设计非常新颖。</t>
  </si>
  <si>
    <t>信赖</t>
  </si>
  <si>
    <t>xìnlài</t>
  </si>
  <si>
    <t>Tin cậy</t>
  </si>
  <si>
    <t>我非常信赖他的能力。</t>
  </si>
  <si>
    <t>信念</t>
  </si>
  <si>
    <t>xìnniàn</t>
  </si>
  <si>
    <t>Niềm tin</t>
  </si>
  <si>
    <t>信念是人生的支柱。</t>
  </si>
  <si>
    <t>信仰</t>
  </si>
  <si>
    <t>xìnyǎng</t>
  </si>
  <si>
    <t>Tín ngưỡng</t>
  </si>
  <si>
    <t>他信仰基督教。</t>
  </si>
  <si>
    <t>信誉</t>
  </si>
  <si>
    <t>xìnyù</t>
  </si>
  <si>
    <t>这个品牌的信誉很好。</t>
  </si>
  <si>
    <t>腥</t>
  </si>
  <si>
    <t>xīng</t>
  </si>
  <si>
    <t>Tanh</t>
  </si>
  <si>
    <t>鱼的腥味很重。</t>
  </si>
  <si>
    <t>兴高采烈</t>
  </si>
  <si>
    <t>xìnggāo cǎiliè</t>
  </si>
  <si>
    <t>Phấn khởi</t>
  </si>
  <si>
    <t>孩子们兴高采烈地玩耍。</t>
  </si>
  <si>
    <t>兴隆</t>
  </si>
  <si>
    <t>xīnglóng</t>
  </si>
  <si>
    <t>Thịnh vượng</t>
  </si>
  <si>
    <t>这个市场非常兴隆。</t>
  </si>
  <si>
    <t>兴旺</t>
  </si>
  <si>
    <t>xīngwàng</t>
  </si>
  <si>
    <t>Phát đạt</t>
  </si>
  <si>
    <t>他经营的生意非常兴旺。</t>
  </si>
  <si>
    <t>刑事</t>
  </si>
  <si>
    <t>xíngshì</t>
  </si>
  <si>
    <t>Hình sự</t>
  </si>
  <si>
    <t>他因刑事犯罪被判刑。</t>
  </si>
  <si>
    <t>形态</t>
  </si>
  <si>
    <t>xíngtài</t>
  </si>
  <si>
    <t>Hình thái</t>
  </si>
  <si>
    <t>这种植物有独特的形态。</t>
  </si>
  <si>
    <t>行政</t>
  </si>
  <si>
    <t>xíngzhèng</t>
  </si>
  <si>
    <t>Hành chính</t>
  </si>
  <si>
    <t>他在行政部门工作。</t>
  </si>
  <si>
    <t>性感</t>
  </si>
  <si>
    <t>xìnggǎn</t>
  </si>
  <si>
    <t>Gợi cảm</t>
  </si>
  <si>
    <t>这位明星很性感。</t>
  </si>
  <si>
    <t>幸好</t>
  </si>
  <si>
    <t>xìnghǎo</t>
  </si>
  <si>
    <t>May thay</t>
  </si>
  <si>
    <t>幸好他及时赶到。</t>
  </si>
  <si>
    <t>性命</t>
  </si>
  <si>
    <t>xìngmìng</t>
  </si>
  <si>
    <t>Tính mạng</t>
  </si>
  <si>
    <t>他的性命得到了挽救。</t>
  </si>
  <si>
    <t>性能</t>
  </si>
  <si>
    <t>xìngnéng</t>
  </si>
  <si>
    <t>Tính năng</t>
  </si>
  <si>
    <t>这台机器的性能很好。</t>
  </si>
  <si>
    <t>性情</t>
  </si>
  <si>
    <t>xìngqíng</t>
  </si>
  <si>
    <t>Tính tình</t>
  </si>
  <si>
    <t>他的性情很温和。</t>
  </si>
  <si>
    <t>兴致勃勃</t>
  </si>
  <si>
    <t>xìngzhì bóbó</t>
  </si>
  <si>
    <t>Hăng hái, say mê</t>
  </si>
  <si>
    <t>他对这个活动兴致勃勃。</t>
  </si>
  <si>
    <t>凶恶</t>
  </si>
  <si>
    <t>xiōng'è</t>
  </si>
  <si>
    <t>Hung ác</t>
  </si>
  <si>
    <t>他的眼神很凶恶。</t>
  </si>
  <si>
    <t>胸怀</t>
  </si>
  <si>
    <t>xiōnghuái</t>
  </si>
  <si>
    <t>Lòng dạ, tâm hồn</t>
  </si>
  <si>
    <t>他有宽广的胸怀。</t>
  </si>
  <si>
    <t>凶手</t>
  </si>
  <si>
    <t>xiōngshǒu</t>
  </si>
  <si>
    <t>Hung thủ</t>
  </si>
  <si>
    <t>警察抓住了凶手。</t>
  </si>
  <si>
    <t>胸膛</t>
  </si>
  <si>
    <t>xiōngtáng</t>
  </si>
  <si>
    <t>Ngực</t>
  </si>
  <si>
    <t>他挺起了胸膛。</t>
  </si>
  <si>
    <t>雄厚</t>
  </si>
  <si>
    <t>xiónghòu</t>
  </si>
  <si>
    <t>Hùng hậu</t>
  </si>
  <si>
    <t>公司的资金雄厚。</t>
  </si>
  <si>
    <t>羞耻</t>
  </si>
  <si>
    <t>xiūchǐ</t>
  </si>
  <si>
    <t>Xấu hổ</t>
  </si>
  <si>
    <t>他感到非常羞耻。</t>
  </si>
  <si>
    <t>修复</t>
  </si>
  <si>
    <t>xiūfù</t>
  </si>
  <si>
    <t>Sửa chữa, phục hồi</t>
  </si>
  <si>
    <t>这座古建筑得到了修复。</t>
  </si>
  <si>
    <t>修建</t>
  </si>
  <si>
    <t>xiūjiàn</t>
  </si>
  <si>
    <t>Xây dựng</t>
  </si>
  <si>
    <t>他们在修建新学校。</t>
  </si>
  <si>
    <t>xiūlǐ</t>
  </si>
  <si>
    <t>Sửa chữa</t>
  </si>
  <si>
    <t>我的自行车需要修理。</t>
  </si>
  <si>
    <t>修养</t>
  </si>
  <si>
    <t>xiūyǎng</t>
  </si>
  <si>
    <t>Tu dưỡng</t>
  </si>
  <si>
    <t>他很注重自己的修养。</t>
  </si>
  <si>
    <t>绣</t>
  </si>
  <si>
    <t>xiù</t>
  </si>
  <si>
    <t>Thêu</t>
  </si>
  <si>
    <t>她在手帕上绣了花。</t>
  </si>
  <si>
    <t>嗅觉</t>
  </si>
  <si>
    <t>xiùjué</t>
  </si>
  <si>
    <t>Khứu giác</t>
  </si>
  <si>
    <t>狗的嗅觉非常灵敏。</t>
  </si>
  <si>
    <t>虚假</t>
  </si>
  <si>
    <t>xūjiǎ</t>
  </si>
  <si>
    <t>Giả dối</t>
  </si>
  <si>
    <t>这个故事有些虚假。</t>
  </si>
  <si>
    <t>需求</t>
  </si>
  <si>
    <t>xūqiú</t>
  </si>
  <si>
    <t>Nhu cầu</t>
  </si>
  <si>
    <t>公司的需求不断增加。</t>
  </si>
  <si>
    <t>虚荣</t>
  </si>
  <si>
    <t>xūróng</t>
  </si>
  <si>
    <t>Hư vinh</t>
  </si>
  <si>
    <t>他有点虚荣。</t>
  </si>
  <si>
    <t>虚伪</t>
  </si>
  <si>
    <t>xūwěi</t>
  </si>
  <si>
    <t>Giả tạo</t>
  </si>
  <si>
    <t>我讨厌虚伪的人。</t>
  </si>
  <si>
    <t>须知</t>
  </si>
  <si>
    <t>xūzhī</t>
  </si>
  <si>
    <t>Cần biết, điều cần biết</t>
  </si>
  <si>
    <t>申请表上有须知。</t>
  </si>
  <si>
    <t>许可</t>
  </si>
  <si>
    <t>xǔkě</t>
  </si>
  <si>
    <t>Cho phép</t>
  </si>
  <si>
    <t>这个活动需要得到许可。</t>
  </si>
  <si>
    <t>酗酒</t>
  </si>
  <si>
    <t>xùjiǔ</t>
  </si>
  <si>
    <t>Nghiện rượu</t>
  </si>
  <si>
    <t>他酗酒成性。</t>
  </si>
  <si>
    <t>畜牧</t>
  </si>
  <si>
    <t>xùmù</t>
  </si>
  <si>
    <t>这个地区以畜牧业为主。</t>
  </si>
  <si>
    <t>序言</t>
  </si>
  <si>
    <t>xùyán</t>
  </si>
  <si>
    <t>Lời nói đầu</t>
  </si>
  <si>
    <t>序言部分很重要。</t>
  </si>
  <si>
    <t>宣誓</t>
  </si>
  <si>
    <t>xuānshì</t>
  </si>
  <si>
    <t>Tuyên thệ</t>
  </si>
  <si>
    <t>他在法庭上宣誓。</t>
  </si>
  <si>
    <t>宣扬</t>
  </si>
  <si>
    <t>xuānyáng</t>
  </si>
  <si>
    <t>Tuyên truyền</t>
  </si>
  <si>
    <t>他们在宣扬新政策。</t>
  </si>
  <si>
    <t>悬挂</t>
  </si>
  <si>
    <t>xuánguà</t>
  </si>
  <si>
    <t>Treo</t>
  </si>
  <si>
    <t>我在墙上悬挂了一幅画儿。</t>
  </si>
  <si>
    <t>旋律</t>
  </si>
  <si>
    <t>xuánlǜ</t>
  </si>
  <si>
    <t>Giai điệu</t>
  </si>
  <si>
    <t>这首歌的旋律很优美。</t>
  </si>
  <si>
    <t>悬念</t>
  </si>
  <si>
    <t>xuánniàn</t>
  </si>
  <si>
    <t>Lo lắng</t>
  </si>
  <si>
    <t>他一直在悬念结局。</t>
  </si>
  <si>
    <t>悬崖峭壁</t>
  </si>
  <si>
    <t>xuányá qiàobì</t>
  </si>
  <si>
    <t>Vách đá cheo leo</t>
  </si>
  <si>
    <t>山峰悬崖峭壁。</t>
  </si>
  <si>
    <t>旋转</t>
  </si>
  <si>
    <t>xuánzhuǎn</t>
  </si>
  <si>
    <t>Quay, xoay</t>
  </si>
  <si>
    <t>这个玩具可以旋转。</t>
  </si>
  <si>
    <t>选拔</t>
  </si>
  <si>
    <t>xuǎnbá</t>
  </si>
  <si>
    <t>Tuyển chọn</t>
  </si>
  <si>
    <t>我们正在选拔人才。</t>
  </si>
  <si>
    <t>选手</t>
  </si>
  <si>
    <t>xuǎnshǒu</t>
  </si>
  <si>
    <t>Tuyển thủ</t>
  </si>
  <si>
    <t>他是一位优秀的选手。</t>
  </si>
  <si>
    <t>削弱</t>
  </si>
  <si>
    <t>xuēruò</t>
  </si>
  <si>
    <t>Suy yếu</t>
  </si>
  <si>
    <t>他们的力量被削弱了。</t>
  </si>
  <si>
    <t>xuélì</t>
  </si>
  <si>
    <t>Trình độ học vấn</t>
  </si>
  <si>
    <t>她的学历很高。</t>
  </si>
  <si>
    <t>学说</t>
  </si>
  <si>
    <t>xuéshuō</t>
  </si>
  <si>
    <t>Học thuyết</t>
  </si>
  <si>
    <t>这是一个新的学说。</t>
  </si>
  <si>
    <t>学位</t>
  </si>
  <si>
    <t>xuéwèi</t>
  </si>
  <si>
    <t>Học vị</t>
  </si>
  <si>
    <t>他获得了硕士学位。</t>
  </si>
  <si>
    <t>雪上加霜</t>
  </si>
  <si>
    <t>xuěshàng jiāshuāng</t>
  </si>
  <si>
    <t xml:space="preserve">hoạ vô đơn chí; liên tiếp gặp tai nạn; đã rét vì tuyết lại giá vì sương </t>
  </si>
  <si>
    <t>他的情况真是雪上加霜。</t>
  </si>
  <si>
    <t>血压</t>
  </si>
  <si>
    <t>xuèyā</t>
  </si>
  <si>
    <t>Huyết áp</t>
  </si>
  <si>
    <t>他的血压很高。</t>
  </si>
  <si>
    <t>熏陶</t>
  </si>
  <si>
    <t>xūntáo</t>
  </si>
  <si>
    <t>Đào tạo, hun đúc</t>
  </si>
  <si>
    <t>孩子们在家长的熏陶下成长。</t>
  </si>
  <si>
    <t>循环</t>
  </si>
  <si>
    <t>xúnhuán</t>
  </si>
  <si>
    <t>Tuần hoàn</t>
  </si>
  <si>
    <t>这个过程是一个循环。</t>
  </si>
  <si>
    <t>巡逻</t>
  </si>
  <si>
    <t>xúnluó</t>
  </si>
  <si>
    <t>Tuần tra</t>
  </si>
  <si>
    <t>警察正在巡逻。</t>
  </si>
  <si>
    <t>寻觅</t>
  </si>
  <si>
    <t>xúnmì</t>
  </si>
  <si>
    <t>他正在寻觅新的机会。</t>
  </si>
  <si>
    <t>循序渐进</t>
  </si>
  <si>
    <t>xúnxù jiànjìn</t>
  </si>
  <si>
    <t>Tiến hành tuần tự</t>
  </si>
  <si>
    <t>学习需要循序渐进。</t>
  </si>
  <si>
    <t>yājīn</t>
  </si>
  <si>
    <t>Tiền đặt cọc</t>
  </si>
  <si>
    <t>交房时需要交押金。</t>
  </si>
  <si>
    <t>压迫</t>
  </si>
  <si>
    <t>yāpò</t>
  </si>
  <si>
    <t>Áp bức</t>
  </si>
  <si>
    <t>他感到受到压迫。</t>
  </si>
  <si>
    <t>压岁钱</t>
  </si>
  <si>
    <t>yāsuìqián</t>
  </si>
  <si>
    <t>Tiền lì xì</t>
  </si>
  <si>
    <t>过年时孩子们会收到压岁钱。</t>
  </si>
  <si>
    <t>压缩</t>
  </si>
  <si>
    <t>yāsuō</t>
  </si>
  <si>
    <t>Nén</t>
  </si>
  <si>
    <t>我们需要压缩文件大小。</t>
  </si>
  <si>
    <t>压抑</t>
  </si>
  <si>
    <t>yāyì</t>
  </si>
  <si>
    <t>Ức chế</t>
  </si>
  <si>
    <t>他感到非常压抑。</t>
  </si>
  <si>
    <t>压榨</t>
  </si>
  <si>
    <t>yāzhà</t>
  </si>
  <si>
    <t>Ép, bóc lột</t>
  </si>
  <si>
    <t>我们不能压榨员工。</t>
  </si>
  <si>
    <t>压制</t>
  </si>
  <si>
    <t>yāzhì</t>
  </si>
  <si>
    <t>Kìm hãm</t>
  </si>
  <si>
    <t>他被压制住了。</t>
  </si>
  <si>
    <t>亚军</t>
  </si>
  <si>
    <t>yàjūn</t>
  </si>
  <si>
    <t>Á quân</t>
  </si>
  <si>
    <t>她赢得了亚军。</t>
  </si>
  <si>
    <t>烟花爆竹</t>
  </si>
  <si>
    <t>yānhuā bàozhú</t>
  </si>
  <si>
    <t>Pháo hoa</t>
  </si>
  <si>
    <t>过年时，我们喜欢放烟花爆竹。</t>
  </si>
  <si>
    <t>淹没</t>
  </si>
  <si>
    <t>yānmò</t>
  </si>
  <si>
    <t>Nhấn chìm</t>
  </si>
  <si>
    <t>洪水淹没了村庄。</t>
  </si>
  <si>
    <t>沿海</t>
  </si>
  <si>
    <t>yánhǎi</t>
  </si>
  <si>
    <t>Ven biển</t>
  </si>
  <si>
    <t>这个城市沿海。</t>
  </si>
  <si>
    <t>严寒</t>
  </si>
  <si>
    <t>yánhán</t>
  </si>
  <si>
    <t>Lạnh giá</t>
  </si>
  <si>
    <t>这里的冬天非常严寒。</t>
  </si>
  <si>
    <t>严禁</t>
  </si>
  <si>
    <t>yánjìn</t>
  </si>
  <si>
    <t>Cấm tuyệt đối</t>
  </si>
  <si>
    <t>严禁吸烟。</t>
  </si>
  <si>
    <t>严峻</t>
  </si>
  <si>
    <t>yánjùn</t>
  </si>
  <si>
    <t>Nghiêm trọng</t>
  </si>
  <si>
    <t>他面临严峻的挑战。</t>
  </si>
  <si>
    <t>严厉</t>
  </si>
  <si>
    <t>yánlì</t>
  </si>
  <si>
    <t>Nghiêm khắc</t>
  </si>
  <si>
    <t>老师对学生非常严厉。</t>
  </si>
  <si>
    <t>言论</t>
  </si>
  <si>
    <t>yánlùn</t>
  </si>
  <si>
    <t>Ngôn luận</t>
  </si>
  <si>
    <t>我们要尊重言论自由。</t>
  </si>
  <si>
    <t>严密</t>
  </si>
  <si>
    <t>yánmì</t>
  </si>
  <si>
    <t>Kín đáo</t>
  </si>
  <si>
    <t>我们需要对这个问题进行严密分析。</t>
  </si>
  <si>
    <t>延期</t>
  </si>
  <si>
    <t>yánqī</t>
  </si>
  <si>
    <t>Gia hạn,</t>
  </si>
  <si>
    <t>会议延期了。</t>
  </si>
  <si>
    <t>炎热</t>
  </si>
  <si>
    <t>yánrè</t>
  </si>
  <si>
    <t>Nóng bức</t>
  </si>
  <si>
    <t>炎热的夏天让人难以忍受。</t>
  </si>
  <si>
    <t>延伸</t>
  </si>
  <si>
    <t>yánshēn</t>
  </si>
  <si>
    <t>Mở rộng</t>
  </si>
  <si>
    <t>河流延伸到远方。</t>
  </si>
  <si>
    <t>岩石</t>
  </si>
  <si>
    <t>yánshí</t>
  </si>
  <si>
    <t>Đá</t>
  </si>
  <si>
    <t>岩石非常坚硬。</t>
  </si>
  <si>
    <t>延续</t>
  </si>
  <si>
    <t>yánxù</t>
  </si>
  <si>
    <t>Tiếp tục</t>
  </si>
  <si>
    <t>这个传统延续了几百年。</t>
  </si>
  <si>
    <t>演变</t>
  </si>
  <si>
    <t>yǎnbiàn</t>
  </si>
  <si>
    <t>Diễn biến</t>
  </si>
  <si>
    <t>动物的形态会随着时间演变。</t>
  </si>
  <si>
    <t>掩盖</t>
  </si>
  <si>
    <t>yǎngài</t>
  </si>
  <si>
    <t>Che đậy</t>
  </si>
  <si>
    <t>他试图掩盖自己的错误。</t>
  </si>
  <si>
    <t>眼光</t>
  </si>
  <si>
    <t>yǎnguāng</t>
  </si>
  <si>
    <t>她的眼光非常独到。</t>
  </si>
  <si>
    <t>掩护</t>
  </si>
  <si>
    <t>yǎnhù</t>
  </si>
  <si>
    <t>Che chở</t>
  </si>
  <si>
    <t>士兵们互相掩护。</t>
  </si>
  <si>
    <t>yǎnjiǎng</t>
  </si>
  <si>
    <t>Diễn thuyết</t>
  </si>
  <si>
    <t>他的演讲非常精彩。</t>
  </si>
  <si>
    <t>眼色</t>
  </si>
  <si>
    <t>yǎnsè</t>
  </si>
  <si>
    <t>Ánh mắt, ý tứ</t>
  </si>
  <si>
    <t>她给了他一个眼色。</t>
  </si>
  <si>
    <t>眼神</t>
  </si>
  <si>
    <t>yǎnshén</t>
  </si>
  <si>
    <t>Thần thái ánh mắt</t>
  </si>
  <si>
    <t>他的眼神透露出悲伤。</t>
  </si>
  <si>
    <t>掩饰</t>
  </si>
  <si>
    <t>yǎnshì</t>
  </si>
  <si>
    <t>Che giấu</t>
  </si>
  <si>
    <t>她努力掩饰自己的情绪。</t>
  </si>
  <si>
    <t>演习</t>
  </si>
  <si>
    <t>yǎnxí</t>
  </si>
  <si>
    <t>Diễn tập</t>
  </si>
  <si>
    <t>他们正在进行军事演习。</t>
  </si>
  <si>
    <t>眼下</t>
  </si>
  <si>
    <t>yǎnxià</t>
  </si>
  <si>
    <t>Trước mắt</t>
  </si>
  <si>
    <t>眼下我们需要一个计划。</t>
  </si>
  <si>
    <t>演绎</t>
  </si>
  <si>
    <t>yǎnyì</t>
  </si>
  <si>
    <t>Diễn giải</t>
  </si>
  <si>
    <t>他把小说演绎得非常精彩。</t>
  </si>
  <si>
    <t>演奏</t>
  </si>
  <si>
    <t>yǎnzòu</t>
  </si>
  <si>
    <t>Diễn tấu</t>
  </si>
  <si>
    <t>她在钢琴上演奏了一首优美的曲子。</t>
  </si>
  <si>
    <t>验收</t>
  </si>
  <si>
    <t>yànshōu</t>
  </si>
  <si>
    <t>Kiểm tra và nhận</t>
  </si>
  <si>
    <t>这个产品已经通过了验收。</t>
  </si>
  <si>
    <t>厌恶</t>
  </si>
  <si>
    <t>yànwù</t>
  </si>
  <si>
    <t>他对这种行为感到厌恶。</t>
  </si>
  <si>
    <t>验证</t>
  </si>
  <si>
    <t>yànzhèng</t>
  </si>
  <si>
    <t>Xác minh</t>
  </si>
  <si>
    <t>这个方法需要进一步验证。</t>
  </si>
  <si>
    <t>氧气</t>
  </si>
  <si>
    <t>yǎngqì</t>
  </si>
  <si>
    <t>Oxy</t>
  </si>
  <si>
    <t>植物需要氧气才能生长。</t>
  </si>
  <si>
    <t>样品</t>
  </si>
  <si>
    <t>yàngpǐn</t>
  </si>
  <si>
    <t>Mẫu hàng</t>
  </si>
  <si>
    <t>实验室里有很多样品。</t>
  </si>
  <si>
    <t>摇摆</t>
  </si>
  <si>
    <t>yáobǎi</t>
  </si>
  <si>
    <t>Đung đưa</t>
  </si>
  <si>
    <t>树枝在风中摇摆。</t>
  </si>
  <si>
    <t>摇滚</t>
  </si>
  <si>
    <t>yáogǔn</t>
  </si>
  <si>
    <t>Nhạc rock</t>
  </si>
  <si>
    <t>我喜欢听摇滚音乐。</t>
  </si>
  <si>
    <t>摇晃</t>
  </si>
  <si>
    <t>yáohuàng</t>
  </si>
  <si>
    <t>Lắc lư</t>
  </si>
  <si>
    <t>地震使房屋摇晃。</t>
  </si>
  <si>
    <t>遥控</t>
  </si>
  <si>
    <t>yáokòng</t>
  </si>
  <si>
    <t>Điều khiển từ xa</t>
  </si>
  <si>
    <t>他们用遥控器操作电视。</t>
  </si>
  <si>
    <t>谣言</t>
  </si>
  <si>
    <t>yáoyán</t>
  </si>
  <si>
    <t>Tin đồn</t>
  </si>
  <si>
    <t>不要相信那些谣言。</t>
  </si>
  <si>
    <t>遥远</t>
  </si>
  <si>
    <t>yáoyuǎn</t>
  </si>
  <si>
    <t>Xa xôi</t>
  </si>
  <si>
    <t>她住在一个遥远的村庄。</t>
  </si>
  <si>
    <t>咬牙切齿</t>
  </si>
  <si>
    <t>yǎoyá qièchǐ</t>
  </si>
  <si>
    <t>Nghiến răng kèn kẹt</t>
  </si>
  <si>
    <t>他咬牙切齿地说出了真相。</t>
  </si>
  <si>
    <t>要不然</t>
  </si>
  <si>
    <t>yàobùrán</t>
  </si>
  <si>
    <t>Nếu không thì</t>
  </si>
  <si>
    <t>我们需要快点走，要不然就迟到了。</t>
  </si>
  <si>
    <t>要点</t>
  </si>
  <si>
    <t>yàodiǎn</t>
  </si>
  <si>
    <t>Điểm quan trọng</t>
  </si>
  <si>
    <t>他解释了几个要点。</t>
  </si>
  <si>
    <t>要命</t>
  </si>
  <si>
    <t>yàomìng</t>
  </si>
  <si>
    <t>Chết người</t>
  </si>
  <si>
    <t>这种情况要命。</t>
  </si>
  <si>
    <t>要素</t>
  </si>
  <si>
    <t>yàosù</t>
  </si>
  <si>
    <t>Yếu tố</t>
  </si>
  <si>
    <t>这是一个成功的要素。</t>
  </si>
  <si>
    <t>耀眼</t>
  </si>
  <si>
    <t>yàoyǎn</t>
  </si>
  <si>
    <t>Chói mắt</t>
  </si>
  <si>
    <t>太阳光芒耀眼。</t>
  </si>
  <si>
    <t>野蛮</t>
  </si>
  <si>
    <t>yěmán</t>
  </si>
  <si>
    <t>Man rợ</t>
  </si>
  <si>
    <t>他的行为非常野蛮。</t>
  </si>
  <si>
    <t>野心</t>
  </si>
  <si>
    <t>yěxīn</t>
  </si>
  <si>
    <t>Tham vọng</t>
  </si>
  <si>
    <t>他有很大的野心。</t>
  </si>
  <si>
    <t>依次</t>
  </si>
  <si>
    <t>yīcì</t>
  </si>
  <si>
    <t>Lần lượt</t>
  </si>
  <si>
    <t>我们依次进入房间。</t>
  </si>
  <si>
    <t>一度</t>
  </si>
  <si>
    <t>yīdù</t>
  </si>
  <si>
    <t>Đã từng</t>
  </si>
  <si>
    <t>我们一度认为他会成功。</t>
  </si>
  <si>
    <t>一帆风顺</t>
  </si>
  <si>
    <t>yīfān fēngshùn</t>
  </si>
  <si>
    <t>Thuận buồm xuôi gió</t>
  </si>
  <si>
    <t>他希望自己的一生一帆风顺。</t>
  </si>
  <si>
    <t>一贯</t>
  </si>
  <si>
    <t>yīguàn</t>
  </si>
  <si>
    <t>Trước sau như một</t>
  </si>
  <si>
    <t>他一贯都很努力。</t>
  </si>
  <si>
    <t>依旧</t>
  </si>
  <si>
    <t>yījiù</t>
  </si>
  <si>
    <t>她依旧美丽。</t>
  </si>
  <si>
    <t>一举两得</t>
  </si>
  <si>
    <t>yījǔ liǎngdé</t>
  </si>
  <si>
    <t>Một công đôi việc</t>
  </si>
  <si>
    <t>我们可以一举两得。</t>
  </si>
  <si>
    <t>依据</t>
  </si>
  <si>
    <t>yījù</t>
  </si>
  <si>
    <t>Căn cứ vào</t>
  </si>
  <si>
    <t>我们依据法律行事。</t>
  </si>
  <si>
    <t>依靠</t>
  </si>
  <si>
    <t>yīkào</t>
  </si>
  <si>
    <t>Dựa vào</t>
  </si>
  <si>
    <t>他依靠家人的支持。</t>
  </si>
  <si>
    <t>依赖</t>
  </si>
  <si>
    <t>yīlài</t>
  </si>
  <si>
    <t>Ỷ lại</t>
  </si>
  <si>
    <t>他对科技很依赖。</t>
  </si>
  <si>
    <t>一流</t>
  </si>
  <si>
    <t>yīliú</t>
  </si>
  <si>
    <t>Hàng đầu</t>
  </si>
  <si>
    <t>这所大学是一流的。</t>
  </si>
  <si>
    <t>yīlǜ</t>
  </si>
  <si>
    <t>Đồng nhất</t>
  </si>
  <si>
    <t>所有学生一律要遵守校规。</t>
  </si>
  <si>
    <t>一目了然</t>
  </si>
  <si>
    <t>yīmù liǎorán</t>
  </si>
  <si>
    <t>Rõ ràng trong nháy mắt</t>
  </si>
  <si>
    <t>这个问题一目了然。</t>
  </si>
  <si>
    <t>一如既往</t>
  </si>
  <si>
    <t>yīrú jìwǎng</t>
  </si>
  <si>
    <t>Như trước đây</t>
  </si>
  <si>
    <t>他一如既往地支持我们。</t>
  </si>
  <si>
    <t>衣裳</t>
  </si>
  <si>
    <t>yīshang</t>
  </si>
  <si>
    <t>Quần áo</t>
  </si>
  <si>
    <t>她的衣裳非常漂亮。</t>
  </si>
  <si>
    <t>一丝不苟</t>
  </si>
  <si>
    <t>yīsī bùgǒu</t>
  </si>
  <si>
    <t>Tỉ mỉ cẩn thận</t>
  </si>
  <si>
    <t>他做事一丝不苟。</t>
  </si>
  <si>
    <t>依托</t>
  </si>
  <si>
    <t>yītuō</t>
  </si>
  <si>
    <t>这个项目依托于先进的技术。</t>
  </si>
  <si>
    <t>一向</t>
  </si>
  <si>
    <t>yīxiàng</t>
  </si>
  <si>
    <t>Luôn luôn</t>
  </si>
  <si>
    <t>他一向很守时。</t>
  </si>
  <si>
    <t>yīzài</t>
  </si>
  <si>
    <t>我一再强调这个问题的重要性。</t>
  </si>
  <si>
    <t>遗产</t>
  </si>
  <si>
    <t>yíchǎn</t>
  </si>
  <si>
    <t>Di sản</t>
  </si>
  <si>
    <t>他的遗产分配不均。</t>
  </si>
  <si>
    <t>遗传</t>
  </si>
  <si>
    <t>yíchuán</t>
  </si>
  <si>
    <t>Di truyền</t>
  </si>
  <si>
    <t>这种疾病具有遗传性。</t>
  </si>
  <si>
    <t>疑惑</t>
  </si>
  <si>
    <t>yíhuò</t>
  </si>
  <si>
    <t>她的回答让我感到疑惑。</t>
  </si>
  <si>
    <t>遗留</t>
  </si>
  <si>
    <t>yíliú</t>
  </si>
  <si>
    <t>Để lại</t>
  </si>
  <si>
    <t>这片土地遗留了许多历史遗迹。</t>
  </si>
  <si>
    <t>仪器</t>
  </si>
  <si>
    <t>yíqì</t>
  </si>
  <si>
    <t>Dụng cụ</t>
  </si>
  <si>
    <t>这个实验需要精密的仪器。</t>
  </si>
  <si>
    <t>遗失</t>
  </si>
  <si>
    <t>yíshī</t>
  </si>
  <si>
    <t>我遗失了我的钥匙。</t>
  </si>
  <si>
    <t>仪式</t>
  </si>
  <si>
    <t>yíshì</t>
  </si>
  <si>
    <t>Nghi thức</t>
  </si>
  <si>
    <t>婚礼上有很多传统仪式。</t>
  </si>
  <si>
    <t>以便</t>
  </si>
  <si>
    <t>yǐbiàn</t>
  </si>
  <si>
    <t>Để tiện</t>
  </si>
  <si>
    <t>请尽快回复，以便我们安排下一步。</t>
  </si>
  <si>
    <t>以免</t>
  </si>
  <si>
    <t>yǐmiǎn</t>
  </si>
  <si>
    <t>Để tránh</t>
  </si>
  <si>
    <t>请小心驾驶，以免发生事故。</t>
  </si>
  <si>
    <t>以往</t>
  </si>
  <si>
    <t>yǐwǎng</t>
  </si>
  <si>
    <t>Trước đây</t>
  </si>
  <si>
    <t>以往我们总是一起去旅行。</t>
  </si>
  <si>
    <t>以至</t>
  </si>
  <si>
    <t>yǐzhì</t>
  </si>
  <si>
    <t>Đến mức, thậm chí</t>
  </si>
  <si>
    <t>他努力工作，以至于忘记了吃饭。</t>
  </si>
  <si>
    <t>以致</t>
  </si>
  <si>
    <t>Đến mức, do đó (biểu thịkết quả mệnh đề trước</t>
  </si>
  <si>
    <t>天气冷得以致无法出门。</t>
  </si>
  <si>
    <t>亦</t>
  </si>
  <si>
    <t>Cũng</t>
  </si>
  <si>
    <t>他的意见很有道理，我亦同意。</t>
  </si>
  <si>
    <t>翼</t>
  </si>
  <si>
    <t>Cánh</t>
  </si>
  <si>
    <t>鸟儿展开了它的翼。</t>
  </si>
  <si>
    <t>异常</t>
  </si>
  <si>
    <t>yìcháng</t>
  </si>
  <si>
    <t>Bất thường</t>
  </si>
  <si>
    <t>他的行为异常怪异。</t>
  </si>
  <si>
    <t>毅力</t>
  </si>
  <si>
    <t>yìlì</t>
  </si>
  <si>
    <t>Kiên trì</t>
  </si>
  <si>
    <t>他靠着坚定的毅力完成了任务。</t>
  </si>
  <si>
    <t>意料</t>
  </si>
  <si>
    <t>yìliào</t>
  </si>
  <si>
    <t>Dự đoán</t>
  </si>
  <si>
    <t>结果出乎我们的意料。</t>
  </si>
  <si>
    <t>毅然</t>
  </si>
  <si>
    <t>yìrán</t>
  </si>
  <si>
    <t>Kiên quyết</t>
  </si>
  <si>
    <t>他毅然决定辞职。</t>
  </si>
  <si>
    <t>意识</t>
  </si>
  <si>
    <t>yìshí</t>
  </si>
  <si>
    <t>Ý thức</t>
  </si>
  <si>
    <t>我突然意识到自己忘了带钥匙。</t>
  </si>
  <si>
    <t>意图</t>
  </si>
  <si>
    <t>yìtú</t>
  </si>
  <si>
    <t>Ý đồ</t>
  </si>
  <si>
    <t>他的意图非常明确。</t>
  </si>
  <si>
    <t>意味着</t>
  </si>
  <si>
    <t>yìwèizhe</t>
  </si>
  <si>
    <t>Nghĩa là</t>
  </si>
  <si>
    <t>这件事意味着我们需要重新计划。</t>
  </si>
  <si>
    <t>意向</t>
  </si>
  <si>
    <t>yìxiàng</t>
  </si>
  <si>
    <t>Ý định, ý đồ, mục đích</t>
  </si>
  <si>
    <t>他表现出对这项工作很有意向。</t>
  </si>
  <si>
    <t>意志</t>
  </si>
  <si>
    <t>yìzhì</t>
  </si>
  <si>
    <t>Ý chí</t>
  </si>
  <si>
    <t>他有很强的意志力。</t>
  </si>
  <si>
    <t>抑制</t>
  </si>
  <si>
    <t>她努力抑制自己的情绪。</t>
  </si>
  <si>
    <t>阴谋</t>
  </si>
  <si>
    <t>yīnmóu</t>
  </si>
  <si>
    <t>Âm mưu</t>
  </si>
  <si>
    <t>他们策划了一场阴谋。</t>
  </si>
  <si>
    <t>音响</t>
  </si>
  <si>
    <t>yīnxiǎng</t>
  </si>
  <si>
    <t>Âm thanh</t>
  </si>
  <si>
    <t>这个音响系统非常先进。</t>
  </si>
  <si>
    <t>隐蔽</t>
  </si>
  <si>
    <t>yǐnbì</t>
  </si>
  <si>
    <t>Ẩn nấp</t>
  </si>
  <si>
    <t>这间房子很隐蔽。</t>
  </si>
  <si>
    <t>引导</t>
  </si>
  <si>
    <t>yǐndǎo</t>
  </si>
  <si>
    <t>Hướng dẫn</t>
  </si>
  <si>
    <t>老师引导学生思考问题。</t>
  </si>
  <si>
    <t>隐患</t>
  </si>
  <si>
    <t>yǐnhuàn</t>
  </si>
  <si>
    <t>Hiểm họa tiềm ẩn</t>
  </si>
  <si>
    <t>这个计划可能存在隐患。</t>
  </si>
  <si>
    <t>隐瞒</t>
  </si>
  <si>
    <t>yǐnmán</t>
  </si>
  <si>
    <t>他隐瞒了事实的真相。</t>
  </si>
  <si>
    <t>引擎</t>
  </si>
  <si>
    <t>yǐnqíng</t>
  </si>
  <si>
    <t>Động cơ</t>
  </si>
  <si>
    <t>汽车的引擎需要定期维护。</t>
  </si>
  <si>
    <t>饮食</t>
  </si>
  <si>
    <t>yǐnshí</t>
  </si>
  <si>
    <t>Ăn uống</t>
  </si>
  <si>
    <t>健康的饮食习惯很重要。</t>
  </si>
  <si>
    <t>隐私</t>
  </si>
  <si>
    <t>yǐnsī</t>
  </si>
  <si>
    <t>Riêng tư</t>
  </si>
  <si>
    <t>每个人都有自己的隐私。</t>
  </si>
  <si>
    <t>引用</t>
  </si>
  <si>
    <t>yǐnyòng</t>
  </si>
  <si>
    <t>Trích dẫn</t>
  </si>
  <si>
    <t>他引用了一句名言。</t>
  </si>
  <si>
    <t>隐约</t>
  </si>
  <si>
    <t>yǐnyuē</t>
  </si>
  <si>
    <t>Mờ ảo</t>
  </si>
  <si>
    <t>我隐约听到了他的声音。</t>
  </si>
  <si>
    <t>yìnshuā</t>
  </si>
  <si>
    <t>In ấn</t>
  </si>
  <si>
    <t>他们在工厂里印刷书籍。</t>
  </si>
  <si>
    <t>婴儿</t>
  </si>
  <si>
    <t>yīng'ér</t>
  </si>
  <si>
    <t>Trẻ sơ sinh</t>
  </si>
  <si>
    <t>她是一个可爱的婴儿。</t>
  </si>
  <si>
    <t>英明</t>
  </si>
  <si>
    <t>yīngmíng</t>
  </si>
  <si>
    <t>Anh minh</t>
  </si>
  <si>
    <t>他的领导非常英明。</t>
  </si>
  <si>
    <t>英勇</t>
  </si>
  <si>
    <t>yīngyǒng</t>
  </si>
  <si>
    <t>Anh dũng</t>
  </si>
  <si>
    <t>他在战场上英勇作战。</t>
  </si>
  <si>
    <t>盈利</t>
  </si>
  <si>
    <t>yínglì</t>
  </si>
  <si>
    <t>公司今年的盈利增长了20%。</t>
  </si>
  <si>
    <t>迎面</t>
  </si>
  <si>
    <t>yíngmiàn</t>
  </si>
  <si>
    <t>Đối mặt</t>
  </si>
  <si>
    <t>他们迎面走来了。</t>
  </si>
  <si>
    <t>荧屏</t>
  </si>
  <si>
    <t>yíngpíng</t>
  </si>
  <si>
    <t>Màn hình</t>
  </si>
  <si>
    <t>他在荧屏上出现了。</t>
  </si>
  <si>
    <t>应酬</t>
  </si>
  <si>
    <t>yìngchou</t>
  </si>
  <si>
    <t>Tiệc tùng</t>
  </si>
  <si>
    <t>他忙于各种应酬。</t>
  </si>
  <si>
    <t>应邀</t>
  </si>
  <si>
    <t>yìngyāo</t>
  </si>
  <si>
    <t>Được mời</t>
  </si>
  <si>
    <t>他应邀参加了会议。</t>
  </si>
  <si>
    <t>拥护</t>
  </si>
  <si>
    <t>yōnghù</t>
  </si>
  <si>
    <t>Ủng hộ</t>
  </si>
  <si>
    <t>他们拥护这个决定。</t>
  </si>
  <si>
    <t>庸俗</t>
  </si>
  <si>
    <t>yōngsú</t>
  </si>
  <si>
    <t>Tầm thường</t>
  </si>
  <si>
    <t>这种行为很庸俗。</t>
  </si>
  <si>
    <t>拥有</t>
  </si>
  <si>
    <t>yōngyǒu</t>
  </si>
  <si>
    <t>Sở hữu</t>
  </si>
  <si>
    <t>他拥有很多财产。</t>
  </si>
  <si>
    <t>永恒</t>
  </si>
  <si>
    <t>yǒnghéng</t>
  </si>
  <si>
    <t>Vĩnh cửu</t>
  </si>
  <si>
    <t>他们的爱是永恒的。</t>
  </si>
  <si>
    <t>涌现</t>
  </si>
  <si>
    <t>yǒngxiàn</t>
  </si>
  <si>
    <t>Xuất hiện nhiều</t>
  </si>
  <si>
    <t>新的机会不断涌现。</t>
  </si>
  <si>
    <t>勇于</t>
  </si>
  <si>
    <t>yǒngyú</t>
  </si>
  <si>
    <t>Dám</t>
  </si>
  <si>
    <t>他勇于面对挑战。</t>
  </si>
  <si>
    <t>踊跃</t>
  </si>
  <si>
    <t>yǒngyuè</t>
  </si>
  <si>
    <t>Hăng hái</t>
  </si>
  <si>
    <t>学生们踊跃参加活动。</t>
  </si>
  <si>
    <t>yònggōng</t>
  </si>
  <si>
    <t>他每天都很用功。</t>
  </si>
  <si>
    <t>用户</t>
  </si>
  <si>
    <t>yònghù</t>
  </si>
  <si>
    <t>Người dùng</t>
  </si>
  <si>
    <t>这款产品深受用户喜爱。</t>
  </si>
  <si>
    <t>优胜劣汰</t>
  </si>
  <si>
    <t>yōushèng liètài</t>
  </si>
  <si>
    <t>Chọn lọc tự nhiên</t>
  </si>
  <si>
    <t>优胜劣汰是自然法则。</t>
  </si>
  <si>
    <t>优先</t>
  </si>
  <si>
    <t>yōuxiān</t>
  </si>
  <si>
    <t>Ưu tiên</t>
  </si>
  <si>
    <t>老人和孩子优先入场。</t>
  </si>
  <si>
    <t>优异</t>
  </si>
  <si>
    <t>yōuyì</t>
  </si>
  <si>
    <t>Xuất sắc</t>
  </si>
  <si>
    <t>他的成绩非常优异。</t>
  </si>
  <si>
    <t>忧郁</t>
  </si>
  <si>
    <t>yōuyù</t>
  </si>
  <si>
    <t>Buồn rầu</t>
  </si>
  <si>
    <t>她看起来有些忧郁。</t>
  </si>
  <si>
    <t>优越</t>
  </si>
  <si>
    <t>yōuyuè</t>
  </si>
  <si>
    <t>Ưu việt</t>
  </si>
  <si>
    <t>这个地方的环境很优越。</t>
  </si>
  <si>
    <t>油腻</t>
  </si>
  <si>
    <t>yóunì</t>
  </si>
  <si>
    <t>Mỡ màng</t>
  </si>
  <si>
    <t>这种食物太油腻了。</t>
  </si>
  <si>
    <t>油漆</t>
  </si>
  <si>
    <t>yóuqī</t>
  </si>
  <si>
    <t>Sơn</t>
  </si>
  <si>
    <t>他在墙上涂了油漆。</t>
  </si>
  <si>
    <t>犹如</t>
  </si>
  <si>
    <t>yóurú</t>
  </si>
  <si>
    <t>Như là</t>
  </si>
  <si>
    <t>这对我来说犹如一场梦。</t>
  </si>
  <si>
    <t>有条不紊</t>
  </si>
  <si>
    <t>yǒutiáo bùwěn</t>
  </si>
  <si>
    <t>Ngăn nắp</t>
  </si>
  <si>
    <t>她做事有条不紊。</t>
  </si>
  <si>
    <t>诱惑</t>
  </si>
  <si>
    <t>yòuhuò</t>
  </si>
  <si>
    <t>Cám dỗ</t>
  </si>
  <si>
    <t>这个计划对他很有诱惑力。</t>
  </si>
  <si>
    <t>幼稚</t>
  </si>
  <si>
    <t>yòuzhì</t>
  </si>
  <si>
    <t>Non nớt</t>
  </si>
  <si>
    <t>他的想法太幼稚了。</t>
  </si>
  <si>
    <t>愚蠢</t>
  </si>
  <si>
    <t>yúchǔn</t>
  </si>
  <si>
    <t>Ngu ngốc</t>
  </si>
  <si>
    <t>他的行为非常愚蠢。</t>
  </si>
  <si>
    <t>舆论</t>
  </si>
  <si>
    <t>yúlùn</t>
  </si>
  <si>
    <t>Dư luận</t>
  </si>
  <si>
    <t>舆论对他产生了很大影响。</t>
  </si>
  <si>
    <t>愚昧</t>
  </si>
  <si>
    <t>yúmèi</t>
  </si>
  <si>
    <t>Ngu dốt</t>
  </si>
  <si>
    <t>他们愚昧无知。</t>
  </si>
  <si>
    <t>渔民</t>
  </si>
  <si>
    <t>yúmín</t>
  </si>
  <si>
    <t>Ngư dân</t>
  </si>
  <si>
    <t>渔民们早起捕鱼。</t>
  </si>
  <si>
    <t>与日俱增</t>
  </si>
  <si>
    <t>yǔrì jùzēng</t>
  </si>
  <si>
    <t>Tăng theo ngày</t>
  </si>
  <si>
    <t>这个城市的人口与日俱增。</t>
  </si>
  <si>
    <t>羽绒服</t>
  </si>
  <si>
    <t>yǔróngfú</t>
  </si>
  <si>
    <t>Áo lông vũ</t>
  </si>
  <si>
    <t>冬天的时候我穿羽绒服。</t>
  </si>
  <si>
    <t>予以</t>
  </si>
  <si>
    <t>yǔyǐ</t>
  </si>
  <si>
    <t>Đưa ra</t>
  </si>
  <si>
    <t>请予以协助。</t>
  </si>
  <si>
    <t>愈</t>
  </si>
  <si>
    <t>yù</t>
  </si>
  <si>
    <t>Càng ... càng</t>
  </si>
  <si>
    <t>天气愈来愈冷了。</t>
  </si>
  <si>
    <t>熨</t>
  </si>
  <si>
    <t>yùn</t>
  </si>
  <si>
    <t>Ủi (là) quần áo</t>
  </si>
  <si>
    <t>他把衣服熨得很平整。</t>
  </si>
  <si>
    <t>预料</t>
  </si>
  <si>
    <t>yùliào</t>
  </si>
  <si>
    <t>他的表现出乎预料。</t>
  </si>
  <si>
    <t>预期</t>
  </si>
  <si>
    <t>yùqī</t>
  </si>
  <si>
    <t>Dự kiến</t>
  </si>
  <si>
    <t>他们预期项目能按时完成。</t>
  </si>
  <si>
    <t>预赛</t>
  </si>
  <si>
    <t>yùsài</t>
  </si>
  <si>
    <t>Vòng loại</t>
  </si>
  <si>
    <t>预赛成绩决定了谁能进入决赛。</t>
  </si>
  <si>
    <t>预算</t>
  </si>
  <si>
    <t>yùsuàn</t>
  </si>
  <si>
    <t>Dự toán</t>
  </si>
  <si>
    <t>我们需要做一个预算。</t>
  </si>
  <si>
    <t>欲望</t>
  </si>
  <si>
    <t>yùwàng</t>
  </si>
  <si>
    <t>Ham muốn</t>
  </si>
  <si>
    <t>他对生活充满了欲望。</t>
  </si>
  <si>
    <t>预先</t>
  </si>
  <si>
    <t>yùxiān</t>
  </si>
  <si>
    <t>Trước</t>
  </si>
  <si>
    <t>我们预先准备好了所有材料。</t>
  </si>
  <si>
    <t>预言</t>
  </si>
  <si>
    <t>yùyán</t>
  </si>
  <si>
    <t>Tiên đoán</t>
  </si>
  <si>
    <t>预言家预测了未来的变化。</t>
  </si>
  <si>
    <t>寓言</t>
  </si>
  <si>
    <t>Ngụ ngôn</t>
  </si>
  <si>
    <t>他给孩子们讲了一个寓言故事。</t>
  </si>
  <si>
    <t>预兆</t>
  </si>
  <si>
    <t>yùzhào</t>
  </si>
  <si>
    <t>Điềm báo</t>
  </si>
  <si>
    <t>天空的乌云预兆着暴风雨即将来临。</t>
  </si>
  <si>
    <t>冤枉</t>
  </si>
  <si>
    <t>yuānwang</t>
  </si>
  <si>
    <t>Oan ức</t>
  </si>
  <si>
    <t>他觉得自己受了冤枉。</t>
  </si>
  <si>
    <t>原告</t>
  </si>
  <si>
    <t>yuángào</t>
  </si>
  <si>
    <t>Nguyên cáo</t>
  </si>
  <si>
    <t>原告在法庭上陈述了事实。</t>
  </si>
  <si>
    <t>原理</t>
  </si>
  <si>
    <t>yuánlǐ</t>
  </si>
  <si>
    <t>Nguyên lý</t>
  </si>
  <si>
    <t>这是一个重要的科学原理。</t>
  </si>
  <si>
    <t>园林</t>
  </si>
  <si>
    <t>yuánlín</t>
  </si>
  <si>
    <t>Vườn cảnh</t>
  </si>
  <si>
    <t>这个公园有美丽的园林。</t>
  </si>
  <si>
    <t>圆满</t>
  </si>
  <si>
    <t>yuánmǎn</t>
  </si>
  <si>
    <t>Viên mãn</t>
  </si>
  <si>
    <t>我们圆满完成了任务。</t>
  </si>
  <si>
    <t>源泉</t>
  </si>
  <si>
    <t>yuánquán</t>
  </si>
  <si>
    <t>Nguồn</t>
  </si>
  <si>
    <t>创新的源泉是不断的学习。</t>
  </si>
  <si>
    <t>原始</t>
  </si>
  <si>
    <t>yuánshǐ</t>
  </si>
  <si>
    <t>Nguyên thủy</t>
  </si>
  <si>
    <t>这个区域保留了原始的生态环境。</t>
  </si>
  <si>
    <t>元首</t>
  </si>
  <si>
    <t>yuánshǒu</t>
  </si>
  <si>
    <t>Nguyên thủ</t>
  </si>
  <si>
    <t>国家的元首发表了重要讲话。</t>
  </si>
  <si>
    <t>元素</t>
  </si>
  <si>
    <t>yuánsù</t>
  </si>
  <si>
    <t>Nguyên tố</t>
  </si>
  <si>
    <t>化学元素对人体健康有重要影响。</t>
  </si>
  <si>
    <t>原先</t>
  </si>
  <si>
    <t>yuánxiān</t>
  </si>
  <si>
    <t>他原先是个老师，现在是校长。</t>
  </si>
  <si>
    <t>元宵节</t>
  </si>
  <si>
    <t>Yuánxiāojié</t>
  </si>
  <si>
    <t>Tết Nguyên tiêu</t>
  </si>
  <si>
    <t>元宵节是中国的传统节日。</t>
  </si>
  <si>
    <t>约束</t>
  </si>
  <si>
    <t>yuēshù</t>
  </si>
  <si>
    <t>他的话起到了很大的约束作用。</t>
  </si>
  <si>
    <t>岳父</t>
  </si>
  <si>
    <t>yuèfù</t>
  </si>
  <si>
    <t>Bố vợ</t>
  </si>
  <si>
    <t>他是我的岳父。</t>
  </si>
  <si>
    <t>乐谱</t>
  </si>
  <si>
    <t>yuèpǔ</t>
  </si>
  <si>
    <t>Bản nhạc</t>
  </si>
  <si>
    <t>这本乐谱非常有名。</t>
  </si>
  <si>
    <t>蕴藏</t>
  </si>
  <si>
    <t>yùncáng</t>
  </si>
  <si>
    <t>这个地方蕴藏着丰富的资源。</t>
  </si>
  <si>
    <t>酝酿</t>
  </si>
  <si>
    <t>yùnniàng</t>
  </si>
  <si>
    <t>Lên men, chuẩn bi trước, ấp ủ</t>
  </si>
  <si>
    <t>他们在酝酿一个新的计划。</t>
  </si>
  <si>
    <t>运算</t>
  </si>
  <si>
    <t>yùnsuàn</t>
  </si>
  <si>
    <t>Tính toán</t>
  </si>
  <si>
    <t>他负责公司的运算工作。</t>
  </si>
  <si>
    <t>运行</t>
  </si>
  <si>
    <t>yùnxíng</t>
  </si>
  <si>
    <t>Vận hành</t>
  </si>
  <si>
    <t>火车正在正常运行。</t>
  </si>
  <si>
    <t>孕育</t>
  </si>
  <si>
    <t>yùnyù</t>
  </si>
  <si>
    <t>Nuôi dưỡng</t>
  </si>
  <si>
    <t>她正在孕育一个新生命。</t>
  </si>
  <si>
    <t>砸</t>
  </si>
  <si>
    <t>zá</t>
  </si>
  <si>
    <t>Đập, phá</t>
  </si>
  <si>
    <t>他把玻璃砸碎了。</t>
  </si>
  <si>
    <t>杂技</t>
  </si>
  <si>
    <t>zájì</t>
  </si>
  <si>
    <t>Xiếc</t>
  </si>
  <si>
    <t>杂技表演非常精彩。</t>
  </si>
  <si>
    <t>杂交</t>
  </si>
  <si>
    <t>zájiāo</t>
  </si>
  <si>
    <t>Lai giống</t>
  </si>
  <si>
    <t>杂交水稻增产显著。</t>
  </si>
  <si>
    <t>咋</t>
  </si>
  <si>
    <t>zǎ</t>
  </si>
  <si>
    <t>Sao (phương ngữ)</t>
  </si>
  <si>
    <t>这件事咋办？</t>
  </si>
  <si>
    <t>灾难</t>
  </si>
  <si>
    <t>zāinàn</t>
  </si>
  <si>
    <t>Thảm họa</t>
  </si>
  <si>
    <t>地震是一场可怕的灾难。</t>
  </si>
  <si>
    <t>栽培</t>
  </si>
  <si>
    <t>zāipéi</t>
  </si>
  <si>
    <t>Trồng trọt</t>
  </si>
  <si>
    <t>农民们精心栽培果树。</t>
  </si>
  <si>
    <t>宰</t>
  </si>
  <si>
    <t>zǎi</t>
  </si>
  <si>
    <t>Giết, mổ</t>
  </si>
  <si>
    <t>他要宰一只鸡。</t>
  </si>
  <si>
    <t>zàihu</t>
  </si>
  <si>
    <t>Quan tâm</t>
  </si>
  <si>
    <t>他不在乎别人的看法。</t>
  </si>
  <si>
    <t>再接再厉</t>
  </si>
  <si>
    <t>zàijiē zàilì</t>
  </si>
  <si>
    <t>Cố gắng không ngừng</t>
  </si>
  <si>
    <t>让我们再接再厉。</t>
  </si>
  <si>
    <t>在意</t>
  </si>
  <si>
    <t>zàiyì</t>
  </si>
  <si>
    <t>她对这件事非常在意。</t>
  </si>
  <si>
    <t>攒</t>
  </si>
  <si>
    <t>zǎn</t>
  </si>
  <si>
    <t>Tích lũy</t>
  </si>
  <si>
    <t>他攒了很多钱。</t>
  </si>
  <si>
    <t>暂且</t>
  </si>
  <si>
    <t>zànqiě</t>
  </si>
  <si>
    <t>Tạm thời</t>
  </si>
  <si>
    <t>暂且休息一下。</t>
  </si>
  <si>
    <t>赞叹</t>
  </si>
  <si>
    <t>zàntàn</t>
  </si>
  <si>
    <t>Ca ngợi</t>
  </si>
  <si>
    <t>我们对他的演讲赞叹不已。</t>
  </si>
  <si>
    <t>赞同</t>
  </si>
  <si>
    <t>zàntóng</t>
  </si>
  <si>
    <t>Đồng tình</t>
  </si>
  <si>
    <t>我们赞同他的观点。</t>
  </si>
  <si>
    <t>赞扬</t>
  </si>
  <si>
    <t>zànyáng</t>
  </si>
  <si>
    <t>他因出色的表现而受到赞扬。</t>
  </si>
  <si>
    <t>赞助</t>
  </si>
  <si>
    <t>zànzhù</t>
  </si>
  <si>
    <t>Tài trợ</t>
  </si>
  <si>
    <t>他们赞助了这次活动。</t>
  </si>
  <si>
    <t>遭受</t>
  </si>
  <si>
    <t>zāoshòu</t>
  </si>
  <si>
    <t>Chịu đựng</t>
  </si>
  <si>
    <t>他在战争中遭受了重伤。</t>
  </si>
  <si>
    <t>糟蹋</t>
  </si>
  <si>
    <t>zāotà</t>
  </si>
  <si>
    <t>Phá hoại</t>
  </si>
  <si>
    <t>不要糟蹋食物。</t>
  </si>
  <si>
    <t>遭殃</t>
  </si>
  <si>
    <t>zāoyāng</t>
  </si>
  <si>
    <t>Gặp nạn</t>
  </si>
  <si>
    <t>洪水让很多人遭殃。</t>
  </si>
  <si>
    <t>遭遇</t>
  </si>
  <si>
    <t>zāoyù</t>
  </si>
  <si>
    <t>Gặp phải</t>
  </si>
  <si>
    <t>他在工作中遭遇了很多困难。</t>
  </si>
  <si>
    <t>造反</t>
  </si>
  <si>
    <t>zàofǎn</t>
  </si>
  <si>
    <t>Nổi loạn</t>
  </si>
  <si>
    <t>农民们起义造反。</t>
  </si>
  <si>
    <t>造型</t>
  </si>
  <si>
    <t>zàoxíng</t>
  </si>
  <si>
    <t>Tạo hình</t>
  </si>
  <si>
    <t>这个雕像的造型非常独特。</t>
  </si>
  <si>
    <t>噪音</t>
  </si>
  <si>
    <t>zàoyīn</t>
  </si>
  <si>
    <t>Tiếng ồn</t>
  </si>
  <si>
    <t>城市的噪音很大。</t>
  </si>
  <si>
    <t>责怪</t>
  </si>
  <si>
    <t>zéguài</t>
  </si>
  <si>
    <t>Trách móc</t>
  </si>
  <si>
    <t>他责怪我没有完成任务。</t>
  </si>
  <si>
    <t>贼</t>
  </si>
  <si>
    <t>zéi</t>
  </si>
  <si>
    <t>Kẻ trộm</t>
  </si>
  <si>
    <t>警察刚抓住了那个贼。</t>
  </si>
  <si>
    <t>增添</t>
  </si>
  <si>
    <t>zēngtiān</t>
  </si>
  <si>
    <t>Thêm vào</t>
  </si>
  <si>
    <t>新的成员给团队增添了活力。</t>
  </si>
  <si>
    <t>赠送</t>
  </si>
  <si>
    <t>zèngsòng</t>
  </si>
  <si>
    <t>Tặng</t>
  </si>
  <si>
    <t>他给我赠送了一本书。</t>
  </si>
  <si>
    <t>渣</t>
  </si>
  <si>
    <t>zhā</t>
  </si>
  <si>
    <t>Cặn bã</t>
  </si>
  <si>
    <t>这些水果有很多渣。</t>
  </si>
  <si>
    <t>扎</t>
  </si>
  <si>
    <t>Cắm vào</t>
  </si>
  <si>
    <t>他用针扎破了手指。</t>
  </si>
  <si>
    <t>扎实</t>
  </si>
  <si>
    <t>zhāshi</t>
  </si>
  <si>
    <t>我们的基础很扎实。</t>
  </si>
  <si>
    <t>眨</t>
  </si>
  <si>
    <t>zhǎ</t>
  </si>
  <si>
    <t>Chớp mắt</t>
  </si>
  <si>
    <t>他眨了一下眼睛。</t>
  </si>
  <si>
    <t>诈骗</t>
  </si>
  <si>
    <t>zhàpiàn</t>
  </si>
  <si>
    <t>Lừa đảo</t>
  </si>
  <si>
    <t>他被指控诈骗。</t>
  </si>
  <si>
    <t>摘要</t>
  </si>
  <si>
    <t>zhāiyào</t>
  </si>
  <si>
    <t>Tóm tắt</t>
  </si>
  <si>
    <t>这篇文章的摘要很重要。</t>
  </si>
  <si>
    <t>债券</t>
  </si>
  <si>
    <t>zhàiquàn</t>
  </si>
  <si>
    <t>Trái phiếu</t>
  </si>
  <si>
    <t>他购买了政府债券。</t>
  </si>
  <si>
    <t>沾光</t>
  </si>
  <si>
    <t>zhānguāng</t>
  </si>
  <si>
    <t>Hưởng lợi</t>
  </si>
  <si>
    <t>我们这次真的沾光了。</t>
  </si>
  <si>
    <t>瞻仰</t>
  </si>
  <si>
    <t>zhānyǎng</t>
  </si>
  <si>
    <t>Chiêm ngưỡng</t>
  </si>
  <si>
    <t>他们瞻仰了烈士纪念碑。</t>
  </si>
  <si>
    <t>斩钉截铁</t>
  </si>
  <si>
    <t>zhǎndīng jiétiě</t>
  </si>
  <si>
    <t>Kiên quyết dứt khoát</t>
  </si>
  <si>
    <t>他说话斩钉截铁。</t>
  </si>
  <si>
    <t>展示</t>
  </si>
  <si>
    <t>zhǎnshì</t>
  </si>
  <si>
    <t>Trưng bày</t>
  </si>
  <si>
    <t>他们展示了新产品。</t>
  </si>
  <si>
    <t>展望</t>
  </si>
  <si>
    <t>zhǎnwàng</t>
  </si>
  <si>
    <t>Nhìn xa trông rộng</t>
  </si>
  <si>
    <t>我们展望未来的发展。</t>
  </si>
  <si>
    <t>展现</t>
  </si>
  <si>
    <t>zhǎnxiàn</t>
  </si>
  <si>
    <t>Hiển thị</t>
  </si>
  <si>
    <t>她在舞台上展现了她的才华。</t>
  </si>
  <si>
    <t>崭新</t>
  </si>
  <si>
    <t>zhǎnxīn</t>
  </si>
  <si>
    <t>Mới tinh</t>
  </si>
  <si>
    <t>这是一个崭新的开始。</t>
  </si>
  <si>
    <t>战斗</t>
  </si>
  <si>
    <t>zhàndòu</t>
  </si>
  <si>
    <t>Chiến đấu</t>
  </si>
  <si>
    <t>士兵们在前线战斗。</t>
  </si>
  <si>
    <t>占据</t>
  </si>
  <si>
    <t>zhànjù</t>
  </si>
  <si>
    <t>Chiếm giữ</t>
  </si>
  <si>
    <t>他占据了有利的位置。</t>
  </si>
  <si>
    <t>占领</t>
  </si>
  <si>
    <t>zhànlǐng</t>
  </si>
  <si>
    <t>Chiếm lĩnh</t>
  </si>
  <si>
    <t>军队占领了城市。</t>
  </si>
  <si>
    <t>战略</t>
  </si>
  <si>
    <t>zhànlüè</t>
  </si>
  <si>
    <t>Chiến lược</t>
  </si>
  <si>
    <t>我们需要制定一个战略。</t>
  </si>
  <si>
    <t>战术</t>
  </si>
  <si>
    <t>zhànshù</t>
  </si>
  <si>
    <t>Chiến thuật</t>
  </si>
  <si>
    <t>他的战术非常高明。</t>
  </si>
  <si>
    <t>战役</t>
  </si>
  <si>
    <t>zhànyì</t>
  </si>
  <si>
    <t>Trận đánh</t>
  </si>
  <si>
    <t>这场战役决定了战争的胜负。</t>
  </si>
  <si>
    <t>占有</t>
  </si>
  <si>
    <t>zhànyǒu</t>
  </si>
  <si>
    <t>Chiếm hữu</t>
  </si>
  <si>
    <t>他占有了很多资源。</t>
  </si>
  <si>
    <t>章程</t>
  </si>
  <si>
    <t>zhāngchéng</t>
  </si>
  <si>
    <t>Điều lệ</t>
  </si>
  <si>
    <t>公司的章程需要修改。</t>
  </si>
  <si>
    <t>zhǎngbèi</t>
  </si>
  <si>
    <t>Trưởng bối</t>
  </si>
  <si>
    <t>我们尊重长辈。</t>
  </si>
  <si>
    <t>障碍</t>
  </si>
  <si>
    <t>zhàng'ài</t>
  </si>
  <si>
    <t>Trở ngại</t>
  </si>
  <si>
    <t>这个计划遇到了很多障碍。</t>
  </si>
  <si>
    <t>帐篷</t>
  </si>
  <si>
    <t>zhàngpeng</t>
  </si>
  <si>
    <t>Lều</t>
  </si>
  <si>
    <t>我们搭起了帐篷。</t>
  </si>
  <si>
    <t>朝气蓬勃</t>
  </si>
  <si>
    <t>zhāoqì péngbó</t>
  </si>
  <si>
    <t>Tràn đầy sức sống</t>
  </si>
  <si>
    <t>孩子们朝气蓬勃。</t>
  </si>
  <si>
    <t>招收</t>
  </si>
  <si>
    <t>zhāoshōu</t>
  </si>
  <si>
    <t>Tuyển dụng</t>
  </si>
  <si>
    <t>学校招收了新生。</t>
  </si>
  <si>
    <t>招投标</t>
  </si>
  <si>
    <t>zhāotóubiāo</t>
  </si>
  <si>
    <t>Đấu thầu</t>
  </si>
  <si>
    <t>这个项目正在进行招投标。</t>
  </si>
  <si>
    <t>着迷</t>
  </si>
  <si>
    <t>zháomí</t>
  </si>
  <si>
    <t>她对这个故事着迷。</t>
  </si>
  <si>
    <t>沼泽</t>
  </si>
  <si>
    <t>zhǎozé</t>
  </si>
  <si>
    <t>Đầm lầy</t>
  </si>
  <si>
    <t>这里有一个大沼泽。</t>
  </si>
  <si>
    <t>照料</t>
  </si>
  <si>
    <t>zhàoliào</t>
  </si>
  <si>
    <t>Chăm sóc</t>
  </si>
  <si>
    <t>我们需要照料孩子。</t>
  </si>
  <si>
    <t>照样</t>
  </si>
  <si>
    <t>zhàoyàng</t>
  </si>
  <si>
    <t>Như thường lệ</t>
  </si>
  <si>
    <t>一切照样进行。</t>
  </si>
  <si>
    <t>照耀</t>
  </si>
  <si>
    <t>zhàoyào</t>
  </si>
  <si>
    <t>Chiếu sáng</t>
  </si>
  <si>
    <t>阳光照耀着大地。</t>
  </si>
  <si>
    <t>照应</t>
  </si>
  <si>
    <t>zhàoyìng</t>
  </si>
  <si>
    <t>Đáp lại</t>
  </si>
  <si>
    <t>他们彼此照应。</t>
  </si>
  <si>
    <t>遮挡</t>
  </si>
  <si>
    <t>zhēdǎng</t>
  </si>
  <si>
    <t>Che chắn</t>
  </si>
  <si>
    <t>大树遮挡了阳光。</t>
  </si>
  <si>
    <t>折腾</t>
  </si>
  <si>
    <t>zhēteng</t>
  </si>
  <si>
    <t>dằn vặt; giày vò; làm khổ</t>
  </si>
  <si>
    <t>慢性病折腾人。</t>
  </si>
  <si>
    <t>折</t>
  </si>
  <si>
    <t>zhé</t>
  </si>
  <si>
    <t>Gấp</t>
  </si>
  <si>
    <t>他折了一根树枝。</t>
  </si>
  <si>
    <t>折磨</t>
  </si>
  <si>
    <t>zhémó</t>
  </si>
  <si>
    <t>Dày vò</t>
  </si>
  <si>
    <t>他被折磨得很惨。</t>
  </si>
  <si>
    <t>珍贵</t>
  </si>
  <si>
    <t>zhēnguì</t>
  </si>
  <si>
    <t>Quý báu</t>
  </si>
  <si>
    <t>这个礼物非常珍贵。</t>
  </si>
  <si>
    <t>侦探</t>
  </si>
  <si>
    <t>zhēntàn</t>
  </si>
  <si>
    <t>Trinh thám</t>
  </si>
  <si>
    <t>他是一位著名的侦探。</t>
  </si>
  <si>
    <t>珍稀</t>
  </si>
  <si>
    <t>zhēnxī</t>
  </si>
  <si>
    <t>Quý hiếm</t>
  </si>
  <si>
    <t>这种动物非常珍稀。</t>
  </si>
  <si>
    <t>真相</t>
  </si>
  <si>
    <t>zhēnxiàng</t>
  </si>
  <si>
    <t>Sự thật</t>
  </si>
  <si>
    <t>事情的真相终于揭晓。</t>
  </si>
  <si>
    <t>真挚</t>
  </si>
  <si>
    <t>zhēnzhì</t>
  </si>
  <si>
    <t>Chân thành</t>
  </si>
  <si>
    <t>他对朋友非常真挚。</t>
  </si>
  <si>
    <t>珍珠</t>
  </si>
  <si>
    <t>zhēnzhū</t>
  </si>
  <si>
    <t>Ngọc trai</t>
  </si>
  <si>
    <t>这颗珍珠很美丽。</t>
  </si>
  <si>
    <t>斟酌</t>
  </si>
  <si>
    <t>zhēnzhuó</t>
  </si>
  <si>
    <t>Cân nhắc</t>
  </si>
  <si>
    <t>我们需要仔细斟酌。</t>
  </si>
  <si>
    <t>阵地</t>
  </si>
  <si>
    <t>zhèndì</t>
  </si>
  <si>
    <t>Trận địa</t>
  </si>
  <si>
    <t>军队在前线建立了阵地。</t>
  </si>
  <si>
    <t>镇定</t>
  </si>
  <si>
    <t>zhèndìng</t>
  </si>
  <si>
    <t>Bình tĩnh</t>
  </si>
  <si>
    <t>他镇定自若地处理了问题。</t>
  </si>
  <si>
    <t>振奋</t>
  </si>
  <si>
    <t>zhènfèn</t>
  </si>
  <si>
    <t>他的讲话振奋了人心。</t>
  </si>
  <si>
    <t>震惊</t>
  </si>
  <si>
    <t>zhènjīng</t>
  </si>
  <si>
    <t>Sốc</t>
  </si>
  <si>
    <t>这条新闻令人震惊。</t>
  </si>
  <si>
    <t>镇静</t>
  </si>
  <si>
    <t>zhènjìng</t>
  </si>
  <si>
    <t>Điềm tĩnh</t>
  </si>
  <si>
    <t>医生保持镇静。</t>
  </si>
  <si>
    <t>阵容</t>
  </si>
  <si>
    <t>zhènróng</t>
  </si>
  <si>
    <t>Đội hình</t>
  </si>
  <si>
    <t>他们组成了一个强大的阵容。</t>
  </si>
  <si>
    <t>振兴</t>
  </si>
  <si>
    <t>zhènxīng</t>
  </si>
  <si>
    <t>Chấn hưng</t>
  </si>
  <si>
    <t>我们要振兴经济。</t>
  </si>
  <si>
    <t>镇压</t>
  </si>
  <si>
    <t>zhènyā</t>
  </si>
  <si>
    <t>Đàn áp</t>
  </si>
  <si>
    <t>当局镇压了这次起义。</t>
  </si>
  <si>
    <t>争端</t>
  </si>
  <si>
    <t>zhēngduān</t>
  </si>
  <si>
    <t>Tranh chấp</t>
  </si>
  <si>
    <t>两国之间的争端不断。</t>
  </si>
  <si>
    <t>争夺</t>
  </si>
  <si>
    <t>zhēngduó</t>
  </si>
  <si>
    <t>Tranh đoạt</t>
  </si>
  <si>
    <t>他们争夺冠军。</t>
  </si>
  <si>
    <t>蒸发</t>
  </si>
  <si>
    <t>zhēngfā</t>
  </si>
  <si>
    <t>Bốc hơi</t>
  </si>
  <si>
    <t>水在高温下会蒸发。</t>
  </si>
  <si>
    <t>征服</t>
  </si>
  <si>
    <t>zhēngfú</t>
  </si>
  <si>
    <t>Chinh phục</t>
  </si>
  <si>
    <t>我们必须征服困难。</t>
  </si>
  <si>
    <t>争气</t>
  </si>
  <si>
    <t>zhēngqì</t>
  </si>
  <si>
    <t>phấn đấu; cố gắng; không chịu thua kém</t>
  </si>
  <si>
    <t>他在比赛中争气了。</t>
  </si>
  <si>
    <t>征收</t>
  </si>
  <si>
    <t>zhēngshōu</t>
  </si>
  <si>
    <t>Thu thuế</t>
  </si>
  <si>
    <t>政府正在征收新税。</t>
  </si>
  <si>
    <t>争先恐后</t>
  </si>
  <si>
    <t>zhēngxiān kǒnghòu</t>
  </si>
  <si>
    <t>Tranh nhau</t>
  </si>
  <si>
    <t>孩子们争先恐后地跑向操场。</t>
  </si>
  <si>
    <t>争议</t>
  </si>
  <si>
    <t>zhēngyì</t>
  </si>
  <si>
    <t>Tranh cãi</t>
  </si>
  <si>
    <t>这个话题引起了争议。</t>
  </si>
  <si>
    <t>正月</t>
  </si>
  <si>
    <t>zhēngyuè</t>
  </si>
  <si>
    <t>Tháng Giêng</t>
  </si>
  <si>
    <t>正月是中国农历新年的第一个月。</t>
  </si>
  <si>
    <t>挣扎</t>
  </si>
  <si>
    <t>zhēngzhá</t>
  </si>
  <si>
    <t>Vật lộn</t>
  </si>
  <si>
    <t>他在挣扎中找到了希望。</t>
  </si>
  <si>
    <t>整顿</t>
  </si>
  <si>
    <t>zhěngdùn</t>
  </si>
  <si>
    <t>Chỉnh đốn</t>
  </si>
  <si>
    <t>公司正在整顿业务。</t>
  </si>
  <si>
    <t>正当</t>
  </si>
  <si>
    <t>zhèngdāng</t>
  </si>
  <si>
    <t>Chính đáng</t>
  </si>
  <si>
    <t>这是一个正当的要求。</t>
  </si>
  <si>
    <t>正负</t>
  </si>
  <si>
    <t>zhèngfù</t>
  </si>
  <si>
    <t>Dương và âm</t>
  </si>
  <si>
    <t>正负两极相吸。</t>
  </si>
  <si>
    <t>正规</t>
  </si>
  <si>
    <t>zhèngguī</t>
  </si>
  <si>
    <t>Quy cách</t>
  </si>
  <si>
    <t>我们需要正规化管理。</t>
  </si>
  <si>
    <t>正经</t>
  </si>
  <si>
    <t>zhèngjīng</t>
  </si>
  <si>
    <t>Đứng đắn</t>
  </si>
  <si>
    <t>他是一个正经的人。</t>
  </si>
  <si>
    <t>正气</t>
  </si>
  <si>
    <t>zhèngqì</t>
  </si>
  <si>
    <t>Chính khí</t>
  </si>
  <si>
    <t>他的行为显示了正气。</t>
  </si>
  <si>
    <t>政权</t>
  </si>
  <si>
    <t>zhèngquán</t>
  </si>
  <si>
    <t>Chính quyền</t>
  </si>
  <si>
    <t>政府维持国家政权。</t>
  </si>
  <si>
    <t>证实</t>
  </si>
  <si>
    <t>zhèngshí</t>
  </si>
  <si>
    <t>Xác nhận</t>
  </si>
  <si>
    <t>实验结果证实了他的猜想。</t>
  </si>
  <si>
    <t>证书</t>
  </si>
  <si>
    <t>zhèngshū</t>
  </si>
  <si>
    <t>Chứng chỉ</t>
  </si>
  <si>
    <t>她获得了优秀毕业证书。</t>
  </si>
  <si>
    <t>正义</t>
  </si>
  <si>
    <t>zhèngyì</t>
  </si>
  <si>
    <t>Chính nghĩa</t>
  </si>
  <si>
    <t>我们要维护正义。</t>
  </si>
  <si>
    <t>郑重</t>
  </si>
  <si>
    <t>zhèngzhòng</t>
  </si>
  <si>
    <t>Trịnh trọng</t>
  </si>
  <si>
    <t>他郑重宣布了这个消息。</t>
  </si>
  <si>
    <t>症状</t>
  </si>
  <si>
    <t>zhèngzhuàng</t>
  </si>
  <si>
    <t>Triệu chứng</t>
  </si>
  <si>
    <t>这种疾病的症状很明显。</t>
  </si>
  <si>
    <t>枝</t>
  </si>
  <si>
    <t>Cành cây</t>
  </si>
  <si>
    <t>树上有很多枝。</t>
  </si>
  <si>
    <t>支撑</t>
  </si>
  <si>
    <t>zhīchēng</t>
  </si>
  <si>
    <t>Chống đỡ, chèo chống</t>
  </si>
  <si>
    <t>一家的生活由他支撑。</t>
  </si>
  <si>
    <t>支出</t>
  </si>
  <si>
    <t>zhīchū</t>
  </si>
  <si>
    <t>Chi tiêu</t>
  </si>
  <si>
    <t>公司支出了大量资金。</t>
  </si>
  <si>
    <t>脂肪</t>
  </si>
  <si>
    <t>zhīfáng</t>
  </si>
  <si>
    <t>Mỡ (trong cơ thể)</t>
  </si>
  <si>
    <t>过多的脂肪对健康有害。</t>
  </si>
  <si>
    <t>知觉</t>
  </si>
  <si>
    <t>zhījué</t>
  </si>
  <si>
    <t>Tri giác</t>
  </si>
  <si>
    <t>他失去了知觉。</t>
  </si>
  <si>
    <t>支流</t>
  </si>
  <si>
    <t>zhīliú</t>
  </si>
  <si>
    <t>nhánh sông; dòng chảy</t>
  </si>
  <si>
    <t>河的支流逐渐干涸。</t>
  </si>
  <si>
    <t>支配</t>
  </si>
  <si>
    <t>zhīpèi</t>
  </si>
  <si>
    <t>Chi phối</t>
  </si>
  <si>
    <t>他支配着全家的生活。</t>
  </si>
  <si>
    <t>支援</t>
  </si>
  <si>
    <t>zhīyuán</t>
  </si>
  <si>
    <t>我们需要支援前线的战士。</t>
  </si>
  <si>
    <t>支柱</t>
  </si>
  <si>
    <t>zhīzhù</t>
  </si>
  <si>
    <t>Trụ cột</t>
  </si>
  <si>
    <t>家庭是社会的支柱。</t>
  </si>
  <si>
    <t>知足常乐</t>
  </si>
  <si>
    <t>zhīzú chánglè</t>
  </si>
  <si>
    <t>Biết đủ thì luôn vui</t>
  </si>
  <si>
    <t>知足常乐是人生的智慧。</t>
  </si>
  <si>
    <t>值班</t>
  </si>
  <si>
    <t>zhíbān</t>
  </si>
  <si>
    <t>Trực ban</t>
  </si>
  <si>
    <t>他今晚值班。</t>
  </si>
  <si>
    <t>直播</t>
  </si>
  <si>
    <t>zhíbō</t>
  </si>
  <si>
    <t>Truyền hình trực tiếp</t>
  </si>
  <si>
    <t>我喜欢看体育比赛的直播。</t>
  </si>
  <si>
    <t>殖民地</t>
  </si>
  <si>
    <t>zhímíndì</t>
  </si>
  <si>
    <t>Thuộc địa</t>
  </si>
  <si>
    <t>殖民地的历史充满了斗争。</t>
  </si>
  <si>
    <t>职能</t>
  </si>
  <si>
    <t>zhínéng</t>
  </si>
  <si>
    <t>Chức năng</t>
  </si>
  <si>
    <t>他的职能包括管理和培训。</t>
  </si>
  <si>
    <t>职位</t>
  </si>
  <si>
    <t>zhíwèi</t>
  </si>
  <si>
    <t>Chức vị</t>
  </si>
  <si>
    <t>他申请了一个高级职位。</t>
  </si>
  <si>
    <t>职务</t>
  </si>
  <si>
    <t>zhíwù</t>
  </si>
  <si>
    <t>Chức vụ</t>
  </si>
  <si>
    <t>担任厂长的职务。</t>
  </si>
  <si>
    <t>指标</t>
  </si>
  <si>
    <t>zhǐbiāo</t>
  </si>
  <si>
    <t>Chỉ tiêu</t>
  </si>
  <si>
    <t>公司的业绩指标达到了预期。</t>
  </si>
  <si>
    <t>指定</t>
  </si>
  <si>
    <t>zhǐdìng</t>
  </si>
  <si>
    <t>Chỉ định</t>
  </si>
  <si>
    <t>经理指定他为项目负责人。</t>
  </si>
  <si>
    <t>指甲</t>
  </si>
  <si>
    <t>zhǐjiǎ</t>
  </si>
  <si>
    <t>Móng tay</t>
  </si>
  <si>
    <t>她的指甲很长。</t>
  </si>
  <si>
    <t>指令</t>
  </si>
  <si>
    <t>zhǐlìng</t>
  </si>
  <si>
    <t>Chỉ thị</t>
  </si>
  <si>
    <t>他发布了新的指令。</t>
  </si>
  <si>
    <t>指南针</t>
  </si>
  <si>
    <t>zhǐnánzhēn</t>
  </si>
  <si>
    <t>La bàn</t>
  </si>
  <si>
    <t>我们使用指南针来确定方向。</t>
  </si>
  <si>
    <t>指示</t>
  </si>
  <si>
    <t>zhǐshì</t>
  </si>
  <si>
    <t>老师指示学生完成作业。</t>
  </si>
  <si>
    <t>指望</t>
  </si>
  <si>
    <t>zhǐwàng</t>
  </si>
  <si>
    <t>Hy vọng</t>
  </si>
  <si>
    <t>他指望能在考试中取得好成绩。</t>
  </si>
  <si>
    <t>指责</t>
  </si>
  <si>
    <t>zhǐzé</t>
  </si>
  <si>
    <t>Chỉ trích</t>
  </si>
  <si>
    <t>他们指责我没有尽力。</t>
  </si>
  <si>
    <t>治安</t>
  </si>
  <si>
    <t>zhì'ān</t>
  </si>
  <si>
    <t>Trị an</t>
  </si>
  <si>
    <t>警察维持社区的治安。</t>
  </si>
  <si>
    <t>制裁</t>
  </si>
  <si>
    <t>zhìcái</t>
  </si>
  <si>
    <t>Trừng phạt</t>
  </si>
  <si>
    <t>违反法律的人会受到制裁。</t>
  </si>
  <si>
    <t>致辞</t>
  </si>
  <si>
    <t>zhìcí</t>
  </si>
  <si>
    <t>Phát biểu</t>
  </si>
  <si>
    <t>他在会议上致辞。</t>
  </si>
  <si>
    <t>制订</t>
  </si>
  <si>
    <t>zhìdìng</t>
  </si>
  <si>
    <t>Lập kế hoạch</t>
  </si>
  <si>
    <t>我们需要制订一个详细的计划。</t>
  </si>
  <si>
    <t>制服</t>
  </si>
  <si>
    <t>zhìfú</t>
  </si>
  <si>
    <t>Đồng phục</t>
  </si>
  <si>
    <t>他穿着制服去上班。</t>
  </si>
  <si>
    <t>治理</t>
  </si>
  <si>
    <t>zhìlǐ</t>
  </si>
  <si>
    <t>Quản lý</t>
  </si>
  <si>
    <t>我们要好好治理这个国家。</t>
  </si>
  <si>
    <t>智力</t>
  </si>
  <si>
    <t>zhìlì</t>
  </si>
  <si>
    <t>Trí lực</t>
  </si>
  <si>
    <t>智力是学习的重要因素。</t>
  </si>
  <si>
    <t>致力于</t>
  </si>
  <si>
    <t>zhìlì yú</t>
  </si>
  <si>
    <t>Dốc sức vào</t>
  </si>
  <si>
    <t>他致力于环保事业。</t>
  </si>
  <si>
    <t>滞留</t>
  </si>
  <si>
    <t>zhìliú</t>
  </si>
  <si>
    <t>Lưu lại, dừng lại, kẹt lại</t>
  </si>
  <si>
    <t>他因交通堵塞而滞留在路上。</t>
  </si>
  <si>
    <t>智能</t>
  </si>
  <si>
    <t>zhìnéng</t>
  </si>
  <si>
    <t>Trí tuệ nhân tạo</t>
  </si>
  <si>
    <t>我们开发了智能手机。</t>
  </si>
  <si>
    <t>志气</t>
  </si>
  <si>
    <t>zhìqì</t>
  </si>
  <si>
    <t>Chí khí</t>
  </si>
  <si>
    <t>他有很强的志气。</t>
  </si>
  <si>
    <t>智商</t>
  </si>
  <si>
    <t>zhìshāng</t>
  </si>
  <si>
    <t>Chỉ số thông minh</t>
  </si>
  <si>
    <t>智商测试可以评估一个人的智力水平。</t>
  </si>
  <si>
    <t>致使</t>
  </si>
  <si>
    <t>zhìshǐ</t>
  </si>
  <si>
    <t>Làm cho</t>
  </si>
  <si>
    <t>他的错误致使计划失败。</t>
  </si>
  <si>
    <t>制约</t>
  </si>
  <si>
    <t>zhìyuē</t>
  </si>
  <si>
    <t>Hạn chế</t>
  </si>
  <si>
    <t>供应短缺制约了生产。</t>
  </si>
  <si>
    <t>制止</t>
  </si>
  <si>
    <t>zhìzhǐ</t>
  </si>
  <si>
    <t>Ngăn chặn</t>
  </si>
  <si>
    <t>他制止了他们的争吵。</t>
  </si>
  <si>
    <t>忠诚</t>
  </si>
  <si>
    <t>zhōngchéng</t>
  </si>
  <si>
    <t>Trung thành</t>
  </si>
  <si>
    <t>他对国家非常忠诚。</t>
  </si>
  <si>
    <t>终点</t>
  </si>
  <si>
    <t>zhōngdiǎn</t>
  </si>
  <si>
    <t>Điểm cuối</t>
  </si>
  <si>
    <t>比赛的终点就在前方。</t>
  </si>
  <si>
    <t>中断</t>
  </si>
  <si>
    <t>zhōngduàn</t>
  </si>
  <si>
    <t>Gián đoạn</t>
  </si>
  <si>
    <t>他们的合作突然中断了。</t>
  </si>
  <si>
    <t>终究</t>
  </si>
  <si>
    <t>zhōngjiū</t>
  </si>
  <si>
    <t>Cuối cùng</t>
  </si>
  <si>
    <t>他终究会明白的。</t>
  </si>
  <si>
    <t>中立</t>
  </si>
  <si>
    <t>zhōnglì</t>
  </si>
  <si>
    <t>Trung lập</t>
  </si>
  <si>
    <t>我们要保持中立。</t>
  </si>
  <si>
    <t>终年</t>
  </si>
  <si>
    <t>zhōngnián</t>
  </si>
  <si>
    <t>Quanh năm</t>
  </si>
  <si>
    <t>他终年忙于工作。</t>
  </si>
  <si>
    <t>终身</t>
  </si>
  <si>
    <t>zhōngshēn</t>
  </si>
  <si>
    <t>Suốt đời</t>
  </si>
  <si>
    <t>他是一位终身教育的倡导者。</t>
  </si>
  <si>
    <t>忠实</t>
  </si>
  <si>
    <t>zhōngshí</t>
  </si>
  <si>
    <t>Trung thực</t>
  </si>
  <si>
    <t>他是一个忠实的朋友。</t>
  </si>
  <si>
    <t>衷心</t>
  </si>
  <si>
    <t>zhōngxīn</t>
  </si>
  <si>
    <t>我衷心感谢你的帮助。</t>
  </si>
  <si>
    <t>中央</t>
  </si>
  <si>
    <t>zhōngyāng</t>
  </si>
  <si>
    <t>Trung ương</t>
  </si>
  <si>
    <t>他在中央工作。</t>
  </si>
  <si>
    <t>终止</t>
  </si>
  <si>
    <t>zhōngzhǐ</t>
  </si>
  <si>
    <t>他们决定终止合同。</t>
  </si>
  <si>
    <t>肿瘤</t>
  </si>
  <si>
    <t>zhǒngliú</t>
  </si>
  <si>
    <t>Khối u</t>
  </si>
  <si>
    <t>他被诊断出患有肿瘤。</t>
  </si>
  <si>
    <t>种子</t>
  </si>
  <si>
    <t>zhǒngzi</t>
  </si>
  <si>
    <t>Hạt giống</t>
  </si>
  <si>
    <t>我们种下了很多种子。</t>
  </si>
  <si>
    <t>种族</t>
  </si>
  <si>
    <t>zhǒngzú</t>
  </si>
  <si>
    <t>Chủng tộc</t>
  </si>
  <si>
    <t>我们反对种族歧视。</t>
  </si>
  <si>
    <t>众所周知</t>
  </si>
  <si>
    <t>zhòng suǒ zhōu zhī</t>
  </si>
  <si>
    <t>Mọi người đều biết</t>
  </si>
  <si>
    <t>众所周知，他是一个好人。</t>
  </si>
  <si>
    <t>重心</t>
  </si>
  <si>
    <t>zhòngxīn</t>
  </si>
  <si>
    <t>Trọng tâm</t>
  </si>
  <si>
    <t>这个问题是公司的重心。</t>
  </si>
  <si>
    <t>州</t>
  </si>
  <si>
    <t>zhōu</t>
  </si>
  <si>
    <t>Bang, châu</t>
  </si>
  <si>
    <t>他在州政府工作。</t>
  </si>
  <si>
    <t>舟</t>
  </si>
  <si>
    <t>Thuyền</t>
  </si>
  <si>
    <t>他划了一只舟。</t>
  </si>
  <si>
    <t>粥</t>
  </si>
  <si>
    <t>Cháo</t>
  </si>
  <si>
    <t>奶奶给我们做了粥。</t>
  </si>
  <si>
    <t>周边</t>
  </si>
  <si>
    <t>zhōubiān</t>
  </si>
  <si>
    <t>Vùng lân cận</t>
  </si>
  <si>
    <t>这里是市区的周边。</t>
  </si>
  <si>
    <t>周密</t>
  </si>
  <si>
    <t>zhōumì</t>
  </si>
  <si>
    <t>Chu đáo</t>
  </si>
  <si>
    <t>我们需要周密的计划。</t>
  </si>
  <si>
    <t>周年</t>
  </si>
  <si>
    <t>zhōunián</t>
  </si>
  <si>
    <t>Kỷ niệm năm</t>
  </si>
  <si>
    <t>公司庆祝成立十周年。</t>
  </si>
  <si>
    <t>周期</t>
  </si>
  <si>
    <t>zhōuqī</t>
  </si>
  <si>
    <t>Chu kỳ</t>
  </si>
  <si>
    <t>经济发展有一定的周期。</t>
  </si>
  <si>
    <t>周折</t>
  </si>
  <si>
    <t>zhōuzhé</t>
  </si>
  <si>
    <t>Trắc trở</t>
  </si>
  <si>
    <t>他经历了许多周折才成功。</t>
  </si>
  <si>
    <t>周转</t>
  </si>
  <si>
    <t>zhōuzhuǎn</t>
  </si>
  <si>
    <t>Luân chuyển</t>
  </si>
  <si>
    <t>公司需要更多的资金周转。</t>
  </si>
  <si>
    <t>皱纹</t>
  </si>
  <si>
    <t>zhòuwén</t>
  </si>
  <si>
    <t>Nếp nhăn</t>
  </si>
  <si>
    <t>她脸上的皱纹增加了。</t>
  </si>
  <si>
    <t>昼夜</t>
  </si>
  <si>
    <t>zhòuyè</t>
  </si>
  <si>
    <t>Ngày đêm</t>
  </si>
  <si>
    <t>他昼夜不停地工作。</t>
  </si>
  <si>
    <t>株</t>
  </si>
  <si>
    <t>Cây</t>
  </si>
  <si>
    <t>花园里有很多美丽的株。</t>
  </si>
  <si>
    <t>诸位</t>
  </si>
  <si>
    <t>zhūwèi</t>
  </si>
  <si>
    <t>Các vị</t>
  </si>
  <si>
    <t>诸位请安静。</t>
  </si>
  <si>
    <t>逐年</t>
  </si>
  <si>
    <t>zhúnián</t>
  </si>
  <si>
    <t>Hằng năm</t>
  </si>
  <si>
    <t>这种情况逐年改善。</t>
  </si>
  <si>
    <t>拄</t>
  </si>
  <si>
    <t>Chống (gậy)</t>
  </si>
  <si>
    <t>他拄着拐杖走路。</t>
  </si>
  <si>
    <t>主办</t>
  </si>
  <si>
    <t>zhǔbàn</t>
  </si>
  <si>
    <t>Chủ trì</t>
  </si>
  <si>
    <t>他主办了这个活动。</t>
  </si>
  <si>
    <t>主导</t>
  </si>
  <si>
    <t>zhǔdǎo</t>
  </si>
  <si>
    <t>Chủ đạo</t>
  </si>
  <si>
    <t>公司在市场上主导地位。</t>
  </si>
  <si>
    <t>主管</t>
  </si>
  <si>
    <t>zhǔguǎn</t>
  </si>
  <si>
    <t>他是我们部门的主管。</t>
  </si>
  <si>
    <t>主流</t>
  </si>
  <si>
    <t>zhǔliú</t>
  </si>
  <si>
    <t>Trào lưu chính</t>
  </si>
  <si>
    <t>这个产品成为市场的主流。</t>
  </si>
  <si>
    <t>主权</t>
  </si>
  <si>
    <t>zhǔquán</t>
  </si>
  <si>
    <t>Chủ quyền</t>
  </si>
  <si>
    <t>国家主权不可侵犯。</t>
  </si>
  <si>
    <t>zhǔtí</t>
  </si>
  <si>
    <t>Chủ đề</t>
  </si>
  <si>
    <t>我喜欢这个电影的主题。</t>
  </si>
  <si>
    <t>助理</t>
  </si>
  <si>
    <t>zhùlǐ</t>
  </si>
  <si>
    <t>Trợ lý</t>
  </si>
  <si>
    <t>他是我的助理。</t>
  </si>
  <si>
    <t>注射</t>
  </si>
  <si>
    <t>zhùshè</t>
  </si>
  <si>
    <t>Tiêm</t>
  </si>
  <si>
    <t>医生给我注射了疫苗。</t>
  </si>
  <si>
    <t>注视</t>
  </si>
  <si>
    <t>zhùshì</t>
  </si>
  <si>
    <t>Nhìn chăm chú</t>
  </si>
  <si>
    <t>他注视着远方。</t>
  </si>
  <si>
    <t>注释</t>
  </si>
  <si>
    <t>Chú thích</t>
  </si>
  <si>
    <t>这本书的注释很详细。</t>
  </si>
  <si>
    <t>助手</t>
  </si>
  <si>
    <t>zhùshǒu</t>
  </si>
  <si>
    <t>Trợ thủ</t>
  </si>
  <si>
    <t>她是我的助手。</t>
  </si>
  <si>
    <t>铸造</t>
  </si>
  <si>
    <t>zhùzào</t>
  </si>
  <si>
    <t>Đúc</t>
  </si>
  <si>
    <t>工人们在铸造车间工作。</t>
  </si>
  <si>
    <t>驻扎</t>
  </si>
  <si>
    <t>zhùzhā</t>
  </si>
  <si>
    <t>Đóng quân</t>
  </si>
  <si>
    <t>军队驻扎在边境。</t>
  </si>
  <si>
    <t>住宅</t>
  </si>
  <si>
    <t>zhùzhái</t>
  </si>
  <si>
    <t>Nhà ở</t>
  </si>
  <si>
    <t>他住在这栋住宅里。</t>
  </si>
  <si>
    <t>注重</t>
  </si>
  <si>
    <t>zhùzhòng</t>
  </si>
  <si>
    <t>Chú trọng</t>
  </si>
  <si>
    <t>我们要注重环境保护。</t>
  </si>
  <si>
    <t>著作</t>
  </si>
  <si>
    <t>zhùzuò</t>
  </si>
  <si>
    <t>Tác phẩm</t>
  </si>
  <si>
    <t>他写了很多著作。</t>
  </si>
  <si>
    <t>拽</t>
  </si>
  <si>
    <t>zhuài</t>
  </si>
  <si>
    <t>Kéo</t>
  </si>
  <si>
    <t>他把东西拽走了。</t>
  </si>
  <si>
    <t>专长</t>
  </si>
  <si>
    <t>zhuāncháng</t>
  </si>
  <si>
    <t>Chuyên môn</t>
  </si>
  <si>
    <t>他在音乐方面很有专长。</t>
  </si>
  <si>
    <t>专程</t>
  </si>
  <si>
    <t>zhuānchéng</t>
  </si>
  <si>
    <t>Chuyến đi đặc biệt</t>
  </si>
  <si>
    <t>他专程来见我。</t>
  </si>
  <si>
    <t>专科</t>
  </si>
  <si>
    <t>zhuānkē</t>
  </si>
  <si>
    <t>Chuyên khoa</t>
  </si>
  <si>
    <t>他在专科医院工作。</t>
  </si>
  <si>
    <t>专利</t>
  </si>
  <si>
    <t>zhuānlì</t>
  </si>
  <si>
    <t>Bằng sáng chế</t>
  </si>
  <si>
    <t>他获得了一个重要的专利。</t>
  </si>
  <si>
    <t>专题</t>
  </si>
  <si>
    <t>zhuāntí</t>
  </si>
  <si>
    <t>Chuyên đề</t>
  </si>
  <si>
    <t>我们要研究这个专题。</t>
  </si>
  <si>
    <t>砖瓦</t>
  </si>
  <si>
    <t>zhuānwǎ</t>
  </si>
  <si>
    <t>Gạch ngói</t>
  </si>
  <si>
    <t>房子的砖瓦已经破旧。</t>
  </si>
  <si>
    <t>转达</t>
  </si>
  <si>
    <t>zhuǎndá</t>
  </si>
  <si>
    <t>Chuyển đạt</t>
  </si>
  <si>
    <t>他转达了老板的指示。</t>
  </si>
  <si>
    <t>转让</t>
  </si>
  <si>
    <t>zhuǎnràng</t>
  </si>
  <si>
    <t>Chuyển nhượng</t>
  </si>
  <si>
    <t>他决定将公司转让给朋友。</t>
  </si>
  <si>
    <t>转移</t>
  </si>
  <si>
    <t>zhuǎnyí</t>
  </si>
  <si>
    <t>Chuyển đổi</t>
  </si>
  <si>
    <t>他们转移到了一个安全的地方。</t>
  </si>
  <si>
    <t>转折</t>
  </si>
  <si>
    <t>zhuǎnzhé</t>
  </si>
  <si>
    <t>Chuyển biến</t>
  </si>
  <si>
    <t>这个故事在结尾处有一个意想不到的转折。</t>
  </si>
  <si>
    <t>传记</t>
  </si>
  <si>
    <t>zhuànjì</t>
  </si>
  <si>
    <t>Tiểu sử</t>
  </si>
  <si>
    <t>这本书是他的传记。</t>
  </si>
  <si>
    <t>装备</t>
  </si>
  <si>
    <t>zhuāngbèi</t>
  </si>
  <si>
    <t>我们需要购买一些新的装备。</t>
  </si>
  <si>
    <t>装卸</t>
  </si>
  <si>
    <t>zhuāngxiè</t>
  </si>
  <si>
    <t>Bốc dỡ</t>
  </si>
  <si>
    <t>这些工人正在装卸货物。</t>
  </si>
  <si>
    <t>庄严</t>
  </si>
  <si>
    <t>zhuāngyán</t>
  </si>
  <si>
    <t>Trang nghiêm</t>
  </si>
  <si>
    <t>庄严的仪式开始了。</t>
  </si>
  <si>
    <t>庄重</t>
  </si>
  <si>
    <t>zhuāngzhòng</t>
  </si>
  <si>
    <t>他总是显得很庄重。</t>
  </si>
  <si>
    <t>幢</t>
  </si>
  <si>
    <t>Tòa nhà</t>
  </si>
  <si>
    <t>我们公司租了一幢大楼。</t>
  </si>
  <si>
    <t>壮观</t>
  </si>
  <si>
    <t>zhuàngguān</t>
  </si>
  <si>
    <t>Hoành tráng</t>
  </si>
  <si>
    <t>大桥的景象非常壮观。</t>
  </si>
  <si>
    <t>壮丽</t>
  </si>
  <si>
    <t>zhuànglì</t>
  </si>
  <si>
    <t>Tráng lệ</t>
  </si>
  <si>
    <t>这里的景色非常壮丽。</t>
  </si>
  <si>
    <t>壮烈</t>
  </si>
  <si>
    <t>zhuàngliè</t>
  </si>
  <si>
    <t>Oanh liệt</t>
  </si>
  <si>
    <t>他在战斗中英勇壮烈地牺牲了。</t>
  </si>
  <si>
    <t>追悼</t>
  </si>
  <si>
    <t>zhuīdào</t>
  </si>
  <si>
    <t>Tưởng niệm</t>
  </si>
  <si>
    <t>全体人员向逝者表示深切的追悼。</t>
  </si>
  <si>
    <t>追究</t>
  </si>
  <si>
    <t>zhuījiū</t>
  </si>
  <si>
    <t>Truy cứu</t>
  </si>
  <si>
    <t>我们要追究事故的原因。</t>
  </si>
  <si>
    <t>准则</t>
  </si>
  <si>
    <t>zhǔnzé</t>
  </si>
  <si>
    <t>Chuẩn mực</t>
  </si>
  <si>
    <t>我们要遵守公司的准则。</t>
  </si>
  <si>
    <t>琢磨</t>
  </si>
  <si>
    <t>zuómo</t>
  </si>
  <si>
    <t>Suy nghĩ, nghiên cứu</t>
  </si>
  <si>
    <t>他在琢磨这个问题。</t>
  </si>
  <si>
    <t>着手</t>
  </si>
  <si>
    <t>zhuóshǒu</t>
  </si>
  <si>
    <t>Bắt đầu</t>
  </si>
  <si>
    <t>我们需要马上着手准备。</t>
  </si>
  <si>
    <t>着想</t>
  </si>
  <si>
    <t>zhuóxiǎng</t>
  </si>
  <si>
    <t>Nghĩ cho</t>
  </si>
  <si>
    <t>他总是为别人着想。</t>
  </si>
  <si>
    <t>卓越</t>
  </si>
  <si>
    <t>zhuóyuè</t>
  </si>
  <si>
    <t>他在工作中表现卓越。</t>
  </si>
  <si>
    <t>着重</t>
  </si>
  <si>
    <t>zhuózhòng</t>
  </si>
  <si>
    <t>Nhấn mạnh</t>
  </si>
  <si>
    <t>这件事要着重处理。</t>
  </si>
  <si>
    <t>资本</t>
  </si>
  <si>
    <t>zīběn</t>
  </si>
  <si>
    <t>Vốn</t>
  </si>
  <si>
    <t>公司需要更多的资本。</t>
  </si>
  <si>
    <t>资产</t>
  </si>
  <si>
    <t>zīchǎn</t>
  </si>
  <si>
    <t>Tài sản</t>
  </si>
  <si>
    <t>这些都是公司的资产。</t>
  </si>
  <si>
    <t>资深</t>
  </si>
  <si>
    <t>zīshēn</t>
  </si>
  <si>
    <t>Kinh nghiệm</t>
  </si>
  <si>
    <t>他是一位资深工程师。</t>
  </si>
  <si>
    <t>姿态</t>
  </si>
  <si>
    <t>zītài</t>
  </si>
  <si>
    <t>Tư thế</t>
  </si>
  <si>
    <t>她的姿态非常优雅。</t>
  </si>
  <si>
    <t>滋味</t>
  </si>
  <si>
    <t>zīwèi</t>
  </si>
  <si>
    <t>Mùi vị</t>
  </si>
  <si>
    <t>这道菜的滋味很好。</t>
  </si>
  <si>
    <t>滋长</t>
  </si>
  <si>
    <t>zīzhǎng</t>
  </si>
  <si>
    <t>Tăng trưởng</t>
  </si>
  <si>
    <t>小树苗在春天滋长。</t>
  </si>
  <si>
    <t>资助</t>
  </si>
  <si>
    <t>zīzhù</t>
  </si>
  <si>
    <t>他资助了很多贫困学生。</t>
  </si>
  <si>
    <t>子弹</t>
  </si>
  <si>
    <t>zǐdàn</t>
  </si>
  <si>
    <t>Đạn</t>
  </si>
  <si>
    <t>他用子弹击中了目标。</t>
  </si>
  <si>
    <t>自卑</t>
  </si>
  <si>
    <t>zìbēi</t>
  </si>
  <si>
    <t>Tự ti</t>
  </si>
  <si>
    <t>他有时感到自卑。</t>
  </si>
  <si>
    <t>自发</t>
  </si>
  <si>
    <t>zìfā</t>
  </si>
  <si>
    <t>Tự phát</t>
  </si>
  <si>
    <t>这是一个自发的活动。</t>
  </si>
  <si>
    <t>自力更生</t>
  </si>
  <si>
    <t>zìlì gēngshēng</t>
  </si>
  <si>
    <t>Tự lực cánh sinh</t>
  </si>
  <si>
    <t>我们应该自力更生。</t>
  </si>
  <si>
    <t>自满</t>
  </si>
  <si>
    <t>zìmǎn</t>
  </si>
  <si>
    <t>Tự mãn</t>
  </si>
  <si>
    <t>自满是成功的敌人。</t>
  </si>
  <si>
    <t>zìmǔ</t>
  </si>
  <si>
    <t>Chữ cái</t>
  </si>
  <si>
    <t>请按照字母顺序排列。</t>
  </si>
  <si>
    <t>自主</t>
  </si>
  <si>
    <t>zìzhǔ</t>
  </si>
  <si>
    <t>Tự chủ</t>
  </si>
  <si>
    <t>我们要自主完成任务。</t>
  </si>
  <si>
    <t>踪迹</t>
  </si>
  <si>
    <t>zōngjì</t>
  </si>
  <si>
    <t>Dấu vết</t>
  </si>
  <si>
    <t>这个地方没有任何踪迹。</t>
  </si>
  <si>
    <t>棕色</t>
  </si>
  <si>
    <t>zōngsè</t>
  </si>
  <si>
    <t>Màu nâu</t>
  </si>
  <si>
    <t>他的头发是棕色的。</t>
  </si>
  <si>
    <t>宗旨</t>
  </si>
  <si>
    <t>zōngzhǐ</t>
  </si>
  <si>
    <t>Tôn chỉ</t>
  </si>
  <si>
    <t>公司的宗旨是客户至上。</t>
  </si>
  <si>
    <t>总而言之</t>
  </si>
  <si>
    <t>zǒng'éryánzhī</t>
  </si>
  <si>
    <t>Tóm lại</t>
  </si>
  <si>
    <t>总而言之，我们需要努力。</t>
  </si>
  <si>
    <t>总和</t>
  </si>
  <si>
    <t>zǒnghé</t>
  </si>
  <si>
    <t>Tổng hợp</t>
  </si>
  <si>
    <t>这两项数值的总和是100。</t>
  </si>
  <si>
    <t>纵横</t>
  </si>
  <si>
    <t>zònghéng</t>
  </si>
  <si>
    <t>Ngang dọc</t>
  </si>
  <si>
    <t>他在世界各地纵横驰骋。</t>
  </si>
  <si>
    <t>走廊</t>
  </si>
  <si>
    <t>zǒuláng</t>
  </si>
  <si>
    <t>Hành lang</t>
  </si>
  <si>
    <t>学校的走廊很宽敞。</t>
  </si>
  <si>
    <t>走漏</t>
  </si>
  <si>
    <t>zǒulòu</t>
  </si>
  <si>
    <t>他不小心走漏了消息。</t>
  </si>
  <si>
    <t>走私</t>
  </si>
  <si>
    <t>zǒusī</t>
  </si>
  <si>
    <t>Buôn lậu</t>
  </si>
  <si>
    <t>警察在打击走私活动。</t>
  </si>
  <si>
    <t>揍</t>
  </si>
  <si>
    <t>zòu</t>
  </si>
  <si>
    <t>Đánh</t>
  </si>
  <si>
    <t>他被人揍了一顿。</t>
  </si>
  <si>
    <t>租赁</t>
  </si>
  <si>
    <t>zūlìn</t>
  </si>
  <si>
    <t>Thuê</t>
  </si>
  <si>
    <t>我们需要租赁一些设备。</t>
  </si>
  <si>
    <t>足以</t>
  </si>
  <si>
    <t>zúyǐ</t>
  </si>
  <si>
    <t>Đủ để</t>
  </si>
  <si>
    <t>这个方法足以解决问题。</t>
  </si>
  <si>
    <t>Nhóm</t>
  </si>
  <si>
    <t>我加入了一个学习组。</t>
  </si>
  <si>
    <t>阻碍</t>
  </si>
  <si>
    <t>zǔ'ài</t>
  </si>
  <si>
    <t>Cản trở</t>
  </si>
  <si>
    <t>雪阻碍了交通。</t>
  </si>
  <si>
    <t>祖父</t>
  </si>
  <si>
    <t>zǔfù</t>
  </si>
  <si>
    <t>Ông nội</t>
  </si>
  <si>
    <t>我的祖父很喜欢下棋。</t>
  </si>
  <si>
    <t>阻拦</t>
  </si>
  <si>
    <t>zǔlán</t>
  </si>
  <si>
    <t>Ngăn cản</t>
  </si>
  <si>
    <t>我们需要找到阻拦他的方法。</t>
  </si>
  <si>
    <t>阻挠</t>
  </si>
  <si>
    <t>zǔnáo</t>
  </si>
  <si>
    <t>他试图阻挠我们的计划。</t>
  </si>
  <si>
    <t>钻研</t>
  </si>
  <si>
    <t>zuānyán</t>
  </si>
  <si>
    <t>Nghiên cứu kỹ lưỡng</t>
  </si>
  <si>
    <t>他钻研了这个课题很多年。</t>
  </si>
  <si>
    <t>钻石</t>
  </si>
  <si>
    <t>zuànshí</t>
  </si>
  <si>
    <t>Kim cương</t>
  </si>
  <si>
    <t>她收到了一颗钻石戒指。</t>
  </si>
  <si>
    <t>嘴唇</t>
  </si>
  <si>
    <t>zuǐchún</t>
  </si>
  <si>
    <t>Môi</t>
  </si>
  <si>
    <t>她的嘴唇很红润。</t>
  </si>
  <si>
    <t>遵循</t>
  </si>
  <si>
    <t>zūnxún</t>
  </si>
  <si>
    <t>Tuân theo</t>
  </si>
  <si>
    <t>我们要遵循公司的规定。</t>
  </si>
  <si>
    <t>尊严</t>
  </si>
  <si>
    <t>zūnyán</t>
  </si>
  <si>
    <t>Nhân phẩm</t>
  </si>
  <si>
    <t>他一直保持着自己的尊严。</t>
  </si>
  <si>
    <t>zuǒyòu</t>
  </si>
  <si>
    <t>Khoảng</t>
  </si>
  <si>
    <t>我们班有100个学生左右。</t>
  </si>
  <si>
    <t>作弊</t>
  </si>
  <si>
    <t>zuòbì</t>
  </si>
  <si>
    <t>Gian lận</t>
  </si>
  <si>
    <t>作弊是不道德的行为。</t>
  </si>
  <si>
    <t>做东</t>
  </si>
  <si>
    <t>zuòdōng</t>
  </si>
  <si>
    <t>Làm chủ</t>
  </si>
  <si>
    <t>今天他是做东的。</t>
  </si>
  <si>
    <t>作废</t>
  </si>
  <si>
    <t>zuòfèi</t>
  </si>
  <si>
    <t>Vô hiệu</t>
  </si>
  <si>
    <t>这些旧文件需要作废。</t>
  </si>
  <si>
    <t>作风</t>
  </si>
  <si>
    <t>zuòfēng</t>
  </si>
  <si>
    <t>Phong cách</t>
  </si>
  <si>
    <t>公司需要改进作风。</t>
  </si>
  <si>
    <t>作息</t>
  </si>
  <si>
    <t>zuòxī</t>
  </si>
  <si>
    <t>Làm việc và nghỉ ngơi</t>
  </si>
  <si>
    <t>我们的作息时间要规律。</t>
  </si>
  <si>
    <t>座右铭</t>
  </si>
  <si>
    <t>zuòyòumíng</t>
  </si>
  <si>
    <t>Câu nói yêu thích</t>
  </si>
  <si>
    <t>他的座右铭是"努力奋斗"。</t>
  </si>
  <si>
    <t>做主</t>
  </si>
  <si>
    <t>zuòzhǔ</t>
  </si>
  <si>
    <t>Quyết định</t>
  </si>
  <si>
    <t>他愿意为自己做主。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</si>
</sst>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sz val="15.0"/>
      <color rgb="FF000000"/>
      <name val="SimSun"/>
    </font>
    <font>
      <b/>
      <sz val="12.0"/>
      <color rgb="FF000000"/>
      <name val="Times New Roman"/>
    </font>
    <font>
      <b/>
      <sz val="13.0"/>
      <color rgb="FF000000"/>
      <name val="SimSun"/>
    </font>
    <font>
      <b/>
      <sz val="13.0"/>
      <color rgb="FF000000"/>
      <name val="Times New Roman"/>
    </font>
    <font>
      <b/>
      <sz val="14.0"/>
      <color rgb="FF000000"/>
      <name val="SimSun"/>
    </font>
    <font/>
    <font>
      <u/>
      <sz val="28.0"/>
      <color rgb="FF0000FF"/>
      <name val="Arial"/>
    </font>
    <font>
      <b/>
      <sz val="12.0"/>
      <color rgb="FF000000"/>
      <name val="SimSun"/>
    </font>
    <font>
      <sz val="12.0"/>
      <color theme="1"/>
      <name val="Arial"/>
    </font>
    <font>
      <sz val="15.0"/>
      <color rgb="FF000000"/>
      <name val="SimSun"/>
    </font>
    <font>
      <sz val="12.0"/>
      <color rgb="FF000000"/>
      <name val="Times New Roman"/>
    </font>
    <font>
      <sz val="14.0"/>
      <color rgb="FF000000"/>
      <name val="SimSun"/>
    </font>
    <font>
      <sz val="13.0"/>
      <color rgb="FF000000"/>
      <name val="SimSun"/>
    </font>
    <font>
      <sz val="13.0"/>
      <color rgb="FF000000"/>
      <name val="Times New Roman"/>
    </font>
    <font>
      <sz val="12.0"/>
      <color rgb="FF000000"/>
      <name val="SimSun"/>
    </font>
    <font>
      <sz val="10.0"/>
      <color rgb="FF000000"/>
      <name val="Times New Roman"/>
    </font>
    <font>
      <sz val="10.0"/>
      <color theme="1"/>
      <name val="Arial"/>
    </font>
    <font>
      <b/>
      <sz val="17.0"/>
      <color rgb="FF000000"/>
      <name val="SimSun"/>
    </font>
    <font>
      <color theme="1"/>
      <name val="Arial"/>
      <scheme val="minor"/>
    </font>
    <font>
      <sz val="17.0"/>
      <color rgb="FF000000"/>
      <name val="SimSun"/>
    </font>
    <font>
      <sz val="15.0"/>
      <color theme="1"/>
      <name val="SimSun"/>
    </font>
    <font>
      <sz val="13.0"/>
      <color theme="1"/>
      <name val="SimSun"/>
    </font>
    <font>
      <sz val="14.0"/>
      <color theme="1"/>
      <name val="SimSun"/>
    </font>
    <font>
      <sz val="13.0"/>
      <color theme="1"/>
      <name val="Arial"/>
    </font>
    <font>
      <sz val="12.0"/>
      <color theme="1"/>
      <name val="SimSun"/>
    </font>
    <font>
      <sz val="12.0"/>
      <color theme="1"/>
      <name val="Arial"/>
      <scheme val="minor"/>
    </font>
    <font>
      <sz val="13.0"/>
      <color theme="1"/>
      <name val="Times New Roman"/>
    </font>
    <font>
      <sz val="13.0"/>
      <color theme="1"/>
      <name val="Arial"/>
      <scheme val="minor"/>
    </font>
    <font>
      <b/>
      <sz val="16.0"/>
      <color rgb="FF000000"/>
      <name val="Times New Roman"/>
    </font>
    <font>
      <b/>
      <sz val="15.0"/>
      <color rgb="FF000000"/>
      <name val="Times New Roman"/>
    </font>
    <font>
      <b/>
      <sz val="14.0"/>
      <color rgb="FF000000"/>
      <name val="Times New Roman"/>
    </font>
    <font>
      <sz val="12.0"/>
      <color theme="1"/>
      <name val="Times New Roman"/>
    </font>
    <font>
      <sz val="20.0"/>
      <color rgb="FF000000"/>
      <name val="SimSun"/>
    </font>
    <font>
      <sz val="15.0"/>
      <color rgb="FF000000"/>
      <name val="Times New Roman"/>
    </font>
    <font>
      <sz val="14.0"/>
      <color rgb="FF000000"/>
      <name val="Times New Roman"/>
    </font>
    <font>
      <sz val="17.0"/>
      <color theme="1"/>
      <name val="SimSun"/>
    </font>
    <font>
      <color theme="1"/>
      <name val="SimSun"/>
    </font>
    <font>
      <sz val="20.0"/>
      <color rgb="FF666666"/>
      <name val="SimSun"/>
    </font>
    <font>
      <sz val="12.0"/>
      <color rgb="FF666666"/>
      <name val="Arial"/>
    </font>
    <font>
      <sz val="14.0"/>
      <color rgb="FF666666"/>
      <name val="Arial"/>
    </font>
    <font>
      <sz val="14.0"/>
      <color rgb="FF666666"/>
      <name val="SimSun"/>
    </font>
    <font>
      <sz val="14.0"/>
      <color rgb="FF666666"/>
      <name val="Times New Roman"/>
    </font>
    <font>
      <sz val="12.0"/>
      <color rgb="FF666666"/>
      <name val="SimSun"/>
    </font>
    <font>
      <sz val="14.0"/>
      <color theme="1"/>
      <name val="Arial"/>
    </font>
    <font>
      <sz val="15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B6FF"/>
        <bgColor rgb="FF38B6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readingOrder="0" shrinkToFit="0" wrapText="1"/>
    </xf>
    <xf borderId="2" fillId="2" fontId="2" numFmtId="0" xfId="0" applyAlignment="1" applyBorder="1" applyFill="1" applyFont="1">
      <alignment horizontal="center" shrinkToFit="0" wrapText="1"/>
    </xf>
    <xf borderId="1" fillId="2" fontId="5" numFmtId="0" xfId="0" applyAlignment="1" applyBorder="1" applyFill="1" applyFont="1">
      <alignment shrinkToFit="0" wrapText="1"/>
    </xf>
    <xf borderId="3" fillId="0" fontId="6" numFmtId="0" xfId="0" applyBorder="1" applyFont="1"/>
    <xf borderId="1" fillId="2" fontId="4" numFmtId="0" xfId="0" applyAlignment="1" applyBorder="1" applyFill="1" applyFont="1">
      <alignment shrinkToFit="0" wrapText="1"/>
    </xf>
    <xf borderId="4" fillId="3" fontId="7" numFmtId="0" xfId="0" applyAlignment="1" applyBorder="1" applyFill="1" applyFont="1">
      <alignment vertical="center"/>
    </xf>
    <xf borderId="5" fillId="0" fontId="6" numFmtId="0" xfId="0" applyBorder="1" applyFont="1"/>
    <xf borderId="6" fillId="0" fontId="6" numFmtId="0" xfId="0" applyBorder="1" applyFont="1"/>
    <xf borderId="1" fillId="2" fontId="8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shrinkToFit="0" wrapText="1"/>
    </xf>
    <xf borderId="1" fillId="2" fontId="2" numFmtId="0" xfId="0" applyAlignment="1" applyBorder="1" applyFill="1" applyFont="1">
      <alignment readingOrder="0" shrinkToFit="0" vertical="top" wrapText="1"/>
    </xf>
    <xf borderId="7" fillId="0" fontId="6" numFmtId="0" xfId="0" applyBorder="1" applyFont="1"/>
    <xf borderId="8" fillId="0" fontId="6" numFmtId="0" xfId="0" applyBorder="1" applyFont="1"/>
    <xf borderId="1" fillId="0" fontId="10" numFmtId="0" xfId="0" applyBorder="1" applyFont="1"/>
    <xf borderId="1" fillId="2" fontId="8" numFmtId="0" xfId="0" applyAlignment="1" applyBorder="1" applyFill="1" applyFont="1">
      <alignment shrinkToFit="0" wrapText="1"/>
    </xf>
    <xf borderId="9" fillId="0" fontId="6" numFmtId="0" xfId="0" applyBorder="1" applyFont="1"/>
    <xf borderId="10" fillId="0" fontId="6" numFmtId="0" xfId="0" applyBorder="1" applyFont="1"/>
    <xf borderId="1" fillId="0" fontId="11" numFmtId="0" xfId="0" applyBorder="1" applyFont="1"/>
    <xf borderId="11" fillId="0" fontId="6" numFmtId="0" xfId="0" applyBorder="1" applyFont="1"/>
    <xf borderId="1" fillId="0" fontId="12" numFmtId="0" xfId="0" applyAlignment="1" applyBorder="1" applyFont="1">
      <alignment shrinkToFit="0" wrapText="1"/>
    </xf>
    <xf borderId="12" fillId="0" fontId="6" numFmtId="0" xfId="0" applyBorder="1" applyFont="1"/>
    <xf borderId="1" fillId="0" fontId="13" numFmtId="0" xfId="0" applyBorder="1" applyFont="1"/>
    <xf borderId="1" fillId="0" fontId="14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readingOrder="0"/>
    </xf>
    <xf borderId="1" fillId="4" fontId="11" numFmtId="0" xfId="0" applyBorder="1" applyFill="1" applyFont="1"/>
    <xf borderId="1" fillId="3" fontId="11" numFmtId="0" xfId="0" applyAlignment="1" applyBorder="1" applyFill="1" applyFont="1">
      <alignment shrinkToFit="0" vertical="top" wrapText="1"/>
    </xf>
    <xf borderId="1" fillId="0" fontId="13" numFmtId="0" xfId="0" applyAlignment="1" applyBorder="1" applyFont="1">
      <alignment readingOrder="0" shrinkToFit="0" wrapText="1"/>
    </xf>
    <xf borderId="1" fillId="0" fontId="16" numFmtId="0" xfId="0" applyBorder="1" applyFont="1"/>
    <xf borderId="1" fillId="0" fontId="14" numFmtId="0" xfId="0" applyAlignment="1" applyBorder="1" applyFont="1">
      <alignment horizontal="center" shrinkToFit="0" wrapText="1"/>
    </xf>
    <xf borderId="1" fillId="5" fontId="16" numFmtId="0" xfId="0" applyAlignment="1" applyBorder="1" applyFill="1" applyFont="1">
      <alignment horizontal="center"/>
    </xf>
    <xf borderId="1" fillId="0" fontId="17" numFmtId="0" xfId="0" applyBorder="1" applyFont="1"/>
    <xf borderId="1" fillId="0" fontId="15" numFmtId="0" xfId="0" applyAlignment="1" applyBorder="1" applyFont="1">
      <alignment vertical="center"/>
    </xf>
    <xf borderId="1" fillId="2" fontId="18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  <xf borderId="1" fillId="0" fontId="20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3" fontId="11" numFmtId="0" xfId="0" applyAlignment="1" applyBorder="1" applyFill="1" applyFont="1">
      <alignment shrinkToFit="0" vertical="center" wrapText="1"/>
    </xf>
    <xf borderId="1" fillId="0" fontId="12" numFmtId="0" xfId="0" applyAlignment="1" applyBorder="1" applyFont="1">
      <alignment readingOrder="0" vertical="center"/>
    </xf>
    <xf borderId="1" fillId="5" fontId="16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6" fontId="10" numFmtId="0" xfId="0" applyBorder="1" applyFill="1" applyFont="1"/>
    <xf borderId="1" fillId="6" fontId="11" numFmtId="0" xfId="0" applyBorder="1" applyFill="1" applyFont="1"/>
    <xf borderId="1" fillId="6" fontId="13" numFmtId="0" xfId="0" applyBorder="1" applyFill="1" applyFont="1"/>
    <xf borderId="1" fillId="0" fontId="11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21" numFmtId="0" xfId="0" applyAlignment="1" applyFont="1">
      <alignment shrinkToFit="0" wrapText="1"/>
    </xf>
    <xf borderId="0" fillId="0" fontId="22" numFmtId="0" xfId="0" applyAlignment="1" applyFont="1">
      <alignment shrinkToFit="0" wrapText="1"/>
    </xf>
    <xf borderId="0" fillId="0" fontId="23" numFmtId="0" xfId="0" applyAlignment="1" applyFont="1">
      <alignment shrinkToFit="0" wrapText="1"/>
    </xf>
    <xf borderId="0" fillId="0" fontId="24" numFmtId="0" xfId="0" applyAlignment="1" applyFont="1">
      <alignment shrinkToFit="0" wrapText="1"/>
    </xf>
    <xf borderId="0" fillId="0" fontId="25" numFmtId="0" xfId="0" applyAlignment="1" applyFont="1">
      <alignment shrinkToFit="0" vertical="center" wrapText="1"/>
    </xf>
    <xf borderId="0" fillId="7" fontId="9" numFmtId="0" xfId="0" applyAlignment="1" applyFill="1" applyFont="1">
      <alignment shrinkToFit="0" vertical="top" wrapText="1"/>
    </xf>
    <xf borderId="0" fillId="0" fontId="25" numFmtId="0" xfId="0" applyAlignment="1" applyFont="1">
      <alignment shrinkToFit="0" wrapText="1"/>
    </xf>
    <xf borderId="0" fillId="0" fontId="21" numFmtId="0" xfId="0" applyFont="1"/>
    <xf borderId="0" fillId="0" fontId="26" numFmtId="0" xfId="0" applyFont="1"/>
    <xf borderId="0" fillId="0" fontId="22" numFmtId="0" xfId="0" applyFont="1"/>
    <xf borderId="1" fillId="6" fontId="20" numFmtId="0" xfId="0" applyAlignment="1" applyBorder="1" applyFill="1" applyFont="1">
      <alignment shrinkToFit="0" vertical="center" wrapText="1"/>
    </xf>
    <xf borderId="1" fillId="6" fontId="11" numFmtId="0" xfId="0" applyAlignment="1" applyBorder="1" applyFill="1" applyFont="1">
      <alignment shrinkToFit="0" vertical="center" wrapText="1"/>
    </xf>
    <xf borderId="1" fillId="6" fontId="15" numFmtId="0" xfId="0" applyAlignment="1" applyBorder="1" applyFill="1" applyFont="1">
      <alignment shrinkToFit="0" vertical="center" wrapText="1"/>
    </xf>
    <xf borderId="0" fillId="7" fontId="9" numFmtId="0" xfId="0" applyAlignment="1" applyFill="1" applyFont="1">
      <alignment shrinkToFit="0" wrapText="1"/>
    </xf>
    <xf borderId="0" fillId="0" fontId="22" numFmtId="0" xfId="0" applyFont="1"/>
    <xf borderId="0" fillId="0" fontId="17" numFmtId="0" xfId="0" applyFont="1"/>
    <xf borderId="1" fillId="0" fontId="27" numFmtId="0" xfId="0" applyAlignment="1" applyBorder="1" applyFont="1">
      <alignment horizontal="center" shrinkToFit="0" wrapText="1"/>
    </xf>
    <xf borderId="0" fillId="0" fontId="23" numFmtId="0" xfId="0" applyFont="1"/>
    <xf borderId="0" fillId="0" fontId="28" numFmtId="0" xfId="0" applyFont="1"/>
    <xf borderId="0" fillId="0" fontId="25" numFmtId="0" xfId="0" applyAlignment="1" applyFont="1">
      <alignment vertical="center"/>
    </xf>
    <xf borderId="0" fillId="7" fontId="26" numFmtId="0" xfId="0" applyAlignment="1" applyFill="1" applyFont="1">
      <alignment vertical="top"/>
    </xf>
    <xf borderId="0" fillId="0" fontId="25" numFmtId="0" xfId="0" applyFont="1"/>
    <xf borderId="13" fillId="6" fontId="9" numFmtId="0" xfId="0" applyAlignment="1" applyBorder="1" applyFill="1" applyFont="1">
      <alignment shrinkToFit="0" vertical="center" wrapText="1"/>
    </xf>
    <xf borderId="0" fillId="7" fontId="19" numFmtId="0" xfId="0" applyFill="1" applyFont="1"/>
    <xf borderId="0" fillId="0" fontId="13" numFmtId="0" xfId="0" applyFont="1"/>
    <xf borderId="1" fillId="2" fontId="29" numFmtId="0" xfId="0" applyAlignment="1" applyBorder="1" applyFill="1" applyFont="1">
      <alignment horizontal="center" readingOrder="0" shrinkToFit="0" wrapText="1"/>
    </xf>
    <xf borderId="1" fillId="2" fontId="30" numFmtId="0" xfId="0" applyAlignment="1" applyBorder="1" applyFill="1" applyFont="1">
      <alignment shrinkToFit="0" wrapText="1"/>
    </xf>
    <xf borderId="1" fillId="2" fontId="31" numFmtId="0" xfId="0" applyAlignment="1" applyBorder="1" applyFill="1" applyFont="1">
      <alignment shrinkToFit="0" wrapText="1"/>
    </xf>
    <xf borderId="1" fillId="2" fontId="31" numFmtId="0" xfId="0" applyAlignment="1" applyBorder="1" applyFill="1" applyFont="1">
      <alignment readingOrder="0" shrinkToFit="0" wrapText="1"/>
    </xf>
    <xf borderId="1" fillId="2" fontId="30" numFmtId="0" xfId="0" applyAlignment="1" applyBorder="1" applyFill="1" applyFont="1">
      <alignment readingOrder="0" shrinkToFit="0" wrapText="1"/>
    </xf>
    <xf borderId="2" fillId="2" fontId="30" numFmtId="0" xfId="0" applyAlignment="1" applyBorder="1" applyFill="1" applyFont="1">
      <alignment horizontal="center" shrinkToFit="0" wrapText="1"/>
    </xf>
    <xf borderId="0" fillId="0" fontId="32" numFmtId="0" xfId="0" applyAlignment="1" applyFont="1">
      <alignment shrinkToFit="0" wrapText="1"/>
    </xf>
    <xf borderId="1" fillId="6" fontId="33" numFmtId="0" xfId="0" applyAlignment="1" applyBorder="1" applyFill="1" applyFont="1">
      <alignment horizontal="center" shrinkToFit="0" wrapText="1"/>
    </xf>
    <xf borderId="1" fillId="6" fontId="34" numFmtId="0" xfId="0" applyAlignment="1" applyBorder="1" applyFill="1" applyFont="1">
      <alignment horizontal="left" shrinkToFit="0" wrapText="1"/>
    </xf>
    <xf borderId="1" fillId="6" fontId="35" numFmtId="0" xfId="0" applyAlignment="1" applyBorder="1" applyFill="1" applyFont="1">
      <alignment horizontal="left" shrinkToFit="0" wrapText="1"/>
    </xf>
    <xf borderId="1" fillId="0" fontId="12" numFmtId="0" xfId="0" applyBorder="1" applyFont="1"/>
    <xf borderId="1" fillId="4" fontId="35" numFmtId="0" xfId="0" applyBorder="1" applyFill="1" applyFont="1"/>
    <xf borderId="1" fillId="7" fontId="1" numFmtId="0" xfId="0" applyAlignment="1" applyBorder="1" applyFill="1" applyFont="1">
      <alignment readingOrder="0" shrinkToFit="0" wrapText="1"/>
    </xf>
    <xf borderId="1" fillId="5" fontId="34" numFmtId="0" xfId="0" applyAlignment="1" applyBorder="1" applyFill="1" applyFont="1">
      <alignment horizontal="center"/>
    </xf>
    <xf borderId="1" fillId="0" fontId="34" numFmtId="0" xfId="0" applyAlignment="1" applyBorder="1" applyFont="1">
      <alignment horizontal="center" shrinkToFit="0" wrapText="1"/>
    </xf>
    <xf borderId="1" fillId="6" fontId="10" numFmtId="0" xfId="0" applyAlignment="1" applyBorder="1" applyFill="1" applyFont="1">
      <alignment horizontal="left" readingOrder="0" shrinkToFit="0" wrapText="1"/>
    </xf>
    <xf borderId="1" fillId="0" fontId="10" numFmtId="0" xfId="0" applyAlignment="1" applyBorder="1" applyFont="1">
      <alignment readingOrder="0"/>
    </xf>
    <xf borderId="1" fillId="6" fontId="35" numFmtId="0" xfId="0" applyAlignment="1" applyBorder="1" applyFill="1" applyFont="1">
      <alignment horizontal="left" readingOrder="0" shrinkToFit="0" wrapText="1"/>
    </xf>
    <xf borderId="1" fillId="0" fontId="33" numFmtId="0" xfId="0" applyAlignment="1" applyBorder="1" applyFont="1">
      <alignment horizontal="center" shrinkToFit="0" wrapText="1"/>
    </xf>
    <xf borderId="1" fillId="0" fontId="34" numFmtId="0" xfId="0" applyAlignment="1" applyBorder="1" applyFont="1">
      <alignment horizontal="left" shrinkToFit="0" wrapText="1"/>
    </xf>
    <xf borderId="1" fillId="0" fontId="35" numFmtId="0" xfId="0" applyAlignment="1" applyBorder="1" applyFont="1">
      <alignment horizontal="left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18" numFmtId="0" xfId="0" applyAlignment="1" applyBorder="1" applyFill="1" applyFont="1">
      <alignment shrinkToFit="0" wrapText="1"/>
    </xf>
    <xf borderId="1" fillId="2" fontId="11" numFmtId="0" xfId="0" applyAlignment="1" applyBorder="1" applyFill="1" applyFont="1">
      <alignment shrinkToFit="0" wrapText="1"/>
    </xf>
    <xf borderId="1" fillId="0" fontId="10" numFmtId="0" xfId="0" applyAlignment="1" applyBorder="1" applyFont="1">
      <alignment horizontal="center" shrinkToFit="0" wrapText="1"/>
    </xf>
    <xf borderId="1" fillId="0" fontId="35" numFmtId="0" xfId="0" applyAlignment="1" applyBorder="1" applyFont="1">
      <alignment shrinkToFit="0" wrapText="1"/>
    </xf>
    <xf borderId="1" fillId="0" fontId="34" numFmtId="0" xfId="0" applyAlignment="1" applyBorder="1" applyFont="1">
      <alignment shrinkToFit="0" wrapText="1"/>
    </xf>
    <xf borderId="0" fillId="0" fontId="36" numFmtId="0" xfId="0" applyAlignment="1" applyFont="1">
      <alignment shrinkToFit="0" vertical="center" wrapText="1"/>
    </xf>
    <xf borderId="0" fillId="7" fontId="9" numFmtId="0" xfId="0" applyAlignment="1" applyFill="1" applyFont="1">
      <alignment shrinkToFit="0" vertical="center" wrapText="1"/>
    </xf>
    <xf borderId="0" fillId="0" fontId="23" numFmtId="0" xfId="0" applyAlignment="1" applyFont="1">
      <alignment vertical="center"/>
    </xf>
    <xf borderId="0" fillId="0" fontId="17" numFmtId="0" xfId="0" applyAlignment="1" applyFont="1">
      <alignment vertical="center"/>
    </xf>
    <xf borderId="1" fillId="6" fontId="12" numFmtId="0" xfId="0" applyBorder="1" applyFill="1" applyFont="1"/>
    <xf borderId="1" fillId="6" fontId="12" numFmtId="0" xfId="0" applyAlignment="1" applyBorder="1" applyFill="1" applyFont="1">
      <alignment shrinkToFit="0" wrapText="1"/>
    </xf>
    <xf borderId="1" fillId="6" fontId="20" numFmtId="0" xfId="0" applyAlignment="1" applyBorder="1" applyFill="1" applyFont="1">
      <alignment horizontal="left" readingOrder="0" shrinkToFit="0" wrapText="1"/>
    </xf>
    <xf borderId="1" fillId="0" fontId="20" numFmtId="0" xfId="0" applyAlignment="1" applyBorder="1" applyFont="1">
      <alignment readingOrder="0"/>
    </xf>
    <xf borderId="0" fillId="0" fontId="36" numFmtId="0" xfId="0" applyAlignment="1" applyFont="1">
      <alignment vertical="center"/>
    </xf>
    <xf borderId="0" fillId="0" fontId="37" numFmtId="0" xfId="0" applyAlignment="1" applyFont="1">
      <alignment vertical="center"/>
    </xf>
    <xf borderId="0" fillId="7" fontId="19" numFmtId="0" xfId="0" applyAlignment="1" applyFill="1" applyFont="1">
      <alignment vertical="center"/>
    </xf>
    <xf borderId="0" fillId="0" fontId="23" numFmtId="0" xfId="0" applyAlignment="1" applyFont="1">
      <alignment vertical="center"/>
    </xf>
    <xf borderId="1" fillId="6" fontId="10" numFmtId="0" xfId="0" applyAlignment="1" applyBorder="1" applyFill="1" applyFont="1">
      <alignment horizontal="center" shrinkToFit="0" wrapText="1"/>
    </xf>
    <xf borderId="1" fillId="6" fontId="35" numFmtId="0" xfId="0" applyAlignment="1" applyBorder="1" applyFill="1" applyFont="1">
      <alignment shrinkToFit="0" wrapText="1"/>
    </xf>
    <xf borderId="1" fillId="6" fontId="34" numFmtId="0" xfId="0" applyAlignment="1" applyBorder="1" applyFill="1" applyFont="1">
      <alignment shrinkToFit="0" wrapText="1"/>
    </xf>
    <xf borderId="1" fillId="6" fontId="11" numFmtId="0" xfId="0" applyAlignment="1" applyBorder="1" applyFill="1" applyFont="1">
      <alignment shrinkToFit="0" wrapText="1"/>
    </xf>
    <xf borderId="1" fillId="0" fontId="20" numFmtId="0" xfId="0" applyBorder="1" applyFont="1"/>
    <xf borderId="1" fillId="6" fontId="10" numFmtId="0" xfId="0" applyAlignment="1" applyBorder="1" applyFill="1" applyFont="1">
      <alignment readingOrder="0"/>
    </xf>
    <xf borderId="13" fillId="6" fontId="9" numFmtId="0" xfId="0" applyAlignment="1" applyBorder="1" applyFill="1" applyFont="1">
      <alignment shrinkToFit="0" wrapText="1"/>
    </xf>
    <xf borderId="1" fillId="6" fontId="20" numFmtId="0" xfId="0" applyBorder="1" applyFill="1" applyFont="1"/>
    <xf borderId="1" fillId="7" fontId="12" numFmtId="0" xfId="0" applyBorder="1" applyFill="1" applyFont="1"/>
    <xf borderId="1" fillId="8" fontId="20" numFmtId="0" xfId="0" applyBorder="1" applyFill="1" applyFont="1"/>
    <xf borderId="1" fillId="7" fontId="10" numFmtId="0" xfId="0" applyAlignment="1" applyBorder="1" applyFill="1" applyFont="1">
      <alignment readingOrder="0"/>
    </xf>
    <xf borderId="1" fillId="8" fontId="12" numFmtId="0" xfId="0" applyBorder="1" applyFill="1" applyFont="1"/>
    <xf borderId="1" fillId="8" fontId="10" numFmtId="0" xfId="0" applyAlignment="1" applyBorder="1" applyFill="1" applyFont="1">
      <alignment readingOrder="0"/>
    </xf>
    <xf borderId="1" fillId="6" fontId="20" numFmtId="0" xfId="0" applyAlignment="1" applyBorder="1" applyFill="1" applyFont="1">
      <alignment horizontal="left" shrinkToFit="0" wrapText="1"/>
    </xf>
    <xf borderId="14" fillId="6" fontId="38" numFmtId="0" xfId="0" applyAlignment="1" applyBorder="1" applyFill="1" applyFont="1">
      <alignment horizontal="center" shrinkToFit="0" wrapText="1"/>
    </xf>
    <xf borderId="14" fillId="6" fontId="39" numFmtId="0" xfId="0" applyAlignment="1" applyBorder="1" applyFill="1" applyFont="1">
      <alignment horizontal="left" shrinkToFit="0" wrapText="1"/>
    </xf>
    <xf borderId="14" fillId="6" fontId="40" numFmtId="0" xfId="0" applyAlignment="1" applyBorder="1" applyFill="1" applyFont="1">
      <alignment horizontal="left" shrinkToFit="0" wrapText="1"/>
    </xf>
    <xf borderId="14" fillId="6" fontId="41" numFmtId="0" xfId="0" applyAlignment="1" applyBorder="1" applyFill="1" applyFont="1">
      <alignment horizontal="left" shrinkToFit="0" wrapText="1"/>
    </xf>
    <xf borderId="14" fillId="7" fontId="42" numFmtId="0" xfId="0" applyAlignment="1" applyBorder="1" applyFill="1" applyFont="1">
      <alignment horizontal="left" shrinkToFit="0" wrapText="1"/>
    </xf>
    <xf borderId="14" fillId="6" fontId="43" numFmtId="0" xfId="0" applyAlignment="1" applyBorder="1" applyFill="1" applyFont="1">
      <alignment horizontal="left" shrinkToFit="0" wrapText="1"/>
    </xf>
    <xf borderId="15" fillId="0" fontId="17" numFmtId="0" xfId="0" applyAlignment="1" applyBorder="1" applyFont="1">
      <alignment horizontal="center"/>
    </xf>
    <xf borderId="15" fillId="0" fontId="27" numFmtId="0" xfId="0" applyAlignment="1" applyBorder="1" applyFont="1">
      <alignment horizontal="center" shrinkToFit="0" wrapText="1"/>
    </xf>
    <xf borderId="15" fillId="0" fontId="9" numFmtId="0" xfId="0" applyAlignment="1" applyBorder="1" applyFont="1">
      <alignment shrinkToFit="0" wrapText="1"/>
    </xf>
    <xf borderId="13" fillId="6" fontId="38" numFmtId="0" xfId="0" applyAlignment="1" applyBorder="1" applyFill="1" applyFont="1">
      <alignment horizontal="center" shrinkToFit="0" wrapText="1"/>
    </xf>
    <xf borderId="13" fillId="6" fontId="39" numFmtId="0" xfId="0" applyAlignment="1" applyBorder="1" applyFill="1" applyFont="1">
      <alignment horizontal="left" shrinkToFit="0" wrapText="1"/>
    </xf>
    <xf borderId="13" fillId="6" fontId="40" numFmtId="0" xfId="0" applyAlignment="1" applyBorder="1" applyFill="1" applyFont="1">
      <alignment horizontal="left" shrinkToFit="0" wrapText="1"/>
    </xf>
    <xf borderId="13" fillId="6" fontId="41" numFmtId="0" xfId="0" applyAlignment="1" applyBorder="1" applyFill="1" applyFont="1">
      <alignment horizontal="left" shrinkToFit="0" wrapText="1"/>
    </xf>
    <xf borderId="13" fillId="7" fontId="42" numFmtId="0" xfId="0" applyAlignment="1" applyBorder="1" applyFill="1" applyFont="1">
      <alignment horizontal="left" shrinkToFit="0" wrapText="1"/>
    </xf>
    <xf borderId="13" fillId="6" fontId="43" numFmtId="0" xfId="0" applyAlignment="1" applyBorder="1" applyFill="1" applyFont="1">
      <alignment horizontal="left" shrinkToFit="0" wrapText="1"/>
    </xf>
    <xf borderId="0" fillId="0" fontId="17" numFmtId="0" xfId="0" applyAlignment="1" applyFont="1">
      <alignment horizontal="center"/>
    </xf>
    <xf borderId="0" fillId="0" fontId="27" numFmtId="0" xfId="0" applyAlignment="1" applyFont="1">
      <alignment horizontal="center" shrinkToFit="0" wrapText="1"/>
    </xf>
    <xf borderId="16" fillId="0" fontId="27" numFmtId="0" xfId="0" applyAlignment="1" applyBorder="1" applyFont="1">
      <alignment horizontal="center" shrinkToFit="0" wrapText="1"/>
    </xf>
    <xf borderId="13" fillId="9" fontId="9" numFmtId="0" xfId="0" applyAlignment="1" applyBorder="1" applyFill="1" applyFont="1">
      <alignment shrinkToFit="0" wrapText="1"/>
    </xf>
    <xf borderId="1" fillId="6" fontId="20" numFmtId="0" xfId="0" applyAlignment="1" applyBorder="1" applyFill="1" applyFont="1">
      <alignment shrinkToFit="0" wrapText="1"/>
    </xf>
    <xf borderId="13" fillId="6" fontId="21" numFmtId="0" xfId="0" applyAlignment="1" applyBorder="1" applyFill="1" applyFont="1">
      <alignment horizontal="center" shrinkToFit="0" wrapText="1"/>
    </xf>
    <xf borderId="13" fillId="6" fontId="44" numFmtId="0" xfId="0" applyAlignment="1" applyBorder="1" applyFill="1" applyFont="1">
      <alignment shrinkToFit="0" wrapText="1"/>
    </xf>
    <xf borderId="13" fillId="6" fontId="45" numFmtId="0" xfId="0" applyAlignment="1" applyBorder="1" applyFill="1" applyFont="1">
      <alignment shrinkToFit="0" wrapText="1"/>
    </xf>
    <xf borderId="13" fillId="6" fontId="36" numFmtId="0" xfId="0" applyAlignment="1" applyBorder="1" applyFill="1" applyFont="1">
      <alignment shrinkToFit="0" wrapText="1"/>
    </xf>
    <xf borderId="13" fillId="6" fontId="17" numFmtId="0" xfId="0" applyAlignment="1" applyBorder="1" applyFill="1" applyFont="1">
      <alignment horizontal="center"/>
    </xf>
    <xf borderId="1" fillId="6" fontId="27" numFmtId="0" xfId="0" applyAlignment="1" applyBorder="1" applyFill="1" applyFont="1">
      <alignment horizontal="center" shrinkToFit="0" wrapText="1"/>
    </xf>
    <xf borderId="13" fillId="5" fontId="17" numFmtId="0" xfId="0" applyAlignment="1" applyBorder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1333500</xdr:colOff>
      <xdr:row>2</xdr:row>
      <xdr:rowOff>171450</xdr:rowOff>
    </xdr:from>
    <xdr:ext cx="2771775" cy="17049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iengtrunghskii?is_from_webapp=1&amp;sender_device=p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8" width="11.0"/>
    <col customWidth="1" min="9" max="9" width="15.5"/>
    <col customWidth="1" min="10" max="26" width="11.0"/>
  </cols>
  <sheetData>
    <row r="1" ht="15.75" customHeight="1">
      <c r="A1" s="10" t="s">
        <v>1</v>
      </c>
      <c r="B1" s="12"/>
      <c r="C1" s="12"/>
      <c r="D1" s="12"/>
      <c r="E1" s="12"/>
      <c r="F1" s="12"/>
      <c r="G1" s="12"/>
      <c r="H1" s="12"/>
      <c r="I1" s="16"/>
    </row>
    <row r="2" ht="15.75" customHeight="1">
      <c r="A2" s="17"/>
      <c r="I2" s="20"/>
    </row>
    <row r="3" ht="15.75" customHeight="1">
      <c r="A3" s="17"/>
      <c r="I3" s="20"/>
    </row>
    <row r="4" ht="15.75" customHeight="1">
      <c r="A4" s="17"/>
      <c r="I4" s="20"/>
    </row>
    <row r="5" ht="15.75" customHeight="1">
      <c r="A5" s="17"/>
      <c r="I5" s="20"/>
    </row>
    <row r="6" ht="15.75" customHeight="1">
      <c r="A6" s="17"/>
      <c r="I6" s="20"/>
    </row>
    <row r="7" ht="15.75" customHeight="1">
      <c r="A7" s="17"/>
      <c r="I7" s="20"/>
    </row>
    <row r="8" ht="15.75" customHeight="1">
      <c r="A8" s="17"/>
      <c r="I8" s="20"/>
    </row>
    <row r="9" ht="15.75" customHeight="1">
      <c r="A9" s="17"/>
      <c r="I9" s="20"/>
    </row>
    <row r="10" ht="15.75" customHeight="1">
      <c r="A10" s="17"/>
      <c r="I10" s="20"/>
    </row>
    <row r="11" ht="15.75" customHeight="1">
      <c r="A11" s="17"/>
      <c r="I11" s="20"/>
    </row>
    <row r="12" ht="15.75" customHeight="1">
      <c r="A12" s="17"/>
      <c r="I12" s="20"/>
    </row>
    <row r="13" ht="15.75" customHeight="1">
      <c r="A13" s="17"/>
      <c r="I13" s="20"/>
    </row>
    <row r="14" ht="15.75" customHeight="1">
      <c r="A14" s="21"/>
      <c r="B14" s="23"/>
      <c r="C14" s="23"/>
      <c r="D14" s="23"/>
      <c r="E14" s="23"/>
      <c r="F14" s="23"/>
      <c r="G14" s="23"/>
      <c r="H14" s="23"/>
      <c r="I14" s="2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4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3.13"/>
    <col customWidth="1" min="3" max="3" width="15.63"/>
    <col customWidth="1" min="4" max="4" width="21.75"/>
    <col customWidth="1" min="5" max="5" width="28.88"/>
    <col customWidth="1" min="6" max="6" width="17.5"/>
    <col customWidth="1" min="7" max="7" width="15.38"/>
    <col customWidth="1" min="8" max="17" width="7.0"/>
    <col customWidth="1" min="18" max="27" width="11.0"/>
  </cols>
  <sheetData>
    <row r="1" ht="15.75" customHeight="1">
      <c r="A1" s="1" t="s">
        <v>0</v>
      </c>
      <c r="B1" s="2" t="s">
        <v>2</v>
      </c>
      <c r="C1" s="2" t="s">
        <v>3</v>
      </c>
      <c r="D1" s="3" t="s">
        <v>4</v>
      </c>
      <c r="E1" s="4" t="s">
        <v>5</v>
      </c>
      <c r="F1" s="5" t="s">
        <v>6</v>
      </c>
      <c r="G1" s="2" t="s">
        <v>7</v>
      </c>
      <c r="H1" s="6" t="s">
        <v>8</v>
      </c>
      <c r="I1" s="8"/>
      <c r="J1" s="8"/>
      <c r="K1" s="8"/>
      <c r="L1" s="8"/>
      <c r="M1" s="8"/>
      <c r="N1" s="8"/>
      <c r="O1" s="8"/>
      <c r="P1" s="8"/>
      <c r="Q1" s="11"/>
      <c r="R1" s="14"/>
      <c r="S1" s="14"/>
      <c r="T1" s="14"/>
      <c r="U1" s="14"/>
      <c r="V1" s="14"/>
      <c r="W1" s="14"/>
      <c r="X1" s="14"/>
      <c r="Y1" s="14"/>
    </row>
    <row r="2" ht="33.0" customHeight="1">
      <c r="A2" s="18" t="s">
        <v>11</v>
      </c>
      <c r="B2" s="22" t="str">
        <f>pinyin(A2)</f>
        <v>#NAME?</v>
      </c>
      <c r="C2" s="22" t="s">
        <v>16</v>
      </c>
      <c r="D2" s="26" t="s">
        <v>18</v>
      </c>
      <c r="E2" s="22" t="str">
        <f>IFERROR(__xludf.DUMMYFUNCTION("GOOGLETRANSLATE(D2,""zh-CN"",""vi"")"),"Anh Yêu Em.")</f>
        <v>Anh Yêu Em.</v>
      </c>
      <c r="F2" s="30" t="s">
        <v>11</v>
      </c>
      <c r="G2" s="34" t="b">
        <f t="shared" ref="G2:G150" si="1">EXACT(A2,F2)</f>
        <v>1</v>
      </c>
      <c r="H2" s="35" t="b">
        <v>0</v>
      </c>
      <c r="I2" s="35" t="b">
        <v>0</v>
      </c>
      <c r="J2" s="35" t="b">
        <v>0</v>
      </c>
      <c r="K2" s="35" t="b">
        <v>0</v>
      </c>
      <c r="L2" s="35" t="b">
        <v>0</v>
      </c>
      <c r="M2" s="35" t="b">
        <v>0</v>
      </c>
      <c r="N2" s="35" t="b">
        <v>0</v>
      </c>
      <c r="O2" s="35" t="b">
        <v>0</v>
      </c>
      <c r="P2" s="35" t="b">
        <v>0</v>
      </c>
      <c r="Q2" s="35" t="b">
        <v>0</v>
      </c>
      <c r="R2" s="37"/>
      <c r="S2" s="14"/>
      <c r="T2" s="14"/>
      <c r="U2" s="14"/>
      <c r="V2" s="14"/>
      <c r="W2" s="14"/>
      <c r="X2" s="14"/>
      <c r="Y2" s="14"/>
    </row>
    <row r="3" ht="33.0" customHeight="1">
      <c r="A3" s="18" t="s">
        <v>22</v>
      </c>
      <c r="B3" s="22" t="s">
        <v>23</v>
      </c>
      <c r="C3" s="22" t="s">
        <v>24</v>
      </c>
      <c r="D3" s="26" t="s">
        <v>25</v>
      </c>
      <c r="E3" s="22" t="str">
        <f>IFERROR(__xludf.DUMMYFUNCTION("GOOGLETRANSLATE(D3,""zh-CN"",""vi"")"),"Anh ấy có tám quả táo.")</f>
        <v>Anh ấy có tám quả táo.</v>
      </c>
      <c r="F3" s="30" t="s">
        <v>22</v>
      </c>
      <c r="G3" s="34" t="b">
        <f t="shared" si="1"/>
        <v>1</v>
      </c>
      <c r="H3" s="35" t="b">
        <v>0</v>
      </c>
      <c r="I3" s="35" t="b">
        <v>0</v>
      </c>
      <c r="J3" s="35" t="b">
        <v>0</v>
      </c>
      <c r="K3" s="35" t="b">
        <v>0</v>
      </c>
      <c r="L3" s="35" t="b">
        <v>0</v>
      </c>
      <c r="M3" s="35" t="b">
        <v>0</v>
      </c>
      <c r="N3" s="35" t="b">
        <v>0</v>
      </c>
      <c r="O3" s="35" t="b">
        <v>0</v>
      </c>
      <c r="P3" s="35" t="b">
        <v>0</v>
      </c>
      <c r="Q3" s="35" t="b">
        <v>0</v>
      </c>
      <c r="R3" s="37"/>
      <c r="S3" s="14"/>
      <c r="T3" s="14"/>
      <c r="U3" s="14"/>
      <c r="V3" s="14"/>
      <c r="W3" s="14"/>
      <c r="X3" s="14"/>
      <c r="Y3" s="14"/>
    </row>
    <row r="4" ht="33.0" customHeight="1">
      <c r="A4" s="18" t="s">
        <v>34</v>
      </c>
      <c r="B4" s="22" t="s">
        <v>35</v>
      </c>
      <c r="C4" s="22" t="s">
        <v>36</v>
      </c>
      <c r="D4" s="26" t="s">
        <v>37</v>
      </c>
      <c r="E4" s="22" t="str">
        <f>IFERROR(__xludf.DUMMYFUNCTION("GOOGLETRANSLATE(D4,""zh-CN"",""vi"")"),"Bố tôi rất cao.")</f>
        <v>Bố tôi rất cao.</v>
      </c>
      <c r="F4" s="30" t="s">
        <v>34</v>
      </c>
      <c r="G4" s="34" t="b">
        <f t="shared" si="1"/>
        <v>1</v>
      </c>
      <c r="H4" s="35" t="b">
        <v>0</v>
      </c>
      <c r="I4" s="35" t="b">
        <v>0</v>
      </c>
      <c r="J4" s="35" t="b">
        <v>0</v>
      </c>
      <c r="K4" s="35" t="b">
        <v>0</v>
      </c>
      <c r="L4" s="35" t="b">
        <v>0</v>
      </c>
      <c r="M4" s="35" t="b">
        <v>0</v>
      </c>
      <c r="N4" s="35" t="b">
        <v>0</v>
      </c>
      <c r="O4" s="35" t="b">
        <v>0</v>
      </c>
      <c r="P4" s="35" t="b">
        <v>0</v>
      </c>
      <c r="Q4" s="35" t="b">
        <v>0</v>
      </c>
      <c r="R4" s="37"/>
      <c r="S4" s="14"/>
      <c r="T4" s="14"/>
      <c r="U4" s="14"/>
      <c r="V4" s="14"/>
      <c r="W4" s="14"/>
      <c r="X4" s="14"/>
      <c r="Y4" s="14"/>
    </row>
    <row r="5" ht="33.0" customHeight="1">
      <c r="A5" s="18" t="s">
        <v>41</v>
      </c>
      <c r="B5" s="22" t="s">
        <v>43</v>
      </c>
      <c r="C5" s="22" t="s">
        <v>44</v>
      </c>
      <c r="D5" s="26" t="s">
        <v>45</v>
      </c>
      <c r="E5" s="22" t="str">
        <f>IFERROR(__xludf.DUMMYFUNCTION("GOOGLETRANSLATE(D5,""zh-CN"",""vi"")"),"Đây là cốc của tôi.")</f>
        <v>Đây là cốc của tôi.</v>
      </c>
      <c r="F5" s="30" t="s">
        <v>41</v>
      </c>
      <c r="G5" s="34" t="b">
        <f t="shared" si="1"/>
        <v>1</v>
      </c>
      <c r="H5" s="35" t="b">
        <v>0</v>
      </c>
      <c r="I5" s="35" t="b">
        <v>0</v>
      </c>
      <c r="J5" s="35" t="b">
        <v>0</v>
      </c>
      <c r="K5" s="35" t="b">
        <v>0</v>
      </c>
      <c r="L5" s="35" t="b">
        <v>0</v>
      </c>
      <c r="M5" s="35" t="b">
        <v>0</v>
      </c>
      <c r="N5" s="35" t="b">
        <v>0</v>
      </c>
      <c r="O5" s="35" t="b">
        <v>0</v>
      </c>
      <c r="P5" s="35" t="b">
        <v>0</v>
      </c>
      <c r="Q5" s="35" t="b">
        <v>0</v>
      </c>
      <c r="R5" s="37"/>
      <c r="S5" s="14"/>
      <c r="T5" s="14"/>
      <c r="U5" s="14"/>
      <c r="V5" s="14"/>
      <c r="W5" s="14"/>
      <c r="X5" s="14"/>
      <c r="Y5" s="14"/>
    </row>
    <row r="6" ht="33.0" customHeight="1">
      <c r="A6" s="18" t="s">
        <v>49</v>
      </c>
      <c r="B6" s="22" t="s">
        <v>51</v>
      </c>
      <c r="C6" s="22" t="s">
        <v>52</v>
      </c>
      <c r="D6" s="26" t="s">
        <v>54</v>
      </c>
      <c r="E6" s="22" t="str">
        <f>IFERROR(__xludf.DUMMYFUNCTION("GOOGLETRANSLATE(D6,""zh-CN"",""vi"")"),"Bắc Kinh rất rộng lớn.")</f>
        <v>Bắc Kinh rất rộng lớn.</v>
      </c>
      <c r="F6" s="30" t="s">
        <v>49</v>
      </c>
      <c r="G6" s="34" t="b">
        <f t="shared" si="1"/>
        <v>1</v>
      </c>
      <c r="H6" s="35" t="b">
        <v>0</v>
      </c>
      <c r="I6" s="35" t="b">
        <v>0</v>
      </c>
      <c r="J6" s="35" t="b">
        <v>0</v>
      </c>
      <c r="K6" s="35" t="b">
        <v>0</v>
      </c>
      <c r="L6" s="35" t="b">
        <v>0</v>
      </c>
      <c r="M6" s="35" t="b">
        <v>0</v>
      </c>
      <c r="N6" s="35" t="b">
        <v>0</v>
      </c>
      <c r="O6" s="35" t="b">
        <v>0</v>
      </c>
      <c r="P6" s="35" t="b">
        <v>0</v>
      </c>
      <c r="Q6" s="35" t="b">
        <v>0</v>
      </c>
      <c r="R6" s="37"/>
      <c r="S6" s="14"/>
      <c r="T6" s="14"/>
      <c r="U6" s="14"/>
      <c r="V6" s="14"/>
      <c r="W6" s="14"/>
      <c r="X6" s="14"/>
      <c r="Y6" s="14"/>
    </row>
    <row r="7" ht="33.0" customHeight="1">
      <c r="A7" s="18" t="s">
        <v>58</v>
      </c>
      <c r="B7" s="22" t="s">
        <v>59</v>
      </c>
      <c r="C7" s="22" t="s">
        <v>60</v>
      </c>
      <c r="D7" s="26" t="s">
        <v>61</v>
      </c>
      <c r="E7" s="22" t="str">
        <f>IFERROR(__xludf.DUMMYFUNCTION("GOOGLETRANSLATE(D7,""zh-CN"",""vi"")"),"Cuốn sách này rất thú vị.")</f>
        <v>Cuốn sách này rất thú vị.</v>
      </c>
      <c r="F7" s="30" t="s">
        <v>58</v>
      </c>
      <c r="G7" s="34" t="b">
        <f t="shared" si="1"/>
        <v>1</v>
      </c>
      <c r="H7" s="35" t="b">
        <v>0</v>
      </c>
      <c r="I7" s="35" t="b">
        <v>0</v>
      </c>
      <c r="J7" s="35" t="b">
        <v>0</v>
      </c>
      <c r="K7" s="35" t="b">
        <v>0</v>
      </c>
      <c r="L7" s="35" t="b">
        <v>0</v>
      </c>
      <c r="M7" s="35" t="b">
        <v>0</v>
      </c>
      <c r="N7" s="35" t="b">
        <v>0</v>
      </c>
      <c r="O7" s="35" t="b">
        <v>0</v>
      </c>
      <c r="P7" s="35" t="b">
        <v>0</v>
      </c>
      <c r="Q7" s="35" t="b">
        <v>0</v>
      </c>
      <c r="R7" s="37"/>
      <c r="S7" s="14"/>
      <c r="T7" s="14"/>
      <c r="U7" s="14"/>
      <c r="V7" s="14"/>
      <c r="W7" s="14"/>
      <c r="X7" s="14"/>
      <c r="Y7" s="14"/>
    </row>
    <row r="8" ht="33.0" customHeight="1">
      <c r="A8" s="18" t="s">
        <v>68</v>
      </c>
      <c r="B8" s="22" t="s">
        <v>70</v>
      </c>
      <c r="C8" s="22" t="s">
        <v>72</v>
      </c>
      <c r="D8" s="26" t="s">
        <v>73</v>
      </c>
      <c r="E8" s="22" t="str">
        <f>IFERROR(__xludf.DUMMYFUNCTION("GOOGLETRANSLATE(D8,""zh-CN"",""vi"")"),"Không có gì.")</f>
        <v>Không có gì.</v>
      </c>
      <c r="F8" s="30" t="s">
        <v>68</v>
      </c>
      <c r="G8" s="34" t="b">
        <f t="shared" si="1"/>
        <v>1</v>
      </c>
      <c r="H8" s="35" t="b">
        <v>0</v>
      </c>
      <c r="I8" s="35" t="b">
        <v>0</v>
      </c>
      <c r="J8" s="35" t="b">
        <v>0</v>
      </c>
      <c r="K8" s="35" t="b">
        <v>0</v>
      </c>
      <c r="L8" s="35" t="b">
        <v>0</v>
      </c>
      <c r="M8" s="35" t="b">
        <v>0</v>
      </c>
      <c r="N8" s="35" t="b">
        <v>0</v>
      </c>
      <c r="O8" s="35" t="b">
        <v>0</v>
      </c>
      <c r="P8" s="35" t="b">
        <v>0</v>
      </c>
      <c r="Q8" s="35" t="b">
        <v>0</v>
      </c>
      <c r="R8" s="37"/>
      <c r="S8" s="14"/>
      <c r="T8" s="14"/>
      <c r="U8" s="14"/>
      <c r="V8" s="14"/>
      <c r="W8" s="14"/>
      <c r="X8" s="14"/>
      <c r="Y8" s="14"/>
    </row>
    <row r="9" ht="33.0" customHeight="1">
      <c r="A9" s="18" t="s">
        <v>78</v>
      </c>
      <c r="B9" s="22" t="s">
        <v>79</v>
      </c>
      <c r="C9" s="22" t="s">
        <v>80</v>
      </c>
      <c r="D9" s="26" t="s">
        <v>81</v>
      </c>
      <c r="E9" s="22" t="str">
        <f>IFERROR(__xludf.DUMMYFUNCTION("GOOGLETRANSLATE(D9,""zh-CN"",""vi"")"),"Anh ấy không thích ăn cá.")</f>
        <v>Anh ấy không thích ăn cá.</v>
      </c>
      <c r="F9" s="30" t="s">
        <v>78</v>
      </c>
      <c r="G9" s="34" t="b">
        <f t="shared" si="1"/>
        <v>1</v>
      </c>
      <c r="H9" s="35" t="b">
        <v>0</v>
      </c>
      <c r="I9" s="35" t="b">
        <v>0</v>
      </c>
      <c r="J9" s="35" t="b">
        <v>0</v>
      </c>
      <c r="K9" s="35" t="b">
        <v>0</v>
      </c>
      <c r="L9" s="35" t="b">
        <v>0</v>
      </c>
      <c r="M9" s="35" t="b">
        <v>0</v>
      </c>
      <c r="N9" s="35" t="b">
        <v>0</v>
      </c>
      <c r="O9" s="35" t="b">
        <v>0</v>
      </c>
      <c r="P9" s="35" t="b">
        <v>0</v>
      </c>
      <c r="Q9" s="35" t="b">
        <v>0</v>
      </c>
      <c r="R9" s="37"/>
      <c r="S9" s="14"/>
      <c r="T9" s="14"/>
      <c r="U9" s="14"/>
      <c r="V9" s="14"/>
      <c r="W9" s="14"/>
      <c r="X9" s="14"/>
      <c r="Y9" s="14"/>
    </row>
    <row r="10" ht="33.0" customHeight="1">
      <c r="A10" s="18" t="s">
        <v>90</v>
      </c>
      <c r="B10" s="22" t="s">
        <v>91</v>
      </c>
      <c r="C10" s="22" t="s">
        <v>92</v>
      </c>
      <c r="D10" s="26" t="s">
        <v>93</v>
      </c>
      <c r="E10" s="22" t="str">
        <f>IFERROR(__xludf.DUMMYFUNCTION("GOOGLETRANSLATE(D10,""zh-CN"",""vi"")"),"Tôi thích ăn rau.")</f>
        <v>Tôi thích ăn rau.</v>
      </c>
      <c r="F10" s="30" t="s">
        <v>90</v>
      </c>
      <c r="G10" s="34" t="b">
        <f t="shared" si="1"/>
        <v>1</v>
      </c>
      <c r="H10" s="35" t="b">
        <v>0</v>
      </c>
      <c r="I10" s="35" t="b">
        <v>0</v>
      </c>
      <c r="J10" s="35" t="b">
        <v>0</v>
      </c>
      <c r="K10" s="35" t="b">
        <v>0</v>
      </c>
      <c r="L10" s="35" t="b">
        <v>0</v>
      </c>
      <c r="M10" s="35" t="b">
        <v>0</v>
      </c>
      <c r="N10" s="35" t="b">
        <v>0</v>
      </c>
      <c r="O10" s="35" t="b">
        <v>0</v>
      </c>
      <c r="P10" s="35" t="b">
        <v>0</v>
      </c>
      <c r="Q10" s="35" t="b">
        <v>0</v>
      </c>
      <c r="R10" s="37"/>
      <c r="S10" s="14"/>
      <c r="T10" s="14"/>
      <c r="U10" s="14"/>
      <c r="V10" s="14"/>
      <c r="W10" s="14"/>
      <c r="X10" s="14"/>
      <c r="Y10" s="14"/>
    </row>
    <row r="11" ht="33.0" customHeight="1">
      <c r="A11" s="18" t="s">
        <v>96</v>
      </c>
      <c r="B11" s="22" t="s">
        <v>98</v>
      </c>
      <c r="C11" s="22" t="s">
        <v>100</v>
      </c>
      <c r="D11" s="26" t="s">
        <v>103</v>
      </c>
      <c r="E11" s="22" t="str">
        <f>IFERROR(__xludf.DUMMYFUNCTION("GOOGLETRANSLATE(D11,""zh-CN"",""vi"")"),"Tôi đang uống trà.")</f>
        <v>Tôi đang uống trà.</v>
      </c>
      <c r="F11" s="30" t="s">
        <v>96</v>
      </c>
      <c r="G11" s="34" t="b">
        <f t="shared" si="1"/>
        <v>1</v>
      </c>
      <c r="H11" s="35" t="b">
        <v>0</v>
      </c>
      <c r="I11" s="35" t="b">
        <v>0</v>
      </c>
      <c r="J11" s="35" t="b">
        <v>0</v>
      </c>
      <c r="K11" s="35" t="b">
        <v>0</v>
      </c>
      <c r="L11" s="35" t="b">
        <v>0</v>
      </c>
      <c r="M11" s="35" t="b">
        <v>0</v>
      </c>
      <c r="N11" s="35" t="b">
        <v>0</v>
      </c>
      <c r="O11" s="35" t="b">
        <v>0</v>
      </c>
      <c r="P11" s="35" t="b">
        <v>0</v>
      </c>
      <c r="Q11" s="35" t="b">
        <v>0</v>
      </c>
      <c r="R11" s="37"/>
      <c r="S11" s="14"/>
      <c r="T11" s="14"/>
      <c r="U11" s="14"/>
      <c r="V11" s="14"/>
      <c r="W11" s="14"/>
      <c r="X11" s="14"/>
      <c r="Y11" s="14"/>
    </row>
    <row r="12" ht="33.0" customHeight="1">
      <c r="A12" s="18" t="s">
        <v>105</v>
      </c>
      <c r="B12" s="22" t="s">
        <v>106</v>
      </c>
      <c r="C12" s="22" t="s">
        <v>107</v>
      </c>
      <c r="D12" s="26" t="s">
        <v>108</v>
      </c>
      <c r="E12" s="22" t="str">
        <f>IFERROR(__xludf.DUMMYFUNCTION("GOOGLETRANSLATE(D12,""zh-CN"",""vi"")"),"Tôi đang ăn một quả táo.")</f>
        <v>Tôi đang ăn một quả táo.</v>
      </c>
      <c r="F12" s="30" t="s">
        <v>105</v>
      </c>
      <c r="G12" s="34" t="b">
        <f t="shared" si="1"/>
        <v>1</v>
      </c>
      <c r="H12" s="35" t="b">
        <v>0</v>
      </c>
      <c r="I12" s="35" t="b">
        <v>0</v>
      </c>
      <c r="J12" s="35" t="b">
        <v>0</v>
      </c>
      <c r="K12" s="35" t="b">
        <v>0</v>
      </c>
      <c r="L12" s="35" t="b">
        <v>0</v>
      </c>
      <c r="M12" s="35" t="b">
        <v>0</v>
      </c>
      <c r="N12" s="35" t="b">
        <v>0</v>
      </c>
      <c r="O12" s="35" t="b">
        <v>0</v>
      </c>
      <c r="P12" s="35" t="b">
        <v>0</v>
      </c>
      <c r="Q12" s="35" t="b">
        <v>0</v>
      </c>
      <c r="R12" s="37"/>
      <c r="S12" s="14"/>
      <c r="T12" s="14"/>
      <c r="U12" s="14"/>
      <c r="V12" s="14"/>
      <c r="W12" s="14"/>
      <c r="X12" s="14"/>
      <c r="Y12" s="14"/>
    </row>
    <row r="13" ht="33.0" customHeight="1">
      <c r="A13" s="18" t="s">
        <v>113</v>
      </c>
      <c r="B13" s="22" t="s">
        <v>115</v>
      </c>
      <c r="C13" s="22" t="s">
        <v>117</v>
      </c>
      <c r="D13" s="26" t="s">
        <v>119</v>
      </c>
      <c r="E13" s="22" t="str">
        <f>IFERROR(__xludf.DUMMYFUNCTION("GOOGLETRANSLATE(D13,""zh-CN"",""vi"")"),"Tôi bắt taxi.")</f>
        <v>Tôi bắt taxi.</v>
      </c>
      <c r="F13" s="30" t="s">
        <v>113</v>
      </c>
      <c r="G13" s="34" t="b">
        <f t="shared" si="1"/>
        <v>1</v>
      </c>
      <c r="H13" s="35" t="b">
        <v>0</v>
      </c>
      <c r="I13" s="35" t="b">
        <v>0</v>
      </c>
      <c r="J13" s="35" t="b">
        <v>0</v>
      </c>
      <c r="K13" s="35" t="b">
        <v>0</v>
      </c>
      <c r="L13" s="35" t="b">
        <v>0</v>
      </c>
      <c r="M13" s="35" t="b">
        <v>0</v>
      </c>
      <c r="N13" s="35" t="b">
        <v>0</v>
      </c>
      <c r="O13" s="35" t="b">
        <v>0</v>
      </c>
      <c r="P13" s="35" t="b">
        <v>0</v>
      </c>
      <c r="Q13" s="35" t="b">
        <v>0</v>
      </c>
      <c r="R13" s="37"/>
      <c r="S13" s="14"/>
      <c r="T13" s="14"/>
      <c r="U13" s="14"/>
      <c r="V13" s="14"/>
      <c r="W13" s="14"/>
      <c r="X13" s="14"/>
      <c r="Y13" s="14"/>
    </row>
    <row r="14" ht="33.0" customHeight="1">
      <c r="A14" s="18" t="s">
        <v>125</v>
      </c>
      <c r="B14" s="22" t="s">
        <v>126</v>
      </c>
      <c r="C14" s="22" t="s">
        <v>127</v>
      </c>
      <c r="D14" s="26" t="s">
        <v>128</v>
      </c>
      <c r="E14" s="22" t="str">
        <f>IFERROR(__xludf.DUMMYFUNCTION("GOOGLETRANSLATE(D14,""zh-CN"",""vi"")"),"Cô ấy gọi cho tôi.")</f>
        <v>Cô ấy gọi cho tôi.</v>
      </c>
      <c r="F14" s="30" t="s">
        <v>125</v>
      </c>
      <c r="G14" s="34" t="b">
        <f t="shared" si="1"/>
        <v>1</v>
      </c>
      <c r="H14" s="35" t="b">
        <v>0</v>
      </c>
      <c r="I14" s="35" t="b">
        <v>0</v>
      </c>
      <c r="J14" s="35" t="b">
        <v>0</v>
      </c>
      <c r="K14" s="35" t="b">
        <v>0</v>
      </c>
      <c r="L14" s="35" t="b">
        <v>0</v>
      </c>
      <c r="M14" s="35" t="b">
        <v>0</v>
      </c>
      <c r="N14" s="35" t="b">
        <v>0</v>
      </c>
      <c r="O14" s="35" t="b">
        <v>0</v>
      </c>
      <c r="P14" s="35" t="b">
        <v>0</v>
      </c>
      <c r="Q14" s="35" t="b">
        <v>0</v>
      </c>
      <c r="R14" s="37"/>
      <c r="S14" s="14"/>
      <c r="T14" s="14"/>
      <c r="U14" s="14"/>
      <c r="V14" s="14"/>
      <c r="W14" s="14"/>
      <c r="X14" s="14"/>
      <c r="Y14" s="14"/>
    </row>
    <row r="15" ht="33.0" customHeight="1">
      <c r="A15" s="18" t="s">
        <v>133</v>
      </c>
      <c r="B15" s="22" t="s">
        <v>135</v>
      </c>
      <c r="C15" s="22" t="s">
        <v>137</v>
      </c>
      <c r="D15" s="26" t="s">
        <v>138</v>
      </c>
      <c r="E15" s="22" t="str">
        <f>IFERROR(__xludf.DUMMYFUNCTION("GOOGLETRANSLATE(D15,""zh-CN"",""vi"")"),"Bộ quần áo này rất rộng.")</f>
        <v>Bộ quần áo này rất rộng.</v>
      </c>
      <c r="F15" s="30" t="s">
        <v>133</v>
      </c>
      <c r="G15" s="34" t="b">
        <f t="shared" si="1"/>
        <v>1</v>
      </c>
      <c r="H15" s="35" t="b">
        <v>0</v>
      </c>
      <c r="I15" s="35" t="b">
        <v>0</v>
      </c>
      <c r="J15" s="35" t="b">
        <v>0</v>
      </c>
      <c r="K15" s="35" t="b">
        <v>0</v>
      </c>
      <c r="L15" s="35" t="b">
        <v>0</v>
      </c>
      <c r="M15" s="35" t="b">
        <v>0</v>
      </c>
      <c r="N15" s="35" t="b">
        <v>0</v>
      </c>
      <c r="O15" s="35" t="b">
        <v>0</v>
      </c>
      <c r="P15" s="35" t="b">
        <v>0</v>
      </c>
      <c r="Q15" s="35" t="b">
        <v>0</v>
      </c>
      <c r="R15" s="37"/>
      <c r="S15" s="14"/>
      <c r="T15" s="14"/>
      <c r="U15" s="14"/>
      <c r="V15" s="14"/>
      <c r="W15" s="14"/>
      <c r="X15" s="14"/>
      <c r="Y15" s="14"/>
    </row>
    <row r="16" ht="33.0" customHeight="1">
      <c r="A16" s="18" t="s">
        <v>145</v>
      </c>
      <c r="B16" s="22" t="s">
        <v>146</v>
      </c>
      <c r="C16" s="22" t="s">
        <v>147</v>
      </c>
      <c r="D16" s="26" t="s">
        <v>148</v>
      </c>
      <c r="E16" s="22" t="str">
        <f>IFERROR(__xludf.DUMMYFUNCTION("GOOGLETRANSLATE(D16,""zh-CN"",""vi"")"),"Đây là cuốn sách của tôi.")</f>
        <v>Đây là cuốn sách của tôi.</v>
      </c>
      <c r="F16" s="30" t="s">
        <v>145</v>
      </c>
      <c r="G16" s="34" t="b">
        <f t="shared" si="1"/>
        <v>1</v>
      </c>
      <c r="H16" s="35" t="b">
        <v>0</v>
      </c>
      <c r="I16" s="35" t="b">
        <v>0</v>
      </c>
      <c r="J16" s="35" t="b">
        <v>0</v>
      </c>
      <c r="K16" s="35" t="b">
        <v>0</v>
      </c>
      <c r="L16" s="35" t="b">
        <v>0</v>
      </c>
      <c r="M16" s="35" t="b">
        <v>0</v>
      </c>
      <c r="N16" s="35" t="b">
        <v>0</v>
      </c>
      <c r="O16" s="35" t="b">
        <v>0</v>
      </c>
      <c r="P16" s="35" t="b">
        <v>0</v>
      </c>
      <c r="Q16" s="35" t="b">
        <v>0</v>
      </c>
      <c r="R16" s="37"/>
      <c r="S16" s="14"/>
      <c r="T16" s="14"/>
      <c r="U16" s="14"/>
      <c r="V16" s="14"/>
      <c r="W16" s="14"/>
      <c r="X16" s="14"/>
      <c r="Y16" s="14"/>
    </row>
    <row r="17" ht="33.0" customHeight="1">
      <c r="A17" s="18" t="s">
        <v>152</v>
      </c>
      <c r="B17" s="22" t="s">
        <v>153</v>
      </c>
      <c r="C17" s="22" t="s">
        <v>154</v>
      </c>
      <c r="D17" s="26" t="s">
        <v>155</v>
      </c>
      <c r="E17" s="22" t="str">
        <f>IFERROR(__xludf.DUMMYFUNCTION("GOOGLETRANSLATE(D17,""zh-CN"",""vi"")"),"Bây giờ là ba giờ.")</f>
        <v>Bây giờ là ba giờ.</v>
      </c>
      <c r="F17" s="30" t="s">
        <v>152</v>
      </c>
      <c r="G17" s="34" t="b">
        <f t="shared" si="1"/>
        <v>1</v>
      </c>
      <c r="H17" s="35" t="b">
        <v>0</v>
      </c>
      <c r="I17" s="35" t="b">
        <v>0</v>
      </c>
      <c r="J17" s="35" t="b">
        <v>0</v>
      </c>
      <c r="K17" s="35" t="b">
        <v>0</v>
      </c>
      <c r="L17" s="35" t="b">
        <v>0</v>
      </c>
      <c r="M17" s="35" t="b">
        <v>0</v>
      </c>
      <c r="N17" s="35" t="b">
        <v>0</v>
      </c>
      <c r="O17" s="35" t="b">
        <v>0</v>
      </c>
      <c r="P17" s="35" t="b">
        <v>0</v>
      </c>
      <c r="Q17" s="35" t="b">
        <v>0</v>
      </c>
      <c r="R17" s="37"/>
      <c r="S17" s="14"/>
      <c r="T17" s="14"/>
      <c r="U17" s="14"/>
      <c r="V17" s="14"/>
      <c r="W17" s="14"/>
      <c r="X17" s="14"/>
      <c r="Y17" s="14"/>
    </row>
    <row r="18" ht="33.0" customHeight="1">
      <c r="A18" s="18" t="s">
        <v>161</v>
      </c>
      <c r="B18" s="22" t="s">
        <v>162</v>
      </c>
      <c r="C18" s="22" t="s">
        <v>163</v>
      </c>
      <c r="D18" s="26" t="s">
        <v>164</v>
      </c>
      <c r="E18" s="22" t="str">
        <f>IFERROR(__xludf.DUMMYFUNCTION("GOOGLETRANSLATE(D18,""zh-CN"",""vi"")"),"Tôi dùng máy tính.")</f>
        <v>Tôi dùng máy tính.</v>
      </c>
      <c r="F18" s="30" t="s">
        <v>161</v>
      </c>
      <c r="G18" s="34" t="b">
        <f t="shared" si="1"/>
        <v>1</v>
      </c>
      <c r="H18" s="35" t="b">
        <v>0</v>
      </c>
      <c r="I18" s="35" t="b">
        <v>0</v>
      </c>
      <c r="J18" s="35" t="b">
        <v>0</v>
      </c>
      <c r="K18" s="35" t="b">
        <v>0</v>
      </c>
      <c r="L18" s="35" t="b">
        <v>0</v>
      </c>
      <c r="M18" s="35" t="b">
        <v>0</v>
      </c>
      <c r="N18" s="35" t="b">
        <v>0</v>
      </c>
      <c r="O18" s="35" t="b">
        <v>0</v>
      </c>
      <c r="P18" s="35" t="b">
        <v>0</v>
      </c>
      <c r="Q18" s="35" t="b">
        <v>0</v>
      </c>
      <c r="R18" s="37"/>
      <c r="S18" s="14"/>
      <c r="T18" s="14"/>
      <c r="U18" s="14"/>
      <c r="V18" s="14"/>
      <c r="W18" s="14"/>
      <c r="X18" s="14"/>
      <c r="Y18" s="14"/>
    </row>
    <row r="19" ht="33.0" customHeight="1">
      <c r="A19" s="18" t="s">
        <v>167</v>
      </c>
      <c r="B19" s="22" t="s">
        <v>169</v>
      </c>
      <c r="C19" s="22" t="s">
        <v>171</v>
      </c>
      <c r="D19" s="26" t="s">
        <v>172</v>
      </c>
      <c r="E19" s="22" t="str">
        <f>IFERROR(__xludf.DUMMYFUNCTION("GOOGLETRANSLATE(D19,""zh-CN"",""vi"")"),"Chiếc tivi này rất to.")</f>
        <v>Chiếc tivi này rất to.</v>
      </c>
      <c r="F19" s="30" t="s">
        <v>167</v>
      </c>
      <c r="G19" s="34" t="b">
        <f t="shared" si="1"/>
        <v>1</v>
      </c>
      <c r="H19" s="35" t="b">
        <v>0</v>
      </c>
      <c r="I19" s="35" t="b">
        <v>0</v>
      </c>
      <c r="J19" s="35" t="b">
        <v>0</v>
      </c>
      <c r="K19" s="35" t="b">
        <v>0</v>
      </c>
      <c r="L19" s="35" t="b">
        <v>0</v>
      </c>
      <c r="M19" s="35" t="b">
        <v>0</v>
      </c>
      <c r="N19" s="35" t="b">
        <v>0</v>
      </c>
      <c r="O19" s="35" t="b">
        <v>0</v>
      </c>
      <c r="P19" s="35" t="b">
        <v>0</v>
      </c>
      <c r="Q19" s="35" t="b">
        <v>0</v>
      </c>
      <c r="R19" s="37"/>
      <c r="S19" s="14"/>
      <c r="T19" s="14"/>
      <c r="U19" s="14"/>
      <c r="V19" s="14"/>
      <c r="W19" s="14"/>
      <c r="X19" s="14"/>
      <c r="Y19" s="14"/>
    </row>
    <row r="20" ht="33.0" customHeight="1">
      <c r="A20" s="18" t="s">
        <v>189</v>
      </c>
      <c r="B20" s="22" t="s">
        <v>190</v>
      </c>
      <c r="C20" s="22" t="s">
        <v>191</v>
      </c>
      <c r="D20" s="26" t="s">
        <v>192</v>
      </c>
      <c r="E20" s="22" t="str">
        <f>IFERROR(__xludf.DUMMYFUNCTION("GOOGLETRANSLATE(D20,""zh-CN"",""vi"")"),"Tôi thích đi xem phim.")</f>
        <v>Tôi thích đi xem phim.</v>
      </c>
      <c r="F20" s="30" t="s">
        <v>189</v>
      </c>
      <c r="G20" s="34" t="b">
        <f t="shared" si="1"/>
        <v>1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37"/>
      <c r="S20" s="14"/>
      <c r="T20" s="14"/>
      <c r="U20" s="14"/>
      <c r="V20" s="14"/>
      <c r="W20" s="14"/>
      <c r="X20" s="14"/>
      <c r="Y20" s="14"/>
    </row>
    <row r="21" ht="33.0" customHeight="1">
      <c r="A21" s="18" t="s">
        <v>201</v>
      </c>
      <c r="B21" s="22" t="s">
        <v>202</v>
      </c>
      <c r="C21" s="22" t="s">
        <v>203</v>
      </c>
      <c r="D21" s="26" t="s">
        <v>204</v>
      </c>
      <c r="E21" s="22" t="str">
        <f>IFERROR(__xludf.DUMMYFUNCTION("GOOGLETRANSLATE(D21,""zh-CN"",""vi"")"),"Đây là cái gì vậy?")</f>
        <v>Đây là cái gì vậy?</v>
      </c>
      <c r="F21" s="30" t="s">
        <v>201</v>
      </c>
      <c r="G21" s="34" t="b">
        <f t="shared" si="1"/>
        <v>1</v>
      </c>
      <c r="H21" s="35" t="b">
        <v>0</v>
      </c>
      <c r="I21" s="35" t="b">
        <v>0</v>
      </c>
      <c r="J21" s="35" t="b">
        <v>0</v>
      </c>
      <c r="K21" s="35" t="b">
        <v>0</v>
      </c>
      <c r="L21" s="35" t="b">
        <v>0</v>
      </c>
      <c r="M21" s="35" t="b">
        <v>0</v>
      </c>
      <c r="N21" s="35" t="b">
        <v>0</v>
      </c>
      <c r="O21" s="35" t="b">
        <v>0</v>
      </c>
      <c r="P21" s="35" t="b">
        <v>0</v>
      </c>
      <c r="Q21" s="35" t="b">
        <v>0</v>
      </c>
      <c r="R21" s="37"/>
      <c r="S21" s="14"/>
      <c r="T21" s="14"/>
      <c r="U21" s="14"/>
      <c r="V21" s="14"/>
      <c r="W21" s="14"/>
      <c r="X21" s="14"/>
      <c r="Y21" s="14"/>
    </row>
    <row r="22" ht="33.0" customHeight="1">
      <c r="A22" s="18" t="s">
        <v>209</v>
      </c>
      <c r="B22" s="22" t="s">
        <v>210</v>
      </c>
      <c r="C22" s="22" t="s">
        <v>211</v>
      </c>
      <c r="D22" s="26" t="s">
        <v>212</v>
      </c>
      <c r="E22" s="22" t="str">
        <f>IFERROR(__xludf.DUMMYFUNCTION("GOOGLETRANSLATE(D22,""zh-CN"",""vi"")"),"Tất cả chúng ta đều đi học.")</f>
        <v>Tất cả chúng ta đều đi học.</v>
      </c>
      <c r="F22" s="30" t="s">
        <v>209</v>
      </c>
      <c r="G22" s="34" t="b">
        <f t="shared" si="1"/>
        <v>1</v>
      </c>
      <c r="H22" s="35" t="b">
        <v>0</v>
      </c>
      <c r="I22" s="35" t="b">
        <v>0</v>
      </c>
      <c r="J22" s="35" t="b">
        <v>0</v>
      </c>
      <c r="K22" s="35" t="b">
        <v>0</v>
      </c>
      <c r="L22" s="35" t="b">
        <v>0</v>
      </c>
      <c r="M22" s="35" t="b">
        <v>0</v>
      </c>
      <c r="N22" s="35" t="b">
        <v>0</v>
      </c>
      <c r="O22" s="35" t="b">
        <v>0</v>
      </c>
      <c r="P22" s="35" t="b">
        <v>0</v>
      </c>
      <c r="Q22" s="35" t="b">
        <v>0</v>
      </c>
      <c r="R22" s="37"/>
      <c r="S22" s="14"/>
      <c r="T22" s="14"/>
      <c r="U22" s="14"/>
      <c r="V22" s="14"/>
      <c r="W22" s="14"/>
      <c r="X22" s="14"/>
      <c r="Y22" s="14"/>
    </row>
    <row r="23" ht="33.0" customHeight="1">
      <c r="A23" s="18" t="s">
        <v>221</v>
      </c>
      <c r="B23" s="22" t="s">
        <v>222</v>
      </c>
      <c r="C23" s="22" t="s">
        <v>223</v>
      </c>
      <c r="D23" s="26" t="s">
        <v>224</v>
      </c>
      <c r="E23" s="22" t="str">
        <f>IFERROR(__xludf.DUMMYFUNCTION("GOOGLETRANSLATE(D23,""zh-CN"",""vi"")"),"Cô ấy đọc rất nhanh.")</f>
        <v>Cô ấy đọc rất nhanh.</v>
      </c>
      <c r="F23" s="30" t="s">
        <v>221</v>
      </c>
      <c r="G23" s="34" t="b">
        <f t="shared" si="1"/>
        <v>1</v>
      </c>
      <c r="H23" s="35" t="b">
        <v>0</v>
      </c>
      <c r="I23" s="35" t="b">
        <v>0</v>
      </c>
      <c r="J23" s="35" t="b">
        <v>0</v>
      </c>
      <c r="K23" s="35" t="b">
        <v>0</v>
      </c>
      <c r="L23" s="35" t="b">
        <v>0</v>
      </c>
      <c r="M23" s="35" t="b">
        <v>0</v>
      </c>
      <c r="N23" s="35" t="b">
        <v>0</v>
      </c>
      <c r="O23" s="35" t="b">
        <v>0</v>
      </c>
      <c r="P23" s="35" t="b">
        <v>0</v>
      </c>
      <c r="Q23" s="35" t="b">
        <v>0</v>
      </c>
      <c r="R23" s="37"/>
      <c r="S23" s="14"/>
      <c r="T23" s="14"/>
      <c r="U23" s="14"/>
      <c r="V23" s="14"/>
      <c r="W23" s="14"/>
      <c r="X23" s="14"/>
      <c r="Y23" s="14"/>
    </row>
    <row r="24" ht="33.0" customHeight="1">
      <c r="A24" s="18" t="s">
        <v>229</v>
      </c>
      <c r="B24" s="22" t="s">
        <v>230</v>
      </c>
      <c r="C24" s="22" t="s">
        <v>231</v>
      </c>
      <c r="D24" s="26" t="s">
        <v>232</v>
      </c>
      <c r="E24" s="22" t="str">
        <f>IFERROR(__xludf.DUMMYFUNCTION("GOOGLETRANSLATE(D24,""zh-CN"",""vi"")"),"Tôi xin lỗi, tôi đến muộn.")</f>
        <v>Tôi xin lỗi, tôi đến muộn.</v>
      </c>
      <c r="F24" s="30" t="s">
        <v>229</v>
      </c>
      <c r="G24" s="34" t="b">
        <f t="shared" si="1"/>
        <v>1</v>
      </c>
      <c r="H24" s="35" t="b">
        <v>0</v>
      </c>
      <c r="I24" s="35" t="b">
        <v>0</v>
      </c>
      <c r="J24" s="35" t="b">
        <v>0</v>
      </c>
      <c r="K24" s="35" t="b">
        <v>0</v>
      </c>
      <c r="L24" s="35" t="b">
        <v>0</v>
      </c>
      <c r="M24" s="35" t="b">
        <v>0</v>
      </c>
      <c r="N24" s="35" t="b">
        <v>0</v>
      </c>
      <c r="O24" s="35" t="b">
        <v>0</v>
      </c>
      <c r="P24" s="35" t="b">
        <v>0</v>
      </c>
      <c r="Q24" s="35" t="b">
        <v>0</v>
      </c>
      <c r="R24" s="37"/>
      <c r="S24" s="14"/>
      <c r="T24" s="14"/>
      <c r="U24" s="14"/>
      <c r="V24" s="14"/>
      <c r="W24" s="14"/>
      <c r="X24" s="14"/>
      <c r="Y24" s="14"/>
    </row>
    <row r="25" ht="33.0" customHeight="1">
      <c r="A25" s="18" t="s">
        <v>242</v>
      </c>
      <c r="B25" s="22" t="s">
        <v>244</v>
      </c>
      <c r="C25" s="22" t="s">
        <v>246</v>
      </c>
      <c r="D25" s="26" t="s">
        <v>247</v>
      </c>
      <c r="E25" s="22" t="str">
        <f>IFERROR(__xludf.DUMMYFUNCTION("GOOGLETRANSLATE(D25,""zh-CN"",""vi"")"),"Tôi có rất nhiều sách.")</f>
        <v>Tôi có rất nhiều sách.</v>
      </c>
      <c r="F25" s="30" t="s">
        <v>242</v>
      </c>
      <c r="G25" s="34" t="b">
        <f t="shared" si="1"/>
        <v>1</v>
      </c>
      <c r="H25" s="35" t="b">
        <v>0</v>
      </c>
      <c r="I25" s="35" t="b">
        <v>0</v>
      </c>
      <c r="J25" s="35" t="b">
        <v>0</v>
      </c>
      <c r="K25" s="35" t="b">
        <v>0</v>
      </c>
      <c r="L25" s="35" t="b">
        <v>0</v>
      </c>
      <c r="M25" s="35" t="b">
        <v>0</v>
      </c>
      <c r="N25" s="35" t="b">
        <v>0</v>
      </c>
      <c r="O25" s="35" t="b">
        <v>0</v>
      </c>
      <c r="P25" s="35" t="b">
        <v>0</v>
      </c>
      <c r="Q25" s="35" t="b">
        <v>0</v>
      </c>
      <c r="R25" s="37"/>
      <c r="S25" s="14"/>
      <c r="T25" s="14"/>
      <c r="U25" s="14"/>
      <c r="V25" s="14"/>
      <c r="W25" s="14"/>
      <c r="X25" s="14"/>
      <c r="Y25" s="14"/>
    </row>
    <row r="26" ht="33.0" customHeight="1">
      <c r="A26" s="18" t="s">
        <v>250</v>
      </c>
      <c r="B26" s="22" t="s">
        <v>251</v>
      </c>
      <c r="C26" s="22" t="s">
        <v>253</v>
      </c>
      <c r="D26" s="26" t="s">
        <v>255</v>
      </c>
      <c r="E26" s="22" t="str">
        <f>IFERROR(__xludf.DUMMYFUNCTION("GOOGLETRANSLATE(D26,""zh-CN"",""vi"")"),"Cuốn sách này có giá bao nhiêu?")</f>
        <v>Cuốn sách này có giá bao nhiêu?</v>
      </c>
      <c r="F26" s="30" t="s">
        <v>250</v>
      </c>
      <c r="G26" s="34" t="b">
        <f t="shared" si="1"/>
        <v>1</v>
      </c>
      <c r="H26" s="35" t="b">
        <v>0</v>
      </c>
      <c r="I26" s="35" t="b">
        <v>0</v>
      </c>
      <c r="J26" s="35" t="b">
        <v>0</v>
      </c>
      <c r="K26" s="35" t="b">
        <v>0</v>
      </c>
      <c r="L26" s="35" t="b">
        <v>0</v>
      </c>
      <c r="M26" s="35" t="b">
        <v>0</v>
      </c>
      <c r="N26" s="35" t="b">
        <v>0</v>
      </c>
      <c r="O26" s="35" t="b">
        <v>0</v>
      </c>
      <c r="P26" s="35" t="b">
        <v>0</v>
      </c>
      <c r="Q26" s="35" t="b">
        <v>0</v>
      </c>
      <c r="R26" s="37"/>
      <c r="S26" s="14"/>
      <c r="T26" s="14"/>
      <c r="U26" s="14"/>
      <c r="V26" s="14"/>
      <c r="W26" s="14"/>
      <c r="X26" s="14"/>
      <c r="Y26" s="14"/>
    </row>
    <row r="27" ht="33.0" customHeight="1">
      <c r="A27" s="18" t="s">
        <v>261</v>
      </c>
      <c r="B27" s="22" t="s">
        <v>262</v>
      </c>
      <c r="C27" s="22" t="s">
        <v>263</v>
      </c>
      <c r="D27" s="26" t="s">
        <v>265</v>
      </c>
      <c r="E27" s="22" t="str">
        <f>IFERROR(__xludf.DUMMYFUNCTION("GOOGLETRANSLATE(D27,""zh-CN"",""vi"")"),"Con trai tôi rất thông minh.")</f>
        <v>Con trai tôi rất thông minh.</v>
      </c>
      <c r="F27" s="30" t="s">
        <v>261</v>
      </c>
      <c r="G27" s="34" t="b">
        <f t="shared" si="1"/>
        <v>1</v>
      </c>
      <c r="H27" s="35" t="b">
        <v>0</v>
      </c>
      <c r="I27" s="35" t="b">
        <v>0</v>
      </c>
      <c r="J27" s="35" t="b">
        <v>0</v>
      </c>
      <c r="K27" s="35" t="b">
        <v>0</v>
      </c>
      <c r="L27" s="35" t="b">
        <v>0</v>
      </c>
      <c r="M27" s="35" t="b">
        <v>0</v>
      </c>
      <c r="N27" s="35" t="b">
        <v>0</v>
      </c>
      <c r="O27" s="35" t="b">
        <v>0</v>
      </c>
      <c r="P27" s="35" t="b">
        <v>0</v>
      </c>
      <c r="Q27" s="35" t="b">
        <v>0</v>
      </c>
      <c r="R27" s="37"/>
      <c r="S27" s="14"/>
      <c r="T27" s="14"/>
      <c r="U27" s="14"/>
      <c r="V27" s="14"/>
      <c r="W27" s="14"/>
      <c r="X27" s="14"/>
      <c r="Y27" s="14"/>
    </row>
    <row r="28" ht="33.0" customHeight="1">
      <c r="A28" s="53" t="s">
        <v>269</v>
      </c>
      <c r="B28" s="54" t="s">
        <v>276</v>
      </c>
      <c r="C28" s="54" t="s">
        <v>279</v>
      </c>
      <c r="D28" s="55" t="s">
        <v>281</v>
      </c>
      <c r="E28" s="22" t="str">
        <f>IFERROR(__xludf.DUMMYFUNCTION("GOOGLETRANSLATE(D28,""zh-CN"",""vi"")"),"Tôi thích số ""hai"".")</f>
        <v>Tôi thích số "hai".</v>
      </c>
      <c r="F28" s="30" t="s">
        <v>269</v>
      </c>
      <c r="G28" s="34" t="b">
        <f t="shared" si="1"/>
        <v>1</v>
      </c>
      <c r="H28" s="35" t="b">
        <v>0</v>
      </c>
      <c r="I28" s="35" t="b">
        <v>0</v>
      </c>
      <c r="J28" s="35" t="b">
        <v>0</v>
      </c>
      <c r="K28" s="35" t="b">
        <v>0</v>
      </c>
      <c r="L28" s="35" t="b">
        <v>0</v>
      </c>
      <c r="M28" s="35" t="b">
        <v>0</v>
      </c>
      <c r="N28" s="35" t="b">
        <v>0</v>
      </c>
      <c r="O28" s="35" t="b">
        <v>0</v>
      </c>
      <c r="P28" s="35" t="b">
        <v>0</v>
      </c>
      <c r="Q28" s="35" t="b">
        <v>0</v>
      </c>
      <c r="R28" s="37"/>
      <c r="S28" s="14"/>
      <c r="T28" s="14"/>
      <c r="U28" s="14"/>
      <c r="V28" s="14"/>
      <c r="W28" s="14"/>
      <c r="X28" s="14"/>
      <c r="Y28" s="14"/>
    </row>
    <row r="29" ht="33.0" customHeight="1">
      <c r="A29" s="18" t="s">
        <v>290</v>
      </c>
      <c r="B29" s="22" t="s">
        <v>292</v>
      </c>
      <c r="C29" s="22" t="s">
        <v>295</v>
      </c>
      <c r="D29" s="26" t="s">
        <v>296</v>
      </c>
      <c r="E29" s="22" t="str">
        <f>IFERROR(__xludf.DUMMYFUNCTION("GOOGLETRANSLATE(D29,""zh-CN"",""vi"")"),"Chúng tôi đã đến một nhà hàng để ăn.")</f>
        <v>Chúng tôi đã đến một nhà hàng để ăn.</v>
      </c>
      <c r="F29" s="30" t="s">
        <v>290</v>
      </c>
      <c r="G29" s="34" t="b">
        <f t="shared" si="1"/>
        <v>1</v>
      </c>
      <c r="H29" s="35" t="b">
        <v>0</v>
      </c>
      <c r="I29" s="35" t="b">
        <v>0</v>
      </c>
      <c r="J29" s="35" t="b">
        <v>0</v>
      </c>
      <c r="K29" s="35" t="b">
        <v>0</v>
      </c>
      <c r="L29" s="35" t="b">
        <v>0</v>
      </c>
      <c r="M29" s="35" t="b">
        <v>0</v>
      </c>
      <c r="N29" s="35" t="b">
        <v>0</v>
      </c>
      <c r="O29" s="35" t="b">
        <v>0</v>
      </c>
      <c r="P29" s="35" t="b">
        <v>0</v>
      </c>
      <c r="Q29" s="35" t="b">
        <v>0</v>
      </c>
      <c r="R29" s="37"/>
      <c r="S29" s="14"/>
      <c r="T29" s="14"/>
      <c r="U29" s="14"/>
      <c r="V29" s="14"/>
      <c r="W29" s="14"/>
      <c r="X29" s="14"/>
      <c r="Y29" s="14"/>
    </row>
    <row r="30" ht="15.75" customHeight="1">
      <c r="A30" s="18" t="s">
        <v>305</v>
      </c>
      <c r="B30" s="22" t="s">
        <v>306</v>
      </c>
      <c r="C30" s="22" t="s">
        <v>307</v>
      </c>
      <c r="D30" s="26" t="s">
        <v>308</v>
      </c>
      <c r="E30" s="22" t="str">
        <f>IFERROR(__xludf.DUMMYFUNCTION("GOOGLETRANSLATE(D30,""zh-CN"",""vi"")"),"Máy bay chạy rất nhanh.")</f>
        <v>Máy bay chạy rất nhanh.</v>
      </c>
      <c r="F30" s="30" t="s">
        <v>305</v>
      </c>
      <c r="G30" s="34" t="b">
        <f t="shared" si="1"/>
        <v>1</v>
      </c>
      <c r="H30" s="35" t="b">
        <v>0</v>
      </c>
      <c r="I30" s="35" t="b">
        <v>0</v>
      </c>
      <c r="J30" s="35" t="b">
        <v>0</v>
      </c>
      <c r="K30" s="35" t="b">
        <v>0</v>
      </c>
      <c r="L30" s="35" t="b">
        <v>0</v>
      </c>
      <c r="M30" s="35" t="b">
        <v>0</v>
      </c>
      <c r="N30" s="35" t="b">
        <v>0</v>
      </c>
      <c r="O30" s="35" t="b">
        <v>0</v>
      </c>
      <c r="P30" s="35" t="b">
        <v>0</v>
      </c>
      <c r="Q30" s="35" t="b">
        <v>0</v>
      </c>
      <c r="R30" s="37"/>
      <c r="S30" s="14"/>
      <c r="T30" s="14"/>
      <c r="U30" s="14"/>
      <c r="V30" s="14"/>
      <c r="W30" s="14"/>
      <c r="X30" s="14"/>
      <c r="Y30" s="14"/>
    </row>
    <row r="31" ht="15.75" customHeight="1">
      <c r="A31" s="18" t="s">
        <v>317</v>
      </c>
      <c r="B31" s="22" t="s">
        <v>318</v>
      </c>
      <c r="C31" s="22" t="s">
        <v>319</v>
      </c>
      <c r="D31" s="26" t="s">
        <v>320</v>
      </c>
      <c r="E31" s="22" t="str">
        <f>IFERROR(__xludf.DUMMYFUNCTION("GOOGLETRANSLATE(D31,""zh-CN"",""vi"")"),"Anh ta đợi năm phút.")</f>
        <v>Anh ta đợi năm phút.</v>
      </c>
      <c r="F31" s="30" t="s">
        <v>317</v>
      </c>
      <c r="G31" s="34" t="b">
        <f t="shared" si="1"/>
        <v>1</v>
      </c>
      <c r="H31" s="35" t="b">
        <v>0</v>
      </c>
      <c r="I31" s="35" t="b">
        <v>0</v>
      </c>
      <c r="J31" s="35" t="b">
        <v>0</v>
      </c>
      <c r="K31" s="35" t="b">
        <v>0</v>
      </c>
      <c r="L31" s="35" t="b">
        <v>0</v>
      </c>
      <c r="M31" s="35" t="b">
        <v>0</v>
      </c>
      <c r="N31" s="35" t="b">
        <v>0</v>
      </c>
      <c r="O31" s="35" t="b">
        <v>0</v>
      </c>
      <c r="P31" s="35" t="b">
        <v>0</v>
      </c>
      <c r="Q31" s="35" t="b">
        <v>0</v>
      </c>
      <c r="R31" s="37"/>
      <c r="S31" s="14"/>
      <c r="T31" s="14"/>
      <c r="U31" s="14"/>
      <c r="V31" s="14"/>
      <c r="W31" s="14"/>
      <c r="X31" s="14"/>
      <c r="Y31" s="14"/>
    </row>
    <row r="32" ht="15.75" customHeight="1">
      <c r="A32" s="18" t="s">
        <v>330</v>
      </c>
      <c r="B32" s="22" t="s">
        <v>332</v>
      </c>
      <c r="C32" s="22" t="s">
        <v>334</v>
      </c>
      <c r="D32" s="26" t="s">
        <v>336</v>
      </c>
      <c r="E32" s="22" t="str">
        <f>IFERROR(__xludf.DUMMYFUNCTION("GOOGLETRANSLATE(D32,""zh-CN"",""vi"")"),"Tôi rất hạnh phúc.")</f>
        <v>Tôi rất hạnh phúc.</v>
      </c>
      <c r="F32" s="30" t="s">
        <v>330</v>
      </c>
      <c r="G32" s="34" t="b">
        <f t="shared" si="1"/>
        <v>1</v>
      </c>
      <c r="H32" s="35" t="b">
        <v>0</v>
      </c>
      <c r="I32" s="35" t="b">
        <v>0</v>
      </c>
      <c r="J32" s="35" t="b">
        <v>0</v>
      </c>
      <c r="K32" s="35" t="b">
        <v>0</v>
      </c>
      <c r="L32" s="35" t="b">
        <v>0</v>
      </c>
      <c r="M32" s="35" t="b">
        <v>0</v>
      </c>
      <c r="N32" s="35" t="b">
        <v>0</v>
      </c>
      <c r="O32" s="35" t="b">
        <v>0</v>
      </c>
      <c r="P32" s="35" t="b">
        <v>0</v>
      </c>
      <c r="Q32" s="35" t="b">
        <v>0</v>
      </c>
      <c r="R32" s="37"/>
      <c r="S32" s="14"/>
      <c r="T32" s="14"/>
      <c r="U32" s="14"/>
      <c r="V32" s="14"/>
      <c r="W32" s="14"/>
      <c r="X32" s="14"/>
      <c r="Y32" s="14"/>
    </row>
    <row r="33" ht="15.75" customHeight="1">
      <c r="A33" s="18" t="s">
        <v>337</v>
      </c>
      <c r="B33" s="22" t="s">
        <v>340</v>
      </c>
      <c r="C33" s="22" t="s">
        <v>342</v>
      </c>
      <c r="D33" s="26" t="s">
        <v>345</v>
      </c>
      <c r="E33" s="22" t="str">
        <f>IFERROR(__xludf.DUMMYFUNCTION("GOOGLETRANSLATE(D33,""zh-CN"",""vi"")"),"Tôi có một cái ví.")</f>
        <v>Tôi có một cái ví.</v>
      </c>
      <c r="F33" s="30" t="s">
        <v>337</v>
      </c>
      <c r="G33" s="34" t="b">
        <f t="shared" si="1"/>
        <v>1</v>
      </c>
      <c r="H33" s="35" t="b">
        <v>0</v>
      </c>
      <c r="I33" s="35" t="b">
        <v>0</v>
      </c>
      <c r="J33" s="35" t="b">
        <v>0</v>
      </c>
      <c r="K33" s="35" t="b">
        <v>0</v>
      </c>
      <c r="L33" s="35" t="b">
        <v>0</v>
      </c>
      <c r="M33" s="35" t="b">
        <v>0</v>
      </c>
      <c r="N33" s="35" t="b">
        <v>0</v>
      </c>
      <c r="O33" s="35" t="b">
        <v>0</v>
      </c>
      <c r="P33" s="35" t="b">
        <v>0</v>
      </c>
      <c r="Q33" s="35" t="b">
        <v>0</v>
      </c>
      <c r="R33" s="37"/>
      <c r="S33" s="14"/>
      <c r="T33" s="14"/>
      <c r="U33" s="14"/>
      <c r="V33" s="14"/>
      <c r="W33" s="14"/>
      <c r="X33" s="14"/>
      <c r="Y33" s="14"/>
    </row>
    <row r="34" ht="15.75" customHeight="1">
      <c r="A34" s="18" t="s">
        <v>349</v>
      </c>
      <c r="B34" s="22" t="s">
        <v>351</v>
      </c>
      <c r="C34" s="22" t="s">
        <v>353</v>
      </c>
      <c r="D34" s="26" t="s">
        <v>355</v>
      </c>
      <c r="E34" s="22" t="str">
        <f>IFERROR(__xludf.DUMMYFUNCTION("GOOGLETRANSLATE(D34,""zh-CN"",""vi"")"),"Công việc của tôi rất bận rộn.")</f>
        <v>Công việc của tôi rất bận rộn.</v>
      </c>
      <c r="F34" s="30" t="s">
        <v>349</v>
      </c>
      <c r="G34" s="34" t="b">
        <f t="shared" si="1"/>
        <v>1</v>
      </c>
      <c r="H34" s="35" t="b">
        <v>0</v>
      </c>
      <c r="I34" s="35" t="b">
        <v>0</v>
      </c>
      <c r="J34" s="35" t="b">
        <v>0</v>
      </c>
      <c r="K34" s="35" t="b">
        <v>0</v>
      </c>
      <c r="L34" s="35" t="b">
        <v>0</v>
      </c>
      <c r="M34" s="35" t="b">
        <v>0</v>
      </c>
      <c r="N34" s="35" t="b">
        <v>0</v>
      </c>
      <c r="O34" s="35" t="b">
        <v>0</v>
      </c>
      <c r="P34" s="35" t="b">
        <v>0</v>
      </c>
      <c r="Q34" s="35" t="b">
        <v>0</v>
      </c>
      <c r="R34" s="37"/>
      <c r="S34" s="14"/>
      <c r="T34" s="14"/>
      <c r="U34" s="14"/>
      <c r="V34" s="14"/>
      <c r="W34" s="14"/>
      <c r="X34" s="14"/>
      <c r="Y34" s="14"/>
    </row>
    <row r="35" ht="15.75" customHeight="1">
      <c r="A35" s="18" t="s">
        <v>365</v>
      </c>
      <c r="B35" s="22" t="s">
        <v>367</v>
      </c>
      <c r="C35" s="22" t="s">
        <v>370</v>
      </c>
      <c r="D35" s="26" t="s">
        <v>372</v>
      </c>
      <c r="E35" s="22" t="str">
        <f>IFERROR(__xludf.DUMMYFUNCTION("GOOGLETRANSLATE(D35,""zh-CN"",""vi"")"),"Chú chó này dễ thương quá.")</f>
        <v>Chú chó này dễ thương quá.</v>
      </c>
      <c r="F35" s="30" t="s">
        <v>365</v>
      </c>
      <c r="G35" s="34" t="b">
        <f t="shared" si="1"/>
        <v>1</v>
      </c>
      <c r="H35" s="35" t="b">
        <v>0</v>
      </c>
      <c r="I35" s="35" t="b">
        <v>0</v>
      </c>
      <c r="J35" s="35" t="b">
        <v>0</v>
      </c>
      <c r="K35" s="35" t="b">
        <v>0</v>
      </c>
      <c r="L35" s="35" t="b">
        <v>0</v>
      </c>
      <c r="M35" s="35" t="b">
        <v>0</v>
      </c>
      <c r="N35" s="35" t="b">
        <v>0</v>
      </c>
      <c r="O35" s="35" t="b">
        <v>0</v>
      </c>
      <c r="P35" s="35" t="b">
        <v>0</v>
      </c>
      <c r="Q35" s="35" t="b">
        <v>0</v>
      </c>
      <c r="R35" s="37"/>
      <c r="S35" s="14"/>
      <c r="T35" s="14"/>
      <c r="U35" s="14"/>
      <c r="V35" s="14"/>
      <c r="W35" s="14"/>
      <c r="X35" s="14"/>
      <c r="Y35" s="14"/>
    </row>
    <row r="36" ht="15.75" customHeight="1">
      <c r="A36" s="18" t="s">
        <v>377</v>
      </c>
      <c r="B36" s="22" t="s">
        <v>378</v>
      </c>
      <c r="C36" s="22" t="s">
        <v>379</v>
      </c>
      <c r="D36" s="26" t="s">
        <v>380</v>
      </c>
      <c r="E36" s="22" t="str">
        <f>IFERROR(__xludf.DUMMYFUNCTION("GOOGLETRANSLATE(D36,""zh-CN"",""vi"")"),"Tôi đang học tiếng Trung.")</f>
        <v>Tôi đang học tiếng Trung.</v>
      </c>
      <c r="F36" s="30" t="s">
        <v>377</v>
      </c>
      <c r="G36" s="34" t="b">
        <f t="shared" si="1"/>
        <v>1</v>
      </c>
      <c r="H36" s="35" t="b">
        <v>0</v>
      </c>
      <c r="I36" s="35" t="b">
        <v>0</v>
      </c>
      <c r="J36" s="35" t="b">
        <v>0</v>
      </c>
      <c r="K36" s="35" t="b">
        <v>0</v>
      </c>
      <c r="L36" s="35" t="b">
        <v>0</v>
      </c>
      <c r="M36" s="35" t="b">
        <v>0</v>
      </c>
      <c r="N36" s="35" t="b">
        <v>0</v>
      </c>
      <c r="O36" s="35" t="b">
        <v>0</v>
      </c>
      <c r="P36" s="35" t="b">
        <v>0</v>
      </c>
      <c r="Q36" s="35" t="b">
        <v>0</v>
      </c>
      <c r="R36" s="37"/>
      <c r="S36" s="14"/>
      <c r="T36" s="14"/>
      <c r="U36" s="14"/>
      <c r="V36" s="14"/>
      <c r="W36" s="14"/>
      <c r="X36" s="14"/>
      <c r="Y36" s="14"/>
    </row>
    <row r="37" ht="15.75" customHeight="1">
      <c r="A37" s="18" t="s">
        <v>385</v>
      </c>
      <c r="B37" s="22" t="s">
        <v>386</v>
      </c>
      <c r="C37" s="22" t="s">
        <v>387</v>
      </c>
      <c r="D37" s="26" t="s">
        <v>388</v>
      </c>
      <c r="E37" s="22" t="str">
        <f>IFERROR(__xludf.DUMMYFUNCTION("GOOGLETRANSLATE(D37,""zh-CN"",""vi"")"),"Anh ấy vẫn ổn.")</f>
        <v>Anh ấy vẫn ổn.</v>
      </c>
      <c r="F37" s="30" t="s">
        <v>385</v>
      </c>
      <c r="G37" s="34" t="b">
        <f t="shared" si="1"/>
        <v>1</v>
      </c>
      <c r="H37" s="35" t="b">
        <v>0</v>
      </c>
      <c r="I37" s="35" t="b">
        <v>0</v>
      </c>
      <c r="J37" s="35" t="b">
        <v>0</v>
      </c>
      <c r="K37" s="35" t="b">
        <v>0</v>
      </c>
      <c r="L37" s="35" t="b">
        <v>0</v>
      </c>
      <c r="M37" s="35" t="b">
        <v>0</v>
      </c>
      <c r="N37" s="35" t="b">
        <v>0</v>
      </c>
      <c r="O37" s="35" t="b">
        <v>0</v>
      </c>
      <c r="P37" s="35" t="b">
        <v>0</v>
      </c>
      <c r="Q37" s="35" t="b">
        <v>0</v>
      </c>
      <c r="R37" s="37"/>
      <c r="S37" s="14"/>
      <c r="T37" s="14"/>
      <c r="U37" s="14"/>
      <c r="V37" s="14"/>
      <c r="W37" s="14"/>
      <c r="X37" s="14"/>
      <c r="Y37" s="14"/>
    </row>
    <row r="38" ht="15.75" customHeight="1">
      <c r="A38" s="18" t="s">
        <v>398</v>
      </c>
      <c r="B38" s="22" t="s">
        <v>400</v>
      </c>
      <c r="C38" s="22" t="s">
        <v>402</v>
      </c>
      <c r="D38" s="26" t="s">
        <v>404</v>
      </c>
      <c r="E38" s="22" t="str">
        <f>IFERROR(__xludf.DUMMYFUNCTION("GOOGLETRANSLATE(D38,""zh-CN"",""vi"")"),"Tôi đang uống nước.")</f>
        <v>Tôi đang uống nước.</v>
      </c>
      <c r="F38" s="30" t="s">
        <v>398</v>
      </c>
      <c r="G38" s="34" t="b">
        <f t="shared" si="1"/>
        <v>1</v>
      </c>
      <c r="H38" s="35" t="b">
        <v>0</v>
      </c>
      <c r="I38" s="35" t="b">
        <v>0</v>
      </c>
      <c r="J38" s="35" t="b">
        <v>0</v>
      </c>
      <c r="K38" s="35" t="b">
        <v>0</v>
      </c>
      <c r="L38" s="35" t="b">
        <v>0</v>
      </c>
      <c r="M38" s="35" t="b">
        <v>0</v>
      </c>
      <c r="N38" s="35" t="b">
        <v>0</v>
      </c>
      <c r="O38" s="35" t="b">
        <v>0</v>
      </c>
      <c r="P38" s="35" t="b">
        <v>0</v>
      </c>
      <c r="Q38" s="35" t="b">
        <v>0</v>
      </c>
      <c r="R38" s="37"/>
      <c r="S38" s="14"/>
      <c r="T38" s="14"/>
      <c r="U38" s="14"/>
      <c r="V38" s="14"/>
      <c r="W38" s="14"/>
      <c r="X38" s="14"/>
      <c r="Y38" s="14"/>
    </row>
    <row r="39" ht="15.75" customHeight="1">
      <c r="A39" s="18" t="s">
        <v>409</v>
      </c>
      <c r="B39" s="22" t="s">
        <v>410</v>
      </c>
      <c r="C39" s="22" t="s">
        <v>411</v>
      </c>
      <c r="D39" s="26" t="s">
        <v>413</v>
      </c>
      <c r="E39" s="22" t="str">
        <f>IFERROR(__xludf.DUMMYFUNCTION("GOOGLETRANSLATE(D39,""zh-CN"",""vi"")"),"Tôi sẽ đi cùng bạn.")</f>
        <v>Tôi sẽ đi cùng bạn.</v>
      </c>
      <c r="F39" s="30" t="s">
        <v>409</v>
      </c>
      <c r="G39" s="34" t="b">
        <f t="shared" si="1"/>
        <v>1</v>
      </c>
      <c r="H39" s="35" t="b">
        <v>0</v>
      </c>
      <c r="I39" s="35" t="b">
        <v>0</v>
      </c>
      <c r="J39" s="35" t="b">
        <v>0</v>
      </c>
      <c r="K39" s="35" t="b">
        <v>0</v>
      </c>
      <c r="L39" s="35" t="b">
        <v>0</v>
      </c>
      <c r="M39" s="35" t="b">
        <v>0</v>
      </c>
      <c r="N39" s="35" t="b">
        <v>0</v>
      </c>
      <c r="O39" s="35" t="b">
        <v>0</v>
      </c>
      <c r="P39" s="35" t="b">
        <v>0</v>
      </c>
      <c r="Q39" s="35" t="b">
        <v>0</v>
      </c>
      <c r="R39" s="37"/>
      <c r="S39" s="14"/>
      <c r="T39" s="14"/>
      <c r="U39" s="14"/>
      <c r="V39" s="14"/>
      <c r="W39" s="14"/>
      <c r="X39" s="14"/>
      <c r="Y39" s="14"/>
    </row>
    <row r="40" ht="15.75" customHeight="1">
      <c r="A40" s="18" t="s">
        <v>425</v>
      </c>
      <c r="B40" s="22" t="s">
        <v>426</v>
      </c>
      <c r="C40" s="22" t="s">
        <v>427</v>
      </c>
      <c r="D40" s="26" t="s">
        <v>430</v>
      </c>
      <c r="E40" s="22" t="str">
        <f>IFERROR(__xludf.DUMMYFUNCTION("GOOGLETRANSLATE(D40,""zh-CN"",""vi"")"),"Loại táo này rất ngọt.")</f>
        <v>Loại táo này rất ngọt.</v>
      </c>
      <c r="F40" s="30" t="s">
        <v>425</v>
      </c>
      <c r="G40" s="34" t="b">
        <f t="shared" si="1"/>
        <v>1</v>
      </c>
      <c r="H40" s="35" t="b">
        <v>0</v>
      </c>
      <c r="I40" s="35" t="b">
        <v>0</v>
      </c>
      <c r="J40" s="35" t="b">
        <v>0</v>
      </c>
      <c r="K40" s="35" t="b">
        <v>0</v>
      </c>
      <c r="L40" s="35" t="b">
        <v>0</v>
      </c>
      <c r="M40" s="35" t="b">
        <v>0</v>
      </c>
      <c r="N40" s="35" t="b">
        <v>0</v>
      </c>
      <c r="O40" s="35" t="b">
        <v>0</v>
      </c>
      <c r="P40" s="35" t="b">
        <v>0</v>
      </c>
      <c r="Q40" s="35" t="b">
        <v>0</v>
      </c>
      <c r="R40" s="37"/>
      <c r="S40" s="14"/>
      <c r="T40" s="14"/>
      <c r="U40" s="14"/>
      <c r="V40" s="14"/>
      <c r="W40" s="14"/>
      <c r="X40" s="14"/>
      <c r="Y40" s="14"/>
    </row>
    <row r="41" ht="15.75" customHeight="1">
      <c r="A41" s="18" t="s">
        <v>438</v>
      </c>
      <c r="B41" s="22" t="s">
        <v>439</v>
      </c>
      <c r="C41" s="22" t="s">
        <v>440</v>
      </c>
      <c r="D41" s="26" t="s">
        <v>441</v>
      </c>
      <c r="E41" s="22" t="str">
        <f>IFERROR(__xludf.DUMMYFUNCTION("GOOGLETRANSLATE(D41,""zh-CN"",""vi"")"),"Nhà tôi ở phía sau.")</f>
        <v>Nhà tôi ở phía sau.</v>
      </c>
      <c r="F41" s="30" t="s">
        <v>438</v>
      </c>
      <c r="G41" s="34" t="b">
        <f t="shared" si="1"/>
        <v>1</v>
      </c>
      <c r="H41" s="35" t="b">
        <v>0</v>
      </c>
      <c r="I41" s="35" t="b">
        <v>0</v>
      </c>
      <c r="J41" s="35" t="b">
        <v>0</v>
      </c>
      <c r="K41" s="35" t="b">
        <v>0</v>
      </c>
      <c r="L41" s="35" t="b">
        <v>0</v>
      </c>
      <c r="M41" s="35" t="b">
        <v>0</v>
      </c>
      <c r="N41" s="35" t="b">
        <v>0</v>
      </c>
      <c r="O41" s="35" t="b">
        <v>0</v>
      </c>
      <c r="P41" s="35" t="b">
        <v>0</v>
      </c>
      <c r="Q41" s="35" t="b">
        <v>0</v>
      </c>
      <c r="R41" s="37"/>
      <c r="S41" s="14"/>
      <c r="T41" s="14"/>
      <c r="U41" s="14"/>
      <c r="V41" s="14"/>
      <c r="W41" s="14"/>
      <c r="X41" s="14"/>
      <c r="Y41" s="14"/>
    </row>
    <row r="42" ht="15.75" customHeight="1">
      <c r="A42" s="18" t="s">
        <v>454</v>
      </c>
      <c r="B42" s="22" t="s">
        <v>455</v>
      </c>
      <c r="C42" s="22" t="s">
        <v>456</v>
      </c>
      <c r="D42" s="26" t="s">
        <v>457</v>
      </c>
      <c r="E42" s="22" t="str">
        <f>IFERROR(__xludf.DUMMYFUNCTION("GOOGLETRANSLATE(D42,""zh-CN"",""vi"")"),"Tôi về nhà rồi.")</f>
        <v>Tôi về nhà rồi.</v>
      </c>
      <c r="F42" s="30" t="s">
        <v>454</v>
      </c>
      <c r="G42" s="34" t="b">
        <f t="shared" si="1"/>
        <v>1</v>
      </c>
      <c r="H42" s="35" t="b">
        <v>0</v>
      </c>
      <c r="I42" s="35" t="b">
        <v>0</v>
      </c>
      <c r="J42" s="35" t="b">
        <v>0</v>
      </c>
      <c r="K42" s="35" t="b">
        <v>0</v>
      </c>
      <c r="L42" s="35" t="b">
        <v>0</v>
      </c>
      <c r="M42" s="35" t="b">
        <v>0</v>
      </c>
      <c r="N42" s="35" t="b">
        <v>0</v>
      </c>
      <c r="O42" s="35" t="b">
        <v>0</v>
      </c>
      <c r="P42" s="35" t="b">
        <v>0</v>
      </c>
      <c r="Q42" s="35" t="b">
        <v>0</v>
      </c>
      <c r="R42" s="37"/>
      <c r="S42" s="14"/>
      <c r="T42" s="14"/>
      <c r="U42" s="14"/>
      <c r="V42" s="14"/>
      <c r="W42" s="14"/>
      <c r="X42" s="14"/>
      <c r="Y42" s="14"/>
    </row>
    <row r="43" ht="15.75" customHeight="1">
      <c r="A43" s="18" t="s">
        <v>468</v>
      </c>
      <c r="B43" s="22" t="s">
        <v>470</v>
      </c>
      <c r="C43" s="22" t="s">
        <v>473</v>
      </c>
      <c r="D43" s="26" t="s">
        <v>475</v>
      </c>
      <c r="E43" s="22" t="str">
        <f>IFERROR(__xludf.DUMMYFUNCTION("GOOGLETRANSLATE(D43,""zh-CN"",""vi"")"),"Tôi có thể nói tiếng Trung Quốc.")</f>
        <v>Tôi có thể nói tiếng Trung Quốc.</v>
      </c>
      <c r="F43" s="30" t="s">
        <v>468</v>
      </c>
      <c r="G43" s="34" t="b">
        <f t="shared" si="1"/>
        <v>1</v>
      </c>
      <c r="H43" s="35" t="b">
        <v>0</v>
      </c>
      <c r="I43" s="35" t="b">
        <v>0</v>
      </c>
      <c r="J43" s="35" t="b">
        <v>0</v>
      </c>
      <c r="K43" s="35" t="b">
        <v>0</v>
      </c>
      <c r="L43" s="35" t="b">
        <v>0</v>
      </c>
      <c r="M43" s="35" t="b">
        <v>0</v>
      </c>
      <c r="N43" s="35" t="b">
        <v>0</v>
      </c>
      <c r="O43" s="35" t="b">
        <v>0</v>
      </c>
      <c r="P43" s="35" t="b">
        <v>0</v>
      </c>
      <c r="Q43" s="35" t="b">
        <v>0</v>
      </c>
      <c r="R43" s="37"/>
      <c r="S43" s="14"/>
      <c r="T43" s="14"/>
      <c r="U43" s="14"/>
      <c r="V43" s="14"/>
      <c r="W43" s="14"/>
      <c r="X43" s="14"/>
      <c r="Y43" s="14"/>
    </row>
    <row r="44" ht="15.75" customHeight="1">
      <c r="A44" s="18" t="s">
        <v>483</v>
      </c>
      <c r="B44" s="22" t="s">
        <v>485</v>
      </c>
      <c r="C44" s="22" t="s">
        <v>487</v>
      </c>
      <c r="D44" s="26" t="s">
        <v>489</v>
      </c>
      <c r="E44" s="22" t="str">
        <f>IFERROR(__xludf.DUMMYFUNCTION("GOOGLETRANSLATE(D44,""zh-CN"",""vi"")"),"Ga tàu ở phía trước.")</f>
        <v>Ga tàu ở phía trước.</v>
      </c>
      <c r="F44" s="30" t="s">
        <v>483</v>
      </c>
      <c r="G44" s="34" t="b">
        <f t="shared" si="1"/>
        <v>1</v>
      </c>
      <c r="H44" s="35" t="b">
        <v>0</v>
      </c>
      <c r="I44" s="35" t="b">
        <v>0</v>
      </c>
      <c r="J44" s="35" t="b">
        <v>0</v>
      </c>
      <c r="K44" s="35" t="b">
        <v>0</v>
      </c>
      <c r="L44" s="35" t="b">
        <v>0</v>
      </c>
      <c r="M44" s="35" t="b">
        <v>0</v>
      </c>
      <c r="N44" s="35" t="b">
        <v>0</v>
      </c>
      <c r="O44" s="35" t="b">
        <v>0</v>
      </c>
      <c r="P44" s="35" t="b">
        <v>0</v>
      </c>
      <c r="Q44" s="35" t="b">
        <v>0</v>
      </c>
      <c r="R44" s="37"/>
      <c r="S44" s="14"/>
      <c r="T44" s="14"/>
      <c r="U44" s="14"/>
      <c r="V44" s="14"/>
      <c r="W44" s="14"/>
      <c r="X44" s="14"/>
      <c r="Y44" s="14"/>
    </row>
    <row r="45" ht="15.75" customHeight="1">
      <c r="A45" s="18" t="s">
        <v>498</v>
      </c>
      <c r="B45" s="22" t="s">
        <v>499</v>
      </c>
      <c r="C45" s="22" t="s">
        <v>500</v>
      </c>
      <c r="D45" s="26" t="s">
        <v>501</v>
      </c>
      <c r="E45" s="22" t="str">
        <f>IFERROR(__xludf.DUMMYFUNCTION("GOOGLETRANSLATE(D45,""zh-CN"",""vi"")"),"Bạn có bao nhiêu quả táo?")</f>
        <v>Bạn có bao nhiêu quả táo?</v>
      </c>
      <c r="F45" s="30" t="s">
        <v>498</v>
      </c>
      <c r="G45" s="34" t="b">
        <f t="shared" si="1"/>
        <v>1</v>
      </c>
      <c r="H45" s="35" t="b">
        <v>0</v>
      </c>
      <c r="I45" s="35" t="b">
        <v>0</v>
      </c>
      <c r="J45" s="35" t="b">
        <v>0</v>
      </c>
      <c r="K45" s="35" t="b">
        <v>0</v>
      </c>
      <c r="L45" s="35" t="b">
        <v>0</v>
      </c>
      <c r="M45" s="35" t="b">
        <v>0</v>
      </c>
      <c r="N45" s="35" t="b">
        <v>0</v>
      </c>
      <c r="O45" s="35" t="b">
        <v>0</v>
      </c>
      <c r="P45" s="35" t="b">
        <v>0</v>
      </c>
      <c r="Q45" s="35" t="b">
        <v>0</v>
      </c>
      <c r="R45" s="37"/>
      <c r="S45" s="14"/>
      <c r="T45" s="14"/>
      <c r="U45" s="14"/>
      <c r="V45" s="14"/>
      <c r="W45" s="14"/>
      <c r="X45" s="14"/>
      <c r="Y45" s="14"/>
    </row>
    <row r="46" ht="15.75" customHeight="1">
      <c r="A46" s="18" t="s">
        <v>509</v>
      </c>
      <c r="B46" s="22" t="s">
        <v>510</v>
      </c>
      <c r="C46" s="22" t="s">
        <v>511</v>
      </c>
      <c r="D46" s="26" t="s">
        <v>513</v>
      </c>
      <c r="E46" s="22" t="str">
        <f>IFERROR(__xludf.DUMMYFUNCTION("GOOGLETRANSLATE(D46,""zh-CN"",""vi"")"),"Gia đình tôi có bốn người.")</f>
        <v>Gia đình tôi có bốn người.</v>
      </c>
      <c r="F46" s="30" t="s">
        <v>509</v>
      </c>
      <c r="G46" s="34" t="b">
        <f t="shared" si="1"/>
        <v>1</v>
      </c>
      <c r="H46" s="35" t="b">
        <v>1</v>
      </c>
      <c r="I46" s="35" t="b">
        <v>0</v>
      </c>
      <c r="J46" s="35" t="b">
        <v>0</v>
      </c>
      <c r="K46" s="35" t="b">
        <v>0</v>
      </c>
      <c r="L46" s="35" t="b">
        <v>0</v>
      </c>
      <c r="M46" s="35" t="b">
        <v>0</v>
      </c>
      <c r="N46" s="35" t="b">
        <v>0</v>
      </c>
      <c r="O46" s="35" t="b">
        <v>0</v>
      </c>
      <c r="P46" s="35" t="b">
        <v>0</v>
      </c>
      <c r="Q46" s="35" t="b">
        <v>0</v>
      </c>
      <c r="R46" s="37"/>
      <c r="S46" s="14"/>
      <c r="T46" s="14"/>
      <c r="U46" s="14"/>
      <c r="V46" s="14"/>
      <c r="W46" s="14"/>
      <c r="X46" s="14"/>
      <c r="Y46" s="14"/>
    </row>
    <row r="47" ht="15.75" customHeight="1">
      <c r="A47" s="18" t="s">
        <v>523</v>
      </c>
      <c r="B47" s="22" t="s">
        <v>525</v>
      </c>
      <c r="C47" s="22" t="s">
        <v>527</v>
      </c>
      <c r="D47" s="26" t="s">
        <v>530</v>
      </c>
      <c r="E47" s="22" t="str">
        <f>IFERROR(__xludf.DUMMYFUNCTION("GOOGLETRANSLATE(D47,""zh-CN"",""vi"")"),"Cô ấy tên là Li Na.")</f>
        <v>Cô ấy tên là Li Na.</v>
      </c>
      <c r="F47" s="30" t="s">
        <v>523</v>
      </c>
      <c r="G47" s="34" t="b">
        <f t="shared" si="1"/>
        <v>1</v>
      </c>
      <c r="H47" s="35" t="b">
        <v>1</v>
      </c>
      <c r="I47" s="35" t="b">
        <v>0</v>
      </c>
      <c r="J47" s="35" t="b">
        <v>0</v>
      </c>
      <c r="K47" s="35" t="b">
        <v>0</v>
      </c>
      <c r="L47" s="35" t="b">
        <v>0</v>
      </c>
      <c r="M47" s="35" t="b">
        <v>0</v>
      </c>
      <c r="N47" s="35" t="b">
        <v>0</v>
      </c>
      <c r="O47" s="35" t="b">
        <v>0</v>
      </c>
      <c r="P47" s="35" t="b">
        <v>0</v>
      </c>
      <c r="Q47" s="35" t="b">
        <v>0</v>
      </c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8" t="s">
        <v>550</v>
      </c>
      <c r="B48" s="22" t="s">
        <v>552</v>
      </c>
      <c r="C48" s="22" t="s">
        <v>553</v>
      </c>
      <c r="D48" s="26" t="s">
        <v>554</v>
      </c>
      <c r="E48" s="22" t="str">
        <f>IFERROR(__xludf.DUMMYFUNCTION("GOOGLETRANSLATE(D48,""zh-CN"",""vi"")"),"Hôm nay là thứ Hai.")</f>
        <v>Hôm nay là thứ Hai.</v>
      </c>
      <c r="F48" s="30" t="s">
        <v>550</v>
      </c>
      <c r="G48" s="34" t="b">
        <f t="shared" si="1"/>
        <v>1</v>
      </c>
      <c r="H48" s="35" t="b">
        <v>1</v>
      </c>
      <c r="I48" s="35" t="b">
        <v>0</v>
      </c>
      <c r="J48" s="35" t="b">
        <v>0</v>
      </c>
      <c r="K48" s="35" t="b">
        <v>0</v>
      </c>
      <c r="L48" s="35" t="b">
        <v>0</v>
      </c>
      <c r="M48" s="35" t="b">
        <v>0</v>
      </c>
      <c r="N48" s="35" t="b">
        <v>0</v>
      </c>
      <c r="O48" s="35" t="b">
        <v>0</v>
      </c>
      <c r="P48" s="35" t="b">
        <v>0</v>
      </c>
      <c r="Q48" s="35" t="b">
        <v>0</v>
      </c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8" t="s">
        <v>584</v>
      </c>
      <c r="B49" s="22" t="s">
        <v>590</v>
      </c>
      <c r="C49" s="22" t="s">
        <v>593</v>
      </c>
      <c r="D49" s="26" t="s">
        <v>594</v>
      </c>
      <c r="E49" s="22" t="str">
        <f>IFERROR(__xludf.DUMMYFUNCTION("GOOGLETRANSLATE(D49,""zh-CN"",""vi"")"),"Tôi có chín cuốn sách.")</f>
        <v>Tôi có chín cuốn sách.</v>
      </c>
      <c r="F49" s="30" t="s">
        <v>584</v>
      </c>
      <c r="G49" s="34" t="b">
        <f t="shared" si="1"/>
        <v>1</v>
      </c>
      <c r="H49" s="35" t="b">
        <v>1</v>
      </c>
      <c r="I49" s="35" t="b">
        <v>0</v>
      </c>
      <c r="J49" s="35" t="b">
        <v>0</v>
      </c>
      <c r="K49" s="35" t="b">
        <v>0</v>
      </c>
      <c r="L49" s="35" t="b">
        <v>0</v>
      </c>
      <c r="M49" s="35" t="b">
        <v>0</v>
      </c>
      <c r="N49" s="35" t="b">
        <v>0</v>
      </c>
      <c r="O49" s="35" t="b">
        <v>0</v>
      </c>
      <c r="P49" s="35" t="b">
        <v>0</v>
      </c>
      <c r="Q49" s="35" t="b">
        <v>0</v>
      </c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8" t="s">
        <v>607</v>
      </c>
      <c r="B50" s="22" t="s">
        <v>608</v>
      </c>
      <c r="C50" s="22" t="s">
        <v>609</v>
      </c>
      <c r="D50" s="26" t="s">
        <v>610</v>
      </c>
      <c r="E50" s="22" t="str">
        <f>IFERROR(__xludf.DUMMYFUNCTION("GOOGLETRANSLATE(D50,""zh-CN"",""vi"")"),"Chúng tôi lái xe đến đó.")</f>
        <v>Chúng tôi lái xe đến đó.</v>
      </c>
      <c r="F50" s="30" t="s">
        <v>607</v>
      </c>
      <c r="G50" s="34" t="b">
        <f t="shared" si="1"/>
        <v>1</v>
      </c>
      <c r="H50" s="35" t="b">
        <v>1</v>
      </c>
      <c r="I50" s="35" t="b">
        <v>0</v>
      </c>
      <c r="J50" s="35" t="b">
        <v>0</v>
      </c>
      <c r="K50" s="35" t="b">
        <v>0</v>
      </c>
      <c r="L50" s="35" t="b">
        <v>0</v>
      </c>
      <c r="M50" s="35" t="b">
        <v>0</v>
      </c>
      <c r="N50" s="35" t="b">
        <v>0</v>
      </c>
      <c r="O50" s="35" t="b">
        <v>0</v>
      </c>
      <c r="P50" s="35" t="b">
        <v>0</v>
      </c>
      <c r="Q50" s="35" t="b">
        <v>0</v>
      </c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8" t="s">
        <v>627</v>
      </c>
      <c r="B51" s="22" t="s">
        <v>628</v>
      </c>
      <c r="C51" s="22" t="s">
        <v>629</v>
      </c>
      <c r="D51" s="26" t="s">
        <v>192</v>
      </c>
      <c r="E51" s="22" t="str">
        <f>IFERROR(__xludf.DUMMYFUNCTION("GOOGLETRANSLATE(D51,""zh-CN"",""vi"")"),"Tôi thích đi xem phim.")</f>
        <v>Tôi thích đi xem phim.</v>
      </c>
      <c r="F51" s="30" t="s">
        <v>627</v>
      </c>
      <c r="G51" s="34" t="b">
        <f t="shared" si="1"/>
        <v>1</v>
      </c>
      <c r="H51" s="35" t="b">
        <v>1</v>
      </c>
      <c r="I51" s="35" t="b">
        <v>0</v>
      </c>
      <c r="J51" s="35" t="b">
        <v>0</v>
      </c>
      <c r="K51" s="35" t="b">
        <v>0</v>
      </c>
      <c r="L51" s="35" t="b">
        <v>0</v>
      </c>
      <c r="M51" s="35" t="b">
        <v>0</v>
      </c>
      <c r="N51" s="35" t="b">
        <v>0</v>
      </c>
      <c r="O51" s="35" t="b">
        <v>0</v>
      </c>
      <c r="P51" s="35" t="b">
        <v>0</v>
      </c>
      <c r="Q51" s="35" t="b">
        <v>0</v>
      </c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8" t="s">
        <v>638</v>
      </c>
      <c r="B52" s="22" t="s">
        <v>639</v>
      </c>
      <c r="C52" s="22" t="s">
        <v>641</v>
      </c>
      <c r="D52" s="26" t="s">
        <v>643</v>
      </c>
      <c r="E52" s="22" t="str">
        <f>IFERROR(__xludf.DUMMYFUNCTION("GOOGLETRANSLATE(D52,""zh-CN"",""vi"")"),"Tôi nhìn thấy bạn.")</f>
        <v>Tôi nhìn thấy bạn.</v>
      </c>
      <c r="F52" s="30" t="s">
        <v>638</v>
      </c>
      <c r="G52" s="34" t="b">
        <f t="shared" si="1"/>
        <v>1</v>
      </c>
      <c r="H52" s="35" t="b">
        <v>1</v>
      </c>
      <c r="I52" s="35" t="b">
        <v>0</v>
      </c>
      <c r="J52" s="35" t="b">
        <v>0</v>
      </c>
      <c r="K52" s="35" t="b">
        <v>0</v>
      </c>
      <c r="L52" s="35" t="b">
        <v>0</v>
      </c>
      <c r="M52" s="35" t="b">
        <v>0</v>
      </c>
      <c r="N52" s="35" t="b">
        <v>0</v>
      </c>
      <c r="O52" s="35" t="b">
        <v>0</v>
      </c>
      <c r="P52" s="35" t="b">
        <v>0</v>
      </c>
      <c r="Q52" s="35" t="b">
        <v>0</v>
      </c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8" t="s">
        <v>653</v>
      </c>
      <c r="B53" s="22" t="s">
        <v>654</v>
      </c>
      <c r="C53" s="22" t="s">
        <v>656</v>
      </c>
      <c r="D53" s="26" t="s">
        <v>658</v>
      </c>
      <c r="E53" s="22" t="str">
        <f>IFERROR(__xludf.DUMMYFUNCTION("GOOGLETRANSLATE(D53,""zh-CN"",""vi"")"),"Quả táo này có giá hai nhân dân tệ.")</f>
        <v>Quả táo này có giá hai nhân dân tệ.</v>
      </c>
      <c r="F53" s="30" t="s">
        <v>653</v>
      </c>
      <c r="G53" s="34" t="b">
        <f t="shared" si="1"/>
        <v>1</v>
      </c>
      <c r="H53" s="35" t="b">
        <v>1</v>
      </c>
      <c r="I53" s="35" t="b">
        <v>0</v>
      </c>
      <c r="J53" s="35" t="b">
        <v>0</v>
      </c>
      <c r="K53" s="35" t="b">
        <v>0</v>
      </c>
      <c r="L53" s="35" t="b">
        <v>0</v>
      </c>
      <c r="M53" s="35" t="b">
        <v>0</v>
      </c>
      <c r="N53" s="35" t="b">
        <v>0</v>
      </c>
      <c r="O53" s="35" t="b">
        <v>0</v>
      </c>
      <c r="P53" s="35" t="b">
        <v>0</v>
      </c>
      <c r="Q53" s="35" t="b">
        <v>0</v>
      </c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8" t="s">
        <v>671</v>
      </c>
      <c r="B54" s="22" t="s">
        <v>673</v>
      </c>
      <c r="C54" s="22" t="s">
        <v>325</v>
      </c>
      <c r="D54" s="26" t="s">
        <v>674</v>
      </c>
      <c r="E54" s="22" t="str">
        <f>IFERROR(__xludf.DUMMYFUNCTION("GOOGLETRANSLATE(D54,""zh-CN"",""vi"")"),"Tôi sẽ đến vào ngày mai.")</f>
        <v>Tôi sẽ đến vào ngày mai.</v>
      </c>
      <c r="F54" s="30" t="s">
        <v>671</v>
      </c>
      <c r="G54" s="34" t="b">
        <f t="shared" si="1"/>
        <v>1</v>
      </c>
      <c r="H54" s="35" t="b">
        <v>1</v>
      </c>
      <c r="I54" s="35" t="b">
        <v>0</v>
      </c>
      <c r="J54" s="35" t="b">
        <v>0</v>
      </c>
      <c r="K54" s="35" t="b">
        <v>0</v>
      </c>
      <c r="L54" s="35" t="b">
        <v>0</v>
      </c>
      <c r="M54" s="35" t="b">
        <v>0</v>
      </c>
      <c r="N54" s="35" t="b">
        <v>0</v>
      </c>
      <c r="O54" s="35" t="b">
        <v>0</v>
      </c>
      <c r="P54" s="35" t="b">
        <v>0</v>
      </c>
      <c r="Q54" s="35" t="b">
        <v>0</v>
      </c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8" t="s">
        <v>684</v>
      </c>
      <c r="B55" s="22" t="s">
        <v>685</v>
      </c>
      <c r="C55" s="22" t="s">
        <v>686</v>
      </c>
      <c r="D55" s="26" t="s">
        <v>687</v>
      </c>
      <c r="E55" s="22" t="str">
        <f>IFERROR(__xludf.DUMMYFUNCTION("GOOGLETRANSLATE(D55,""zh-CN"",""vi"")"),"Cô giáo của tôi rất thân thiện.")</f>
        <v>Cô giáo của tôi rất thân thiện.</v>
      </c>
      <c r="F55" s="30" t="s">
        <v>684</v>
      </c>
      <c r="G55" s="34" t="b">
        <f t="shared" si="1"/>
        <v>1</v>
      </c>
      <c r="H55" s="35" t="b">
        <v>1</v>
      </c>
      <c r="I55" s="35" t="b">
        <v>0</v>
      </c>
      <c r="J55" s="35" t="b">
        <v>0</v>
      </c>
      <c r="K55" s="35" t="b">
        <v>0</v>
      </c>
      <c r="L55" s="35" t="b">
        <v>0</v>
      </c>
      <c r="M55" s="35" t="b">
        <v>0</v>
      </c>
      <c r="N55" s="35" t="b">
        <v>0</v>
      </c>
      <c r="O55" s="35" t="b">
        <v>0</v>
      </c>
      <c r="P55" s="35" t="b">
        <v>0</v>
      </c>
      <c r="Q55" s="35" t="b">
        <v>0</v>
      </c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8" t="s">
        <v>696</v>
      </c>
      <c r="B56" s="22" t="s">
        <v>697</v>
      </c>
      <c r="C56" s="22" t="s">
        <v>698</v>
      </c>
      <c r="D56" s="26" t="s">
        <v>699</v>
      </c>
      <c r="E56" s="22" t="str">
        <f>IFERROR(__xludf.DUMMYFUNCTION("GOOGLETRANSLATE(D56,""zh-CN"",""vi"")"),"Cô ấy đã đến trường.")</f>
        <v>Cô ấy đã đến trường.</v>
      </c>
      <c r="F56" s="30" t="s">
        <v>696</v>
      </c>
      <c r="G56" s="34" t="b">
        <f t="shared" si="1"/>
        <v>1</v>
      </c>
      <c r="H56" s="35" t="b">
        <v>1</v>
      </c>
      <c r="I56" s="35" t="b">
        <v>0</v>
      </c>
      <c r="J56" s="35" t="b">
        <v>0</v>
      </c>
      <c r="K56" s="35" t="b">
        <v>0</v>
      </c>
      <c r="L56" s="35" t="b">
        <v>0</v>
      </c>
      <c r="M56" s="35" t="b">
        <v>0</v>
      </c>
      <c r="N56" s="35" t="b">
        <v>0</v>
      </c>
      <c r="O56" s="35" t="b">
        <v>0</v>
      </c>
      <c r="P56" s="35" t="b">
        <v>0</v>
      </c>
      <c r="Q56" s="35" t="b">
        <v>0</v>
      </c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8" t="s">
        <v>712</v>
      </c>
      <c r="B57" s="22" t="s">
        <v>714</v>
      </c>
      <c r="C57" s="22" t="s">
        <v>717</v>
      </c>
      <c r="D57" s="26" t="s">
        <v>718</v>
      </c>
      <c r="E57" s="22" t="str">
        <f>IFERROR(__xludf.DUMMYFUNCTION("GOOGLETRANSLATE(D57,""zh-CN"",""vi"")"),"Trời bên ngoài rất lạnh.")</f>
        <v>Trời bên ngoài rất lạnh.</v>
      </c>
      <c r="F57" s="30" t="s">
        <v>712</v>
      </c>
      <c r="G57" s="34" t="b">
        <f t="shared" si="1"/>
        <v>1</v>
      </c>
      <c r="H57" s="35" t="b">
        <v>1</v>
      </c>
      <c r="I57" s="35" t="b">
        <v>0</v>
      </c>
      <c r="J57" s="35" t="b">
        <v>0</v>
      </c>
      <c r="K57" s="35" t="b">
        <v>0</v>
      </c>
      <c r="L57" s="35" t="b">
        <v>0</v>
      </c>
      <c r="M57" s="35" t="b">
        <v>0</v>
      </c>
      <c r="N57" s="35" t="b">
        <v>0</v>
      </c>
      <c r="O57" s="35" t="b">
        <v>0</v>
      </c>
      <c r="P57" s="35" t="b">
        <v>0</v>
      </c>
      <c r="Q57" s="35" t="b">
        <v>0</v>
      </c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8" t="s">
        <v>725</v>
      </c>
      <c r="B58" s="22" t="s">
        <v>728</v>
      </c>
      <c r="C58" s="22" t="s">
        <v>730</v>
      </c>
      <c r="D58" s="26" t="s">
        <v>732</v>
      </c>
      <c r="E58" s="22" t="str">
        <f>IFERROR(__xludf.DUMMYFUNCTION("GOOGLETRANSLATE(D58,""zh-CN"",""vi"")"),"Sách của tôi ở trong đó.")</f>
        <v>Sách của tôi ở trong đó.</v>
      </c>
      <c r="F58" s="30" t="s">
        <v>725</v>
      </c>
      <c r="G58" s="34" t="b">
        <f t="shared" si="1"/>
        <v>1</v>
      </c>
      <c r="H58" s="35" t="b">
        <v>1</v>
      </c>
      <c r="I58" s="35" t="b">
        <v>0</v>
      </c>
      <c r="J58" s="35" t="b">
        <v>0</v>
      </c>
      <c r="K58" s="35" t="b">
        <v>0</v>
      </c>
      <c r="L58" s="35" t="b">
        <v>0</v>
      </c>
      <c r="M58" s="35" t="b">
        <v>0</v>
      </c>
      <c r="N58" s="35" t="b">
        <v>0</v>
      </c>
      <c r="O58" s="35" t="b">
        <v>0</v>
      </c>
      <c r="P58" s="35" t="b">
        <v>0</v>
      </c>
      <c r="Q58" s="35" t="b">
        <v>0</v>
      </c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8" t="s">
        <v>746</v>
      </c>
      <c r="B59" s="22" t="s">
        <v>747</v>
      </c>
      <c r="C59" s="22" t="s">
        <v>748</v>
      </c>
      <c r="D59" s="26" t="s">
        <v>749</v>
      </c>
      <c r="E59" s="22" t="str">
        <f>IFERROR(__xludf.DUMMYFUNCTION("GOOGLETRANSLATE(D59,""zh-CN"",""vi"")"),"Hôm nay nhiệt độ là 0 độ.")</f>
        <v>Hôm nay nhiệt độ là 0 độ.</v>
      </c>
      <c r="F59" s="30" t="s">
        <v>746</v>
      </c>
      <c r="G59" s="34" t="b">
        <f t="shared" si="1"/>
        <v>1</v>
      </c>
      <c r="H59" s="35" t="b">
        <v>1</v>
      </c>
      <c r="I59" s="35" t="b">
        <v>0</v>
      </c>
      <c r="J59" s="35" t="b">
        <v>0</v>
      </c>
      <c r="K59" s="35" t="b">
        <v>0</v>
      </c>
      <c r="L59" s="35" t="b">
        <v>0</v>
      </c>
      <c r="M59" s="35" t="b">
        <v>0</v>
      </c>
      <c r="N59" s="35" t="b">
        <v>0</v>
      </c>
      <c r="O59" s="35" t="b">
        <v>0</v>
      </c>
      <c r="P59" s="35" t="b">
        <v>0</v>
      </c>
      <c r="Q59" s="35" t="b">
        <v>0</v>
      </c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8" t="s">
        <v>757</v>
      </c>
      <c r="B60" s="22" t="s">
        <v>760</v>
      </c>
      <c r="C60" s="22" t="s">
        <v>766</v>
      </c>
      <c r="D60" s="26" t="s">
        <v>769</v>
      </c>
      <c r="E60" s="22" t="str">
        <f>IFERROR(__xludf.DUMMYFUNCTION("GOOGLETRANSLATE(D60,""zh-CN"",""vi"")"),"Tôi có sáu quả táo.")</f>
        <v>Tôi có sáu quả táo.</v>
      </c>
      <c r="F60" s="30" t="s">
        <v>757</v>
      </c>
      <c r="G60" s="34" t="b">
        <f t="shared" si="1"/>
        <v>1</v>
      </c>
      <c r="H60" s="35" t="b">
        <v>1</v>
      </c>
      <c r="I60" s="35" t="b">
        <v>0</v>
      </c>
      <c r="J60" s="35" t="b">
        <v>0</v>
      </c>
      <c r="K60" s="35" t="b">
        <v>0</v>
      </c>
      <c r="L60" s="35" t="b">
        <v>0</v>
      </c>
      <c r="M60" s="35" t="b">
        <v>0</v>
      </c>
      <c r="N60" s="35" t="b">
        <v>0</v>
      </c>
      <c r="O60" s="35" t="b">
        <v>0</v>
      </c>
      <c r="P60" s="35" t="b">
        <v>0</v>
      </c>
      <c r="Q60" s="35" t="b">
        <v>0</v>
      </c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8" t="s">
        <v>782</v>
      </c>
      <c r="B61" s="22" t="s">
        <v>783</v>
      </c>
      <c r="C61" s="22" t="s">
        <v>784</v>
      </c>
      <c r="D61" s="26" t="s">
        <v>786</v>
      </c>
      <c r="E61" s="22" t="str">
        <f>IFERROR(__xludf.DUMMYFUNCTION("GOOGLETRANSLATE(D61,""zh-CN"",""vi"")"),"Mẹ tôi rất xinh đẹp.")</f>
        <v>Mẹ tôi rất xinh đẹp.</v>
      </c>
      <c r="F61" s="30" t="s">
        <v>782</v>
      </c>
      <c r="G61" s="34" t="b">
        <f t="shared" si="1"/>
        <v>1</v>
      </c>
      <c r="H61" s="35" t="b">
        <v>1</v>
      </c>
      <c r="I61" s="35" t="b">
        <v>0</v>
      </c>
      <c r="J61" s="35" t="b">
        <v>0</v>
      </c>
      <c r="K61" s="35" t="b">
        <v>0</v>
      </c>
      <c r="L61" s="35" t="b">
        <v>0</v>
      </c>
      <c r="M61" s="35" t="b">
        <v>0</v>
      </c>
      <c r="N61" s="35" t="b">
        <v>0</v>
      </c>
      <c r="O61" s="35" t="b">
        <v>0</v>
      </c>
      <c r="P61" s="35" t="b">
        <v>0</v>
      </c>
      <c r="Q61" s="35" t="b">
        <v>0</v>
      </c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8" t="s">
        <v>811</v>
      </c>
      <c r="B62" s="22" t="s">
        <v>813</v>
      </c>
      <c r="C62" s="22" t="s">
        <v>814</v>
      </c>
      <c r="D62" s="26" t="s">
        <v>816</v>
      </c>
      <c r="E62" s="22" t="str">
        <f>IFERROR(__xludf.DUMMYFUNCTION("GOOGLETRANSLATE(D62,""zh-CN"",""vi"")"),"Bạn ổn chứ?")</f>
        <v>Bạn ổn chứ?</v>
      </c>
      <c r="F62" s="30" t="s">
        <v>811</v>
      </c>
      <c r="G62" s="34" t="b">
        <f t="shared" si="1"/>
        <v>1</v>
      </c>
      <c r="H62" s="35" t="b">
        <v>1</v>
      </c>
      <c r="I62" s="35" t="b">
        <v>0</v>
      </c>
      <c r="J62" s="35" t="b">
        <v>0</v>
      </c>
      <c r="K62" s="35" t="b">
        <v>0</v>
      </c>
      <c r="L62" s="35" t="b">
        <v>0</v>
      </c>
      <c r="M62" s="35" t="b">
        <v>0</v>
      </c>
      <c r="N62" s="35" t="b">
        <v>0</v>
      </c>
      <c r="O62" s="35" t="b">
        <v>0</v>
      </c>
      <c r="P62" s="35" t="b">
        <v>0</v>
      </c>
      <c r="Q62" s="35" t="b">
        <v>0</v>
      </c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8" t="s">
        <v>823</v>
      </c>
      <c r="B63" s="22" t="s">
        <v>824</v>
      </c>
      <c r="C63" s="22" t="s">
        <v>828</v>
      </c>
      <c r="D63" s="26" t="s">
        <v>830</v>
      </c>
      <c r="E63" s="22" t="str">
        <f>IFERROR(__xludf.DUMMYFUNCTION("GOOGLETRANSLATE(D63,""zh-CN"",""vi"")"),"Tôi đã mua trái cây.")</f>
        <v>Tôi đã mua trái cây.</v>
      </c>
      <c r="F63" s="30" t="s">
        <v>823</v>
      </c>
      <c r="G63" s="34" t="b">
        <f t="shared" si="1"/>
        <v>1</v>
      </c>
      <c r="H63" s="35" t="b">
        <v>1</v>
      </c>
      <c r="I63" s="35" t="b">
        <v>0</v>
      </c>
      <c r="J63" s="35" t="b">
        <v>0</v>
      </c>
      <c r="K63" s="35" t="b">
        <v>0</v>
      </c>
      <c r="L63" s="35" t="b">
        <v>0</v>
      </c>
      <c r="M63" s="35" t="b">
        <v>0</v>
      </c>
      <c r="N63" s="35" t="b">
        <v>0</v>
      </c>
      <c r="O63" s="35" t="b">
        <v>0</v>
      </c>
      <c r="P63" s="35" t="b">
        <v>0</v>
      </c>
      <c r="Q63" s="35" t="b">
        <v>0</v>
      </c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8" t="s">
        <v>852</v>
      </c>
      <c r="B64" s="22" t="s">
        <v>854</v>
      </c>
      <c r="C64" s="22" t="s">
        <v>856</v>
      </c>
      <c r="D64" s="26" t="s">
        <v>859</v>
      </c>
      <c r="E64" s="22" t="str">
        <f>IFERROR(__xludf.DUMMYFUNCTION("GOOGLETRANSLATE(D64,""zh-CN"",""vi"")"),"Con mèo này dễ thương quá.")</f>
        <v>Con mèo này dễ thương quá.</v>
      </c>
      <c r="F64" s="30" t="s">
        <v>852</v>
      </c>
      <c r="G64" s="34" t="b">
        <f t="shared" si="1"/>
        <v>1</v>
      </c>
      <c r="H64" s="35" t="b">
        <v>1</v>
      </c>
      <c r="I64" s="35" t="b">
        <v>0</v>
      </c>
      <c r="J64" s="35" t="b">
        <v>0</v>
      </c>
      <c r="K64" s="35" t="b">
        <v>0</v>
      </c>
      <c r="L64" s="35" t="b">
        <v>0</v>
      </c>
      <c r="M64" s="35" t="b">
        <v>0</v>
      </c>
      <c r="N64" s="35" t="b">
        <v>0</v>
      </c>
      <c r="O64" s="35" t="b">
        <v>0</v>
      </c>
      <c r="P64" s="35" t="b">
        <v>0</v>
      </c>
      <c r="Q64" s="35" t="b">
        <v>0</v>
      </c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8" t="s">
        <v>873</v>
      </c>
      <c r="B65" s="22" t="s">
        <v>874</v>
      </c>
      <c r="C65" s="22" t="s">
        <v>875</v>
      </c>
      <c r="D65" s="26" t="s">
        <v>876</v>
      </c>
      <c r="E65" s="22" t="str">
        <f>IFERROR(__xludf.DUMMYFUNCTION("GOOGLETRANSLATE(D65,""zh-CN"",""vi"")"),"Tôi không nhìn thấy anh ấy.")</f>
        <v>Tôi không nhìn thấy anh ấy.</v>
      </c>
      <c r="F65" s="30" t="s">
        <v>873</v>
      </c>
      <c r="G65" s="34" t="b">
        <f t="shared" si="1"/>
        <v>1</v>
      </c>
      <c r="H65" s="35" t="b">
        <v>1</v>
      </c>
      <c r="I65" s="35" t="b">
        <v>0</v>
      </c>
      <c r="J65" s="35" t="b">
        <v>0</v>
      </c>
      <c r="K65" s="35" t="b">
        <v>0</v>
      </c>
      <c r="L65" s="35" t="b">
        <v>0</v>
      </c>
      <c r="M65" s="35" t="b">
        <v>0</v>
      </c>
      <c r="N65" s="35" t="b">
        <v>0</v>
      </c>
      <c r="O65" s="35" t="b">
        <v>0</v>
      </c>
      <c r="P65" s="35" t="b">
        <v>0</v>
      </c>
      <c r="Q65" s="35" t="b">
        <v>0</v>
      </c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8" t="s">
        <v>888</v>
      </c>
      <c r="B66" s="22" t="s">
        <v>889</v>
      </c>
      <c r="C66" s="22" t="s">
        <v>891</v>
      </c>
      <c r="D66" s="26" t="s">
        <v>894</v>
      </c>
      <c r="E66" s="22" t="str">
        <f>IFERROR(__xludf.DUMMYFUNCTION("GOOGLETRANSLATE(D66,""zh-CN"",""vi"")"),"Trời đang mưa, nhưng không sao, chúng ta có ô.")</f>
        <v>Trời đang mưa, nhưng không sao, chúng ta có ô.</v>
      </c>
      <c r="F66" s="30" t="s">
        <v>888</v>
      </c>
      <c r="G66" s="34" t="b">
        <f t="shared" si="1"/>
        <v>1</v>
      </c>
      <c r="H66" s="35" t="b">
        <v>1</v>
      </c>
      <c r="I66" s="35" t="b">
        <v>0</v>
      </c>
      <c r="J66" s="35" t="b">
        <v>0</v>
      </c>
      <c r="K66" s="35" t="b">
        <v>0</v>
      </c>
      <c r="L66" s="35" t="b">
        <v>0</v>
      </c>
      <c r="M66" s="35" t="b">
        <v>0</v>
      </c>
      <c r="N66" s="35" t="b">
        <v>0</v>
      </c>
      <c r="O66" s="35" t="b">
        <v>0</v>
      </c>
      <c r="P66" s="35" t="b">
        <v>0</v>
      </c>
      <c r="Q66" s="35" t="b">
        <v>0</v>
      </c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8" t="s">
        <v>908</v>
      </c>
      <c r="B67" s="22" t="s">
        <v>909</v>
      </c>
      <c r="C67" s="22" t="s">
        <v>910</v>
      </c>
      <c r="D67" s="26" t="s">
        <v>911</v>
      </c>
      <c r="E67" s="22" t="str">
        <f>IFERROR(__xludf.DUMMYFUNCTION("GOOGLETRANSLATE(D67,""zh-CN"",""vi"")"),"Chúng tôi ăn cơm.")</f>
        <v>Chúng tôi ăn cơm.</v>
      </c>
      <c r="F67" s="30" t="s">
        <v>908</v>
      </c>
      <c r="G67" s="34" t="b">
        <f t="shared" si="1"/>
        <v>1</v>
      </c>
      <c r="H67" s="35" t="b">
        <v>1</v>
      </c>
      <c r="I67" s="35" t="b">
        <v>0</v>
      </c>
      <c r="J67" s="35" t="b">
        <v>0</v>
      </c>
      <c r="K67" s="35" t="b">
        <v>0</v>
      </c>
      <c r="L67" s="35" t="b">
        <v>0</v>
      </c>
      <c r="M67" s="35" t="b">
        <v>0</v>
      </c>
      <c r="N67" s="35" t="b">
        <v>0</v>
      </c>
      <c r="O67" s="35" t="b">
        <v>0</v>
      </c>
      <c r="P67" s="35" t="b">
        <v>0</v>
      </c>
      <c r="Q67" s="35" t="b">
        <v>0</v>
      </c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8" t="s">
        <v>924</v>
      </c>
      <c r="B68" s="22" t="s">
        <v>925</v>
      </c>
      <c r="C68" s="22" t="s">
        <v>926</v>
      </c>
      <c r="D68" s="26" t="s">
        <v>928</v>
      </c>
      <c r="E68" s="22" t="str">
        <f>IFERROR(__xludf.DUMMYFUNCTION("GOOGLETRANSLATE(D68,""zh-CN"",""vi"")"),"Hẹn gặp lại ngày mai.")</f>
        <v>Hẹn gặp lại ngày mai.</v>
      </c>
      <c r="F68" s="30" t="s">
        <v>924</v>
      </c>
      <c r="G68" s="34" t="b">
        <f t="shared" si="1"/>
        <v>1</v>
      </c>
      <c r="H68" s="35" t="b">
        <v>1</v>
      </c>
      <c r="I68" s="35" t="b">
        <v>0</v>
      </c>
      <c r="J68" s="35" t="b">
        <v>0</v>
      </c>
      <c r="K68" s="35" t="b">
        <v>0</v>
      </c>
      <c r="L68" s="35" t="b">
        <v>0</v>
      </c>
      <c r="M68" s="35" t="b">
        <v>0</v>
      </c>
      <c r="N68" s="35" t="b">
        <v>0</v>
      </c>
      <c r="O68" s="35" t="b">
        <v>0</v>
      </c>
      <c r="P68" s="35" t="b">
        <v>0</v>
      </c>
      <c r="Q68" s="35" t="b">
        <v>0</v>
      </c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8" t="s">
        <v>944</v>
      </c>
      <c r="B69" s="22" t="s">
        <v>945</v>
      </c>
      <c r="C69" s="22" t="s">
        <v>946</v>
      </c>
      <c r="D69" s="26" t="s">
        <v>947</v>
      </c>
      <c r="E69" s="22" t="str">
        <f>IFERROR(__xludf.DUMMYFUNCTION("GOOGLETRANSLATE(D69,""zh-CN"",""vi"")"),"Xin hỏi tên của bạn?")</f>
        <v>Xin hỏi tên của bạn?</v>
      </c>
      <c r="F69" s="30" t="s">
        <v>944</v>
      </c>
      <c r="G69" s="34" t="b">
        <f t="shared" si="1"/>
        <v>1</v>
      </c>
      <c r="H69" s="35" t="b">
        <v>1</v>
      </c>
      <c r="I69" s="35" t="b">
        <v>0</v>
      </c>
      <c r="J69" s="35" t="b">
        <v>0</v>
      </c>
      <c r="K69" s="35" t="b">
        <v>0</v>
      </c>
      <c r="L69" s="35" t="b">
        <v>0</v>
      </c>
      <c r="M69" s="35" t="b">
        <v>0</v>
      </c>
      <c r="N69" s="35" t="b">
        <v>0</v>
      </c>
      <c r="O69" s="35" t="b">
        <v>0</v>
      </c>
      <c r="P69" s="35" t="b">
        <v>0</v>
      </c>
      <c r="Q69" s="35" t="b">
        <v>0</v>
      </c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8" t="s">
        <v>959</v>
      </c>
      <c r="B70" s="22" t="s">
        <v>961</v>
      </c>
      <c r="C70" s="22" t="s">
        <v>962</v>
      </c>
      <c r="D70" s="26" t="s">
        <v>964</v>
      </c>
      <c r="E70" s="22" t="str">
        <f>IFERROR(__xludf.DUMMYFUNCTION("GOOGLETRANSLATE(D70,""zh-CN"",""vi"")"),"Bạn đang đi đâu vậy?")</f>
        <v>Bạn đang đi đâu vậy?</v>
      </c>
      <c r="F70" s="30" t="s">
        <v>968</v>
      </c>
      <c r="G70" s="34" t="b">
        <f t="shared" si="1"/>
        <v>0</v>
      </c>
      <c r="H70" s="35" t="b">
        <v>1</v>
      </c>
      <c r="I70" s="35" t="b">
        <v>0</v>
      </c>
      <c r="J70" s="35" t="b">
        <v>0</v>
      </c>
      <c r="K70" s="35" t="b">
        <v>0</v>
      </c>
      <c r="L70" s="35" t="b">
        <v>0</v>
      </c>
      <c r="M70" s="35" t="b">
        <v>0</v>
      </c>
      <c r="N70" s="35" t="b">
        <v>0</v>
      </c>
      <c r="O70" s="35" t="b">
        <v>0</v>
      </c>
      <c r="P70" s="35" t="b">
        <v>0</v>
      </c>
      <c r="Q70" s="35" t="b">
        <v>0</v>
      </c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8" t="s">
        <v>978</v>
      </c>
      <c r="B71" s="22" t="s">
        <v>980</v>
      </c>
      <c r="C71" s="22" t="s">
        <v>982</v>
      </c>
      <c r="D71" s="26" t="s">
        <v>984</v>
      </c>
      <c r="E71" s="22" t="str">
        <f>IFERROR(__xludf.DUMMYFUNCTION("GOOGLETRANSLATE(D71,""zh-CN"",""vi"")"),"Chiếc ba lô đó rất đẹp.")</f>
        <v>Chiếc ba lô đó rất đẹp.</v>
      </c>
      <c r="F71" s="30" t="s">
        <v>978</v>
      </c>
      <c r="G71" s="34" t="b">
        <f t="shared" si="1"/>
        <v>1</v>
      </c>
      <c r="H71" s="35" t="b">
        <v>1</v>
      </c>
      <c r="I71" s="35" t="b">
        <v>0</v>
      </c>
      <c r="J71" s="35" t="b">
        <v>0</v>
      </c>
      <c r="K71" s="35" t="b">
        <v>0</v>
      </c>
      <c r="L71" s="35" t="b">
        <v>0</v>
      </c>
      <c r="M71" s="35" t="b">
        <v>0</v>
      </c>
      <c r="N71" s="35" t="b">
        <v>0</v>
      </c>
      <c r="O71" s="35" t="b">
        <v>0</v>
      </c>
      <c r="P71" s="35" t="b">
        <v>0</v>
      </c>
      <c r="Q71" s="35" t="b">
        <v>0</v>
      </c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8" t="s">
        <v>993</v>
      </c>
      <c r="B72" s="22" t="s">
        <v>994</v>
      </c>
      <c r="C72" s="22" t="s">
        <v>998</v>
      </c>
      <c r="D72" s="26" t="s">
        <v>1000</v>
      </c>
      <c r="E72" s="22" t="str">
        <f>IFERROR(__xludf.DUMMYFUNCTION("GOOGLETRANSLATE(D72,""zh-CN"",""vi"")"),"Và bạn?")</f>
        <v>Và bạn?</v>
      </c>
      <c r="F72" s="30" t="s">
        <v>993</v>
      </c>
      <c r="G72" s="34" t="b">
        <f t="shared" si="1"/>
        <v>1</v>
      </c>
      <c r="H72" s="35" t="b">
        <v>1</v>
      </c>
      <c r="I72" s="35" t="b">
        <v>0</v>
      </c>
      <c r="J72" s="35" t="b">
        <v>0</v>
      </c>
      <c r="K72" s="35" t="b">
        <v>0</v>
      </c>
      <c r="L72" s="35" t="b">
        <v>0</v>
      </c>
      <c r="M72" s="35" t="b">
        <v>0</v>
      </c>
      <c r="N72" s="35" t="b">
        <v>0</v>
      </c>
      <c r="O72" s="35" t="b">
        <v>0</v>
      </c>
      <c r="P72" s="35" t="b">
        <v>0</v>
      </c>
      <c r="Q72" s="35" t="b">
        <v>0</v>
      </c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8" t="s">
        <v>1008</v>
      </c>
      <c r="B73" s="22" t="s">
        <v>1009</v>
      </c>
      <c r="C73" s="22" t="s">
        <v>1010</v>
      </c>
      <c r="D73" s="26" t="s">
        <v>1011</v>
      </c>
      <c r="E73" s="22" t="str">
        <f>IFERROR(__xludf.DUMMYFUNCTION("GOOGLETRANSLATE(D73,""zh-CN"",""vi"")"),"Anh ấy có thể nói ba thứ tiếng.")</f>
        <v>Anh ấy có thể nói ba thứ tiếng.</v>
      </c>
      <c r="F73" s="30" t="s">
        <v>1008</v>
      </c>
      <c r="G73" s="34" t="b">
        <f t="shared" si="1"/>
        <v>1</v>
      </c>
      <c r="H73" s="35" t="b">
        <v>1</v>
      </c>
      <c r="I73" s="35" t="b">
        <v>0</v>
      </c>
      <c r="J73" s="35" t="b">
        <v>0</v>
      </c>
      <c r="K73" s="35" t="b">
        <v>0</v>
      </c>
      <c r="L73" s="35" t="b">
        <v>0</v>
      </c>
      <c r="M73" s="35" t="b">
        <v>0</v>
      </c>
      <c r="N73" s="35" t="b">
        <v>0</v>
      </c>
      <c r="O73" s="35" t="b">
        <v>0</v>
      </c>
      <c r="P73" s="35" t="b">
        <v>0</v>
      </c>
      <c r="Q73" s="35" t="b">
        <v>0</v>
      </c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8" t="s">
        <v>1024</v>
      </c>
      <c r="B74" s="22" t="s">
        <v>1026</v>
      </c>
      <c r="C74" s="22" t="s">
        <v>1029</v>
      </c>
      <c r="D74" s="26" t="s">
        <v>1030</v>
      </c>
      <c r="E74" s="22" t="str">
        <f>IFERROR(__xludf.DUMMYFUNCTION("GOOGLETRANSLATE(D74,""zh-CN"",""vi"")"),"Xin hỏi tên của bạn?")</f>
        <v>Xin hỏi tên của bạn?</v>
      </c>
      <c r="F74" s="30" t="s">
        <v>1024</v>
      </c>
      <c r="G74" s="34" t="b">
        <f t="shared" si="1"/>
        <v>1</v>
      </c>
      <c r="H74" s="35" t="b">
        <v>1</v>
      </c>
      <c r="I74" s="35" t="b">
        <v>0</v>
      </c>
      <c r="J74" s="35" t="b">
        <v>0</v>
      </c>
      <c r="K74" s="35" t="b">
        <v>0</v>
      </c>
      <c r="L74" s="35" t="b">
        <v>0</v>
      </c>
      <c r="M74" s="35" t="b">
        <v>0</v>
      </c>
      <c r="N74" s="35" t="b">
        <v>0</v>
      </c>
      <c r="O74" s="35" t="b">
        <v>0</v>
      </c>
      <c r="P74" s="35" t="b">
        <v>0</v>
      </c>
      <c r="Q74" s="35" t="b">
        <v>0</v>
      </c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8" t="s">
        <v>1043</v>
      </c>
      <c r="B75" s="22" t="s">
        <v>1044</v>
      </c>
      <c r="C75" s="22" t="s">
        <v>1045</v>
      </c>
      <c r="D75" s="26" t="s">
        <v>1046</v>
      </c>
      <c r="E75" s="22" t="str">
        <f>IFERROR(__xludf.DUMMYFUNCTION("GOOGLETRANSLATE(D75,""zh-CN"",""vi"")"),"Tôi đã kết hôn được ba năm.")</f>
        <v>Tôi đã kết hôn được ba năm.</v>
      </c>
      <c r="F75" s="30" t="s">
        <v>1043</v>
      </c>
      <c r="G75" s="34" t="b">
        <f t="shared" si="1"/>
        <v>1</v>
      </c>
      <c r="H75" s="35" t="b">
        <v>1</v>
      </c>
      <c r="I75" s="35" t="b">
        <v>0</v>
      </c>
      <c r="J75" s="35" t="b">
        <v>0</v>
      </c>
      <c r="K75" s="35" t="b">
        <v>0</v>
      </c>
      <c r="L75" s="35" t="b">
        <v>0</v>
      </c>
      <c r="M75" s="35" t="b">
        <v>0</v>
      </c>
      <c r="N75" s="35" t="b">
        <v>0</v>
      </c>
      <c r="O75" s="35" t="b">
        <v>0</v>
      </c>
      <c r="P75" s="35" t="b">
        <v>0</v>
      </c>
      <c r="Q75" s="35" t="b">
        <v>0</v>
      </c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8" t="s">
        <v>1063</v>
      </c>
      <c r="B76" s="22" t="s">
        <v>1064</v>
      </c>
      <c r="C76" s="22" t="s">
        <v>1065</v>
      </c>
      <c r="D76" s="26" t="s">
        <v>1066</v>
      </c>
      <c r="E76" s="22" t="str">
        <f>IFERROR(__xludf.DUMMYFUNCTION("GOOGLETRANSLATE(D76,""zh-CN"",""vi"")"),"Cô ấy là con gái tôi.")</f>
        <v>Cô ấy là con gái tôi.</v>
      </c>
      <c r="F76" s="30" t="s">
        <v>1063</v>
      </c>
      <c r="G76" s="34" t="b">
        <f t="shared" si="1"/>
        <v>1</v>
      </c>
      <c r="H76" s="35" t="b">
        <v>1</v>
      </c>
      <c r="I76" s="35" t="b">
        <v>0</v>
      </c>
      <c r="J76" s="35" t="b">
        <v>0</v>
      </c>
      <c r="K76" s="35" t="b">
        <v>0</v>
      </c>
      <c r="L76" s="35" t="b">
        <v>0</v>
      </c>
      <c r="M76" s="35" t="b">
        <v>0</v>
      </c>
      <c r="N76" s="35" t="b">
        <v>0</v>
      </c>
      <c r="O76" s="35" t="b">
        <v>0</v>
      </c>
      <c r="P76" s="35" t="b">
        <v>0</v>
      </c>
      <c r="Q76" s="35" t="b">
        <v>0</v>
      </c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8" t="s">
        <v>1079</v>
      </c>
      <c r="B77" s="22" t="s">
        <v>1080</v>
      </c>
      <c r="C77" s="22" t="s">
        <v>1029</v>
      </c>
      <c r="D77" s="26" t="s">
        <v>1084</v>
      </c>
      <c r="E77" s="22" t="str">
        <f>IFERROR(__xludf.DUMMYFUNCTION("GOOGLETRANSLATE(D77,""zh-CN"",""vi"")"),"Bạn của cô ấy rất thông minh.")</f>
        <v>Bạn của cô ấy rất thông minh.</v>
      </c>
      <c r="F77" s="30" t="s">
        <v>1079</v>
      </c>
      <c r="G77" s="34" t="b">
        <f t="shared" si="1"/>
        <v>1</v>
      </c>
      <c r="H77" s="35" t="b">
        <v>1</v>
      </c>
      <c r="I77" s="35" t="b">
        <v>0</v>
      </c>
      <c r="J77" s="35" t="b">
        <v>0</v>
      </c>
      <c r="K77" s="35" t="b">
        <v>0</v>
      </c>
      <c r="L77" s="35" t="b">
        <v>0</v>
      </c>
      <c r="M77" s="35" t="b">
        <v>0</v>
      </c>
      <c r="N77" s="35" t="b">
        <v>0</v>
      </c>
      <c r="O77" s="35" t="b">
        <v>0</v>
      </c>
      <c r="P77" s="35" t="b">
        <v>0</v>
      </c>
      <c r="Q77" s="35" t="b">
        <v>0</v>
      </c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8" t="s">
        <v>1093</v>
      </c>
      <c r="B78" s="22" t="s">
        <v>1096</v>
      </c>
      <c r="C78" s="22" t="s">
        <v>1098</v>
      </c>
      <c r="D78" s="26" t="s">
        <v>1100</v>
      </c>
      <c r="E78" s="22" t="str">
        <f>IFERROR(__xludf.DUMMYFUNCTION("GOOGLETRANSLATE(D78,""zh-CN"",""vi"")"),"Cô ấy rất xinh đẹp.")</f>
        <v>Cô ấy rất xinh đẹp.</v>
      </c>
      <c r="F78" s="30" t="s">
        <v>1093</v>
      </c>
      <c r="G78" s="34" t="b">
        <f t="shared" si="1"/>
        <v>1</v>
      </c>
      <c r="H78" s="35" t="b">
        <v>1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8" t="s">
        <v>1110</v>
      </c>
      <c r="B79" s="22" t="s">
        <v>1111</v>
      </c>
      <c r="C79" s="22" t="s">
        <v>1113</v>
      </c>
      <c r="D79" s="26" t="s">
        <v>1117</v>
      </c>
      <c r="E79" s="22" t="str">
        <f>IFERROR(__xludf.DUMMYFUNCTION("GOOGLETRANSLATE(D79,""zh-CN"",""vi"")"),"Quả táo này rất ngon.")</f>
        <v>Quả táo này rất ngon.</v>
      </c>
      <c r="F79" s="30" t="s">
        <v>1110</v>
      </c>
      <c r="G79" s="34" t="b">
        <f t="shared" si="1"/>
        <v>1</v>
      </c>
      <c r="H79" s="35" t="b">
        <v>1</v>
      </c>
      <c r="I79" s="35" t="b">
        <v>0</v>
      </c>
      <c r="J79" s="35" t="b">
        <v>0</v>
      </c>
      <c r="K79" s="35" t="b">
        <v>0</v>
      </c>
      <c r="L79" s="35" t="b">
        <v>0</v>
      </c>
      <c r="M79" s="35" t="b">
        <v>0</v>
      </c>
      <c r="N79" s="35" t="b">
        <v>0</v>
      </c>
      <c r="O79" s="35" t="b">
        <v>0</v>
      </c>
      <c r="P79" s="35" t="b">
        <v>0</v>
      </c>
      <c r="Q79" s="35" t="b">
        <v>0</v>
      </c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8" t="s">
        <v>1129</v>
      </c>
      <c r="B80" s="22" t="s">
        <v>1130</v>
      </c>
      <c r="C80" s="22" t="s">
        <v>1131</v>
      </c>
      <c r="D80" s="26" t="s">
        <v>1132</v>
      </c>
      <c r="E80" s="22" t="str">
        <f>IFERROR(__xludf.DUMMYFUNCTION("GOOGLETRANSLATE(D80,""zh-CN"",""vi"")"),"Tôi có bảy người bạn.")</f>
        <v>Tôi có bảy người bạn.</v>
      </c>
      <c r="F80" s="30" t="s">
        <v>1129</v>
      </c>
      <c r="G80" s="34" t="b">
        <f t="shared" si="1"/>
        <v>1</v>
      </c>
      <c r="H80" s="35" t="b">
        <v>1</v>
      </c>
      <c r="I80" s="35" t="b">
        <v>0</v>
      </c>
      <c r="J80" s="35" t="b">
        <v>0</v>
      </c>
      <c r="K80" s="35" t="b">
        <v>0</v>
      </c>
      <c r="L80" s="35" t="b">
        <v>0</v>
      </c>
      <c r="M80" s="35" t="b">
        <v>0</v>
      </c>
      <c r="N80" s="35" t="b">
        <v>0</v>
      </c>
      <c r="O80" s="35" t="b">
        <v>0</v>
      </c>
      <c r="P80" s="35" t="b">
        <v>0</v>
      </c>
      <c r="Q80" s="35" t="b">
        <v>0</v>
      </c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8" t="s">
        <v>1149</v>
      </c>
      <c r="B81" s="22" t="s">
        <v>1150</v>
      </c>
      <c r="C81" s="22" t="s">
        <v>1151</v>
      </c>
      <c r="D81" s="26" t="s">
        <v>255</v>
      </c>
      <c r="E81" s="22" t="str">
        <f>IFERROR(__xludf.DUMMYFUNCTION("GOOGLETRANSLATE(D81,""zh-CN"",""vi"")"),"Cuốn sách này có giá bao nhiêu?")</f>
        <v>Cuốn sách này có giá bao nhiêu?</v>
      </c>
      <c r="F81" s="30" t="s">
        <v>1149</v>
      </c>
      <c r="G81" s="34" t="b">
        <f t="shared" si="1"/>
        <v>1</v>
      </c>
      <c r="H81" s="35" t="b">
        <v>1</v>
      </c>
      <c r="I81" s="35" t="b">
        <v>0</v>
      </c>
      <c r="J81" s="35" t="b">
        <v>0</v>
      </c>
      <c r="K81" s="35" t="b">
        <v>0</v>
      </c>
      <c r="L81" s="35" t="b">
        <v>0</v>
      </c>
      <c r="M81" s="35" t="b">
        <v>0</v>
      </c>
      <c r="N81" s="35" t="b">
        <v>0</v>
      </c>
      <c r="O81" s="35" t="b">
        <v>0</v>
      </c>
      <c r="P81" s="35" t="b">
        <v>0</v>
      </c>
      <c r="Q81" s="35" t="b">
        <v>0</v>
      </c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8" t="s">
        <v>1164</v>
      </c>
      <c r="B82" s="22" t="s">
        <v>1166</v>
      </c>
      <c r="C82" s="22" t="s">
        <v>1169</v>
      </c>
      <c r="D82" s="26" t="s">
        <v>489</v>
      </c>
      <c r="E82" s="22" t="str">
        <f>IFERROR(__xludf.DUMMYFUNCTION("GOOGLETRANSLATE(D82,""zh-CN"",""vi"")"),"Ga tàu ở phía trước.")</f>
        <v>Ga tàu ở phía trước.</v>
      </c>
      <c r="F82" s="30" t="s">
        <v>1164</v>
      </c>
      <c r="G82" s="34" t="b">
        <f t="shared" si="1"/>
        <v>1</v>
      </c>
      <c r="H82" s="35" t="b">
        <v>1</v>
      </c>
      <c r="I82" s="35" t="b">
        <v>0</v>
      </c>
      <c r="J82" s="35" t="b">
        <v>0</v>
      </c>
      <c r="K82" s="35" t="b">
        <v>0</v>
      </c>
      <c r="L82" s="35" t="b">
        <v>0</v>
      </c>
      <c r="M82" s="35" t="b">
        <v>0</v>
      </c>
      <c r="N82" s="35" t="b">
        <v>0</v>
      </c>
      <c r="O82" s="35" t="b">
        <v>0</v>
      </c>
      <c r="P82" s="35" t="b">
        <v>0</v>
      </c>
      <c r="Q82" s="35" t="b">
        <v>0</v>
      </c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8" t="s">
        <v>1179</v>
      </c>
      <c r="B83" s="22" t="s">
        <v>1182</v>
      </c>
      <c r="C83" s="22" t="s">
        <v>1185</v>
      </c>
      <c r="D83" s="26" t="s">
        <v>1187</v>
      </c>
      <c r="E83" s="22" t="str">
        <f>IFERROR(__xludf.DUMMYFUNCTION("GOOGLETRANSLATE(D83,""zh-CN"",""vi"")"),"Vui lòng đưa cho tôi thực đơn.")</f>
        <v>Vui lòng đưa cho tôi thực đơn.</v>
      </c>
      <c r="F83" s="30" t="s">
        <v>1179</v>
      </c>
      <c r="G83" s="34" t="b">
        <f t="shared" si="1"/>
        <v>1</v>
      </c>
      <c r="H83" s="35" t="b">
        <v>1</v>
      </c>
      <c r="I83" s="35" t="b">
        <v>0</v>
      </c>
      <c r="J83" s="35" t="b">
        <v>0</v>
      </c>
      <c r="K83" s="35" t="b">
        <v>0</v>
      </c>
      <c r="L83" s="35" t="b">
        <v>0</v>
      </c>
      <c r="M83" s="35" t="b">
        <v>0</v>
      </c>
      <c r="N83" s="35" t="b">
        <v>0</v>
      </c>
      <c r="O83" s="35" t="b">
        <v>0</v>
      </c>
      <c r="P83" s="35" t="b">
        <v>0</v>
      </c>
      <c r="Q83" s="35" t="b">
        <v>0</v>
      </c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8" t="s">
        <v>1199</v>
      </c>
      <c r="B84" s="22" t="s">
        <v>1201</v>
      </c>
      <c r="C84" s="22" t="s">
        <v>1202</v>
      </c>
      <c r="D84" s="26" t="s">
        <v>1203</v>
      </c>
      <c r="E84" s="22" t="str">
        <f>IFERROR(__xludf.DUMMYFUNCTION("GOOGLETRANSLATE(D84,""zh-CN"",""vi"")"),"Chúng ta sẽ đi đến cửa hàng.")</f>
        <v>Chúng ta sẽ đi đến cửa hàng.</v>
      </c>
      <c r="F84" s="30" t="s">
        <v>1199</v>
      </c>
      <c r="G84" s="34" t="b">
        <f t="shared" si="1"/>
        <v>1</v>
      </c>
      <c r="H84" s="35" t="b">
        <v>1</v>
      </c>
      <c r="I84" s="35" t="b">
        <v>0</v>
      </c>
      <c r="J84" s="35" t="b">
        <v>0</v>
      </c>
      <c r="K84" s="35" t="b">
        <v>0</v>
      </c>
      <c r="L84" s="35" t="b">
        <v>0</v>
      </c>
      <c r="M84" s="35" t="b">
        <v>0</v>
      </c>
      <c r="N84" s="35" t="b">
        <v>0</v>
      </c>
      <c r="O84" s="35" t="b">
        <v>0</v>
      </c>
      <c r="P84" s="35" t="b">
        <v>0</v>
      </c>
      <c r="Q84" s="35" t="b">
        <v>0</v>
      </c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8" t="s">
        <v>1216</v>
      </c>
      <c r="B85" s="22" t="s">
        <v>1218</v>
      </c>
      <c r="C85" s="22" t="s">
        <v>1221</v>
      </c>
      <c r="D85" s="26" t="s">
        <v>1223</v>
      </c>
      <c r="E85" s="22" t="str">
        <f>IFERROR(__xludf.DUMMYFUNCTION("GOOGLETRANSLATE(D85,""zh-CN"",""vi"")"),"Trời rất nóng.")</f>
        <v>Trời rất nóng.</v>
      </c>
      <c r="F85" s="30" t="s">
        <v>1216</v>
      </c>
      <c r="G85" s="34" t="b">
        <f t="shared" si="1"/>
        <v>1</v>
      </c>
      <c r="H85" s="35" t="b">
        <v>1</v>
      </c>
      <c r="I85" s="35" t="b">
        <v>0</v>
      </c>
      <c r="J85" s="35" t="b">
        <v>0</v>
      </c>
      <c r="K85" s="35" t="b">
        <v>0</v>
      </c>
      <c r="L85" s="35" t="b">
        <v>0</v>
      </c>
      <c r="M85" s="35" t="b">
        <v>0</v>
      </c>
      <c r="N85" s="35" t="b">
        <v>0</v>
      </c>
      <c r="O85" s="35" t="b">
        <v>0</v>
      </c>
      <c r="P85" s="35" t="b">
        <v>0</v>
      </c>
      <c r="Q85" s="35" t="b">
        <v>0</v>
      </c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8" t="s">
        <v>1236</v>
      </c>
      <c r="B86" s="22" t="s">
        <v>1238</v>
      </c>
      <c r="C86" s="22" t="s">
        <v>1241</v>
      </c>
      <c r="D86" s="26" t="s">
        <v>1243</v>
      </c>
      <c r="E86" s="22" t="str">
        <f>IFERROR(__xludf.DUMMYFUNCTION("GOOGLETRANSLATE(D86,""zh-CN"",""vi"")"),"Người này rất thân thiện.")</f>
        <v>Người này rất thân thiện.</v>
      </c>
      <c r="F86" s="30" t="s">
        <v>1236</v>
      </c>
      <c r="G86" s="34" t="b">
        <f t="shared" si="1"/>
        <v>1</v>
      </c>
      <c r="H86" s="35" t="b">
        <v>1</v>
      </c>
      <c r="I86" s="35" t="b">
        <v>0</v>
      </c>
      <c r="J86" s="35" t="b">
        <v>0</v>
      </c>
      <c r="K86" s="35" t="b">
        <v>0</v>
      </c>
      <c r="L86" s="35" t="b">
        <v>0</v>
      </c>
      <c r="M86" s="35" t="b">
        <v>0</v>
      </c>
      <c r="N86" s="35" t="b">
        <v>0</v>
      </c>
      <c r="O86" s="35" t="b">
        <v>0</v>
      </c>
      <c r="P86" s="35" t="b">
        <v>0</v>
      </c>
      <c r="Q86" s="35" t="b">
        <v>0</v>
      </c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8" t="s">
        <v>1256</v>
      </c>
      <c r="B87" s="22" t="s">
        <v>1259</v>
      </c>
      <c r="C87" s="22" t="s">
        <v>1262</v>
      </c>
      <c r="D87" s="26" t="s">
        <v>1263</v>
      </c>
      <c r="E87" s="22" t="str">
        <f>IFERROR(__xludf.DUMMYFUNCTION("GOOGLETRANSLATE(D87,""zh-CN"",""vi"")"),"Tôi biết anh ấy.")</f>
        <v>Tôi biết anh ấy.</v>
      </c>
      <c r="F87" s="30" t="s">
        <v>1256</v>
      </c>
      <c r="G87" s="34" t="b">
        <f t="shared" si="1"/>
        <v>1</v>
      </c>
      <c r="H87" s="35" t="b">
        <v>1</v>
      </c>
      <c r="I87" s="35" t="b">
        <v>0</v>
      </c>
      <c r="J87" s="35" t="b">
        <v>0</v>
      </c>
      <c r="K87" s="35" t="b">
        <v>0</v>
      </c>
      <c r="L87" s="35" t="b">
        <v>0</v>
      </c>
      <c r="M87" s="35" t="b">
        <v>0</v>
      </c>
      <c r="N87" s="35" t="b">
        <v>0</v>
      </c>
      <c r="O87" s="35" t="b">
        <v>0</v>
      </c>
      <c r="P87" s="35" t="b">
        <v>0</v>
      </c>
      <c r="Q87" s="35" t="b">
        <v>0</v>
      </c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8" t="s">
        <v>1274</v>
      </c>
      <c r="B88" s="22" t="s">
        <v>1275</v>
      </c>
      <c r="C88" s="22" t="s">
        <v>1277</v>
      </c>
      <c r="D88" s="26" t="s">
        <v>1278</v>
      </c>
      <c r="E88" s="22" t="str">
        <f>IFERROR(__xludf.DUMMYFUNCTION("GOOGLETRANSLATE(D88,""zh-CN"",""vi"")"),"Hôm nay là ngày bao nhiêu?")</f>
        <v>Hôm nay là ngày bao nhiêu?</v>
      </c>
      <c r="F88" s="30" t="s">
        <v>1274</v>
      </c>
      <c r="G88" s="34" t="b">
        <f t="shared" si="1"/>
        <v>1</v>
      </c>
      <c r="H88" s="35" t="b">
        <v>1</v>
      </c>
      <c r="I88" s="35" t="b">
        <v>0</v>
      </c>
      <c r="J88" s="35" t="b">
        <v>0</v>
      </c>
      <c r="K88" s="35" t="b">
        <v>0</v>
      </c>
      <c r="L88" s="35" t="b">
        <v>0</v>
      </c>
      <c r="M88" s="35" t="b">
        <v>0</v>
      </c>
      <c r="N88" s="35" t="b">
        <v>0</v>
      </c>
      <c r="O88" s="35" t="b">
        <v>0</v>
      </c>
      <c r="P88" s="35" t="b">
        <v>0</v>
      </c>
      <c r="Q88" s="35" t="b">
        <v>0</v>
      </c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8" t="s">
        <v>1287</v>
      </c>
      <c r="B89" s="22" t="s">
        <v>1288</v>
      </c>
      <c r="C89" s="22" t="s">
        <v>19</v>
      </c>
      <c r="D89" s="26" t="s">
        <v>1291</v>
      </c>
      <c r="E89" s="22" t="str">
        <f>IFERROR(__xludf.DUMMYFUNCTION("GOOGLETRANSLATE(D89,""zh-CN"",""vi"")"),"Tôi có ba cuốn sách.")</f>
        <v>Tôi có ba cuốn sách.</v>
      </c>
      <c r="F89" s="30" t="s">
        <v>1287</v>
      </c>
      <c r="G89" s="34" t="b">
        <f t="shared" si="1"/>
        <v>1</v>
      </c>
      <c r="H89" s="35" t="b">
        <v>1</v>
      </c>
      <c r="I89" s="35" t="b">
        <v>0</v>
      </c>
      <c r="J89" s="35" t="b">
        <v>0</v>
      </c>
      <c r="K89" s="35" t="b">
        <v>0</v>
      </c>
      <c r="L89" s="35" t="b">
        <v>0</v>
      </c>
      <c r="M89" s="35" t="b">
        <v>0</v>
      </c>
      <c r="N89" s="35" t="b">
        <v>0</v>
      </c>
      <c r="O89" s="35" t="b">
        <v>0</v>
      </c>
      <c r="P89" s="35" t="b">
        <v>0</v>
      </c>
      <c r="Q89" s="35" t="b">
        <v>0</v>
      </c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8" t="s">
        <v>1301</v>
      </c>
      <c r="B90" s="22" t="s">
        <v>1303</v>
      </c>
      <c r="C90" s="22" t="s">
        <v>1305</v>
      </c>
      <c r="D90" s="26" t="s">
        <v>1308</v>
      </c>
      <c r="E90" s="22" t="str">
        <f>IFERROR(__xludf.DUMMYFUNCTION("GOOGLETRANSLATE(D90,""zh-CN"",""vi"")"),"Cửa hàng này rất lớn.")</f>
        <v>Cửa hàng này rất lớn.</v>
      </c>
      <c r="F90" s="30" t="s">
        <v>1301</v>
      </c>
      <c r="G90" s="34" t="b">
        <f t="shared" si="1"/>
        <v>1</v>
      </c>
      <c r="H90" s="35" t="b">
        <v>1</v>
      </c>
      <c r="I90" s="35" t="b">
        <v>0</v>
      </c>
      <c r="J90" s="35" t="b">
        <v>0</v>
      </c>
      <c r="K90" s="35" t="b">
        <v>0</v>
      </c>
      <c r="L90" s="35" t="b">
        <v>0</v>
      </c>
      <c r="M90" s="35" t="b">
        <v>0</v>
      </c>
      <c r="N90" s="35" t="b">
        <v>0</v>
      </c>
      <c r="O90" s="35" t="b">
        <v>0</v>
      </c>
      <c r="P90" s="35" t="b">
        <v>0</v>
      </c>
      <c r="Q90" s="35" t="b">
        <v>0</v>
      </c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8" t="s">
        <v>1319</v>
      </c>
      <c r="B91" s="22" t="s">
        <v>1321</v>
      </c>
      <c r="C91" s="22" t="s">
        <v>1324</v>
      </c>
      <c r="D91" s="26" t="s">
        <v>1326</v>
      </c>
      <c r="E91" s="22" t="str">
        <f>IFERROR(__xludf.DUMMYFUNCTION("GOOGLETRANSLATE(D91,""zh-CN"",""vi"")"),"Anh ấy đang đi lên lầu.")</f>
        <v>Anh ấy đang đi lên lầu.</v>
      </c>
      <c r="F91" s="30" t="s">
        <v>1319</v>
      </c>
      <c r="G91" s="34" t="b">
        <f t="shared" si="1"/>
        <v>1</v>
      </c>
      <c r="H91" s="35" t="b">
        <v>1</v>
      </c>
      <c r="I91" s="35" t="b">
        <v>0</v>
      </c>
      <c r="J91" s="35" t="b">
        <v>0</v>
      </c>
      <c r="K91" s="35" t="b">
        <v>0</v>
      </c>
      <c r="L91" s="35" t="b">
        <v>0</v>
      </c>
      <c r="M91" s="35" t="b">
        <v>0</v>
      </c>
      <c r="N91" s="35" t="b">
        <v>0</v>
      </c>
      <c r="O91" s="35" t="b">
        <v>0</v>
      </c>
      <c r="P91" s="35" t="b">
        <v>0</v>
      </c>
      <c r="Q91" s="35" t="b">
        <v>0</v>
      </c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8" t="s">
        <v>1337</v>
      </c>
      <c r="B92" s="22" t="s">
        <v>1340</v>
      </c>
      <c r="C92" s="22" t="s">
        <v>1342</v>
      </c>
      <c r="D92" s="26" t="s">
        <v>1343</v>
      </c>
      <c r="E92" s="22" t="str">
        <f>IFERROR(__xludf.DUMMYFUNCTION("GOOGLETRANSLATE(D92,""zh-CN"",""vi"")"),"Chúng tôi đi học vào buổi sáng.")</f>
        <v>Chúng tôi đi học vào buổi sáng.</v>
      </c>
      <c r="F92" s="30" t="s">
        <v>1337</v>
      </c>
      <c r="G92" s="34" t="b">
        <f t="shared" si="1"/>
        <v>1</v>
      </c>
      <c r="H92" s="35" t="b">
        <v>1</v>
      </c>
      <c r="I92" s="35" t="b">
        <v>0</v>
      </c>
      <c r="J92" s="35" t="b">
        <v>0</v>
      </c>
      <c r="K92" s="35" t="b">
        <v>0</v>
      </c>
      <c r="L92" s="35" t="b">
        <v>0</v>
      </c>
      <c r="M92" s="35" t="b">
        <v>0</v>
      </c>
      <c r="N92" s="35" t="b">
        <v>0</v>
      </c>
      <c r="O92" s="35" t="b">
        <v>0</v>
      </c>
      <c r="P92" s="35" t="b">
        <v>0</v>
      </c>
      <c r="Q92" s="35" t="b">
        <v>0</v>
      </c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8" t="s">
        <v>1359</v>
      </c>
      <c r="B93" s="22" t="s">
        <v>1360</v>
      </c>
      <c r="C93" s="22" t="s">
        <v>1361</v>
      </c>
      <c r="D93" s="26" t="s">
        <v>1362</v>
      </c>
      <c r="E93" s="22" t="str">
        <f>IFERROR(__xludf.DUMMYFUNCTION("GOOGLETRANSLATE(D93,""zh-CN"",""vi"")"),"Chúng ta đang thiếu một người.")</f>
        <v>Chúng ta đang thiếu một người.</v>
      </c>
      <c r="F93" s="30" t="s">
        <v>1359</v>
      </c>
      <c r="G93" s="34" t="b">
        <f t="shared" si="1"/>
        <v>1</v>
      </c>
      <c r="H93" s="35" t="b">
        <v>1</v>
      </c>
      <c r="I93" s="35" t="b">
        <v>0</v>
      </c>
      <c r="J93" s="35" t="b">
        <v>0</v>
      </c>
      <c r="K93" s="35" t="b">
        <v>0</v>
      </c>
      <c r="L93" s="35" t="b">
        <v>0</v>
      </c>
      <c r="M93" s="35" t="b">
        <v>0</v>
      </c>
      <c r="N93" s="35" t="b">
        <v>0</v>
      </c>
      <c r="O93" s="35" t="b">
        <v>0</v>
      </c>
      <c r="P93" s="35" t="b">
        <v>0</v>
      </c>
      <c r="Q93" s="35" t="b">
        <v>0</v>
      </c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8" t="s">
        <v>1379</v>
      </c>
      <c r="B94" s="22" t="s">
        <v>1380</v>
      </c>
      <c r="C94" s="22" t="s">
        <v>1381</v>
      </c>
      <c r="D94" s="26" t="s">
        <v>1382</v>
      </c>
      <c r="E94" s="22" t="str">
        <f>IFERROR(__xludf.DUMMYFUNCTION("GOOGLETRANSLATE(D94,""zh-CN"",""vi"")"),"Giáo viên của bạn là ai?")</f>
        <v>Giáo viên của bạn là ai?</v>
      </c>
      <c r="F94" s="30" t="s">
        <v>1379</v>
      </c>
      <c r="G94" s="34" t="b">
        <f t="shared" si="1"/>
        <v>1</v>
      </c>
      <c r="H94" s="35" t="b">
        <v>1</v>
      </c>
      <c r="I94" s="35" t="b">
        <v>0</v>
      </c>
      <c r="J94" s="35" t="b">
        <v>0</v>
      </c>
      <c r="K94" s="35" t="b">
        <v>0</v>
      </c>
      <c r="L94" s="35" t="b">
        <v>0</v>
      </c>
      <c r="M94" s="35" t="b">
        <v>0</v>
      </c>
      <c r="N94" s="35" t="b">
        <v>0</v>
      </c>
      <c r="O94" s="35" t="b">
        <v>0</v>
      </c>
      <c r="P94" s="35" t="b">
        <v>0</v>
      </c>
      <c r="Q94" s="35" t="b">
        <v>0</v>
      </c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8" t="s">
        <v>1398</v>
      </c>
      <c r="B95" s="22" t="s">
        <v>1400</v>
      </c>
      <c r="C95" s="22" t="s">
        <v>1401</v>
      </c>
      <c r="D95" s="26" t="s">
        <v>1402</v>
      </c>
      <c r="E95" s="22" t="str">
        <f>IFERROR(__xludf.DUMMYFUNCTION("GOOGLETRANSLATE(D95,""zh-CN"",""vi"")"),"Bạn muốn ăn gì?")</f>
        <v>Bạn muốn ăn gì?</v>
      </c>
      <c r="F95" s="30" t="s">
        <v>1398</v>
      </c>
      <c r="G95" s="34" t="b">
        <f t="shared" si="1"/>
        <v>1</v>
      </c>
      <c r="H95" s="35" t="b">
        <v>1</v>
      </c>
      <c r="I95" s="35" t="b">
        <v>0</v>
      </c>
      <c r="J95" s="35" t="b">
        <v>0</v>
      </c>
      <c r="K95" s="35" t="b">
        <v>0</v>
      </c>
      <c r="L95" s="35" t="b">
        <v>0</v>
      </c>
      <c r="M95" s="35" t="b">
        <v>0</v>
      </c>
      <c r="N95" s="35" t="b">
        <v>0</v>
      </c>
      <c r="O95" s="35" t="b">
        <v>0</v>
      </c>
      <c r="P95" s="35" t="b">
        <v>0</v>
      </c>
      <c r="Q95" s="35" t="b">
        <v>0</v>
      </c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8" t="s">
        <v>1415</v>
      </c>
      <c r="B96" s="22" t="s">
        <v>1418</v>
      </c>
      <c r="C96" s="22" t="s">
        <v>1420</v>
      </c>
      <c r="D96" s="26" t="s">
        <v>1422</v>
      </c>
      <c r="E96" s="22" t="str">
        <f>IFERROR(__xludf.DUMMYFUNCTION("GOOGLETRANSLATE(D96,""zh-CN"",""vi"")"),"Tôi có mười đô la.")</f>
        <v>Tôi có mười đô la.</v>
      </c>
      <c r="F96" s="30" t="s">
        <v>1415</v>
      </c>
      <c r="G96" s="34" t="b">
        <f t="shared" si="1"/>
        <v>1</v>
      </c>
      <c r="H96" s="35" t="b">
        <v>1</v>
      </c>
      <c r="I96" s="35" t="b">
        <v>0</v>
      </c>
      <c r="J96" s="35" t="b">
        <v>0</v>
      </c>
      <c r="K96" s="35" t="b">
        <v>0</v>
      </c>
      <c r="L96" s="35" t="b">
        <v>0</v>
      </c>
      <c r="M96" s="35" t="b">
        <v>0</v>
      </c>
      <c r="N96" s="35" t="b">
        <v>0</v>
      </c>
      <c r="O96" s="35" t="b">
        <v>0</v>
      </c>
      <c r="P96" s="35" t="b">
        <v>0</v>
      </c>
      <c r="Q96" s="35" t="b">
        <v>0</v>
      </c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8" t="s">
        <v>1431</v>
      </c>
      <c r="B97" s="22" t="s">
        <v>1435</v>
      </c>
      <c r="C97" s="22" t="s">
        <v>1438</v>
      </c>
      <c r="D97" s="26" t="s">
        <v>1440</v>
      </c>
      <c r="E97" s="22" t="str">
        <f>IFERROR(__xludf.DUMMYFUNCTION("GOOGLETRANSLATE(D97,""zh-CN"",""vi"")"),"Bạn đến khi nào?")</f>
        <v>Bạn đến khi nào?</v>
      </c>
      <c r="F97" s="30" t="s">
        <v>1431</v>
      </c>
      <c r="G97" s="34" t="b">
        <f t="shared" si="1"/>
        <v>1</v>
      </c>
      <c r="H97" s="35" t="b">
        <v>1</v>
      </c>
      <c r="I97" s="35" t="b">
        <v>0</v>
      </c>
      <c r="J97" s="35" t="b">
        <v>0</v>
      </c>
      <c r="K97" s="35" t="b">
        <v>0</v>
      </c>
      <c r="L97" s="35" t="b">
        <v>0</v>
      </c>
      <c r="M97" s="35" t="b">
        <v>0</v>
      </c>
      <c r="N97" s="35" t="b">
        <v>0</v>
      </c>
      <c r="O97" s="35" t="b">
        <v>0</v>
      </c>
      <c r="P97" s="35" t="b">
        <v>0</v>
      </c>
      <c r="Q97" s="35" t="b">
        <v>0</v>
      </c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8" t="s">
        <v>1451</v>
      </c>
      <c r="B98" s="22" t="s">
        <v>1452</v>
      </c>
      <c r="C98" s="22" t="s">
        <v>1454</v>
      </c>
      <c r="D98" s="26" t="s">
        <v>1456</v>
      </c>
      <c r="E98" s="22" t="str">
        <f>IFERROR(__xludf.DUMMYFUNCTION("GOOGLETRANSLATE(D98,""zh-CN"",""vi"")"),"Đây là một cuốn sách hay.")</f>
        <v>Đây là một cuốn sách hay.</v>
      </c>
      <c r="F98" s="30" t="s">
        <v>1451</v>
      </c>
      <c r="G98" s="34" t="b">
        <f t="shared" si="1"/>
        <v>1</v>
      </c>
      <c r="H98" s="35" t="b">
        <v>1</v>
      </c>
      <c r="I98" s="35" t="b">
        <v>0</v>
      </c>
      <c r="J98" s="35" t="b">
        <v>0</v>
      </c>
      <c r="K98" s="35" t="b">
        <v>0</v>
      </c>
      <c r="L98" s="35" t="b">
        <v>0</v>
      </c>
      <c r="M98" s="35" t="b">
        <v>0</v>
      </c>
      <c r="N98" s="35" t="b">
        <v>0</v>
      </c>
      <c r="O98" s="35" t="b">
        <v>0</v>
      </c>
      <c r="P98" s="35" t="b">
        <v>0</v>
      </c>
      <c r="Q98" s="35" t="b">
        <v>0</v>
      </c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8" t="s">
        <v>1470</v>
      </c>
      <c r="B99" s="22" t="s">
        <v>1472</v>
      </c>
      <c r="C99" s="22" t="s">
        <v>1474</v>
      </c>
      <c r="D99" s="26" t="s">
        <v>1476</v>
      </c>
      <c r="E99" s="22" t="str">
        <f>IFERROR(__xludf.DUMMYFUNCTION("GOOGLETRANSLATE(D99,""zh-CN"",""vi"")"),"Cuốn sách này rất thú vị.")</f>
        <v>Cuốn sách này rất thú vị.</v>
      </c>
      <c r="F99" s="30" t="s">
        <v>1470</v>
      </c>
      <c r="G99" s="34" t="b">
        <f t="shared" si="1"/>
        <v>1</v>
      </c>
      <c r="H99" s="35" t="b">
        <v>1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8" t="s">
        <v>1492</v>
      </c>
      <c r="B100" s="22" t="s">
        <v>1494</v>
      </c>
      <c r="C100" s="22" t="s">
        <v>1496</v>
      </c>
      <c r="D100" s="26" t="s">
        <v>404</v>
      </c>
      <c r="E100" s="22" t="str">
        <f>IFERROR(__xludf.DUMMYFUNCTION("GOOGLETRANSLATE(D100,""zh-CN"",""vi"")"),"Tôi đang uống nước.")</f>
        <v>Tôi đang uống nước.</v>
      </c>
      <c r="F100" s="30" t="s">
        <v>1492</v>
      </c>
      <c r="G100" s="34" t="b">
        <f t="shared" si="1"/>
        <v>1</v>
      </c>
      <c r="H100" s="35" t="b">
        <v>1</v>
      </c>
      <c r="I100" s="35" t="b">
        <v>0</v>
      </c>
      <c r="J100" s="35" t="b">
        <v>0</v>
      </c>
      <c r="K100" s="35" t="b">
        <v>0</v>
      </c>
      <c r="L100" s="35" t="b">
        <v>0</v>
      </c>
      <c r="M100" s="35" t="b">
        <v>0</v>
      </c>
      <c r="N100" s="35" t="b">
        <v>0</v>
      </c>
      <c r="O100" s="35" t="b">
        <v>0</v>
      </c>
      <c r="P100" s="35" t="b">
        <v>0</v>
      </c>
      <c r="Q100" s="35" t="b">
        <v>0</v>
      </c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8" t="s">
        <v>1509</v>
      </c>
      <c r="B101" s="22" t="s">
        <v>1510</v>
      </c>
      <c r="C101" s="22" t="s">
        <v>1511</v>
      </c>
      <c r="D101" s="26" t="s">
        <v>1515</v>
      </c>
      <c r="E101" s="22" t="str">
        <f>IFERROR(__xludf.DUMMYFUNCTION("GOOGLETRANSLATE(D101,""zh-CN"",""vi"")"),"Cô ấy thích ăn trái cây.")</f>
        <v>Cô ấy thích ăn trái cây.</v>
      </c>
      <c r="F101" s="30" t="s">
        <v>1509</v>
      </c>
      <c r="G101" s="34" t="b">
        <f t="shared" si="1"/>
        <v>1</v>
      </c>
      <c r="H101" s="35" t="b">
        <v>1</v>
      </c>
      <c r="I101" s="35" t="b">
        <v>0</v>
      </c>
      <c r="J101" s="35" t="b">
        <v>0</v>
      </c>
      <c r="K101" s="35" t="b">
        <v>0</v>
      </c>
      <c r="L101" s="35" t="b">
        <v>0</v>
      </c>
      <c r="M101" s="35" t="b">
        <v>0</v>
      </c>
      <c r="N101" s="35" t="b">
        <v>0</v>
      </c>
      <c r="O101" s="35" t="b">
        <v>0</v>
      </c>
      <c r="P101" s="35" t="b">
        <v>0</v>
      </c>
      <c r="Q101" s="35" t="b">
        <v>0</v>
      </c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8" t="s">
        <v>1529</v>
      </c>
      <c r="B102" s="22" t="s">
        <v>1530</v>
      </c>
      <c r="C102" s="22" t="s">
        <v>1534</v>
      </c>
      <c r="D102" s="26" t="s">
        <v>1536</v>
      </c>
      <c r="E102" s="22" t="str">
        <f>IFERROR(__xludf.DUMMYFUNCTION("GOOGLETRANSLATE(D102,""zh-CN"",""vi"")"),"Anh ấy đi ngủ lúc 10 giờ tối mỗi đêm.")</f>
        <v>Anh ấy đi ngủ lúc 10 giờ tối mỗi đêm.</v>
      </c>
      <c r="F102" s="30" t="s">
        <v>1529</v>
      </c>
      <c r="G102" s="34" t="b">
        <f t="shared" si="1"/>
        <v>1</v>
      </c>
      <c r="H102" s="35" t="b">
        <v>1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8" t="s">
        <v>1538</v>
      </c>
      <c r="B103" s="22" t="s">
        <v>1546</v>
      </c>
      <c r="C103" s="22" t="s">
        <v>1547</v>
      </c>
      <c r="D103" s="26" t="s">
        <v>1548</v>
      </c>
      <c r="E103" s="22" t="str">
        <f>IFERROR(__xludf.DUMMYFUNCTION("GOOGLETRANSLATE(D103,""zh-CN"",""vi"")"),"Sao bạn không nói gì?")</f>
        <v>Sao bạn không nói gì?</v>
      </c>
      <c r="F103" s="30" t="s">
        <v>1538</v>
      </c>
      <c r="G103" s="34" t="b">
        <f t="shared" si="1"/>
        <v>1</v>
      </c>
      <c r="H103" s="35" t="b">
        <v>1</v>
      </c>
      <c r="I103" s="35" t="b">
        <v>0</v>
      </c>
      <c r="J103" s="35" t="b">
        <v>0</v>
      </c>
      <c r="K103" s="35" t="b">
        <v>0</v>
      </c>
      <c r="L103" s="35" t="b">
        <v>0</v>
      </c>
      <c r="M103" s="35" t="b">
        <v>0</v>
      </c>
      <c r="N103" s="35" t="b">
        <v>0</v>
      </c>
      <c r="O103" s="35" t="b">
        <v>0</v>
      </c>
      <c r="P103" s="35" t="b">
        <v>0</v>
      </c>
      <c r="Q103" s="35" t="b">
        <v>0</v>
      </c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8" t="s">
        <v>1555</v>
      </c>
      <c r="B104" s="22" t="s">
        <v>1558</v>
      </c>
      <c r="C104" s="22" t="s">
        <v>1560</v>
      </c>
      <c r="D104" s="26" t="s">
        <v>1562</v>
      </c>
      <c r="E104" s="22" t="str">
        <f>IFERROR(__xludf.DUMMYFUNCTION("GOOGLETRANSLATE(D104,""zh-CN"",""vi"")"),"Bốn người họ cùng nhau đi du lịch.")</f>
        <v>Bốn người họ cùng nhau đi du lịch.</v>
      </c>
      <c r="F104" s="30" t="s">
        <v>1555</v>
      </c>
      <c r="G104" s="34" t="b">
        <f t="shared" si="1"/>
        <v>1</v>
      </c>
      <c r="H104" s="35" t="b">
        <v>1</v>
      </c>
      <c r="I104" s="35" t="b">
        <v>0</v>
      </c>
      <c r="J104" s="35" t="b">
        <v>0</v>
      </c>
      <c r="K104" s="35" t="b">
        <v>0</v>
      </c>
      <c r="L104" s="35" t="b">
        <v>0</v>
      </c>
      <c r="M104" s="35" t="b">
        <v>0</v>
      </c>
      <c r="N104" s="35" t="b">
        <v>0</v>
      </c>
      <c r="O104" s="35" t="b">
        <v>0</v>
      </c>
      <c r="P104" s="35" t="b">
        <v>0</v>
      </c>
      <c r="Q104" s="35" t="b">
        <v>0</v>
      </c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8" t="s">
        <v>1571</v>
      </c>
      <c r="B105" s="22" t="s">
        <v>1573</v>
      </c>
      <c r="C105" s="22" t="s">
        <v>1574</v>
      </c>
      <c r="D105" s="26" t="s">
        <v>1575</v>
      </c>
      <c r="E105" s="22" t="str">
        <f>IFERROR(__xludf.DUMMYFUNCTION("GOOGLETRANSLATE(D105,""zh-CN"",""vi"")"),"Năm nay tôi tròn 25 tuổi.")</f>
        <v>Năm nay tôi tròn 25 tuổi.</v>
      </c>
      <c r="F105" s="30" t="s">
        <v>1571</v>
      </c>
      <c r="G105" s="34" t="b">
        <f t="shared" si="1"/>
        <v>1</v>
      </c>
      <c r="H105" s="35" t="b">
        <v>1</v>
      </c>
      <c r="I105" s="35" t="b">
        <v>0</v>
      </c>
      <c r="J105" s="35" t="b">
        <v>0</v>
      </c>
      <c r="K105" s="35" t="b">
        <v>0</v>
      </c>
      <c r="L105" s="35" t="b">
        <v>0</v>
      </c>
      <c r="M105" s="35" t="b">
        <v>0</v>
      </c>
      <c r="N105" s="35" t="b">
        <v>0</v>
      </c>
      <c r="O105" s="35" t="b">
        <v>0</v>
      </c>
      <c r="P105" s="35" t="b">
        <v>0</v>
      </c>
      <c r="Q105" s="35" t="b">
        <v>0</v>
      </c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8" t="s">
        <v>1585</v>
      </c>
      <c r="B106" s="22" t="s">
        <v>1587</v>
      </c>
      <c r="C106" s="22" t="s">
        <v>1590</v>
      </c>
      <c r="D106" s="26" t="s">
        <v>1594</v>
      </c>
      <c r="E106" s="22" t="str">
        <f>IFERROR(__xludf.DUMMYFUNCTION("GOOGLETRANSLATE(D106,""zh-CN"",""vi"")"),"Anh ấy là bạn tôi.")</f>
        <v>Anh ấy là bạn tôi.</v>
      </c>
      <c r="F106" s="30" t="s">
        <v>1585</v>
      </c>
      <c r="G106" s="34" t="b">
        <f t="shared" si="1"/>
        <v>1</v>
      </c>
      <c r="H106" s="35" t="b">
        <v>1</v>
      </c>
      <c r="I106" s="35" t="b">
        <v>0</v>
      </c>
      <c r="J106" s="35" t="b">
        <v>0</v>
      </c>
      <c r="K106" s="35" t="b">
        <v>0</v>
      </c>
      <c r="L106" s="35" t="b">
        <v>0</v>
      </c>
      <c r="M106" s="35" t="b">
        <v>0</v>
      </c>
      <c r="N106" s="35" t="b">
        <v>0</v>
      </c>
      <c r="O106" s="35" t="b">
        <v>0</v>
      </c>
      <c r="P106" s="35" t="b">
        <v>0</v>
      </c>
      <c r="Q106" s="35" t="b">
        <v>0</v>
      </c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8" t="s">
        <v>1599</v>
      </c>
      <c r="B107" s="22" t="s">
        <v>1587</v>
      </c>
      <c r="C107" s="22" t="s">
        <v>1601</v>
      </c>
      <c r="D107" s="26" t="s">
        <v>1603</v>
      </c>
      <c r="E107" s="22" t="str">
        <f>IFERROR(__xludf.DUMMYFUNCTION("GOOGLETRANSLATE(D107,""zh-CN"",""vi"")"),"Cô ấy đang ở nhà.")</f>
        <v>Cô ấy đang ở nhà.</v>
      </c>
      <c r="F107" s="30" t="s">
        <v>1599</v>
      </c>
      <c r="G107" s="34" t="b">
        <f t="shared" si="1"/>
        <v>1</v>
      </c>
      <c r="H107" s="35" t="b">
        <v>1</v>
      </c>
      <c r="I107" s="35" t="b">
        <v>0</v>
      </c>
      <c r="J107" s="35" t="b">
        <v>0</v>
      </c>
      <c r="K107" s="35" t="b">
        <v>0</v>
      </c>
      <c r="L107" s="35" t="b">
        <v>0</v>
      </c>
      <c r="M107" s="35" t="b">
        <v>0</v>
      </c>
      <c r="N107" s="35" t="b">
        <v>0</v>
      </c>
      <c r="O107" s="35" t="b">
        <v>0</v>
      </c>
      <c r="P107" s="35" t="b">
        <v>0</v>
      </c>
      <c r="Q107" s="35" t="b">
        <v>0</v>
      </c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8" t="s">
        <v>1613</v>
      </c>
      <c r="B108" s="22" t="s">
        <v>1614</v>
      </c>
      <c r="C108" s="22" t="s">
        <v>1615</v>
      </c>
      <c r="D108" s="26" t="s">
        <v>1617</v>
      </c>
      <c r="E108" s="22" t="str">
        <f>IFERROR(__xludf.DUMMYFUNCTION("GOOGLETRANSLATE(D108,""zh-CN"",""vi"")"),"Hôm nay trời nóng quá.")</f>
        <v>Hôm nay trời nóng quá.</v>
      </c>
      <c r="F108" s="30" t="s">
        <v>1613</v>
      </c>
      <c r="G108" s="34" t="b">
        <f t="shared" si="1"/>
        <v>1</v>
      </c>
      <c r="H108" s="35" t="b">
        <v>1</v>
      </c>
      <c r="I108" s="35" t="b">
        <v>0</v>
      </c>
      <c r="J108" s="35" t="b">
        <v>0</v>
      </c>
      <c r="K108" s="35" t="b">
        <v>0</v>
      </c>
      <c r="L108" s="35" t="b">
        <v>0</v>
      </c>
      <c r="M108" s="35" t="b">
        <v>0</v>
      </c>
      <c r="N108" s="35" t="b">
        <v>0</v>
      </c>
      <c r="O108" s="35" t="b">
        <v>0</v>
      </c>
      <c r="P108" s="35" t="b">
        <v>0</v>
      </c>
      <c r="Q108" s="35" t="b">
        <v>0</v>
      </c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8" t="s">
        <v>1629</v>
      </c>
      <c r="B109" s="22" t="s">
        <v>1630</v>
      </c>
      <c r="C109" s="22" t="s">
        <v>1631</v>
      </c>
      <c r="D109" s="26" t="s">
        <v>1632</v>
      </c>
      <c r="E109" s="22" t="str">
        <f>IFERROR(__xludf.DUMMYFUNCTION("GOOGLETRANSLATE(D109,""zh-CN"",""vi"")"),"Hôm nay thời tiết thật tuyệt vời.")</f>
        <v>Hôm nay thời tiết thật tuyệt vời.</v>
      </c>
      <c r="F109" s="30" t="s">
        <v>1629</v>
      </c>
      <c r="G109" s="34" t="b">
        <f t="shared" si="1"/>
        <v>1</v>
      </c>
      <c r="H109" s="35" t="b">
        <v>1</v>
      </c>
      <c r="I109" s="35" t="b">
        <v>0</v>
      </c>
      <c r="J109" s="35" t="b">
        <v>0</v>
      </c>
      <c r="K109" s="35" t="b">
        <v>0</v>
      </c>
      <c r="L109" s="35" t="b">
        <v>0</v>
      </c>
      <c r="M109" s="35" t="b">
        <v>0</v>
      </c>
      <c r="N109" s="35" t="b">
        <v>0</v>
      </c>
      <c r="O109" s="35" t="b">
        <v>0</v>
      </c>
      <c r="P109" s="35" t="b">
        <v>0</v>
      </c>
      <c r="Q109" s="35" t="b">
        <v>0</v>
      </c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8" t="s">
        <v>1647</v>
      </c>
      <c r="B110" s="22" t="s">
        <v>1648</v>
      </c>
      <c r="C110" s="22" t="s">
        <v>1650</v>
      </c>
      <c r="D110" s="26" t="s">
        <v>1652</v>
      </c>
      <c r="E110" s="22" t="str">
        <f>IFERROR(__xludf.DUMMYFUNCTION("GOOGLETRANSLATE(D110,""zh-CN"",""vi"")"),"Tôi thích nghe nhạc.")</f>
        <v>Tôi thích nghe nhạc.</v>
      </c>
      <c r="F110" s="30" t="s">
        <v>1647</v>
      </c>
      <c r="G110" s="34" t="b">
        <f t="shared" si="1"/>
        <v>1</v>
      </c>
      <c r="H110" s="35" t="b">
        <v>1</v>
      </c>
      <c r="I110" s="35" t="b">
        <v>0</v>
      </c>
      <c r="J110" s="35" t="b">
        <v>0</v>
      </c>
      <c r="K110" s="35" t="b">
        <v>0</v>
      </c>
      <c r="L110" s="35" t="b">
        <v>0</v>
      </c>
      <c r="M110" s="35" t="b">
        <v>0</v>
      </c>
      <c r="N110" s="35" t="b">
        <v>0</v>
      </c>
      <c r="O110" s="35" t="b">
        <v>0</v>
      </c>
      <c r="P110" s="35" t="b">
        <v>0</v>
      </c>
      <c r="Q110" s="35" t="b">
        <v>0</v>
      </c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8" t="s">
        <v>1661</v>
      </c>
      <c r="B111" s="22" t="s">
        <v>1662</v>
      </c>
      <c r="C111" s="22" t="s">
        <v>1663</v>
      </c>
      <c r="D111" s="26" t="s">
        <v>1664</v>
      </c>
      <c r="E111" s="22" t="str">
        <f>IFERROR(__xludf.DUMMYFUNCTION("GOOGLETRANSLATE(D111,""zh-CN"",""vi"")"),"Chúng tôi là bạn cùng lớp.")</f>
        <v>Chúng tôi là bạn cùng lớp.</v>
      </c>
      <c r="F111" s="30" t="s">
        <v>1661</v>
      </c>
      <c r="G111" s="34" t="b">
        <f t="shared" si="1"/>
        <v>1</v>
      </c>
      <c r="H111" s="35" t="b">
        <v>1</v>
      </c>
      <c r="I111" s="35" t="b">
        <v>0</v>
      </c>
      <c r="J111" s="35" t="b">
        <v>0</v>
      </c>
      <c r="K111" s="35" t="b">
        <v>0</v>
      </c>
      <c r="L111" s="35" t="b">
        <v>0</v>
      </c>
      <c r="M111" s="35" t="b">
        <v>0</v>
      </c>
      <c r="N111" s="35" t="b">
        <v>0</v>
      </c>
      <c r="O111" s="35" t="b">
        <v>0</v>
      </c>
      <c r="P111" s="35" t="b">
        <v>0</v>
      </c>
      <c r="Q111" s="35" t="b">
        <v>0</v>
      </c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8" t="s">
        <v>1678</v>
      </c>
      <c r="B112" s="22" t="s">
        <v>1680</v>
      </c>
      <c r="C112" s="22" t="s">
        <v>1683</v>
      </c>
      <c r="D112" s="26" t="s">
        <v>1684</v>
      </c>
      <c r="E112" s="22" t="str">
        <f>IFERROR(__xludf.DUMMYFUNCTION("GOOGLETRANSLATE(D112,""zh-CN"",""vi"")"),"Xin chào bạn khoẻ không?")</f>
        <v>Xin chào bạn khoẻ không?</v>
      </c>
      <c r="F112" s="30" t="s">
        <v>1678</v>
      </c>
      <c r="G112" s="34" t="b">
        <f t="shared" si="1"/>
        <v>1</v>
      </c>
      <c r="H112" s="35" t="b">
        <v>1</v>
      </c>
      <c r="I112" s="35" t="b">
        <v>0</v>
      </c>
      <c r="J112" s="35" t="b">
        <v>0</v>
      </c>
      <c r="K112" s="35" t="b">
        <v>0</v>
      </c>
      <c r="L112" s="35" t="b">
        <v>0</v>
      </c>
      <c r="M112" s="35" t="b">
        <v>0</v>
      </c>
      <c r="N112" s="35" t="b">
        <v>0</v>
      </c>
      <c r="O112" s="35" t="b">
        <v>0</v>
      </c>
      <c r="P112" s="35" t="b">
        <v>0</v>
      </c>
      <c r="Q112" s="35" t="b">
        <v>0</v>
      </c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8" t="s">
        <v>1696</v>
      </c>
      <c r="B113" s="22" t="s">
        <v>1697</v>
      </c>
      <c r="C113" s="22" t="s">
        <v>1698</v>
      </c>
      <c r="D113" s="26" t="s">
        <v>1699</v>
      </c>
      <c r="E113" s="22" t="str">
        <f>IFERROR(__xludf.DUMMYFUNCTION("GOOGLETRANSLATE(D113,""zh-CN"",""vi"")"),"Tôi muốn uống nước.")</f>
        <v>Tôi muốn uống nước.</v>
      </c>
      <c r="F113" s="30" t="s">
        <v>1696</v>
      </c>
      <c r="G113" s="34" t="b">
        <f t="shared" si="1"/>
        <v>1</v>
      </c>
      <c r="H113" s="35" t="b">
        <v>1</v>
      </c>
      <c r="I113" s="35" t="b">
        <v>0</v>
      </c>
      <c r="J113" s="35" t="b">
        <v>0</v>
      </c>
      <c r="K113" s="35" t="b">
        <v>0</v>
      </c>
      <c r="L113" s="35" t="b">
        <v>0</v>
      </c>
      <c r="M113" s="35" t="b">
        <v>0</v>
      </c>
      <c r="N113" s="35" t="b">
        <v>0</v>
      </c>
      <c r="O113" s="35" t="b">
        <v>0</v>
      </c>
      <c r="P113" s="35" t="b">
        <v>0</v>
      </c>
      <c r="Q113" s="35" t="b">
        <v>0</v>
      </c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8" t="s">
        <v>1711</v>
      </c>
      <c r="B114" s="22" t="s">
        <v>1714</v>
      </c>
      <c r="C114" s="57" t="s">
        <v>1718</v>
      </c>
      <c r="D114" s="26" t="s">
        <v>1734</v>
      </c>
      <c r="E114" s="22" t="str">
        <f>IFERROR(__xludf.DUMMYFUNCTION("GOOGLETRANSLATE(D114,""zh-CN"",""vi"")"),"Chúng ta cùng đi nhé.")</f>
        <v>Chúng ta cùng đi nhé.</v>
      </c>
      <c r="F114" s="30" t="s">
        <v>1711</v>
      </c>
      <c r="G114" s="34" t="b">
        <f t="shared" si="1"/>
        <v>1</v>
      </c>
      <c r="H114" s="35" t="b">
        <v>1</v>
      </c>
      <c r="I114" s="35" t="b">
        <v>0</v>
      </c>
      <c r="J114" s="35" t="b">
        <v>0</v>
      </c>
      <c r="K114" s="35" t="b">
        <v>0</v>
      </c>
      <c r="L114" s="35" t="b">
        <v>0</v>
      </c>
      <c r="M114" s="35" t="b">
        <v>0</v>
      </c>
      <c r="N114" s="35" t="b">
        <v>0</v>
      </c>
      <c r="O114" s="35" t="b">
        <v>0</v>
      </c>
      <c r="P114" s="35" t="b">
        <v>0</v>
      </c>
      <c r="Q114" s="35" t="b">
        <v>0</v>
      </c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8" t="s">
        <v>1747</v>
      </c>
      <c r="B115" s="22" t="s">
        <v>1750</v>
      </c>
      <c r="C115" s="22" t="s">
        <v>1045</v>
      </c>
      <c r="D115" s="26" t="s">
        <v>1753</v>
      </c>
      <c r="E115" s="22" t="str">
        <f>IFERROR(__xludf.DUMMYFUNCTION("GOOGLETRANSLATE(D115,""zh-CN"",""vi"")"),"Ông ấy có năm cuốn sách.")</f>
        <v>Ông ấy có năm cuốn sách.</v>
      </c>
      <c r="F115" s="30" t="s">
        <v>1747</v>
      </c>
      <c r="G115" s="34" t="b">
        <f t="shared" si="1"/>
        <v>1</v>
      </c>
      <c r="H115" s="35" t="b">
        <v>1</v>
      </c>
      <c r="I115" s="35" t="b">
        <v>0</v>
      </c>
      <c r="J115" s="35" t="b">
        <v>0</v>
      </c>
      <c r="K115" s="35" t="b">
        <v>0</v>
      </c>
      <c r="L115" s="35" t="b">
        <v>0</v>
      </c>
      <c r="M115" s="35" t="b">
        <v>0</v>
      </c>
      <c r="N115" s="35" t="b">
        <v>0</v>
      </c>
      <c r="O115" s="35" t="b">
        <v>0</v>
      </c>
      <c r="P115" s="35" t="b">
        <v>0</v>
      </c>
      <c r="Q115" s="35" t="b">
        <v>0</v>
      </c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8" t="s">
        <v>1758</v>
      </c>
      <c r="B116" s="22" t="s">
        <v>1759</v>
      </c>
      <c r="C116" s="22" t="s">
        <v>1760</v>
      </c>
      <c r="D116" s="26" t="s">
        <v>1761</v>
      </c>
      <c r="E116" s="22" t="str">
        <f>IFERROR(__xludf.DUMMYFUNCTION("GOOGLETRANSLATE(D116,""zh-CN"",""vi"")"),"Tôi thích uống cà phê.")</f>
        <v>Tôi thích uống cà phê.</v>
      </c>
      <c r="F116" s="30" t="s">
        <v>1758</v>
      </c>
      <c r="G116" s="34" t="b">
        <f t="shared" si="1"/>
        <v>1</v>
      </c>
      <c r="H116" s="35" t="b">
        <v>1</v>
      </c>
      <c r="I116" s="35" t="b">
        <v>0</v>
      </c>
      <c r="J116" s="35" t="b">
        <v>0</v>
      </c>
      <c r="K116" s="35" t="b">
        <v>0</v>
      </c>
      <c r="L116" s="35" t="b">
        <v>0</v>
      </c>
      <c r="M116" s="35" t="b">
        <v>0</v>
      </c>
      <c r="N116" s="35" t="b">
        <v>0</v>
      </c>
      <c r="O116" s="35" t="b">
        <v>0</v>
      </c>
      <c r="P116" s="35" t="b">
        <v>0</v>
      </c>
      <c r="Q116" s="35" t="b">
        <v>0</v>
      </c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8" t="s">
        <v>1778</v>
      </c>
      <c r="B117" s="22" t="s">
        <v>1779</v>
      </c>
      <c r="C117" s="22" t="s">
        <v>1780</v>
      </c>
      <c r="D117" s="26" t="s">
        <v>1781</v>
      </c>
      <c r="E117" s="22" t="str">
        <f>IFERROR(__xludf.DUMMYFUNCTION("GOOGLETRANSLATE(D117,""zh-CN"",""vi"")"),"Tôi xuống tầng dưới đây.")</f>
        <v>Tôi xuống tầng dưới đây.</v>
      </c>
      <c r="F117" s="30" t="s">
        <v>1778</v>
      </c>
      <c r="G117" s="34" t="b">
        <f t="shared" si="1"/>
        <v>1</v>
      </c>
      <c r="H117" s="35" t="b">
        <v>1</v>
      </c>
      <c r="I117" s="35" t="b">
        <v>0</v>
      </c>
      <c r="J117" s="35" t="b">
        <v>0</v>
      </c>
      <c r="K117" s="35" t="b">
        <v>0</v>
      </c>
      <c r="L117" s="35" t="b">
        <v>0</v>
      </c>
      <c r="M117" s="35" t="b">
        <v>0</v>
      </c>
      <c r="N117" s="35" t="b">
        <v>0</v>
      </c>
      <c r="O117" s="35" t="b">
        <v>0</v>
      </c>
      <c r="P117" s="35" t="b">
        <v>0</v>
      </c>
      <c r="Q117" s="35" t="b">
        <v>0</v>
      </c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8" t="s">
        <v>1786</v>
      </c>
      <c r="B118" s="22" t="s">
        <v>1788</v>
      </c>
      <c r="C118" s="22" t="s">
        <v>1790</v>
      </c>
      <c r="D118" s="26" t="s">
        <v>1791</v>
      </c>
      <c r="E118" s="22" t="str">
        <f>IFERROR(__xludf.DUMMYFUNCTION("GOOGLETRANSLATE(D118,""zh-CN"",""vi"")"),"Chúng tôi đi mua sắm vào buổi chiều.")</f>
        <v>Chúng tôi đi mua sắm vào buổi chiều.</v>
      </c>
      <c r="F118" s="30" t="s">
        <v>1786</v>
      </c>
      <c r="G118" s="34" t="b">
        <f t="shared" si="1"/>
        <v>1</v>
      </c>
      <c r="H118" s="35" t="b">
        <v>1</v>
      </c>
      <c r="I118" s="35" t="b">
        <v>0</v>
      </c>
      <c r="J118" s="35" t="b">
        <v>0</v>
      </c>
      <c r="K118" s="35" t="b">
        <v>0</v>
      </c>
      <c r="L118" s="35" t="b">
        <v>0</v>
      </c>
      <c r="M118" s="35" t="b">
        <v>0</v>
      </c>
      <c r="N118" s="35" t="b">
        <v>0</v>
      </c>
      <c r="O118" s="35" t="b">
        <v>0</v>
      </c>
      <c r="P118" s="35" t="b">
        <v>0</v>
      </c>
      <c r="Q118" s="35" t="b">
        <v>0</v>
      </c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8" t="s">
        <v>1830</v>
      </c>
      <c r="B119" s="22" t="s">
        <v>1831</v>
      </c>
      <c r="C119" s="22" t="s">
        <v>1832</v>
      </c>
      <c r="D119" s="26" t="s">
        <v>1833</v>
      </c>
      <c r="E119" s="22" t="str">
        <f>IFERROR(__xludf.DUMMYFUNCTION("GOOGLETRANSLATE(D119,""zh-CN"",""vi"")"),"Trời đang mưa, nhớ mang theo ô nhé.")</f>
        <v>Trời đang mưa, nhớ mang theo ô nhé.</v>
      </c>
      <c r="F119" s="30" t="s">
        <v>1830</v>
      </c>
      <c r="G119" s="34" t="b">
        <f t="shared" si="1"/>
        <v>1</v>
      </c>
      <c r="H119" s="35" t="b">
        <v>1</v>
      </c>
      <c r="I119" s="35" t="b">
        <v>0</v>
      </c>
      <c r="J119" s="35" t="b">
        <v>0</v>
      </c>
      <c r="K119" s="35" t="b">
        <v>0</v>
      </c>
      <c r="L119" s="35" t="b">
        <v>0</v>
      </c>
      <c r="M119" s="35" t="b">
        <v>0</v>
      </c>
      <c r="N119" s="35" t="b">
        <v>0</v>
      </c>
      <c r="O119" s="35" t="b">
        <v>0</v>
      </c>
      <c r="P119" s="35" t="b">
        <v>0</v>
      </c>
      <c r="Q119" s="35" t="b">
        <v>0</v>
      </c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8" t="s">
        <v>1846</v>
      </c>
      <c r="B120" s="22" t="s">
        <v>1847</v>
      </c>
      <c r="C120" s="22" t="s">
        <v>1848</v>
      </c>
      <c r="D120" s="26" t="s">
        <v>1849</v>
      </c>
      <c r="E120" s="22" t="str">
        <f>IFERROR(__xludf.DUMMYFUNCTION("GOOGLETRANSLATE(D120,""zh-CN"",""vi"")"),"Thưa ngài, mời đi lối này.")</f>
        <v>Thưa ngài, mời đi lối này.</v>
      </c>
      <c r="F120" s="30" t="s">
        <v>1846</v>
      </c>
      <c r="G120" s="34" t="b">
        <f t="shared" si="1"/>
        <v>1</v>
      </c>
      <c r="H120" s="35" t="b">
        <v>1</v>
      </c>
      <c r="I120" s="35" t="b">
        <v>0</v>
      </c>
      <c r="J120" s="35" t="b">
        <v>0</v>
      </c>
      <c r="K120" s="35" t="b">
        <v>0</v>
      </c>
      <c r="L120" s="35" t="b">
        <v>0</v>
      </c>
      <c r="M120" s="35" t="b">
        <v>0</v>
      </c>
      <c r="N120" s="35" t="b">
        <v>0</v>
      </c>
      <c r="O120" s="35" t="b">
        <v>0</v>
      </c>
      <c r="P120" s="35" t="b">
        <v>0</v>
      </c>
      <c r="Q120" s="35" t="b">
        <v>0</v>
      </c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8" t="s">
        <v>1865</v>
      </c>
      <c r="B121" s="22" t="s">
        <v>1868</v>
      </c>
      <c r="C121" s="22" t="s">
        <v>1870</v>
      </c>
      <c r="D121" s="26" t="s">
        <v>1873</v>
      </c>
      <c r="E121" s="22" t="str">
        <f>IFERROR(__xludf.DUMMYFUNCTION("GOOGLETRANSLATE(D121,""zh-CN"",""vi"")"),"Tôi đang rất mệt.")</f>
        <v>Tôi đang rất mệt.</v>
      </c>
      <c r="F121" s="30" t="s">
        <v>1865</v>
      </c>
      <c r="G121" s="34" t="b">
        <f t="shared" si="1"/>
        <v>1</v>
      </c>
      <c r="H121" s="35" t="b">
        <v>1</v>
      </c>
      <c r="I121" s="35" t="b">
        <v>0</v>
      </c>
      <c r="J121" s="35" t="b">
        <v>0</v>
      </c>
      <c r="K121" s="35" t="b">
        <v>0</v>
      </c>
      <c r="L121" s="35" t="b">
        <v>0</v>
      </c>
      <c r="M121" s="35" t="b">
        <v>0</v>
      </c>
      <c r="N121" s="35" t="b">
        <v>0</v>
      </c>
      <c r="O121" s="35" t="b">
        <v>0</v>
      </c>
      <c r="P121" s="35" t="b">
        <v>0</v>
      </c>
      <c r="Q121" s="35" t="b">
        <v>0</v>
      </c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8" t="s">
        <v>1884</v>
      </c>
      <c r="B122" s="22" t="s">
        <v>1886</v>
      </c>
      <c r="C122" s="22" t="s">
        <v>1888</v>
      </c>
      <c r="D122" s="26" t="s">
        <v>1889</v>
      </c>
      <c r="E122" s="22" t="str">
        <f>IFERROR(__xludf.DUMMYFUNCTION("GOOGLETRANSLATE(D122,""zh-CN"",""vi"")"),"Tôi muốn đi xem phim.")</f>
        <v>Tôi muốn đi xem phim.</v>
      </c>
      <c r="F122" s="30" t="s">
        <v>1884</v>
      </c>
      <c r="G122" s="34" t="b">
        <f t="shared" si="1"/>
        <v>1</v>
      </c>
      <c r="H122" s="35" t="b">
        <v>1</v>
      </c>
      <c r="I122" s="35" t="b">
        <v>0</v>
      </c>
      <c r="J122" s="35" t="b">
        <v>0</v>
      </c>
      <c r="K122" s="35" t="b">
        <v>0</v>
      </c>
      <c r="L122" s="35" t="b">
        <v>0</v>
      </c>
      <c r="M122" s="35" t="b">
        <v>0</v>
      </c>
      <c r="N122" s="35" t="b">
        <v>0</v>
      </c>
      <c r="O122" s="35" t="b">
        <v>0</v>
      </c>
      <c r="P122" s="35" t="b">
        <v>0</v>
      </c>
      <c r="Q122" s="35" t="b">
        <v>0</v>
      </c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8" t="s">
        <v>1901</v>
      </c>
      <c r="B123" s="22" t="s">
        <v>1902</v>
      </c>
      <c r="C123" s="22" t="s">
        <v>1904</v>
      </c>
      <c r="D123" s="26" t="s">
        <v>1907</v>
      </c>
      <c r="E123" s="22" t="str">
        <f>IFERROR(__xludf.DUMMYFUNCTION("GOOGLETRANSLATE(D123,""zh-CN"",""vi"")"),"Đây là một chú chó con.")</f>
        <v>Đây là một chú chó con.</v>
      </c>
      <c r="F123" s="30" t="s">
        <v>1901</v>
      </c>
      <c r="G123" s="34" t="b">
        <f t="shared" si="1"/>
        <v>1</v>
      </c>
      <c r="H123" s="35" t="b">
        <v>1</v>
      </c>
      <c r="I123" s="35" t="b">
        <v>0</v>
      </c>
      <c r="J123" s="35" t="b">
        <v>0</v>
      </c>
      <c r="K123" s="35" t="b">
        <v>0</v>
      </c>
      <c r="L123" s="35" t="b">
        <v>0</v>
      </c>
      <c r="M123" s="35" t="b">
        <v>0</v>
      </c>
      <c r="N123" s="35" t="b">
        <v>0</v>
      </c>
      <c r="O123" s="35" t="b">
        <v>0</v>
      </c>
      <c r="P123" s="35" t="b">
        <v>0</v>
      </c>
      <c r="Q123" s="35" t="b">
        <v>0</v>
      </c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8" t="s">
        <v>1921</v>
      </c>
      <c r="B124" s="22" t="s">
        <v>1922</v>
      </c>
      <c r="C124" s="22" t="s">
        <v>1923</v>
      </c>
      <c r="D124" s="26" t="s">
        <v>1926</v>
      </c>
      <c r="E124" s="22" t="str">
        <f>IFERROR(__xludf.DUMMYFUNCTION("GOOGLETRANSLATE(D124,""zh-CN"",""vi"")"),"Thưa cô, ở đây có nhà vệ sinh không ạ?")</f>
        <v>Thưa cô, ở đây có nhà vệ sinh không ạ?</v>
      </c>
      <c r="F124" s="30" t="s">
        <v>1921</v>
      </c>
      <c r="G124" s="34" t="b">
        <f t="shared" si="1"/>
        <v>1</v>
      </c>
      <c r="H124" s="35" t="b">
        <v>1</v>
      </c>
      <c r="I124" s="35" t="b">
        <v>0</v>
      </c>
      <c r="J124" s="35" t="b">
        <v>0</v>
      </c>
      <c r="K124" s="35" t="b">
        <v>0</v>
      </c>
      <c r="L124" s="35" t="b">
        <v>0</v>
      </c>
      <c r="M124" s="35" t="b">
        <v>0</v>
      </c>
      <c r="N124" s="35" t="b">
        <v>0</v>
      </c>
      <c r="O124" s="35" t="b">
        <v>0</v>
      </c>
      <c r="P124" s="35" t="b">
        <v>0</v>
      </c>
      <c r="Q124" s="35" t="b">
        <v>0</v>
      </c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8" t="s">
        <v>1941</v>
      </c>
      <c r="B125" s="22" t="s">
        <v>1942</v>
      </c>
      <c r="C125" s="22" t="s">
        <v>1943</v>
      </c>
      <c r="D125" s="26" t="s">
        <v>1944</v>
      </c>
      <c r="E125" s="22" t="str">
        <f>IFERROR(__xludf.DUMMYFUNCTION("GOOGLETRANSLATE(D125,""zh-CN"",""vi"")"),"Chúng tôi đã mua một ít trái cây.")</f>
        <v>Chúng tôi đã mua một ít trái cây.</v>
      </c>
      <c r="F125" s="30" t="s">
        <v>1941</v>
      </c>
      <c r="G125" s="34" t="b">
        <f t="shared" si="1"/>
        <v>1</v>
      </c>
      <c r="H125" s="35" t="b">
        <v>1</v>
      </c>
      <c r="I125" s="35" t="b">
        <v>0</v>
      </c>
      <c r="J125" s="35" t="b">
        <v>0</v>
      </c>
      <c r="K125" s="35" t="b">
        <v>0</v>
      </c>
      <c r="L125" s="35" t="b">
        <v>0</v>
      </c>
      <c r="M125" s="35" t="b">
        <v>0</v>
      </c>
      <c r="N125" s="35" t="b">
        <v>0</v>
      </c>
      <c r="O125" s="35" t="b">
        <v>0</v>
      </c>
      <c r="P125" s="35" t="b">
        <v>0</v>
      </c>
      <c r="Q125" s="35" t="b">
        <v>0</v>
      </c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8" t="s">
        <v>1958</v>
      </c>
      <c r="B126" s="22" t="s">
        <v>1960</v>
      </c>
      <c r="C126" s="22" t="s">
        <v>1963</v>
      </c>
      <c r="D126" s="26" t="s">
        <v>1966</v>
      </c>
      <c r="E126" s="22" t="str">
        <f>IFERROR(__xludf.DUMMYFUNCTION("GOOGLETRANSLATE(D126,""zh-CN"",""vi"")"),"Tôi đang viết một lá thư.")</f>
        <v>Tôi đang viết một lá thư.</v>
      </c>
      <c r="F126" s="30" t="s">
        <v>1958</v>
      </c>
      <c r="G126" s="34" t="b">
        <f t="shared" si="1"/>
        <v>1</v>
      </c>
      <c r="H126" s="35" t="b">
        <v>1</v>
      </c>
      <c r="I126" s="35" t="b">
        <v>0</v>
      </c>
      <c r="J126" s="35" t="b">
        <v>0</v>
      </c>
      <c r="K126" s="35" t="b">
        <v>0</v>
      </c>
      <c r="L126" s="35" t="b">
        <v>0</v>
      </c>
      <c r="M126" s="35" t="b">
        <v>0</v>
      </c>
      <c r="N126" s="35" t="b">
        <v>0</v>
      </c>
      <c r="O126" s="35" t="b">
        <v>0</v>
      </c>
      <c r="P126" s="35" t="b">
        <v>0</v>
      </c>
      <c r="Q126" s="35" t="b">
        <v>0</v>
      </c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8" t="s">
        <v>1978</v>
      </c>
      <c r="B127" s="22" t="s">
        <v>1980</v>
      </c>
      <c r="C127" s="22" t="s">
        <v>1669</v>
      </c>
      <c r="D127" s="26" t="s">
        <v>1982</v>
      </c>
      <c r="E127" s="22" t="str">
        <f>IFERROR(__xludf.DUMMYFUNCTION("GOOGLETRANSLATE(D127,""zh-CN"",""vi"")"),"Cảm ơn bạn đã giúp đỡ.")</f>
        <v>Cảm ơn bạn đã giúp đỡ.</v>
      </c>
      <c r="F127" s="30" t="s">
        <v>1978</v>
      </c>
      <c r="G127" s="34" t="b">
        <f t="shared" si="1"/>
        <v>1</v>
      </c>
      <c r="H127" s="35" t="b">
        <v>1</v>
      </c>
      <c r="I127" s="35" t="b">
        <v>0</v>
      </c>
      <c r="J127" s="35" t="b">
        <v>0</v>
      </c>
      <c r="K127" s="35" t="b">
        <v>0</v>
      </c>
      <c r="L127" s="35" t="b">
        <v>0</v>
      </c>
      <c r="M127" s="35" t="b">
        <v>0</v>
      </c>
      <c r="N127" s="35" t="b">
        <v>0</v>
      </c>
      <c r="O127" s="35" t="b">
        <v>0</v>
      </c>
      <c r="P127" s="35" t="b">
        <v>0</v>
      </c>
      <c r="Q127" s="35" t="b">
        <v>0</v>
      </c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8" t="s">
        <v>1991</v>
      </c>
      <c r="B128" s="22" t="s">
        <v>1992</v>
      </c>
      <c r="C128" s="22" t="s">
        <v>1993</v>
      </c>
      <c r="D128" s="26" t="s">
        <v>1994</v>
      </c>
      <c r="E128" s="22" t="str">
        <f>IFERROR(__xludf.DUMMYFUNCTION("GOOGLETRANSLATE(D128,""zh-CN"",""vi"")"),"Một tuần là đủ.")</f>
        <v>Một tuần là đủ.</v>
      </c>
      <c r="F128" s="30" t="s">
        <v>1991</v>
      </c>
      <c r="G128" s="34" t="b">
        <f t="shared" si="1"/>
        <v>1</v>
      </c>
      <c r="H128" s="35" t="b">
        <v>1</v>
      </c>
      <c r="I128" s="35" t="b">
        <v>0</v>
      </c>
      <c r="J128" s="35" t="b">
        <v>0</v>
      </c>
      <c r="K128" s="35" t="b">
        <v>0</v>
      </c>
      <c r="L128" s="35" t="b">
        <v>0</v>
      </c>
      <c r="M128" s="35" t="b">
        <v>0</v>
      </c>
      <c r="N128" s="35" t="b">
        <v>0</v>
      </c>
      <c r="O128" s="35" t="b">
        <v>0</v>
      </c>
      <c r="P128" s="35" t="b">
        <v>0</v>
      </c>
      <c r="Q128" s="35" t="b">
        <v>0</v>
      </c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8" t="s">
        <v>2007</v>
      </c>
      <c r="B129" s="22" t="s">
        <v>2009</v>
      </c>
      <c r="C129" s="22" t="s">
        <v>2011</v>
      </c>
      <c r="D129" s="26" t="s">
        <v>2013</v>
      </c>
      <c r="E129" s="22" t="str">
        <f>IFERROR(__xludf.DUMMYFUNCTION("GOOGLETRANSLATE(D129,""zh-CN"",""vi"")"),"Cậu ấy là một học sinh giỏi.")</f>
        <v>Cậu ấy là một học sinh giỏi.</v>
      </c>
      <c r="F129" s="30" t="s">
        <v>2007</v>
      </c>
      <c r="G129" s="34" t="b">
        <f t="shared" si="1"/>
        <v>1</v>
      </c>
      <c r="H129" s="35" t="b">
        <v>1</v>
      </c>
      <c r="I129" s="35" t="b">
        <v>0</v>
      </c>
      <c r="J129" s="35" t="b">
        <v>0</v>
      </c>
      <c r="K129" s="35" t="b">
        <v>0</v>
      </c>
      <c r="L129" s="35" t="b">
        <v>0</v>
      </c>
      <c r="M129" s="35" t="b">
        <v>0</v>
      </c>
      <c r="N129" s="35" t="b">
        <v>0</v>
      </c>
      <c r="O129" s="35" t="b">
        <v>0</v>
      </c>
      <c r="P129" s="35" t="b">
        <v>0</v>
      </c>
      <c r="Q129" s="35" t="b">
        <v>0</v>
      </c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8" t="s">
        <v>2027</v>
      </c>
      <c r="B130" s="22" t="s">
        <v>2029</v>
      </c>
      <c r="C130" s="22" t="s">
        <v>2031</v>
      </c>
      <c r="D130" s="26" t="s">
        <v>2036</v>
      </c>
      <c r="E130" s="22" t="str">
        <f>IFERROR(__xludf.DUMMYFUNCTION("GOOGLETRANSLATE(D130,""zh-CN"",""vi"")"),"Học tiếng Trung rất thú vị.")</f>
        <v>Học tiếng Trung rất thú vị.</v>
      </c>
      <c r="F130" s="30" t="s">
        <v>2027</v>
      </c>
      <c r="G130" s="34" t="b">
        <f t="shared" si="1"/>
        <v>1</v>
      </c>
      <c r="H130" s="35" t="b">
        <v>1</v>
      </c>
      <c r="I130" s="35" t="b">
        <v>0</v>
      </c>
      <c r="J130" s="35" t="b">
        <v>0</v>
      </c>
      <c r="K130" s="35" t="b">
        <v>0</v>
      </c>
      <c r="L130" s="35" t="b">
        <v>0</v>
      </c>
      <c r="M130" s="35" t="b">
        <v>0</v>
      </c>
      <c r="N130" s="35" t="b">
        <v>0</v>
      </c>
      <c r="O130" s="35" t="b">
        <v>0</v>
      </c>
      <c r="P130" s="35" t="b">
        <v>0</v>
      </c>
      <c r="Q130" s="35" t="b">
        <v>0</v>
      </c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8" t="s">
        <v>2048</v>
      </c>
      <c r="B131" s="22" t="s">
        <v>2050</v>
      </c>
      <c r="C131" s="22" t="s">
        <v>2052</v>
      </c>
      <c r="D131" s="26" t="s">
        <v>2053</v>
      </c>
      <c r="E131" s="22" t="str">
        <f>IFERROR(__xludf.DUMMYFUNCTION("GOOGLETRANSLATE(D131,""zh-CN"",""vi"")"),"Tôi học tiếng Trung ở trường.")</f>
        <v>Tôi học tiếng Trung ở trường.</v>
      </c>
      <c r="F131" s="30" t="s">
        <v>2048</v>
      </c>
      <c r="G131" s="34" t="b">
        <f t="shared" si="1"/>
        <v>1</v>
      </c>
      <c r="H131" s="35" t="b">
        <v>1</v>
      </c>
      <c r="I131" s="35" t="b">
        <v>0</v>
      </c>
      <c r="J131" s="35" t="b">
        <v>0</v>
      </c>
      <c r="K131" s="35" t="b">
        <v>0</v>
      </c>
      <c r="L131" s="35" t="b">
        <v>0</v>
      </c>
      <c r="M131" s="35" t="b">
        <v>0</v>
      </c>
      <c r="N131" s="35" t="b">
        <v>0</v>
      </c>
      <c r="O131" s="35" t="b">
        <v>0</v>
      </c>
      <c r="P131" s="35" t="b">
        <v>0</v>
      </c>
      <c r="Q131" s="35" t="b">
        <v>0</v>
      </c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8" t="s">
        <v>2062</v>
      </c>
      <c r="B132" s="22" t="s">
        <v>2063</v>
      </c>
      <c r="C132" s="22" t="s">
        <v>2064</v>
      </c>
      <c r="D132" s="26" t="s">
        <v>2065</v>
      </c>
      <c r="E132" s="22" t="str">
        <f>IFERROR(__xludf.DUMMYFUNCTION("GOOGLETRANSLATE(D132,""zh-CN"",""vi"")"),"Một người đang đi dạo trong công viên.")</f>
        <v>Một người đang đi dạo trong công viên.</v>
      </c>
      <c r="F132" s="30" t="s">
        <v>2062</v>
      </c>
      <c r="G132" s="34" t="b">
        <f t="shared" si="1"/>
        <v>1</v>
      </c>
      <c r="H132" s="35" t="b">
        <v>1</v>
      </c>
      <c r="I132" s="35" t="b">
        <v>0</v>
      </c>
      <c r="J132" s="35" t="b">
        <v>0</v>
      </c>
      <c r="K132" s="35" t="b">
        <v>0</v>
      </c>
      <c r="L132" s="35" t="b">
        <v>0</v>
      </c>
      <c r="M132" s="35" t="b">
        <v>0</v>
      </c>
      <c r="N132" s="35" t="b">
        <v>0</v>
      </c>
      <c r="O132" s="35" t="b">
        <v>0</v>
      </c>
      <c r="P132" s="35" t="b">
        <v>0</v>
      </c>
      <c r="Q132" s="35" t="b">
        <v>0</v>
      </c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8" t="s">
        <v>2079</v>
      </c>
      <c r="B133" s="22" t="s">
        <v>2081</v>
      </c>
      <c r="C133" s="22" t="s">
        <v>2083</v>
      </c>
      <c r="D133" s="26" t="s">
        <v>2084</v>
      </c>
      <c r="E133" s="22" t="str">
        <f>IFERROR(__xludf.DUMMYFUNCTION("GOOGLETRANSLATE(D133,""zh-CN"",""vi"")"),"Chiếc váy này đẹp quá.")</f>
        <v>Chiếc váy này đẹp quá.</v>
      </c>
      <c r="F133" s="30" t="s">
        <v>2079</v>
      </c>
      <c r="G133" s="34" t="b">
        <f t="shared" si="1"/>
        <v>1</v>
      </c>
      <c r="H133" s="35" t="b">
        <v>1</v>
      </c>
      <c r="I133" s="35" t="b">
        <v>0</v>
      </c>
      <c r="J133" s="35" t="b">
        <v>0</v>
      </c>
      <c r="K133" s="35" t="b">
        <v>0</v>
      </c>
      <c r="L133" s="35" t="b">
        <v>0</v>
      </c>
      <c r="M133" s="35" t="b">
        <v>0</v>
      </c>
      <c r="N133" s="35" t="b">
        <v>0</v>
      </c>
      <c r="O133" s="35" t="b">
        <v>0</v>
      </c>
      <c r="P133" s="35" t="b">
        <v>0</v>
      </c>
      <c r="Q133" s="35" t="b">
        <v>0</v>
      </c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8" t="s">
        <v>2095</v>
      </c>
      <c r="B134" s="22" t="s">
        <v>2098</v>
      </c>
      <c r="C134" s="22" t="s">
        <v>2102</v>
      </c>
      <c r="D134" s="26" t="s">
        <v>2105</v>
      </c>
      <c r="E134" s="22" t="str">
        <f>IFERROR(__xludf.DUMMYFUNCTION("GOOGLETRANSLATE(D134,""zh-CN"",""vi"")"),"Anh ấy là bác sĩ.")</f>
        <v>Anh ấy là bác sĩ.</v>
      </c>
      <c r="F134" s="30" t="s">
        <v>2095</v>
      </c>
      <c r="G134" s="34" t="b">
        <f t="shared" si="1"/>
        <v>1</v>
      </c>
      <c r="H134" s="35" t="b">
        <v>1</v>
      </c>
      <c r="I134" s="35" t="b">
        <v>0</v>
      </c>
      <c r="J134" s="35" t="b">
        <v>0</v>
      </c>
      <c r="K134" s="35" t="b">
        <v>0</v>
      </c>
      <c r="L134" s="35" t="b">
        <v>0</v>
      </c>
      <c r="M134" s="35" t="b">
        <v>0</v>
      </c>
      <c r="N134" s="35" t="b">
        <v>0</v>
      </c>
      <c r="O134" s="35" t="b">
        <v>0</v>
      </c>
      <c r="P134" s="35" t="b">
        <v>0</v>
      </c>
      <c r="Q134" s="35" t="b">
        <v>0</v>
      </c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8" t="s">
        <v>2117</v>
      </c>
      <c r="B135" s="22" t="s">
        <v>2119</v>
      </c>
      <c r="C135" s="22" t="s">
        <v>2121</v>
      </c>
      <c r="D135" s="26" t="s">
        <v>2123</v>
      </c>
      <c r="E135" s="22" t="str">
        <f>IFERROR(__xludf.DUMMYFUNCTION("GOOGLETRANSLATE(D135,""zh-CN"",""vi"")"),"Chúng tôi đến bệnh viện để khám sức khỏe.")</f>
        <v>Chúng tôi đến bệnh viện để khám sức khỏe.</v>
      </c>
      <c r="F135" s="30" t="s">
        <v>2117</v>
      </c>
      <c r="G135" s="34" t="b">
        <f t="shared" si="1"/>
        <v>1</v>
      </c>
      <c r="H135" s="35" t="b">
        <v>1</v>
      </c>
      <c r="I135" s="35" t="b">
        <v>0</v>
      </c>
      <c r="J135" s="35" t="b">
        <v>0</v>
      </c>
      <c r="K135" s="35" t="b">
        <v>0</v>
      </c>
      <c r="L135" s="35" t="b">
        <v>0</v>
      </c>
      <c r="M135" s="35" t="b">
        <v>0</v>
      </c>
      <c r="N135" s="35" t="b">
        <v>0</v>
      </c>
      <c r="O135" s="35" t="b">
        <v>0</v>
      </c>
      <c r="P135" s="35" t="b">
        <v>0</v>
      </c>
      <c r="Q135" s="35" t="b">
        <v>0</v>
      </c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8" t="s">
        <v>2132</v>
      </c>
      <c r="B136" s="22" t="s">
        <v>2133</v>
      </c>
      <c r="C136" s="22" t="s">
        <v>2134</v>
      </c>
      <c r="D136" s="26" t="s">
        <v>2139</v>
      </c>
      <c r="E136" s="22" t="str">
        <f>IFERROR(__xludf.DUMMYFUNCTION("GOOGLETRANSLATE(D136,""zh-CN"",""vi"")"),"Mời bạn ngồi xuống ghế.")</f>
        <v>Mời bạn ngồi xuống ghế.</v>
      </c>
      <c r="F136" s="30" t="s">
        <v>2132</v>
      </c>
      <c r="G136" s="34" t="b">
        <f t="shared" si="1"/>
        <v>1</v>
      </c>
      <c r="H136" s="35" t="b">
        <v>1</v>
      </c>
      <c r="I136" s="35" t="b">
        <v>0</v>
      </c>
      <c r="J136" s="35" t="b">
        <v>0</v>
      </c>
      <c r="K136" s="35" t="b">
        <v>0</v>
      </c>
      <c r="L136" s="35" t="b">
        <v>0</v>
      </c>
      <c r="M136" s="35" t="b">
        <v>0</v>
      </c>
      <c r="N136" s="35" t="b">
        <v>0</v>
      </c>
      <c r="O136" s="35" t="b">
        <v>0</v>
      </c>
      <c r="P136" s="35" t="b">
        <v>0</v>
      </c>
      <c r="Q136" s="35" t="b">
        <v>0</v>
      </c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8" t="s">
        <v>2151</v>
      </c>
      <c r="B137" s="22" t="s">
        <v>2153</v>
      </c>
      <c r="C137" s="22" t="s">
        <v>2156</v>
      </c>
      <c r="D137" s="26" t="s">
        <v>2157</v>
      </c>
      <c r="E137" s="22" t="str">
        <f>IFERROR(__xludf.DUMMYFUNCTION("GOOGLETRANSLATE(D137,""zh-CN"",""vi"")"),"Tôi rất bận rộn trong tháng này.")</f>
        <v>Tôi rất bận rộn trong tháng này.</v>
      </c>
      <c r="F137" s="30" t="s">
        <v>2151</v>
      </c>
      <c r="G137" s="34" t="b">
        <f t="shared" si="1"/>
        <v>1</v>
      </c>
      <c r="H137" s="35" t="b">
        <v>1</v>
      </c>
      <c r="I137" s="35" t="b">
        <v>0</v>
      </c>
      <c r="J137" s="35" t="b">
        <v>0</v>
      </c>
      <c r="K137" s="35" t="b">
        <v>0</v>
      </c>
      <c r="L137" s="35" t="b">
        <v>0</v>
      </c>
      <c r="M137" s="35" t="b">
        <v>0</v>
      </c>
      <c r="N137" s="35" t="b">
        <v>0</v>
      </c>
      <c r="O137" s="35" t="b">
        <v>0</v>
      </c>
      <c r="P137" s="35" t="b">
        <v>0</v>
      </c>
      <c r="Q137" s="35" t="b">
        <v>0</v>
      </c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8" t="s">
        <v>2174</v>
      </c>
      <c r="B138" s="22" t="s">
        <v>2175</v>
      </c>
      <c r="C138" s="22" t="s">
        <v>2178</v>
      </c>
      <c r="D138" s="26" t="s">
        <v>2181</v>
      </c>
      <c r="E138" s="22" t="str">
        <f>IFERROR(__xludf.DUMMYFUNCTION("GOOGLETRANSLATE(D138,""zh-CN"",""vi"")"),"Cậu ấy đang đi học.")</f>
        <v>Cậu ấy đang đi học.</v>
      </c>
      <c r="F138" s="30" t="s">
        <v>2174</v>
      </c>
      <c r="G138" s="34" t="b">
        <f t="shared" si="1"/>
        <v>1</v>
      </c>
      <c r="H138" s="35" t="b">
        <v>1</v>
      </c>
      <c r="I138" s="35" t="b">
        <v>0</v>
      </c>
      <c r="J138" s="35" t="b">
        <v>0</v>
      </c>
      <c r="K138" s="35" t="b">
        <v>0</v>
      </c>
      <c r="L138" s="35" t="b">
        <v>0</v>
      </c>
      <c r="M138" s="35" t="b">
        <v>0</v>
      </c>
      <c r="N138" s="35" t="b">
        <v>0</v>
      </c>
      <c r="O138" s="35" t="b">
        <v>0</v>
      </c>
      <c r="P138" s="35" t="b">
        <v>0</v>
      </c>
      <c r="Q138" s="35" t="b">
        <v>0</v>
      </c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8" t="s">
        <v>2198</v>
      </c>
      <c r="B139" s="22" t="s">
        <v>2199</v>
      </c>
      <c r="C139" s="22" t="s">
        <v>2201</v>
      </c>
      <c r="D139" s="26" t="s">
        <v>2203</v>
      </c>
      <c r="E139" s="22" t="str">
        <f>IFERROR(__xludf.DUMMYFUNCTION("GOOGLETRANSLATE(D139,""zh-CN"",""vi"")"),"Hẹn gặp lại ngày mai.")</f>
        <v>Hẹn gặp lại ngày mai.</v>
      </c>
      <c r="F139" s="30" t="s">
        <v>2198</v>
      </c>
      <c r="G139" s="34" t="b">
        <f t="shared" si="1"/>
        <v>1</v>
      </c>
      <c r="H139" s="35" t="b">
        <v>1</v>
      </c>
      <c r="I139" s="35" t="b">
        <v>0</v>
      </c>
      <c r="J139" s="35" t="b">
        <v>0</v>
      </c>
      <c r="K139" s="35" t="b">
        <v>0</v>
      </c>
      <c r="L139" s="35" t="b">
        <v>0</v>
      </c>
      <c r="M139" s="35" t="b">
        <v>0</v>
      </c>
      <c r="N139" s="35" t="b">
        <v>0</v>
      </c>
      <c r="O139" s="35" t="b">
        <v>0</v>
      </c>
      <c r="P139" s="35" t="b">
        <v>0</v>
      </c>
      <c r="Q139" s="35" t="b">
        <v>0</v>
      </c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8" t="s">
        <v>2223</v>
      </c>
      <c r="B140" s="22" t="s">
        <v>2229</v>
      </c>
      <c r="C140" s="22" t="s">
        <v>2232</v>
      </c>
      <c r="D140" s="26" t="s">
        <v>2235</v>
      </c>
      <c r="E140" s="22" t="str">
        <f>IFERROR(__xludf.DUMMYFUNCTION("GOOGLETRANSLATE(D140,""zh-CN"",""vi"")"),"Bạn bị làm sao vậy?")</f>
        <v>Bạn bị làm sao vậy?</v>
      </c>
      <c r="F140" s="30" t="s">
        <v>2223</v>
      </c>
      <c r="G140" s="34" t="b">
        <f t="shared" si="1"/>
        <v>1</v>
      </c>
      <c r="H140" s="35" t="b">
        <v>1</v>
      </c>
      <c r="I140" s="35" t="b">
        <v>0</v>
      </c>
      <c r="J140" s="35" t="b">
        <v>0</v>
      </c>
      <c r="K140" s="35" t="b">
        <v>0</v>
      </c>
      <c r="L140" s="35" t="b">
        <v>0</v>
      </c>
      <c r="M140" s="35" t="b">
        <v>0</v>
      </c>
      <c r="N140" s="35" t="b">
        <v>0</v>
      </c>
      <c r="O140" s="35" t="b">
        <v>0</v>
      </c>
      <c r="P140" s="35" t="b">
        <v>0</v>
      </c>
      <c r="Q140" s="35" t="b">
        <v>0</v>
      </c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8" t="s">
        <v>2247</v>
      </c>
      <c r="B141" s="22" t="s">
        <v>2250</v>
      </c>
      <c r="C141" s="22" t="s">
        <v>2252</v>
      </c>
      <c r="D141" s="26" t="s">
        <v>2253</v>
      </c>
      <c r="E141" s="22" t="str">
        <f>IFERROR(__xludf.DUMMYFUNCTION("GOOGLETRANSLATE(D141,""zh-CN"",""vi"")"),"Công việc của bạn thế nào?")</f>
        <v>Công việc của bạn thế nào?</v>
      </c>
      <c r="F141" s="30" t="s">
        <v>2247</v>
      </c>
      <c r="G141" s="34" t="b">
        <f t="shared" si="1"/>
        <v>1</v>
      </c>
      <c r="H141" s="35" t="b">
        <v>1</v>
      </c>
      <c r="I141" s="35" t="b">
        <v>0</v>
      </c>
      <c r="J141" s="35" t="b">
        <v>0</v>
      </c>
      <c r="K141" s="35" t="b">
        <v>0</v>
      </c>
      <c r="L141" s="35" t="b">
        <v>0</v>
      </c>
      <c r="M141" s="35" t="b">
        <v>0</v>
      </c>
      <c r="N141" s="35" t="b">
        <v>0</v>
      </c>
      <c r="O141" s="35" t="b">
        <v>0</v>
      </c>
      <c r="P141" s="35" t="b">
        <v>0</v>
      </c>
      <c r="Q141" s="35" t="b">
        <v>0</v>
      </c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8" t="s">
        <v>2269</v>
      </c>
      <c r="B142" s="22" t="s">
        <v>2272</v>
      </c>
      <c r="C142" s="22" t="s">
        <v>2274</v>
      </c>
      <c r="D142" s="26" t="s">
        <v>2276</v>
      </c>
      <c r="E142" s="22" t="str">
        <f>IFERROR(__xludf.DUMMYFUNCTION("GOOGLETRANSLATE(D142,""zh-CN"",""vi"")"),"Mọi việc thế nào rồi?")</f>
        <v>Mọi việc thế nào rồi?</v>
      </c>
      <c r="F142" s="30" t="s">
        <v>2269</v>
      </c>
      <c r="G142" s="34" t="b">
        <f t="shared" si="1"/>
        <v>1</v>
      </c>
      <c r="H142" s="35" t="b">
        <v>1</v>
      </c>
      <c r="I142" s="35" t="b">
        <v>0</v>
      </c>
      <c r="J142" s="35" t="b">
        <v>0</v>
      </c>
      <c r="K142" s="35" t="b">
        <v>0</v>
      </c>
      <c r="L142" s="35" t="b">
        <v>0</v>
      </c>
      <c r="M142" s="35" t="b">
        <v>0</v>
      </c>
      <c r="N142" s="35" t="b">
        <v>0</v>
      </c>
      <c r="O142" s="35" t="b">
        <v>0</v>
      </c>
      <c r="P142" s="35" t="b">
        <v>0</v>
      </c>
      <c r="Q142" s="35" t="b">
        <v>0</v>
      </c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8" t="s">
        <v>2287</v>
      </c>
      <c r="B143" s="22" t="s">
        <v>2290</v>
      </c>
      <c r="C143" s="22" t="s">
        <v>2293</v>
      </c>
      <c r="D143" s="26" t="s">
        <v>2298</v>
      </c>
      <c r="E143" s="22" t="str">
        <f>IFERROR(__xludf.DUMMYFUNCTION("GOOGLETRANSLATE(D143,""zh-CN"",""vi"")"),"Trung Quốc có rất nhiều cảnh quan đẹp.")</f>
        <v>Trung Quốc có rất nhiều cảnh quan đẹp.</v>
      </c>
      <c r="F143" s="30" t="s">
        <v>2287</v>
      </c>
      <c r="G143" s="34" t="b">
        <f t="shared" si="1"/>
        <v>1</v>
      </c>
      <c r="H143" s="35" t="b">
        <v>1</v>
      </c>
      <c r="I143" s="35" t="b">
        <v>0</v>
      </c>
      <c r="J143" s="35" t="b">
        <v>0</v>
      </c>
      <c r="K143" s="35" t="b">
        <v>0</v>
      </c>
      <c r="L143" s="35" t="b">
        <v>0</v>
      </c>
      <c r="M143" s="35" t="b">
        <v>0</v>
      </c>
      <c r="N143" s="35" t="b">
        <v>0</v>
      </c>
      <c r="O143" s="35" t="b">
        <v>0</v>
      </c>
      <c r="P143" s="35" t="b">
        <v>0</v>
      </c>
      <c r="Q143" s="35" t="b">
        <v>0</v>
      </c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8" t="s">
        <v>2313</v>
      </c>
      <c r="B144" s="22" t="s">
        <v>2314</v>
      </c>
      <c r="C144" s="22" t="s">
        <v>2315</v>
      </c>
      <c r="D144" s="26" t="s">
        <v>2316</v>
      </c>
      <c r="E144" s="22" t="str">
        <f>IFERROR(__xludf.DUMMYFUNCTION("GOOGLETRANSLATE(D144,""zh-CN"",""vi"")"),"Chúng ta đi ăn trưa thôi.")</f>
        <v>Chúng ta đi ăn trưa thôi.</v>
      </c>
      <c r="F144" s="30" t="s">
        <v>2313</v>
      </c>
      <c r="G144" s="34" t="b">
        <f t="shared" si="1"/>
        <v>1</v>
      </c>
      <c r="H144" s="35" t="b">
        <v>1</v>
      </c>
      <c r="I144" s="35" t="b">
        <v>0</v>
      </c>
      <c r="J144" s="35" t="b">
        <v>0</v>
      </c>
      <c r="K144" s="35" t="b">
        <v>0</v>
      </c>
      <c r="L144" s="35" t="b">
        <v>0</v>
      </c>
      <c r="M144" s="35" t="b">
        <v>0</v>
      </c>
      <c r="N144" s="35" t="b">
        <v>0</v>
      </c>
      <c r="O144" s="35" t="b">
        <v>0</v>
      </c>
      <c r="P144" s="35" t="b">
        <v>0</v>
      </c>
      <c r="Q144" s="35" t="b">
        <v>0</v>
      </c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8" t="s">
        <v>2336</v>
      </c>
      <c r="B145" s="22" t="s">
        <v>2338</v>
      </c>
      <c r="C145" s="22" t="s">
        <v>2339</v>
      </c>
      <c r="D145" s="26" t="s">
        <v>2340</v>
      </c>
      <c r="E145" s="22" t="str">
        <f>IFERROR(__xludf.DUMMYFUNCTION("GOOGLETRANSLATE(D145,""zh-CN"",""vi"")"),"Tôi sống ở một nơi rất yên tĩnh.")</f>
        <v>Tôi sống ở một nơi rất yên tĩnh.</v>
      </c>
      <c r="F145" s="30" t="s">
        <v>2336</v>
      </c>
      <c r="G145" s="34" t="b">
        <f t="shared" si="1"/>
        <v>1</v>
      </c>
      <c r="H145" s="35" t="b">
        <v>1</v>
      </c>
      <c r="I145" s="35" t="b">
        <v>0</v>
      </c>
      <c r="J145" s="35" t="b">
        <v>0</v>
      </c>
      <c r="K145" s="35" t="b">
        <v>0</v>
      </c>
      <c r="L145" s="35" t="b">
        <v>0</v>
      </c>
      <c r="M145" s="35" t="b">
        <v>0</v>
      </c>
      <c r="N145" s="35" t="b">
        <v>0</v>
      </c>
      <c r="O145" s="35" t="b">
        <v>0</v>
      </c>
      <c r="P145" s="35" t="b">
        <v>0</v>
      </c>
      <c r="Q145" s="35" t="b">
        <v>0</v>
      </c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8" t="s">
        <v>2352</v>
      </c>
      <c r="B146" s="22" t="s">
        <v>2353</v>
      </c>
      <c r="C146" s="22" t="s">
        <v>116</v>
      </c>
      <c r="D146" s="26" t="s">
        <v>2371</v>
      </c>
      <c r="E146" s="22" t="str">
        <f>IFERROR(__xludf.DUMMYFUNCTION("GOOGLETRANSLATE(D146,""zh-CN"",""vi"")"),"Trên bàn có một cuốn sách.")</f>
        <v>Trên bàn có một cuốn sách.</v>
      </c>
      <c r="F146" s="30" t="s">
        <v>2352</v>
      </c>
      <c r="G146" s="34" t="b">
        <f t="shared" si="1"/>
        <v>1</v>
      </c>
      <c r="H146" s="35" t="b">
        <v>1</v>
      </c>
      <c r="I146" s="35" t="b">
        <v>0</v>
      </c>
      <c r="J146" s="35" t="b">
        <v>0</v>
      </c>
      <c r="K146" s="35" t="b">
        <v>0</v>
      </c>
      <c r="L146" s="35" t="b">
        <v>0</v>
      </c>
      <c r="M146" s="35" t="b">
        <v>0</v>
      </c>
      <c r="N146" s="35" t="b">
        <v>0</v>
      </c>
      <c r="O146" s="35" t="b">
        <v>0</v>
      </c>
      <c r="P146" s="35" t="b">
        <v>0</v>
      </c>
      <c r="Q146" s="35" t="b">
        <v>0</v>
      </c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8" t="s">
        <v>2384</v>
      </c>
      <c r="B147" s="22" t="s">
        <v>2385</v>
      </c>
      <c r="C147" s="22" t="s">
        <v>2386</v>
      </c>
      <c r="D147" s="26" t="s">
        <v>2389</v>
      </c>
      <c r="E147" s="22" t="str">
        <f>IFERROR(__xludf.DUMMYFUNCTION("GOOGLETRANSLATE(D147,""zh-CN"",""vi"")"),"Chúng ta cần học cách viết.")</f>
        <v>Chúng ta cần học cách viết.</v>
      </c>
      <c r="F147" s="30" t="s">
        <v>2384</v>
      </c>
      <c r="G147" s="34" t="b">
        <f t="shared" si="1"/>
        <v>1</v>
      </c>
      <c r="H147" s="35" t="b">
        <v>1</v>
      </c>
      <c r="I147" s="35" t="b">
        <v>0</v>
      </c>
      <c r="J147" s="35" t="b">
        <v>0</v>
      </c>
      <c r="K147" s="35" t="b">
        <v>0</v>
      </c>
      <c r="L147" s="35" t="b">
        <v>0</v>
      </c>
      <c r="M147" s="35" t="b">
        <v>0</v>
      </c>
      <c r="N147" s="35" t="b">
        <v>0</v>
      </c>
      <c r="O147" s="35" t="b">
        <v>0</v>
      </c>
      <c r="P147" s="35" t="b">
        <v>0</v>
      </c>
      <c r="Q147" s="35" t="b">
        <v>0</v>
      </c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8" t="s">
        <v>2404</v>
      </c>
      <c r="B148" s="22" t="s">
        <v>2406</v>
      </c>
      <c r="C148" s="22" t="s">
        <v>2408</v>
      </c>
      <c r="D148" s="26" t="s">
        <v>2411</v>
      </c>
      <c r="E148" s="22" t="str">
        <f>IFERROR(__xludf.DUMMYFUNCTION("GOOGLETRANSLATE(D148,""zh-CN"",""vi"")"),"Hôm qua tôi đi xem phim.")</f>
        <v>Hôm qua tôi đi xem phim.</v>
      </c>
      <c r="F148" s="30" t="s">
        <v>2404</v>
      </c>
      <c r="G148" s="34" t="b">
        <f t="shared" si="1"/>
        <v>1</v>
      </c>
      <c r="H148" s="35" t="b">
        <v>1</v>
      </c>
      <c r="I148" s="35" t="b">
        <v>0</v>
      </c>
      <c r="J148" s="35" t="b">
        <v>0</v>
      </c>
      <c r="K148" s="35" t="b">
        <v>0</v>
      </c>
      <c r="L148" s="35" t="b">
        <v>0</v>
      </c>
      <c r="M148" s="35" t="b">
        <v>0</v>
      </c>
      <c r="N148" s="35" t="b">
        <v>0</v>
      </c>
      <c r="O148" s="35" t="b">
        <v>0</v>
      </c>
      <c r="P148" s="35" t="b">
        <v>0</v>
      </c>
      <c r="Q148" s="35" t="b">
        <v>0</v>
      </c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8" t="s">
        <v>2424</v>
      </c>
      <c r="B149" s="22" t="s">
        <v>2425</v>
      </c>
      <c r="C149" s="22" t="s">
        <v>2426</v>
      </c>
      <c r="D149" s="26" t="s">
        <v>2429</v>
      </c>
      <c r="E149" s="22" t="str">
        <f>IFERROR(__xludf.DUMMYFUNCTION("GOOGLETRANSLATE(D149,""zh-CN"",""vi"")"),"Chúng tôi ngồi trong công viên một lúc.")</f>
        <v>Chúng tôi ngồi trong công viên một lúc.</v>
      </c>
      <c r="F149" s="30" t="s">
        <v>2424</v>
      </c>
      <c r="G149" s="34" t="b">
        <f t="shared" si="1"/>
        <v>1</v>
      </c>
      <c r="H149" s="35" t="b">
        <v>1</v>
      </c>
      <c r="I149" s="35" t="b">
        <v>0</v>
      </c>
      <c r="J149" s="35" t="b">
        <v>0</v>
      </c>
      <c r="K149" s="35" t="b">
        <v>0</v>
      </c>
      <c r="L149" s="35" t="b">
        <v>0</v>
      </c>
      <c r="M149" s="35" t="b">
        <v>0</v>
      </c>
      <c r="N149" s="35" t="b">
        <v>0</v>
      </c>
      <c r="O149" s="35" t="b">
        <v>0</v>
      </c>
      <c r="P149" s="35" t="b">
        <v>0</v>
      </c>
      <c r="Q149" s="35" t="b">
        <v>0</v>
      </c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8" t="s">
        <v>2440</v>
      </c>
      <c r="B150" s="22" t="s">
        <v>2425</v>
      </c>
      <c r="C150" s="22" t="s">
        <v>1035</v>
      </c>
      <c r="D150" s="26" t="s">
        <v>2441</v>
      </c>
      <c r="E150" s="22" t="str">
        <f>IFERROR(__xludf.DUMMYFUNCTION("GOOGLETRANSLATE(D150,""zh-CN"",""vi"")"),"Cậu ấy đang làm bài tập về nhà.")</f>
        <v>Cậu ấy đang làm bài tập về nhà.</v>
      </c>
      <c r="F150" s="30" t="s">
        <v>2440</v>
      </c>
      <c r="G150" s="34" t="b">
        <f t="shared" si="1"/>
        <v>1</v>
      </c>
      <c r="H150" s="35" t="b">
        <v>1</v>
      </c>
      <c r="I150" s="35" t="b">
        <v>0</v>
      </c>
      <c r="J150" s="35" t="b">
        <v>0</v>
      </c>
      <c r="K150" s="35" t="b">
        <v>0</v>
      </c>
      <c r="L150" s="35" t="b">
        <v>0</v>
      </c>
      <c r="M150" s="35" t="b">
        <v>0</v>
      </c>
      <c r="N150" s="35" t="b">
        <v>0</v>
      </c>
      <c r="O150" s="35" t="b">
        <v>0</v>
      </c>
      <c r="P150" s="35" t="b">
        <v>0</v>
      </c>
      <c r="Q150" s="35" t="b">
        <v>0</v>
      </c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60"/>
      <c r="B151" s="14"/>
      <c r="C151" s="14"/>
      <c r="D151" s="61"/>
      <c r="E151" s="14"/>
      <c r="F151" s="61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60"/>
      <c r="B152" s="14"/>
      <c r="C152" s="14"/>
      <c r="D152" s="61"/>
      <c r="E152" s="14"/>
      <c r="F152" s="61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60"/>
      <c r="B153" s="14"/>
      <c r="C153" s="14"/>
      <c r="D153" s="61"/>
      <c r="E153" s="14"/>
      <c r="F153" s="61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60"/>
      <c r="B154" s="14"/>
      <c r="C154" s="14"/>
      <c r="D154" s="61"/>
      <c r="E154" s="14"/>
      <c r="F154" s="61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60"/>
      <c r="B155" s="14"/>
      <c r="C155" s="14"/>
      <c r="D155" s="61"/>
      <c r="E155" s="14"/>
      <c r="F155" s="61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60"/>
      <c r="B156" s="14"/>
      <c r="C156" s="14"/>
      <c r="D156" s="61"/>
      <c r="E156" s="14"/>
      <c r="F156" s="61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60"/>
      <c r="B157" s="14"/>
      <c r="C157" s="14"/>
      <c r="D157" s="61"/>
      <c r="E157" s="14"/>
      <c r="F157" s="61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60"/>
      <c r="B158" s="14"/>
      <c r="C158" s="14"/>
      <c r="D158" s="61"/>
      <c r="E158" s="14"/>
      <c r="F158" s="61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60"/>
      <c r="B159" s="14"/>
      <c r="C159" s="14"/>
      <c r="D159" s="61"/>
      <c r="E159" s="14"/>
      <c r="F159" s="61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60"/>
      <c r="B160" s="14"/>
      <c r="C160" s="14"/>
      <c r="D160" s="61"/>
      <c r="E160" s="14"/>
      <c r="F160" s="61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60"/>
      <c r="B161" s="14"/>
      <c r="C161" s="14"/>
      <c r="D161" s="61"/>
      <c r="E161" s="14"/>
      <c r="F161" s="61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60"/>
      <c r="B162" s="14"/>
      <c r="C162" s="14"/>
      <c r="D162" s="61"/>
      <c r="E162" s="14"/>
      <c r="F162" s="61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60"/>
      <c r="B163" s="14"/>
      <c r="C163" s="14"/>
      <c r="D163" s="61"/>
      <c r="E163" s="14"/>
      <c r="F163" s="61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60"/>
      <c r="B164" s="14"/>
      <c r="C164" s="14"/>
      <c r="D164" s="61"/>
      <c r="E164" s="14"/>
      <c r="F164" s="61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60"/>
      <c r="B165" s="14"/>
      <c r="C165" s="14"/>
      <c r="D165" s="61"/>
      <c r="E165" s="14"/>
      <c r="F165" s="61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60"/>
      <c r="B166" s="14"/>
      <c r="C166" s="14"/>
      <c r="D166" s="61"/>
      <c r="E166" s="14"/>
      <c r="F166" s="61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60"/>
      <c r="B167" s="14"/>
      <c r="C167" s="14"/>
      <c r="D167" s="61"/>
      <c r="E167" s="14"/>
      <c r="F167" s="61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60"/>
      <c r="B168" s="14"/>
      <c r="C168" s="14"/>
      <c r="D168" s="61"/>
      <c r="E168" s="14"/>
      <c r="F168" s="61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60"/>
      <c r="B169" s="14"/>
      <c r="C169" s="14"/>
      <c r="D169" s="61"/>
      <c r="E169" s="14"/>
      <c r="F169" s="61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60"/>
      <c r="B170" s="14"/>
      <c r="C170" s="14"/>
      <c r="D170" s="61"/>
      <c r="E170" s="14"/>
      <c r="F170" s="61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60"/>
      <c r="B171" s="14"/>
      <c r="C171" s="14"/>
      <c r="D171" s="61"/>
      <c r="E171" s="14"/>
      <c r="F171" s="61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60"/>
      <c r="B172" s="14"/>
      <c r="C172" s="14"/>
      <c r="D172" s="61"/>
      <c r="E172" s="14"/>
      <c r="F172" s="61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60"/>
      <c r="B173" s="14"/>
      <c r="C173" s="14"/>
      <c r="D173" s="61"/>
      <c r="E173" s="14"/>
      <c r="F173" s="61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60"/>
      <c r="B174" s="14"/>
      <c r="C174" s="14"/>
      <c r="D174" s="61"/>
      <c r="E174" s="14"/>
      <c r="F174" s="61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60"/>
      <c r="B175" s="14"/>
      <c r="C175" s="14"/>
      <c r="D175" s="61"/>
      <c r="E175" s="14"/>
      <c r="F175" s="61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60"/>
      <c r="B176" s="14"/>
      <c r="C176" s="14"/>
      <c r="D176" s="61"/>
      <c r="E176" s="14"/>
      <c r="F176" s="61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60"/>
      <c r="B177" s="14"/>
      <c r="C177" s="14"/>
      <c r="D177" s="61"/>
      <c r="E177" s="14"/>
      <c r="F177" s="61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60"/>
      <c r="B178" s="14"/>
      <c r="C178" s="14"/>
      <c r="D178" s="61"/>
      <c r="E178" s="14"/>
      <c r="F178" s="61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60"/>
      <c r="B179" s="14"/>
      <c r="C179" s="14"/>
      <c r="D179" s="61"/>
      <c r="E179" s="14"/>
      <c r="F179" s="61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60"/>
      <c r="B180" s="14"/>
      <c r="C180" s="14"/>
      <c r="D180" s="61"/>
      <c r="E180" s="14"/>
      <c r="F180" s="61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60"/>
      <c r="B181" s="14"/>
      <c r="C181" s="14"/>
      <c r="D181" s="61"/>
      <c r="E181" s="14"/>
      <c r="F181" s="61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60"/>
      <c r="B182" s="14"/>
      <c r="C182" s="14"/>
      <c r="D182" s="61"/>
      <c r="E182" s="14"/>
      <c r="F182" s="61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60"/>
      <c r="B183" s="14"/>
      <c r="C183" s="14"/>
      <c r="D183" s="61"/>
      <c r="E183" s="14"/>
      <c r="F183" s="61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60"/>
      <c r="B184" s="14"/>
      <c r="C184" s="14"/>
      <c r="D184" s="61"/>
      <c r="E184" s="14"/>
      <c r="F184" s="61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60"/>
      <c r="B185" s="14"/>
      <c r="C185" s="14"/>
      <c r="D185" s="61"/>
      <c r="E185" s="14"/>
      <c r="F185" s="61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60"/>
      <c r="B186" s="14"/>
      <c r="C186" s="14"/>
      <c r="D186" s="61"/>
      <c r="E186" s="14"/>
      <c r="F186" s="61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60"/>
      <c r="B187" s="14"/>
      <c r="C187" s="14"/>
      <c r="D187" s="61"/>
      <c r="E187" s="14"/>
      <c r="F187" s="61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60"/>
      <c r="B188" s="14"/>
      <c r="C188" s="14"/>
      <c r="D188" s="61"/>
      <c r="E188" s="14"/>
      <c r="F188" s="61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60"/>
      <c r="B189" s="14"/>
      <c r="C189" s="14"/>
      <c r="D189" s="61"/>
      <c r="E189" s="14"/>
      <c r="F189" s="61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60"/>
      <c r="B190" s="14"/>
      <c r="C190" s="14"/>
      <c r="D190" s="61"/>
      <c r="E190" s="14"/>
      <c r="F190" s="61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60"/>
      <c r="B191" s="14"/>
      <c r="C191" s="14"/>
      <c r="D191" s="61"/>
      <c r="E191" s="14"/>
      <c r="F191" s="61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60"/>
      <c r="B192" s="14"/>
      <c r="C192" s="14"/>
      <c r="D192" s="61"/>
      <c r="E192" s="14"/>
      <c r="F192" s="61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60"/>
      <c r="B193" s="14"/>
      <c r="C193" s="14"/>
      <c r="D193" s="61"/>
      <c r="E193" s="14"/>
      <c r="F193" s="61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60"/>
      <c r="B194" s="14"/>
      <c r="C194" s="14"/>
      <c r="D194" s="61"/>
      <c r="E194" s="14"/>
      <c r="F194" s="61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60"/>
      <c r="B195" s="14"/>
      <c r="C195" s="14"/>
      <c r="D195" s="61"/>
      <c r="E195" s="14"/>
      <c r="F195" s="61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60"/>
      <c r="B196" s="14"/>
      <c r="C196" s="14"/>
      <c r="D196" s="61"/>
      <c r="E196" s="14"/>
      <c r="F196" s="61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60"/>
      <c r="B197" s="14"/>
      <c r="C197" s="14"/>
      <c r="D197" s="61"/>
      <c r="E197" s="14"/>
      <c r="F197" s="61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60"/>
      <c r="B198" s="14"/>
      <c r="C198" s="14"/>
      <c r="D198" s="61"/>
      <c r="E198" s="14"/>
      <c r="F198" s="61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60"/>
      <c r="B199" s="14"/>
      <c r="C199" s="14"/>
      <c r="D199" s="61"/>
      <c r="E199" s="14"/>
      <c r="F199" s="61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60"/>
      <c r="B200" s="14"/>
      <c r="C200" s="14"/>
      <c r="D200" s="61"/>
      <c r="E200" s="14"/>
      <c r="F200" s="61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60"/>
      <c r="B201" s="14"/>
      <c r="C201" s="14"/>
      <c r="D201" s="61"/>
      <c r="E201" s="14"/>
      <c r="F201" s="61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60"/>
      <c r="B202" s="14"/>
      <c r="C202" s="14"/>
      <c r="D202" s="61"/>
      <c r="E202" s="14"/>
      <c r="F202" s="61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60"/>
      <c r="B203" s="14"/>
      <c r="C203" s="14"/>
      <c r="D203" s="61"/>
      <c r="E203" s="14"/>
      <c r="F203" s="61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60"/>
      <c r="B204" s="14"/>
      <c r="C204" s="14"/>
      <c r="D204" s="61"/>
      <c r="E204" s="14"/>
      <c r="F204" s="61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60"/>
      <c r="B205" s="14"/>
      <c r="C205" s="14"/>
      <c r="D205" s="61"/>
      <c r="E205" s="14"/>
      <c r="F205" s="61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60"/>
      <c r="B206" s="14"/>
      <c r="C206" s="14"/>
      <c r="D206" s="61"/>
      <c r="E206" s="14"/>
      <c r="F206" s="61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60"/>
      <c r="B207" s="14"/>
      <c r="C207" s="14"/>
      <c r="D207" s="61"/>
      <c r="E207" s="14"/>
      <c r="F207" s="61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60"/>
      <c r="B208" s="14"/>
      <c r="C208" s="14"/>
      <c r="D208" s="61"/>
      <c r="E208" s="14"/>
      <c r="F208" s="61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60"/>
      <c r="B209" s="14"/>
      <c r="C209" s="14"/>
      <c r="D209" s="61"/>
      <c r="E209" s="14"/>
      <c r="F209" s="61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60"/>
      <c r="B210" s="14"/>
      <c r="C210" s="14"/>
      <c r="D210" s="61"/>
      <c r="E210" s="14"/>
      <c r="F210" s="61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60"/>
      <c r="B211" s="14"/>
      <c r="C211" s="14"/>
      <c r="D211" s="61"/>
      <c r="E211" s="14"/>
      <c r="F211" s="61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60"/>
      <c r="B212" s="14"/>
      <c r="C212" s="14"/>
      <c r="D212" s="61"/>
      <c r="E212" s="14"/>
      <c r="F212" s="61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60"/>
      <c r="B213" s="14"/>
      <c r="C213" s="14"/>
      <c r="D213" s="61"/>
      <c r="E213" s="14"/>
      <c r="F213" s="61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60"/>
      <c r="B214" s="14"/>
      <c r="C214" s="14"/>
      <c r="D214" s="61"/>
      <c r="E214" s="14"/>
      <c r="F214" s="61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60"/>
      <c r="B215" s="14"/>
      <c r="C215" s="14"/>
      <c r="D215" s="61"/>
      <c r="E215" s="14"/>
      <c r="F215" s="61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60"/>
      <c r="B216" s="14"/>
      <c r="C216" s="14"/>
      <c r="D216" s="61"/>
      <c r="E216" s="14"/>
      <c r="F216" s="61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60"/>
      <c r="B217" s="14"/>
      <c r="C217" s="14"/>
      <c r="D217" s="61"/>
      <c r="E217" s="14"/>
      <c r="F217" s="61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60"/>
      <c r="B218" s="14"/>
      <c r="C218" s="14"/>
      <c r="D218" s="61"/>
      <c r="E218" s="14"/>
      <c r="F218" s="61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60"/>
      <c r="B219" s="14"/>
      <c r="C219" s="14"/>
      <c r="D219" s="61"/>
      <c r="E219" s="14"/>
      <c r="F219" s="61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60"/>
      <c r="B220" s="14"/>
      <c r="C220" s="14"/>
      <c r="D220" s="61"/>
      <c r="E220" s="14"/>
      <c r="F220" s="61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60"/>
      <c r="B221" s="14"/>
      <c r="C221" s="14"/>
      <c r="D221" s="61"/>
      <c r="E221" s="14"/>
      <c r="F221" s="61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60"/>
      <c r="B222" s="14"/>
      <c r="C222" s="14"/>
      <c r="D222" s="61"/>
      <c r="E222" s="14"/>
      <c r="F222" s="61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60"/>
      <c r="B223" s="14"/>
      <c r="C223" s="14"/>
      <c r="D223" s="61"/>
      <c r="E223" s="14"/>
      <c r="F223" s="61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60"/>
      <c r="B224" s="14"/>
      <c r="C224" s="14"/>
      <c r="D224" s="61"/>
      <c r="E224" s="14"/>
      <c r="F224" s="61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60"/>
      <c r="B225" s="14"/>
      <c r="C225" s="14"/>
      <c r="D225" s="61"/>
      <c r="E225" s="14"/>
      <c r="F225" s="61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60"/>
      <c r="B226" s="14"/>
      <c r="C226" s="14"/>
      <c r="D226" s="61"/>
      <c r="E226" s="14"/>
      <c r="F226" s="61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60"/>
      <c r="B227" s="14"/>
      <c r="C227" s="14"/>
      <c r="D227" s="61"/>
      <c r="E227" s="14"/>
      <c r="F227" s="61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60"/>
      <c r="B228" s="14"/>
      <c r="C228" s="14"/>
      <c r="D228" s="61"/>
      <c r="E228" s="14"/>
      <c r="F228" s="61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60"/>
      <c r="B229" s="14"/>
      <c r="C229" s="14"/>
      <c r="D229" s="61"/>
      <c r="E229" s="14"/>
      <c r="F229" s="61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60"/>
      <c r="B230" s="14"/>
      <c r="C230" s="14"/>
      <c r="D230" s="61"/>
      <c r="E230" s="14"/>
      <c r="F230" s="61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60"/>
      <c r="B231" s="14"/>
      <c r="C231" s="14"/>
      <c r="D231" s="61"/>
      <c r="E231" s="14"/>
      <c r="F231" s="61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60"/>
      <c r="B232" s="14"/>
      <c r="C232" s="14"/>
      <c r="D232" s="61"/>
      <c r="E232" s="14"/>
      <c r="F232" s="61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60"/>
      <c r="B233" s="14"/>
      <c r="C233" s="14"/>
      <c r="D233" s="61"/>
      <c r="E233" s="14"/>
      <c r="F233" s="61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60"/>
      <c r="B234" s="14"/>
      <c r="C234" s="14"/>
      <c r="D234" s="61"/>
      <c r="E234" s="14"/>
      <c r="F234" s="61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60"/>
      <c r="B235" s="14"/>
      <c r="C235" s="14"/>
      <c r="D235" s="61"/>
      <c r="E235" s="14"/>
      <c r="F235" s="61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60"/>
      <c r="B236" s="14"/>
      <c r="C236" s="14"/>
      <c r="D236" s="61"/>
      <c r="E236" s="14"/>
      <c r="F236" s="61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60"/>
      <c r="B237" s="14"/>
      <c r="C237" s="14"/>
      <c r="D237" s="61"/>
      <c r="E237" s="14"/>
      <c r="F237" s="61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60"/>
      <c r="B238" s="14"/>
      <c r="C238" s="14"/>
      <c r="D238" s="61"/>
      <c r="E238" s="14"/>
      <c r="F238" s="61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60"/>
      <c r="B239" s="14"/>
      <c r="C239" s="14"/>
      <c r="D239" s="61"/>
      <c r="E239" s="14"/>
      <c r="F239" s="61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60"/>
      <c r="B240" s="14"/>
      <c r="C240" s="14"/>
      <c r="D240" s="61"/>
      <c r="E240" s="14"/>
      <c r="F240" s="61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60"/>
      <c r="B241" s="14"/>
      <c r="C241" s="14"/>
      <c r="D241" s="61"/>
      <c r="E241" s="14"/>
      <c r="F241" s="61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60"/>
      <c r="B242" s="14"/>
      <c r="C242" s="14"/>
      <c r="D242" s="61"/>
      <c r="E242" s="14"/>
      <c r="F242" s="61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60"/>
      <c r="B243" s="14"/>
      <c r="C243" s="14"/>
      <c r="D243" s="61"/>
      <c r="E243" s="14"/>
      <c r="F243" s="61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60"/>
      <c r="B244" s="14"/>
      <c r="C244" s="14"/>
      <c r="D244" s="61"/>
      <c r="E244" s="14"/>
      <c r="F244" s="61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60"/>
      <c r="B245" s="14"/>
      <c r="C245" s="14"/>
      <c r="D245" s="61"/>
      <c r="E245" s="14"/>
      <c r="F245" s="61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60"/>
      <c r="B246" s="14"/>
      <c r="C246" s="14"/>
      <c r="D246" s="61"/>
      <c r="E246" s="14"/>
      <c r="F246" s="61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60"/>
      <c r="B247" s="14"/>
      <c r="C247" s="14"/>
      <c r="D247" s="61"/>
      <c r="E247" s="14"/>
      <c r="F247" s="61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60"/>
      <c r="B248" s="14"/>
      <c r="C248" s="14"/>
      <c r="D248" s="61"/>
      <c r="E248" s="14"/>
      <c r="F248" s="61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60"/>
      <c r="B249" s="14"/>
      <c r="C249" s="14"/>
      <c r="D249" s="61"/>
      <c r="E249" s="14"/>
      <c r="F249" s="61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60"/>
      <c r="B250" s="14"/>
      <c r="C250" s="14"/>
      <c r="D250" s="61"/>
      <c r="E250" s="14"/>
      <c r="F250" s="61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60"/>
      <c r="B251" s="14"/>
      <c r="C251" s="14"/>
      <c r="D251" s="61"/>
      <c r="E251" s="14"/>
      <c r="F251" s="61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60"/>
      <c r="B252" s="14"/>
      <c r="C252" s="14"/>
      <c r="D252" s="61"/>
      <c r="E252" s="14"/>
      <c r="F252" s="61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60"/>
      <c r="B253" s="14"/>
      <c r="C253" s="14"/>
      <c r="D253" s="61"/>
      <c r="E253" s="14"/>
      <c r="F253" s="61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60"/>
      <c r="B254" s="14"/>
      <c r="C254" s="14"/>
      <c r="D254" s="61"/>
      <c r="E254" s="14"/>
      <c r="F254" s="61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60"/>
      <c r="B255" s="14"/>
      <c r="C255" s="14"/>
      <c r="D255" s="61"/>
      <c r="E255" s="14"/>
      <c r="F255" s="61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60"/>
      <c r="B256" s="14"/>
      <c r="C256" s="14"/>
      <c r="D256" s="61"/>
      <c r="E256" s="14"/>
      <c r="F256" s="61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60"/>
      <c r="B257" s="14"/>
      <c r="C257" s="14"/>
      <c r="D257" s="61"/>
      <c r="E257" s="14"/>
      <c r="F257" s="61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60"/>
      <c r="B258" s="14"/>
      <c r="C258" s="14"/>
      <c r="D258" s="61"/>
      <c r="E258" s="14"/>
      <c r="F258" s="61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60"/>
      <c r="B259" s="14"/>
      <c r="C259" s="14"/>
      <c r="D259" s="61"/>
      <c r="E259" s="14"/>
      <c r="F259" s="61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60"/>
      <c r="B260" s="14"/>
      <c r="C260" s="14"/>
      <c r="D260" s="61"/>
      <c r="E260" s="14"/>
      <c r="F260" s="61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60"/>
      <c r="B261" s="14"/>
      <c r="C261" s="14"/>
      <c r="D261" s="61"/>
      <c r="E261" s="14"/>
      <c r="F261" s="61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60"/>
      <c r="B262" s="14"/>
      <c r="C262" s="14"/>
      <c r="D262" s="61"/>
      <c r="E262" s="14"/>
      <c r="F262" s="61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60"/>
      <c r="B263" s="14"/>
      <c r="C263" s="14"/>
      <c r="D263" s="61"/>
      <c r="E263" s="14"/>
      <c r="F263" s="61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60"/>
      <c r="B264" s="14"/>
      <c r="C264" s="14"/>
      <c r="D264" s="61"/>
      <c r="E264" s="14"/>
      <c r="F264" s="61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60"/>
      <c r="B265" s="14"/>
      <c r="C265" s="14"/>
      <c r="D265" s="61"/>
      <c r="E265" s="14"/>
      <c r="F265" s="61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60"/>
      <c r="B266" s="14"/>
      <c r="C266" s="14"/>
      <c r="D266" s="61"/>
      <c r="E266" s="14"/>
      <c r="F266" s="61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60"/>
      <c r="B267" s="14"/>
      <c r="C267" s="14"/>
      <c r="D267" s="61"/>
      <c r="E267" s="14"/>
      <c r="F267" s="61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60"/>
      <c r="B268" s="14"/>
      <c r="C268" s="14"/>
      <c r="D268" s="61"/>
      <c r="E268" s="14"/>
      <c r="F268" s="61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60"/>
      <c r="B269" s="14"/>
      <c r="C269" s="14"/>
      <c r="D269" s="61"/>
      <c r="E269" s="14"/>
      <c r="F269" s="61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60"/>
      <c r="B270" s="14"/>
      <c r="C270" s="14"/>
      <c r="D270" s="61"/>
      <c r="E270" s="14"/>
      <c r="F270" s="61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60"/>
      <c r="B271" s="14"/>
      <c r="C271" s="14"/>
      <c r="D271" s="61"/>
      <c r="E271" s="14"/>
      <c r="F271" s="61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60"/>
      <c r="B272" s="14"/>
      <c r="C272" s="14"/>
      <c r="D272" s="61"/>
      <c r="E272" s="14"/>
      <c r="F272" s="61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60"/>
      <c r="B273" s="14"/>
      <c r="C273" s="14"/>
      <c r="D273" s="61"/>
      <c r="E273" s="14"/>
      <c r="F273" s="61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60"/>
      <c r="B274" s="14"/>
      <c r="C274" s="14"/>
      <c r="D274" s="61"/>
      <c r="E274" s="14"/>
      <c r="F274" s="61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60"/>
      <c r="B275" s="14"/>
      <c r="C275" s="14"/>
      <c r="D275" s="61"/>
      <c r="E275" s="14"/>
      <c r="F275" s="61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60"/>
      <c r="B276" s="14"/>
      <c r="C276" s="14"/>
      <c r="D276" s="61"/>
      <c r="E276" s="14"/>
      <c r="F276" s="61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60"/>
      <c r="B277" s="14"/>
      <c r="C277" s="14"/>
      <c r="D277" s="61"/>
      <c r="E277" s="14"/>
      <c r="F277" s="61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60"/>
      <c r="B278" s="14"/>
      <c r="C278" s="14"/>
      <c r="D278" s="61"/>
      <c r="E278" s="14"/>
      <c r="F278" s="61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60"/>
      <c r="B279" s="14"/>
      <c r="C279" s="14"/>
      <c r="D279" s="61"/>
      <c r="E279" s="14"/>
      <c r="F279" s="61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60"/>
      <c r="B280" s="14"/>
      <c r="C280" s="14"/>
      <c r="D280" s="61"/>
      <c r="E280" s="14"/>
      <c r="F280" s="61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60"/>
      <c r="B281" s="14"/>
      <c r="C281" s="14"/>
      <c r="D281" s="61"/>
      <c r="E281" s="14"/>
      <c r="F281" s="61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60"/>
      <c r="B282" s="14"/>
      <c r="C282" s="14"/>
      <c r="D282" s="61"/>
      <c r="E282" s="14"/>
      <c r="F282" s="61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60"/>
      <c r="B283" s="14"/>
      <c r="C283" s="14"/>
      <c r="D283" s="61"/>
      <c r="E283" s="14"/>
      <c r="F283" s="61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60"/>
      <c r="B284" s="14"/>
      <c r="C284" s="14"/>
      <c r="D284" s="61"/>
      <c r="E284" s="14"/>
      <c r="F284" s="61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60"/>
      <c r="B285" s="14"/>
      <c r="C285" s="14"/>
      <c r="D285" s="61"/>
      <c r="E285" s="14"/>
      <c r="F285" s="61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60"/>
      <c r="B286" s="14"/>
      <c r="C286" s="14"/>
      <c r="D286" s="61"/>
      <c r="E286" s="14"/>
      <c r="F286" s="61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60"/>
      <c r="B287" s="14"/>
      <c r="C287" s="14"/>
      <c r="D287" s="61"/>
      <c r="E287" s="14"/>
      <c r="F287" s="61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60"/>
      <c r="B288" s="14"/>
      <c r="C288" s="14"/>
      <c r="D288" s="61"/>
      <c r="E288" s="14"/>
      <c r="F288" s="61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60"/>
      <c r="B289" s="14"/>
      <c r="C289" s="14"/>
      <c r="D289" s="61"/>
      <c r="E289" s="14"/>
      <c r="F289" s="61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60"/>
      <c r="B290" s="14"/>
      <c r="C290" s="14"/>
      <c r="D290" s="61"/>
      <c r="E290" s="14"/>
      <c r="F290" s="61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60"/>
      <c r="B291" s="14"/>
      <c r="C291" s="14"/>
      <c r="D291" s="61"/>
      <c r="E291" s="14"/>
      <c r="F291" s="61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60"/>
      <c r="B292" s="14"/>
      <c r="C292" s="14"/>
      <c r="D292" s="61"/>
      <c r="E292" s="14"/>
      <c r="F292" s="61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60"/>
      <c r="B293" s="14"/>
      <c r="C293" s="14"/>
      <c r="D293" s="61"/>
      <c r="E293" s="14"/>
      <c r="F293" s="61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60"/>
      <c r="B294" s="14"/>
      <c r="C294" s="14"/>
      <c r="D294" s="61"/>
      <c r="E294" s="14"/>
      <c r="F294" s="61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60"/>
      <c r="B295" s="14"/>
      <c r="C295" s="14"/>
      <c r="D295" s="61"/>
      <c r="E295" s="14"/>
      <c r="F295" s="61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60"/>
      <c r="B296" s="14"/>
      <c r="C296" s="14"/>
      <c r="D296" s="61"/>
      <c r="E296" s="14"/>
      <c r="F296" s="61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60"/>
      <c r="B297" s="14"/>
      <c r="C297" s="14"/>
      <c r="D297" s="61"/>
      <c r="E297" s="14"/>
      <c r="F297" s="61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60"/>
      <c r="B298" s="14"/>
      <c r="C298" s="14"/>
      <c r="D298" s="61"/>
      <c r="E298" s="14"/>
      <c r="F298" s="61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60"/>
      <c r="B299" s="14"/>
      <c r="C299" s="14"/>
      <c r="D299" s="61"/>
      <c r="E299" s="14"/>
      <c r="F299" s="61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60"/>
      <c r="B300" s="14"/>
      <c r="C300" s="14"/>
      <c r="D300" s="61"/>
      <c r="E300" s="14"/>
      <c r="F300" s="61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60"/>
      <c r="B301" s="14"/>
      <c r="C301" s="14"/>
      <c r="D301" s="61"/>
      <c r="E301" s="14"/>
      <c r="F301" s="61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60"/>
      <c r="B302" s="14"/>
      <c r="C302" s="14"/>
      <c r="D302" s="61"/>
      <c r="E302" s="14"/>
      <c r="F302" s="61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60"/>
      <c r="B303" s="14"/>
      <c r="C303" s="14"/>
      <c r="D303" s="61"/>
      <c r="E303" s="14"/>
      <c r="F303" s="61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60"/>
      <c r="B304" s="14"/>
      <c r="C304" s="14"/>
      <c r="D304" s="61"/>
      <c r="E304" s="14"/>
      <c r="F304" s="61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60"/>
      <c r="B305" s="14"/>
      <c r="C305" s="14"/>
      <c r="D305" s="61"/>
      <c r="E305" s="14"/>
      <c r="F305" s="61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60"/>
      <c r="B306" s="14"/>
      <c r="C306" s="14"/>
      <c r="D306" s="61"/>
      <c r="E306" s="14"/>
      <c r="F306" s="61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60"/>
      <c r="B307" s="14"/>
      <c r="C307" s="14"/>
      <c r="D307" s="61"/>
      <c r="E307" s="14"/>
      <c r="F307" s="61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60"/>
      <c r="B308" s="14"/>
      <c r="C308" s="14"/>
      <c r="D308" s="61"/>
      <c r="E308" s="14"/>
      <c r="F308" s="61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60"/>
      <c r="B309" s="14"/>
      <c r="C309" s="14"/>
      <c r="D309" s="61"/>
      <c r="E309" s="14"/>
      <c r="F309" s="61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60"/>
      <c r="B310" s="14"/>
      <c r="C310" s="14"/>
      <c r="D310" s="61"/>
      <c r="E310" s="14"/>
      <c r="F310" s="61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60"/>
      <c r="B311" s="14"/>
      <c r="C311" s="14"/>
      <c r="D311" s="61"/>
      <c r="E311" s="14"/>
      <c r="F311" s="61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60"/>
      <c r="B312" s="14"/>
      <c r="C312" s="14"/>
      <c r="D312" s="61"/>
      <c r="E312" s="14"/>
      <c r="F312" s="61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60"/>
      <c r="B313" s="14"/>
      <c r="C313" s="14"/>
      <c r="D313" s="61"/>
      <c r="E313" s="14"/>
      <c r="F313" s="61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60"/>
      <c r="B314" s="14"/>
      <c r="C314" s="14"/>
      <c r="D314" s="61"/>
      <c r="E314" s="14"/>
      <c r="F314" s="61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60"/>
      <c r="B315" s="14"/>
      <c r="C315" s="14"/>
      <c r="D315" s="61"/>
      <c r="E315" s="14"/>
      <c r="F315" s="61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60"/>
      <c r="B316" s="14"/>
      <c r="C316" s="14"/>
      <c r="D316" s="61"/>
      <c r="E316" s="14"/>
      <c r="F316" s="61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60"/>
      <c r="B317" s="14"/>
      <c r="C317" s="14"/>
      <c r="D317" s="61"/>
      <c r="E317" s="14"/>
      <c r="F317" s="61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60"/>
      <c r="B318" s="14"/>
      <c r="C318" s="14"/>
      <c r="D318" s="61"/>
      <c r="E318" s="14"/>
      <c r="F318" s="61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60"/>
      <c r="B319" s="14"/>
      <c r="C319" s="14"/>
      <c r="D319" s="61"/>
      <c r="E319" s="14"/>
      <c r="F319" s="61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60"/>
      <c r="B320" s="14"/>
      <c r="C320" s="14"/>
      <c r="D320" s="61"/>
      <c r="E320" s="14"/>
      <c r="F320" s="61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60"/>
      <c r="B321" s="14"/>
      <c r="C321" s="14"/>
      <c r="D321" s="61"/>
      <c r="E321" s="14"/>
      <c r="F321" s="61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60"/>
      <c r="B322" s="14"/>
      <c r="C322" s="14"/>
      <c r="D322" s="61"/>
      <c r="E322" s="14"/>
      <c r="F322" s="61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60"/>
      <c r="B323" s="14"/>
      <c r="C323" s="14"/>
      <c r="D323" s="61"/>
      <c r="E323" s="14"/>
      <c r="F323" s="61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60"/>
      <c r="B324" s="14"/>
      <c r="C324" s="14"/>
      <c r="D324" s="61"/>
      <c r="E324" s="14"/>
      <c r="F324" s="61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60"/>
      <c r="B325" s="14"/>
      <c r="C325" s="14"/>
      <c r="D325" s="61"/>
      <c r="E325" s="14"/>
      <c r="F325" s="61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60"/>
      <c r="B326" s="14"/>
      <c r="C326" s="14"/>
      <c r="D326" s="61"/>
      <c r="E326" s="14"/>
      <c r="F326" s="61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60"/>
      <c r="B327" s="14"/>
      <c r="C327" s="14"/>
      <c r="D327" s="61"/>
      <c r="E327" s="14"/>
      <c r="F327" s="61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60"/>
      <c r="B328" s="14"/>
      <c r="C328" s="14"/>
      <c r="D328" s="61"/>
      <c r="E328" s="14"/>
      <c r="F328" s="61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60"/>
      <c r="B329" s="14"/>
      <c r="C329" s="14"/>
      <c r="D329" s="61"/>
      <c r="E329" s="14"/>
      <c r="F329" s="61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60"/>
      <c r="B330" s="14"/>
      <c r="C330" s="14"/>
      <c r="D330" s="61"/>
      <c r="E330" s="14"/>
      <c r="F330" s="61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60"/>
      <c r="B331" s="14"/>
      <c r="C331" s="14"/>
      <c r="D331" s="61"/>
      <c r="E331" s="14"/>
      <c r="F331" s="61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60"/>
      <c r="B332" s="14"/>
      <c r="C332" s="14"/>
      <c r="D332" s="61"/>
      <c r="E332" s="14"/>
      <c r="F332" s="61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60"/>
      <c r="B333" s="14"/>
      <c r="C333" s="14"/>
      <c r="D333" s="61"/>
      <c r="E333" s="14"/>
      <c r="F333" s="61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60"/>
      <c r="B334" s="14"/>
      <c r="C334" s="14"/>
      <c r="D334" s="61"/>
      <c r="E334" s="14"/>
      <c r="F334" s="61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60"/>
      <c r="B335" s="14"/>
      <c r="C335" s="14"/>
      <c r="D335" s="61"/>
      <c r="E335" s="14"/>
      <c r="F335" s="61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60"/>
      <c r="B336" s="14"/>
      <c r="C336" s="14"/>
      <c r="D336" s="61"/>
      <c r="E336" s="14"/>
      <c r="F336" s="61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60"/>
      <c r="B337" s="14"/>
      <c r="C337" s="14"/>
      <c r="D337" s="61"/>
      <c r="E337" s="14"/>
      <c r="F337" s="61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60"/>
      <c r="B338" s="14"/>
      <c r="C338" s="14"/>
      <c r="D338" s="61"/>
      <c r="E338" s="14"/>
      <c r="F338" s="61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60"/>
      <c r="B339" s="14"/>
      <c r="C339" s="14"/>
      <c r="D339" s="61"/>
      <c r="E339" s="14"/>
      <c r="F339" s="61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60"/>
      <c r="B340" s="14"/>
      <c r="C340" s="14"/>
      <c r="D340" s="61"/>
      <c r="E340" s="14"/>
      <c r="F340" s="61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60"/>
      <c r="B341" s="14"/>
      <c r="C341" s="14"/>
      <c r="D341" s="61"/>
      <c r="E341" s="14"/>
      <c r="F341" s="61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60"/>
      <c r="B342" s="14"/>
      <c r="C342" s="14"/>
      <c r="D342" s="61"/>
      <c r="E342" s="14"/>
      <c r="F342" s="61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60"/>
      <c r="B343" s="14"/>
      <c r="C343" s="14"/>
      <c r="D343" s="61"/>
      <c r="E343" s="14"/>
      <c r="F343" s="61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60"/>
      <c r="B344" s="14"/>
      <c r="C344" s="14"/>
      <c r="D344" s="61"/>
      <c r="E344" s="14"/>
      <c r="F344" s="61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60"/>
      <c r="B345" s="14"/>
      <c r="C345" s="14"/>
      <c r="D345" s="61"/>
      <c r="E345" s="14"/>
      <c r="F345" s="61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60"/>
      <c r="B346" s="14"/>
      <c r="C346" s="14"/>
      <c r="D346" s="61"/>
      <c r="E346" s="14"/>
      <c r="F346" s="61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60"/>
      <c r="B347" s="14"/>
      <c r="C347" s="14"/>
      <c r="D347" s="61"/>
      <c r="E347" s="14"/>
      <c r="F347" s="61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60"/>
      <c r="B348" s="14"/>
      <c r="C348" s="14"/>
      <c r="D348" s="61"/>
      <c r="E348" s="14"/>
      <c r="F348" s="61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60"/>
      <c r="B349" s="14"/>
      <c r="C349" s="14"/>
      <c r="D349" s="61"/>
      <c r="E349" s="14"/>
      <c r="F349" s="61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60"/>
      <c r="B350" s="14"/>
      <c r="C350" s="14"/>
      <c r="D350" s="61"/>
      <c r="E350" s="14"/>
      <c r="F350" s="61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67"/>
      <c r="B351" s="68"/>
      <c r="C351" s="68"/>
      <c r="D351" s="69"/>
      <c r="E351" s="68"/>
      <c r="F351" s="69"/>
    </row>
    <row r="352" ht="15.75" customHeight="1">
      <c r="A352" s="67"/>
      <c r="B352" s="68"/>
      <c r="C352" s="68"/>
      <c r="D352" s="69"/>
      <c r="E352" s="68"/>
      <c r="F352" s="69"/>
    </row>
    <row r="353" ht="15.75" customHeight="1">
      <c r="A353" s="67"/>
      <c r="B353" s="68"/>
      <c r="C353" s="68"/>
      <c r="D353" s="69"/>
      <c r="E353" s="68"/>
      <c r="F353" s="69"/>
    </row>
    <row r="354" ht="15.75" customHeight="1">
      <c r="A354" s="67"/>
      <c r="B354" s="68"/>
      <c r="C354" s="68"/>
      <c r="D354" s="69"/>
      <c r="E354" s="68"/>
      <c r="F354" s="69"/>
    </row>
    <row r="355" ht="15.75" customHeight="1">
      <c r="A355" s="67"/>
      <c r="B355" s="68"/>
      <c r="C355" s="68"/>
      <c r="D355" s="69"/>
      <c r="E355" s="68"/>
      <c r="F355" s="69"/>
    </row>
    <row r="356" ht="15.75" customHeight="1">
      <c r="A356" s="67"/>
      <c r="B356" s="68"/>
      <c r="C356" s="68"/>
      <c r="D356" s="69"/>
      <c r="E356" s="68"/>
      <c r="F356" s="69"/>
    </row>
    <row r="357" ht="15.75" customHeight="1">
      <c r="A357" s="67"/>
      <c r="B357" s="68"/>
      <c r="C357" s="68"/>
      <c r="D357" s="69"/>
      <c r="E357" s="68"/>
      <c r="F357" s="69"/>
    </row>
    <row r="358" ht="15.75" customHeight="1">
      <c r="A358" s="67"/>
      <c r="B358" s="68"/>
      <c r="C358" s="68"/>
      <c r="D358" s="69"/>
      <c r="E358" s="68"/>
      <c r="F358" s="69"/>
    </row>
    <row r="359" ht="15.75" customHeight="1">
      <c r="A359" s="67"/>
      <c r="B359" s="68"/>
      <c r="C359" s="68"/>
      <c r="D359" s="69"/>
      <c r="E359" s="68"/>
      <c r="F359" s="69"/>
    </row>
    <row r="360" ht="15.75" customHeight="1">
      <c r="A360" s="67"/>
      <c r="B360" s="68"/>
      <c r="C360" s="68"/>
      <c r="D360" s="69"/>
      <c r="E360" s="68"/>
      <c r="F360" s="69"/>
    </row>
    <row r="361" ht="15.75" customHeight="1">
      <c r="A361" s="67"/>
      <c r="B361" s="68"/>
      <c r="C361" s="68"/>
      <c r="D361" s="69"/>
      <c r="E361" s="68"/>
      <c r="F361" s="69"/>
    </row>
    <row r="362" ht="15.75" customHeight="1">
      <c r="A362" s="67"/>
      <c r="B362" s="68"/>
      <c r="C362" s="68"/>
      <c r="D362" s="69"/>
      <c r="E362" s="68"/>
      <c r="F362" s="69"/>
    </row>
    <row r="363" ht="15.75" customHeight="1">
      <c r="A363" s="67"/>
      <c r="B363" s="68"/>
      <c r="C363" s="68"/>
      <c r="D363" s="69"/>
      <c r="E363" s="68"/>
      <c r="F363" s="69"/>
    </row>
    <row r="364" ht="15.75" customHeight="1">
      <c r="A364" s="67"/>
      <c r="B364" s="68"/>
      <c r="C364" s="68"/>
      <c r="D364" s="69"/>
      <c r="E364" s="68"/>
      <c r="F364" s="69"/>
    </row>
    <row r="365" ht="15.75" customHeight="1">
      <c r="A365" s="67"/>
      <c r="B365" s="68"/>
      <c r="C365" s="68"/>
      <c r="D365" s="69"/>
      <c r="E365" s="68"/>
      <c r="F365" s="69"/>
    </row>
    <row r="366" ht="15.75" customHeight="1">
      <c r="A366" s="67"/>
      <c r="B366" s="68"/>
      <c r="C366" s="68"/>
      <c r="D366" s="69"/>
      <c r="E366" s="68"/>
      <c r="F366" s="69"/>
    </row>
    <row r="367" ht="15.75" customHeight="1">
      <c r="A367" s="67"/>
      <c r="B367" s="68"/>
      <c r="C367" s="68"/>
      <c r="D367" s="69"/>
      <c r="E367" s="68"/>
      <c r="F367" s="69"/>
    </row>
    <row r="368" ht="15.75" customHeight="1">
      <c r="A368" s="67"/>
      <c r="B368" s="68"/>
      <c r="C368" s="68"/>
      <c r="D368" s="69"/>
      <c r="E368" s="68"/>
      <c r="F368" s="69"/>
    </row>
    <row r="369" ht="15.75" customHeight="1">
      <c r="A369" s="67"/>
      <c r="B369" s="68"/>
      <c r="C369" s="68"/>
      <c r="D369" s="69"/>
      <c r="E369" s="68"/>
      <c r="F369" s="69"/>
    </row>
    <row r="370" ht="15.75" customHeight="1">
      <c r="A370" s="67"/>
      <c r="B370" s="68"/>
      <c r="C370" s="68"/>
      <c r="D370" s="69"/>
      <c r="E370" s="68"/>
      <c r="F370" s="69"/>
    </row>
    <row r="371" ht="15.75" customHeight="1">
      <c r="A371" s="67"/>
      <c r="B371" s="68"/>
      <c r="C371" s="68"/>
      <c r="D371" s="69"/>
      <c r="E371" s="68"/>
      <c r="F371" s="69"/>
    </row>
    <row r="372" ht="15.75" customHeight="1">
      <c r="A372" s="67"/>
      <c r="B372" s="68"/>
      <c r="C372" s="68"/>
      <c r="D372" s="69"/>
      <c r="E372" s="68"/>
      <c r="F372" s="69"/>
    </row>
    <row r="373" ht="15.75" customHeight="1">
      <c r="A373" s="67"/>
      <c r="B373" s="68"/>
      <c r="C373" s="68"/>
      <c r="D373" s="69"/>
      <c r="E373" s="68"/>
      <c r="F373" s="69"/>
    </row>
    <row r="374" ht="15.75" customHeight="1">
      <c r="A374" s="67"/>
      <c r="B374" s="68"/>
      <c r="C374" s="68"/>
      <c r="D374" s="69"/>
      <c r="E374" s="68"/>
      <c r="F374" s="69"/>
    </row>
    <row r="375" ht="15.75" customHeight="1">
      <c r="A375" s="67"/>
      <c r="B375" s="68"/>
      <c r="C375" s="68"/>
      <c r="D375" s="69"/>
      <c r="E375" s="68"/>
      <c r="F375" s="69"/>
    </row>
    <row r="376" ht="15.75" customHeight="1">
      <c r="A376" s="67"/>
      <c r="B376" s="68"/>
      <c r="C376" s="68"/>
      <c r="D376" s="69"/>
      <c r="E376" s="68"/>
      <c r="F376" s="69"/>
    </row>
    <row r="377" ht="15.75" customHeight="1">
      <c r="A377" s="67"/>
      <c r="B377" s="68"/>
      <c r="C377" s="68"/>
      <c r="D377" s="69"/>
      <c r="E377" s="68"/>
      <c r="F377" s="69"/>
    </row>
    <row r="378" ht="15.75" customHeight="1">
      <c r="A378" s="67"/>
      <c r="B378" s="68"/>
      <c r="C378" s="68"/>
      <c r="D378" s="69"/>
      <c r="E378" s="68"/>
      <c r="F378" s="69"/>
    </row>
    <row r="379" ht="15.75" customHeight="1">
      <c r="A379" s="67"/>
      <c r="B379" s="68"/>
      <c r="C379" s="68"/>
      <c r="D379" s="69"/>
      <c r="E379" s="68"/>
      <c r="F379" s="69"/>
    </row>
    <row r="380" ht="15.75" customHeight="1">
      <c r="A380" s="67"/>
      <c r="B380" s="68"/>
      <c r="C380" s="68"/>
      <c r="D380" s="69"/>
      <c r="E380" s="68"/>
      <c r="F380" s="69"/>
    </row>
    <row r="381" ht="15.75" customHeight="1">
      <c r="A381" s="67"/>
      <c r="B381" s="68"/>
      <c r="C381" s="68"/>
      <c r="D381" s="69"/>
      <c r="E381" s="68"/>
      <c r="F381" s="69"/>
    </row>
    <row r="382" ht="15.75" customHeight="1">
      <c r="A382" s="67"/>
      <c r="B382" s="68"/>
      <c r="C382" s="68"/>
      <c r="D382" s="69"/>
      <c r="E382" s="68"/>
      <c r="F382" s="69"/>
    </row>
    <row r="383" ht="15.75" customHeight="1">
      <c r="A383" s="67"/>
      <c r="B383" s="68"/>
      <c r="C383" s="68"/>
      <c r="D383" s="69"/>
      <c r="E383" s="68"/>
      <c r="F383" s="69"/>
    </row>
    <row r="384" ht="15.75" customHeight="1">
      <c r="A384" s="67"/>
      <c r="B384" s="68"/>
      <c r="C384" s="68"/>
      <c r="D384" s="69"/>
      <c r="E384" s="68"/>
      <c r="F384" s="69"/>
    </row>
    <row r="385" ht="15.75" customHeight="1">
      <c r="A385" s="67"/>
      <c r="B385" s="68"/>
      <c r="C385" s="68"/>
      <c r="D385" s="69"/>
      <c r="E385" s="68"/>
      <c r="F385" s="69"/>
    </row>
    <row r="386" ht="15.75" customHeight="1">
      <c r="A386" s="67"/>
      <c r="B386" s="68"/>
      <c r="C386" s="68"/>
      <c r="D386" s="69"/>
      <c r="E386" s="68"/>
      <c r="F386" s="69"/>
    </row>
    <row r="387" ht="15.75" customHeight="1">
      <c r="A387" s="67"/>
      <c r="B387" s="68"/>
      <c r="C387" s="68"/>
      <c r="D387" s="69"/>
      <c r="E387" s="68"/>
      <c r="F387" s="69"/>
    </row>
    <row r="388" ht="15.75" customHeight="1">
      <c r="A388" s="67"/>
      <c r="B388" s="68"/>
      <c r="C388" s="68"/>
      <c r="D388" s="69"/>
      <c r="E388" s="68"/>
      <c r="F388" s="69"/>
    </row>
    <row r="389" ht="15.75" customHeight="1">
      <c r="A389" s="67"/>
      <c r="B389" s="68"/>
      <c r="C389" s="68"/>
      <c r="D389" s="69"/>
      <c r="E389" s="68"/>
      <c r="F389" s="69"/>
    </row>
    <row r="390" ht="15.75" customHeight="1">
      <c r="A390" s="67"/>
      <c r="B390" s="68"/>
      <c r="C390" s="68"/>
      <c r="D390" s="69"/>
      <c r="E390" s="68"/>
      <c r="F390" s="69"/>
    </row>
    <row r="391" ht="15.75" customHeight="1">
      <c r="A391" s="67"/>
      <c r="B391" s="68"/>
      <c r="C391" s="68"/>
      <c r="D391" s="69"/>
      <c r="E391" s="68"/>
      <c r="F391" s="69"/>
    </row>
    <row r="392" ht="15.75" customHeight="1">
      <c r="A392" s="67"/>
      <c r="B392" s="68"/>
      <c r="C392" s="68"/>
      <c r="D392" s="69"/>
      <c r="E392" s="68"/>
      <c r="F392" s="69"/>
    </row>
    <row r="393" ht="15.75" customHeight="1">
      <c r="A393" s="67"/>
      <c r="B393" s="68"/>
      <c r="C393" s="68"/>
      <c r="D393" s="69"/>
      <c r="E393" s="68"/>
      <c r="F393" s="69"/>
    </row>
    <row r="394" ht="15.75" customHeight="1">
      <c r="A394" s="67"/>
      <c r="B394" s="68"/>
      <c r="C394" s="68"/>
      <c r="D394" s="69"/>
      <c r="E394" s="68"/>
      <c r="F394" s="69"/>
    </row>
    <row r="395" ht="15.75" customHeight="1">
      <c r="A395" s="67"/>
      <c r="B395" s="68"/>
      <c r="C395" s="68"/>
      <c r="D395" s="69"/>
      <c r="E395" s="68"/>
      <c r="F395" s="69"/>
    </row>
    <row r="396" ht="15.75" customHeight="1">
      <c r="A396" s="67"/>
      <c r="B396" s="68"/>
      <c r="C396" s="68"/>
      <c r="D396" s="69"/>
      <c r="E396" s="68"/>
      <c r="F396" s="69"/>
    </row>
    <row r="397" ht="15.75" customHeight="1">
      <c r="A397" s="67"/>
      <c r="B397" s="68"/>
      <c r="C397" s="68"/>
      <c r="D397" s="69"/>
      <c r="E397" s="68"/>
      <c r="F397" s="69"/>
    </row>
    <row r="398" ht="15.75" customHeight="1">
      <c r="A398" s="67"/>
      <c r="B398" s="68"/>
      <c r="C398" s="68"/>
      <c r="D398" s="69"/>
      <c r="E398" s="68"/>
      <c r="F398" s="69"/>
    </row>
    <row r="399" ht="15.75" customHeight="1">
      <c r="A399" s="67"/>
      <c r="B399" s="68"/>
      <c r="C399" s="68"/>
      <c r="D399" s="69"/>
      <c r="E399" s="68"/>
      <c r="F399" s="69"/>
    </row>
    <row r="400" ht="15.75" customHeight="1">
      <c r="A400" s="67"/>
      <c r="B400" s="68"/>
      <c r="C400" s="68"/>
      <c r="D400" s="69"/>
      <c r="E400" s="68"/>
      <c r="F400" s="69"/>
    </row>
    <row r="401" ht="15.75" customHeight="1">
      <c r="A401" s="67"/>
      <c r="B401" s="68"/>
      <c r="C401" s="68"/>
      <c r="D401" s="69"/>
      <c r="E401" s="68"/>
      <c r="F401" s="69"/>
    </row>
    <row r="402" ht="15.75" customHeight="1">
      <c r="A402" s="67"/>
      <c r="B402" s="68"/>
      <c r="C402" s="68"/>
      <c r="D402" s="69"/>
      <c r="E402" s="68"/>
      <c r="F402" s="69"/>
    </row>
    <row r="403" ht="15.75" customHeight="1">
      <c r="A403" s="67"/>
      <c r="B403" s="68"/>
      <c r="C403" s="68"/>
      <c r="D403" s="69"/>
      <c r="E403" s="68"/>
      <c r="F403" s="69"/>
    </row>
    <row r="404" ht="15.75" customHeight="1">
      <c r="A404" s="67"/>
      <c r="B404" s="68"/>
      <c r="C404" s="68"/>
      <c r="D404" s="69"/>
      <c r="E404" s="68"/>
      <c r="F404" s="69"/>
    </row>
    <row r="405" ht="15.75" customHeight="1">
      <c r="A405" s="67"/>
      <c r="B405" s="68"/>
      <c r="C405" s="68"/>
      <c r="D405" s="69"/>
      <c r="E405" s="68"/>
      <c r="F405" s="69"/>
    </row>
    <row r="406" ht="15.75" customHeight="1">
      <c r="A406" s="67"/>
      <c r="B406" s="68"/>
      <c r="C406" s="68"/>
      <c r="D406" s="69"/>
      <c r="E406" s="68"/>
      <c r="F406" s="69"/>
    </row>
    <row r="407" ht="15.75" customHeight="1">
      <c r="A407" s="67"/>
      <c r="B407" s="68"/>
      <c r="C407" s="68"/>
      <c r="D407" s="69"/>
      <c r="E407" s="68"/>
      <c r="F407" s="69"/>
    </row>
    <row r="408" ht="15.75" customHeight="1">
      <c r="A408" s="67"/>
      <c r="B408" s="68"/>
      <c r="C408" s="68"/>
      <c r="D408" s="69"/>
      <c r="E408" s="68"/>
      <c r="F408" s="69"/>
    </row>
    <row r="409" ht="15.75" customHeight="1">
      <c r="A409" s="67"/>
      <c r="B409" s="68"/>
      <c r="C409" s="68"/>
      <c r="D409" s="69"/>
      <c r="E409" s="68"/>
      <c r="F409" s="69"/>
    </row>
    <row r="410" ht="15.75" customHeight="1">
      <c r="A410" s="67"/>
      <c r="B410" s="68"/>
      <c r="C410" s="68"/>
      <c r="D410" s="69"/>
      <c r="E410" s="68"/>
      <c r="F410" s="69"/>
    </row>
    <row r="411" ht="15.75" customHeight="1">
      <c r="A411" s="67"/>
      <c r="B411" s="68"/>
      <c r="C411" s="68"/>
      <c r="D411" s="69"/>
      <c r="E411" s="68"/>
      <c r="F411" s="69"/>
    </row>
    <row r="412" ht="15.75" customHeight="1">
      <c r="A412" s="67"/>
      <c r="B412" s="68"/>
      <c r="C412" s="68"/>
      <c r="D412" s="69"/>
      <c r="E412" s="68"/>
      <c r="F412" s="69"/>
    </row>
    <row r="413" ht="15.75" customHeight="1">
      <c r="A413" s="67"/>
      <c r="B413" s="68"/>
      <c r="C413" s="68"/>
      <c r="D413" s="69"/>
      <c r="E413" s="68"/>
      <c r="F413" s="69"/>
    </row>
    <row r="414" ht="15.75" customHeight="1">
      <c r="A414" s="67"/>
      <c r="B414" s="68"/>
      <c r="C414" s="68"/>
      <c r="D414" s="69"/>
      <c r="E414" s="68"/>
      <c r="F414" s="69"/>
    </row>
    <row r="415" ht="15.75" customHeight="1">
      <c r="A415" s="67"/>
      <c r="B415" s="68"/>
      <c r="C415" s="68"/>
      <c r="D415" s="69"/>
      <c r="E415" s="68"/>
      <c r="F415" s="69"/>
    </row>
    <row r="416" ht="15.75" customHeight="1">
      <c r="A416" s="67"/>
      <c r="B416" s="68"/>
      <c r="C416" s="68"/>
      <c r="D416" s="69"/>
      <c r="E416" s="68"/>
      <c r="F416" s="69"/>
    </row>
    <row r="417" ht="15.75" customHeight="1">
      <c r="A417" s="67"/>
      <c r="B417" s="68"/>
      <c r="C417" s="68"/>
      <c r="D417" s="69"/>
      <c r="E417" s="68"/>
      <c r="F417" s="69"/>
    </row>
    <row r="418" ht="15.75" customHeight="1">
      <c r="A418" s="67"/>
      <c r="B418" s="68"/>
      <c r="C418" s="68"/>
      <c r="D418" s="69"/>
      <c r="E418" s="68"/>
      <c r="F418" s="69"/>
    </row>
    <row r="419" ht="15.75" customHeight="1">
      <c r="A419" s="67"/>
      <c r="B419" s="68"/>
      <c r="C419" s="68"/>
      <c r="D419" s="69"/>
      <c r="E419" s="68"/>
      <c r="F419" s="69"/>
    </row>
    <row r="420" ht="15.75" customHeight="1">
      <c r="A420" s="67"/>
      <c r="B420" s="68"/>
      <c r="C420" s="68"/>
      <c r="D420" s="69"/>
      <c r="E420" s="68"/>
      <c r="F420" s="69"/>
    </row>
    <row r="421" ht="15.75" customHeight="1">
      <c r="A421" s="67"/>
      <c r="B421" s="68"/>
      <c r="C421" s="68"/>
      <c r="D421" s="69"/>
      <c r="E421" s="68"/>
      <c r="F421" s="69"/>
    </row>
    <row r="422" ht="15.75" customHeight="1">
      <c r="A422" s="67"/>
      <c r="B422" s="68"/>
      <c r="C422" s="68"/>
      <c r="D422" s="69"/>
      <c r="E422" s="68"/>
      <c r="F422" s="69"/>
    </row>
    <row r="423" ht="15.75" customHeight="1">
      <c r="A423" s="67"/>
      <c r="B423" s="68"/>
      <c r="C423" s="68"/>
      <c r="D423" s="69"/>
      <c r="E423" s="68"/>
      <c r="F423" s="69"/>
    </row>
    <row r="424" ht="15.75" customHeight="1">
      <c r="A424" s="67"/>
      <c r="B424" s="68"/>
      <c r="C424" s="68"/>
      <c r="D424" s="69"/>
      <c r="E424" s="68"/>
      <c r="F424" s="69"/>
    </row>
    <row r="425" ht="15.75" customHeight="1">
      <c r="A425" s="67"/>
      <c r="B425" s="68"/>
      <c r="C425" s="68"/>
      <c r="D425" s="69"/>
      <c r="E425" s="68"/>
      <c r="F425" s="69"/>
    </row>
    <row r="426" ht="15.75" customHeight="1">
      <c r="A426" s="67"/>
      <c r="B426" s="68"/>
      <c r="C426" s="68"/>
      <c r="D426" s="69"/>
      <c r="E426" s="68"/>
      <c r="F426" s="69"/>
    </row>
    <row r="427" ht="15.75" customHeight="1">
      <c r="A427" s="67"/>
      <c r="B427" s="68"/>
      <c r="C427" s="68"/>
      <c r="D427" s="69"/>
      <c r="E427" s="68"/>
      <c r="F427" s="69"/>
    </row>
    <row r="428" ht="15.75" customHeight="1">
      <c r="A428" s="67"/>
      <c r="B428" s="68"/>
      <c r="C428" s="68"/>
      <c r="D428" s="69"/>
      <c r="E428" s="68"/>
      <c r="F428" s="69"/>
    </row>
    <row r="429" ht="15.75" customHeight="1">
      <c r="A429" s="67"/>
      <c r="B429" s="68"/>
      <c r="C429" s="68"/>
      <c r="D429" s="69"/>
      <c r="E429" s="68"/>
      <c r="F429" s="69"/>
    </row>
    <row r="430" ht="15.75" customHeight="1">
      <c r="A430" s="67"/>
      <c r="B430" s="68"/>
      <c r="C430" s="68"/>
      <c r="D430" s="69"/>
      <c r="E430" s="68"/>
      <c r="F430" s="69"/>
    </row>
    <row r="431" ht="15.75" customHeight="1">
      <c r="A431" s="67"/>
      <c r="B431" s="68"/>
      <c r="C431" s="68"/>
      <c r="D431" s="69"/>
      <c r="E431" s="68"/>
      <c r="F431" s="69"/>
    </row>
    <row r="432" ht="15.75" customHeight="1">
      <c r="A432" s="67"/>
      <c r="B432" s="68"/>
      <c r="C432" s="68"/>
      <c r="D432" s="69"/>
      <c r="E432" s="68"/>
      <c r="F432" s="69"/>
    </row>
    <row r="433" ht="15.75" customHeight="1">
      <c r="A433" s="67"/>
      <c r="B433" s="68"/>
      <c r="C433" s="68"/>
      <c r="D433" s="69"/>
      <c r="E433" s="68"/>
      <c r="F433" s="69"/>
    </row>
    <row r="434" ht="15.75" customHeight="1">
      <c r="A434" s="67"/>
      <c r="B434" s="68"/>
      <c r="C434" s="68"/>
      <c r="D434" s="69"/>
      <c r="E434" s="68"/>
      <c r="F434" s="69"/>
    </row>
    <row r="435" ht="15.75" customHeight="1">
      <c r="A435" s="67"/>
      <c r="B435" s="68"/>
      <c r="C435" s="68"/>
      <c r="D435" s="69"/>
      <c r="E435" s="68"/>
      <c r="F435" s="69"/>
    </row>
    <row r="436" ht="15.75" customHeight="1">
      <c r="A436" s="67"/>
      <c r="B436" s="68"/>
      <c r="C436" s="68"/>
      <c r="D436" s="69"/>
      <c r="E436" s="68"/>
      <c r="F436" s="69"/>
    </row>
    <row r="437" ht="15.75" customHeight="1">
      <c r="A437" s="67"/>
      <c r="B437" s="68"/>
      <c r="C437" s="68"/>
      <c r="D437" s="69"/>
      <c r="E437" s="68"/>
      <c r="F437" s="69"/>
    </row>
    <row r="438" ht="15.75" customHeight="1">
      <c r="A438" s="67"/>
      <c r="B438" s="68"/>
      <c r="C438" s="68"/>
      <c r="D438" s="69"/>
      <c r="E438" s="68"/>
      <c r="F438" s="69"/>
    </row>
    <row r="439" ht="15.75" customHeight="1">
      <c r="A439" s="67"/>
      <c r="B439" s="68"/>
      <c r="C439" s="68"/>
      <c r="D439" s="69"/>
      <c r="E439" s="68"/>
      <c r="F439" s="69"/>
    </row>
    <row r="440" ht="15.75" customHeight="1">
      <c r="A440" s="67"/>
      <c r="B440" s="68"/>
      <c r="C440" s="68"/>
      <c r="D440" s="69"/>
      <c r="E440" s="68"/>
      <c r="F440" s="69"/>
    </row>
    <row r="441" ht="15.75" customHeight="1">
      <c r="A441" s="67"/>
      <c r="B441" s="68"/>
      <c r="C441" s="68"/>
      <c r="D441" s="69"/>
      <c r="E441" s="68"/>
      <c r="F441" s="69"/>
    </row>
    <row r="442" ht="15.75" customHeight="1">
      <c r="A442" s="67"/>
      <c r="B442" s="68"/>
      <c r="C442" s="68"/>
      <c r="D442" s="69"/>
      <c r="E442" s="68"/>
      <c r="F442" s="69"/>
    </row>
    <row r="443" ht="15.75" customHeight="1">
      <c r="A443" s="67"/>
      <c r="B443" s="68"/>
      <c r="C443" s="68"/>
      <c r="D443" s="69"/>
      <c r="E443" s="68"/>
      <c r="F443" s="69"/>
    </row>
    <row r="444" ht="15.75" customHeight="1">
      <c r="A444" s="67"/>
      <c r="B444" s="68"/>
      <c r="C444" s="68"/>
      <c r="D444" s="69"/>
      <c r="E444" s="68"/>
      <c r="F444" s="69"/>
    </row>
    <row r="445" ht="15.75" customHeight="1">
      <c r="A445" s="67"/>
      <c r="B445" s="68"/>
      <c r="C445" s="68"/>
      <c r="D445" s="69"/>
      <c r="E445" s="68"/>
      <c r="F445" s="69"/>
    </row>
    <row r="446" ht="15.75" customHeight="1">
      <c r="A446" s="67"/>
      <c r="B446" s="68"/>
      <c r="C446" s="68"/>
      <c r="D446" s="69"/>
      <c r="E446" s="68"/>
      <c r="F446" s="69"/>
    </row>
    <row r="447" ht="15.75" customHeight="1">
      <c r="A447" s="67"/>
      <c r="B447" s="68"/>
      <c r="C447" s="68"/>
      <c r="D447" s="69"/>
      <c r="E447" s="68"/>
      <c r="F447" s="69"/>
    </row>
    <row r="448" ht="15.75" customHeight="1">
      <c r="A448" s="67"/>
      <c r="B448" s="68"/>
      <c r="C448" s="68"/>
      <c r="D448" s="69"/>
      <c r="E448" s="68"/>
      <c r="F448" s="69"/>
    </row>
    <row r="449" ht="15.75" customHeight="1">
      <c r="A449" s="67"/>
      <c r="B449" s="68"/>
      <c r="C449" s="68"/>
      <c r="D449" s="69"/>
      <c r="E449" s="68"/>
      <c r="F449" s="69"/>
    </row>
    <row r="450" ht="15.75" customHeight="1">
      <c r="A450" s="67"/>
      <c r="B450" s="68"/>
      <c r="C450" s="68"/>
      <c r="D450" s="69"/>
      <c r="E450" s="68"/>
      <c r="F450" s="69"/>
    </row>
    <row r="451" ht="15.75" customHeight="1">
      <c r="A451" s="67"/>
      <c r="B451" s="68"/>
      <c r="C451" s="68"/>
      <c r="D451" s="69"/>
      <c r="E451" s="68"/>
      <c r="F451" s="69"/>
    </row>
    <row r="452" ht="15.75" customHeight="1">
      <c r="A452" s="67"/>
      <c r="B452" s="68"/>
      <c r="C452" s="68"/>
      <c r="D452" s="69"/>
      <c r="E452" s="68"/>
      <c r="F452" s="69"/>
    </row>
    <row r="453" ht="15.75" customHeight="1">
      <c r="A453" s="67"/>
      <c r="B453" s="68"/>
      <c r="C453" s="68"/>
      <c r="D453" s="69"/>
      <c r="E453" s="68"/>
      <c r="F453" s="69"/>
    </row>
    <row r="454" ht="15.75" customHeight="1">
      <c r="A454" s="67"/>
      <c r="B454" s="68"/>
      <c r="C454" s="68"/>
      <c r="D454" s="69"/>
      <c r="E454" s="68"/>
      <c r="F454" s="69"/>
    </row>
    <row r="455" ht="15.75" customHeight="1">
      <c r="A455" s="67"/>
      <c r="B455" s="68"/>
      <c r="C455" s="68"/>
      <c r="D455" s="69"/>
      <c r="E455" s="68"/>
      <c r="F455" s="69"/>
    </row>
    <row r="456" ht="15.75" customHeight="1">
      <c r="A456" s="67"/>
      <c r="B456" s="68"/>
      <c r="C456" s="68"/>
      <c r="D456" s="69"/>
      <c r="E456" s="68"/>
      <c r="F456" s="69"/>
    </row>
    <row r="457" ht="15.75" customHeight="1">
      <c r="A457" s="67"/>
      <c r="B457" s="68"/>
      <c r="C457" s="68"/>
      <c r="D457" s="69"/>
      <c r="E457" s="68"/>
      <c r="F457" s="69"/>
    </row>
    <row r="458" ht="15.75" customHeight="1">
      <c r="A458" s="67"/>
      <c r="B458" s="68"/>
      <c r="C458" s="68"/>
      <c r="D458" s="69"/>
      <c r="E458" s="68"/>
      <c r="F458" s="69"/>
    </row>
    <row r="459" ht="15.75" customHeight="1">
      <c r="A459" s="67"/>
      <c r="B459" s="68"/>
      <c r="C459" s="68"/>
      <c r="D459" s="69"/>
      <c r="E459" s="68"/>
      <c r="F459" s="69"/>
    </row>
    <row r="460" ht="15.75" customHeight="1">
      <c r="A460" s="67"/>
      <c r="B460" s="68"/>
      <c r="C460" s="68"/>
      <c r="D460" s="69"/>
      <c r="E460" s="68"/>
      <c r="F460" s="69"/>
    </row>
    <row r="461" ht="15.75" customHeight="1">
      <c r="A461" s="67"/>
      <c r="B461" s="68"/>
      <c r="C461" s="68"/>
      <c r="D461" s="69"/>
      <c r="E461" s="68"/>
      <c r="F461" s="69"/>
    </row>
    <row r="462" ht="15.75" customHeight="1">
      <c r="A462" s="67"/>
      <c r="B462" s="68"/>
      <c r="C462" s="68"/>
      <c r="D462" s="69"/>
      <c r="E462" s="68"/>
      <c r="F462" s="69"/>
    </row>
    <row r="463" ht="15.75" customHeight="1">
      <c r="A463" s="67"/>
      <c r="B463" s="68"/>
      <c r="C463" s="68"/>
      <c r="D463" s="69"/>
      <c r="E463" s="68"/>
      <c r="F463" s="69"/>
    </row>
    <row r="464" ht="15.75" customHeight="1">
      <c r="A464" s="67"/>
      <c r="B464" s="68"/>
      <c r="C464" s="68"/>
      <c r="D464" s="69"/>
      <c r="E464" s="68"/>
      <c r="F464" s="69"/>
    </row>
    <row r="465" ht="15.75" customHeight="1">
      <c r="A465" s="67"/>
      <c r="B465" s="68"/>
      <c r="C465" s="68"/>
      <c r="D465" s="69"/>
      <c r="E465" s="68"/>
      <c r="F465" s="69"/>
    </row>
    <row r="466" ht="15.75" customHeight="1">
      <c r="A466" s="67"/>
      <c r="B466" s="68"/>
      <c r="C466" s="68"/>
      <c r="D466" s="69"/>
      <c r="E466" s="68"/>
      <c r="F466" s="69"/>
    </row>
    <row r="467" ht="15.75" customHeight="1">
      <c r="A467" s="67"/>
      <c r="B467" s="68"/>
      <c r="C467" s="68"/>
      <c r="D467" s="69"/>
      <c r="E467" s="68"/>
      <c r="F467" s="69"/>
    </row>
    <row r="468" ht="15.75" customHeight="1">
      <c r="A468" s="67"/>
      <c r="B468" s="68"/>
      <c r="C468" s="68"/>
      <c r="D468" s="69"/>
      <c r="E468" s="68"/>
      <c r="F468" s="69"/>
    </row>
    <row r="469" ht="15.75" customHeight="1">
      <c r="A469" s="67"/>
      <c r="B469" s="68"/>
      <c r="C469" s="68"/>
      <c r="D469" s="69"/>
      <c r="E469" s="68"/>
      <c r="F469" s="69"/>
    </row>
    <row r="470" ht="15.75" customHeight="1">
      <c r="A470" s="67"/>
      <c r="B470" s="68"/>
      <c r="C470" s="68"/>
      <c r="D470" s="69"/>
      <c r="E470" s="68"/>
      <c r="F470" s="69"/>
    </row>
    <row r="471" ht="15.75" customHeight="1">
      <c r="A471" s="67"/>
      <c r="B471" s="68"/>
      <c r="C471" s="68"/>
      <c r="D471" s="69"/>
      <c r="E471" s="68"/>
      <c r="F471" s="69"/>
    </row>
    <row r="472" ht="15.75" customHeight="1">
      <c r="A472" s="67"/>
      <c r="B472" s="68"/>
      <c r="C472" s="68"/>
      <c r="D472" s="69"/>
      <c r="E472" s="68"/>
      <c r="F472" s="69"/>
    </row>
    <row r="473" ht="15.75" customHeight="1">
      <c r="A473" s="67"/>
      <c r="B473" s="68"/>
      <c r="C473" s="68"/>
      <c r="D473" s="69"/>
      <c r="E473" s="68"/>
      <c r="F473" s="69"/>
    </row>
    <row r="474" ht="15.75" customHeight="1">
      <c r="A474" s="67"/>
      <c r="B474" s="68"/>
      <c r="C474" s="68"/>
      <c r="D474" s="69"/>
      <c r="E474" s="68"/>
      <c r="F474" s="69"/>
    </row>
    <row r="475" ht="15.75" customHeight="1">
      <c r="A475" s="67"/>
      <c r="B475" s="68"/>
      <c r="C475" s="68"/>
      <c r="D475" s="69"/>
      <c r="E475" s="68"/>
      <c r="F475" s="69"/>
    </row>
    <row r="476" ht="15.75" customHeight="1">
      <c r="A476" s="67"/>
      <c r="B476" s="68"/>
      <c r="C476" s="68"/>
      <c r="D476" s="69"/>
      <c r="E476" s="68"/>
      <c r="F476" s="69"/>
    </row>
    <row r="477" ht="15.75" customHeight="1">
      <c r="A477" s="67"/>
      <c r="B477" s="68"/>
      <c r="C477" s="68"/>
      <c r="D477" s="69"/>
      <c r="E477" s="68"/>
      <c r="F477" s="69"/>
    </row>
    <row r="478" ht="15.75" customHeight="1">
      <c r="A478" s="67"/>
      <c r="B478" s="68"/>
      <c r="C478" s="68"/>
      <c r="D478" s="69"/>
      <c r="E478" s="68"/>
      <c r="F478" s="69"/>
    </row>
    <row r="479" ht="15.75" customHeight="1">
      <c r="A479" s="67"/>
      <c r="B479" s="68"/>
      <c r="C479" s="68"/>
      <c r="D479" s="69"/>
      <c r="E479" s="68"/>
      <c r="F479" s="69"/>
    </row>
    <row r="480" ht="15.75" customHeight="1">
      <c r="A480" s="67"/>
      <c r="B480" s="68"/>
      <c r="C480" s="68"/>
      <c r="D480" s="69"/>
      <c r="E480" s="68"/>
      <c r="F480" s="69"/>
    </row>
    <row r="481" ht="15.75" customHeight="1">
      <c r="A481" s="67"/>
      <c r="B481" s="68"/>
      <c r="C481" s="68"/>
      <c r="D481" s="69"/>
      <c r="E481" s="68"/>
      <c r="F481" s="69"/>
    </row>
    <row r="482" ht="15.75" customHeight="1">
      <c r="A482" s="67"/>
      <c r="B482" s="68"/>
      <c r="C482" s="68"/>
      <c r="D482" s="69"/>
      <c r="E482" s="68"/>
      <c r="F482" s="69"/>
    </row>
    <row r="483" ht="15.75" customHeight="1">
      <c r="A483" s="67"/>
      <c r="B483" s="68"/>
      <c r="C483" s="68"/>
      <c r="D483" s="69"/>
      <c r="E483" s="68"/>
      <c r="F483" s="69"/>
    </row>
    <row r="484" ht="15.75" customHeight="1">
      <c r="A484" s="67"/>
      <c r="B484" s="68"/>
      <c r="C484" s="68"/>
      <c r="D484" s="69"/>
      <c r="E484" s="68"/>
      <c r="F484" s="69"/>
    </row>
    <row r="485" ht="15.75" customHeight="1">
      <c r="A485" s="67"/>
      <c r="B485" s="68"/>
      <c r="C485" s="68"/>
      <c r="D485" s="69"/>
      <c r="E485" s="68"/>
      <c r="F485" s="69"/>
    </row>
    <row r="486" ht="15.75" customHeight="1">
      <c r="A486" s="67"/>
      <c r="B486" s="68"/>
      <c r="C486" s="68"/>
      <c r="D486" s="69"/>
      <c r="E486" s="68"/>
      <c r="F486" s="69"/>
    </row>
    <row r="487" ht="15.75" customHeight="1">
      <c r="A487" s="67"/>
      <c r="B487" s="68"/>
      <c r="C487" s="68"/>
      <c r="D487" s="69"/>
      <c r="E487" s="68"/>
      <c r="F487" s="69"/>
    </row>
    <row r="488" ht="15.75" customHeight="1">
      <c r="A488" s="67"/>
      <c r="B488" s="68"/>
      <c r="C488" s="68"/>
      <c r="D488" s="69"/>
      <c r="E488" s="68"/>
      <c r="F488" s="69"/>
    </row>
    <row r="489" ht="15.75" customHeight="1">
      <c r="A489" s="67"/>
      <c r="B489" s="68"/>
      <c r="C489" s="68"/>
      <c r="D489" s="69"/>
      <c r="E489" s="68"/>
      <c r="F489" s="69"/>
    </row>
    <row r="490" ht="15.75" customHeight="1">
      <c r="A490" s="67"/>
      <c r="B490" s="68"/>
      <c r="C490" s="68"/>
      <c r="D490" s="69"/>
      <c r="E490" s="68"/>
      <c r="F490" s="69"/>
    </row>
    <row r="491" ht="15.75" customHeight="1">
      <c r="A491" s="67"/>
      <c r="B491" s="68"/>
      <c r="C491" s="68"/>
      <c r="D491" s="69"/>
      <c r="E491" s="68"/>
      <c r="F491" s="69"/>
    </row>
    <row r="492" ht="15.75" customHeight="1">
      <c r="A492" s="67"/>
      <c r="B492" s="68"/>
      <c r="C492" s="68"/>
      <c r="D492" s="69"/>
      <c r="E492" s="68"/>
      <c r="F492" s="69"/>
    </row>
    <row r="493" ht="15.75" customHeight="1">
      <c r="A493" s="67"/>
      <c r="B493" s="68"/>
      <c r="C493" s="68"/>
      <c r="D493" s="69"/>
      <c r="E493" s="68"/>
      <c r="F493" s="69"/>
    </row>
    <row r="494" ht="15.75" customHeight="1">
      <c r="A494" s="67"/>
      <c r="B494" s="68"/>
      <c r="C494" s="68"/>
      <c r="D494" s="69"/>
      <c r="E494" s="68"/>
      <c r="F494" s="69"/>
    </row>
    <row r="495" ht="15.75" customHeight="1">
      <c r="A495" s="67"/>
      <c r="B495" s="68"/>
      <c r="C495" s="68"/>
      <c r="D495" s="69"/>
      <c r="E495" s="68"/>
      <c r="F495" s="69"/>
    </row>
    <row r="496" ht="15.75" customHeight="1">
      <c r="A496" s="67"/>
      <c r="B496" s="68"/>
      <c r="C496" s="68"/>
      <c r="D496" s="69"/>
      <c r="E496" s="68"/>
      <c r="F496" s="69"/>
    </row>
    <row r="497" ht="15.75" customHeight="1">
      <c r="A497" s="67"/>
      <c r="B497" s="68"/>
      <c r="C497" s="68"/>
      <c r="D497" s="69"/>
      <c r="E497" s="68"/>
      <c r="F497" s="69"/>
    </row>
    <row r="498" ht="15.75" customHeight="1">
      <c r="A498" s="67"/>
      <c r="B498" s="68"/>
      <c r="C498" s="68"/>
      <c r="D498" s="69"/>
      <c r="E498" s="68"/>
      <c r="F498" s="69"/>
    </row>
    <row r="499" ht="15.75" customHeight="1">
      <c r="A499" s="67"/>
      <c r="B499" s="68"/>
      <c r="C499" s="68"/>
      <c r="D499" s="69"/>
      <c r="E499" s="68"/>
      <c r="F499" s="69"/>
    </row>
    <row r="500" ht="15.75" customHeight="1">
      <c r="A500" s="67"/>
      <c r="B500" s="68"/>
      <c r="C500" s="68"/>
      <c r="D500" s="69"/>
      <c r="E500" s="68"/>
      <c r="F500" s="69"/>
    </row>
    <row r="501" ht="15.75" customHeight="1">
      <c r="A501" s="67"/>
      <c r="B501" s="68"/>
      <c r="C501" s="68"/>
      <c r="D501" s="69"/>
      <c r="E501" s="68"/>
      <c r="F501" s="69"/>
    </row>
    <row r="502" ht="15.75" customHeight="1">
      <c r="A502" s="67"/>
      <c r="B502" s="68"/>
      <c r="C502" s="68"/>
      <c r="D502" s="69"/>
      <c r="E502" s="68"/>
      <c r="F502" s="69"/>
    </row>
    <row r="503" ht="15.75" customHeight="1">
      <c r="A503" s="67"/>
      <c r="B503" s="68"/>
      <c r="C503" s="68"/>
      <c r="D503" s="69"/>
      <c r="E503" s="68"/>
      <c r="F503" s="69"/>
    </row>
    <row r="504" ht="15.75" customHeight="1">
      <c r="A504" s="67"/>
      <c r="B504" s="68"/>
      <c r="C504" s="68"/>
      <c r="D504" s="69"/>
      <c r="E504" s="68"/>
      <c r="F504" s="69"/>
    </row>
    <row r="505" ht="15.75" customHeight="1">
      <c r="A505" s="67"/>
      <c r="B505" s="68"/>
      <c r="C505" s="68"/>
      <c r="D505" s="69"/>
      <c r="E505" s="68"/>
      <c r="F505" s="69"/>
    </row>
    <row r="506" ht="15.75" customHeight="1">
      <c r="A506" s="67"/>
      <c r="B506" s="68"/>
      <c r="C506" s="68"/>
      <c r="D506" s="69"/>
      <c r="E506" s="68"/>
      <c r="F506" s="69"/>
    </row>
    <row r="507" ht="15.75" customHeight="1">
      <c r="A507" s="67"/>
      <c r="B507" s="68"/>
      <c r="C507" s="68"/>
      <c r="D507" s="69"/>
      <c r="E507" s="68"/>
      <c r="F507" s="69"/>
    </row>
    <row r="508" ht="15.75" customHeight="1">
      <c r="A508" s="67"/>
      <c r="B508" s="68"/>
      <c r="C508" s="68"/>
      <c r="D508" s="69"/>
      <c r="E508" s="68"/>
      <c r="F508" s="69"/>
    </row>
    <row r="509" ht="15.75" customHeight="1">
      <c r="A509" s="67"/>
      <c r="B509" s="68"/>
      <c r="C509" s="68"/>
      <c r="D509" s="69"/>
      <c r="E509" s="68"/>
      <c r="F509" s="69"/>
    </row>
    <row r="510" ht="15.75" customHeight="1">
      <c r="A510" s="67"/>
      <c r="B510" s="68"/>
      <c r="C510" s="68"/>
      <c r="D510" s="69"/>
      <c r="E510" s="68"/>
      <c r="F510" s="69"/>
    </row>
    <row r="511" ht="15.75" customHeight="1">
      <c r="A511" s="67"/>
      <c r="B511" s="68"/>
      <c r="C511" s="68"/>
      <c r="D511" s="69"/>
      <c r="E511" s="68"/>
      <c r="F511" s="69"/>
    </row>
    <row r="512" ht="15.75" customHeight="1">
      <c r="A512" s="67"/>
      <c r="B512" s="68"/>
      <c r="C512" s="68"/>
      <c r="D512" s="69"/>
      <c r="E512" s="68"/>
      <c r="F512" s="69"/>
    </row>
    <row r="513" ht="15.75" customHeight="1">
      <c r="A513" s="67"/>
      <c r="B513" s="68"/>
      <c r="C513" s="68"/>
      <c r="D513" s="69"/>
      <c r="E513" s="68"/>
      <c r="F513" s="69"/>
    </row>
    <row r="514" ht="15.75" customHeight="1">
      <c r="A514" s="67"/>
      <c r="B514" s="68"/>
      <c r="C514" s="68"/>
      <c r="D514" s="69"/>
      <c r="E514" s="68"/>
      <c r="F514" s="69"/>
    </row>
    <row r="515" ht="15.75" customHeight="1">
      <c r="A515" s="67"/>
      <c r="B515" s="68"/>
      <c r="C515" s="68"/>
      <c r="D515" s="69"/>
      <c r="E515" s="68"/>
      <c r="F515" s="69"/>
    </row>
    <row r="516" ht="15.75" customHeight="1">
      <c r="A516" s="67"/>
      <c r="B516" s="68"/>
      <c r="C516" s="68"/>
      <c r="D516" s="69"/>
      <c r="E516" s="68"/>
      <c r="F516" s="69"/>
    </row>
    <row r="517" ht="15.75" customHeight="1">
      <c r="A517" s="67"/>
      <c r="B517" s="68"/>
      <c r="C517" s="68"/>
      <c r="D517" s="69"/>
      <c r="E517" s="68"/>
      <c r="F517" s="69"/>
    </row>
    <row r="518" ht="15.75" customHeight="1">
      <c r="A518" s="67"/>
      <c r="B518" s="68"/>
      <c r="C518" s="68"/>
      <c r="D518" s="69"/>
      <c r="E518" s="68"/>
      <c r="F518" s="69"/>
    </row>
    <row r="519" ht="15.75" customHeight="1">
      <c r="A519" s="67"/>
      <c r="B519" s="68"/>
      <c r="C519" s="68"/>
      <c r="D519" s="69"/>
      <c r="E519" s="68"/>
      <c r="F519" s="69"/>
    </row>
    <row r="520" ht="15.75" customHeight="1">
      <c r="A520" s="67"/>
      <c r="B520" s="68"/>
      <c r="C520" s="68"/>
      <c r="D520" s="69"/>
      <c r="E520" s="68"/>
      <c r="F520" s="69"/>
    </row>
    <row r="521" ht="15.75" customHeight="1">
      <c r="A521" s="67"/>
      <c r="B521" s="68"/>
      <c r="C521" s="68"/>
      <c r="D521" s="69"/>
      <c r="E521" s="68"/>
      <c r="F521" s="69"/>
    </row>
    <row r="522" ht="15.75" customHeight="1">
      <c r="A522" s="67"/>
      <c r="B522" s="68"/>
      <c r="C522" s="68"/>
      <c r="D522" s="69"/>
      <c r="E522" s="68"/>
      <c r="F522" s="69"/>
    </row>
    <row r="523" ht="15.75" customHeight="1">
      <c r="A523" s="67"/>
      <c r="B523" s="68"/>
      <c r="C523" s="68"/>
      <c r="D523" s="69"/>
      <c r="E523" s="68"/>
      <c r="F523" s="69"/>
    </row>
    <row r="524" ht="15.75" customHeight="1">
      <c r="A524" s="67"/>
      <c r="B524" s="68"/>
      <c r="C524" s="68"/>
      <c r="D524" s="69"/>
      <c r="E524" s="68"/>
      <c r="F524" s="69"/>
    </row>
    <row r="525" ht="15.75" customHeight="1">
      <c r="A525" s="67"/>
      <c r="B525" s="68"/>
      <c r="C525" s="68"/>
      <c r="D525" s="69"/>
      <c r="E525" s="68"/>
      <c r="F525" s="69"/>
    </row>
    <row r="526" ht="15.75" customHeight="1">
      <c r="A526" s="67"/>
      <c r="B526" s="68"/>
      <c r="C526" s="68"/>
      <c r="D526" s="69"/>
      <c r="E526" s="68"/>
      <c r="F526" s="69"/>
    </row>
    <row r="527" ht="15.75" customHeight="1">
      <c r="A527" s="67"/>
      <c r="B527" s="68"/>
      <c r="C527" s="68"/>
      <c r="D527" s="69"/>
      <c r="E527" s="68"/>
      <c r="F527" s="69"/>
    </row>
    <row r="528" ht="15.75" customHeight="1">
      <c r="A528" s="67"/>
      <c r="B528" s="68"/>
      <c r="C528" s="68"/>
      <c r="D528" s="69"/>
      <c r="E528" s="68"/>
      <c r="F528" s="69"/>
    </row>
    <row r="529" ht="15.75" customHeight="1">
      <c r="A529" s="67"/>
      <c r="B529" s="68"/>
      <c r="C529" s="68"/>
      <c r="D529" s="69"/>
      <c r="E529" s="68"/>
      <c r="F529" s="69"/>
    </row>
    <row r="530" ht="15.75" customHeight="1">
      <c r="A530" s="67"/>
      <c r="B530" s="68"/>
      <c r="C530" s="68"/>
      <c r="D530" s="69"/>
      <c r="E530" s="68"/>
      <c r="F530" s="69"/>
    </row>
    <row r="531" ht="15.75" customHeight="1">
      <c r="A531" s="67"/>
      <c r="B531" s="68"/>
      <c r="C531" s="68"/>
      <c r="D531" s="69"/>
      <c r="E531" s="68"/>
      <c r="F531" s="69"/>
    </row>
    <row r="532" ht="15.75" customHeight="1">
      <c r="A532" s="67"/>
      <c r="B532" s="68"/>
      <c r="C532" s="68"/>
      <c r="D532" s="69"/>
      <c r="E532" s="68"/>
      <c r="F532" s="69"/>
    </row>
    <row r="533" ht="15.75" customHeight="1">
      <c r="A533" s="67"/>
      <c r="B533" s="68"/>
      <c r="C533" s="68"/>
      <c r="D533" s="69"/>
      <c r="E533" s="68"/>
      <c r="F533" s="69"/>
    </row>
    <row r="534" ht="15.75" customHeight="1">
      <c r="A534" s="67"/>
      <c r="B534" s="68"/>
      <c r="C534" s="68"/>
      <c r="D534" s="69"/>
      <c r="E534" s="68"/>
      <c r="F534" s="69"/>
    </row>
    <row r="535" ht="15.75" customHeight="1">
      <c r="A535" s="67"/>
      <c r="B535" s="68"/>
      <c r="C535" s="68"/>
      <c r="D535" s="69"/>
      <c r="E535" s="68"/>
      <c r="F535" s="69"/>
    </row>
    <row r="536" ht="15.75" customHeight="1">
      <c r="A536" s="67"/>
      <c r="B536" s="68"/>
      <c r="C536" s="68"/>
      <c r="D536" s="69"/>
      <c r="E536" s="68"/>
      <c r="F536" s="69"/>
    </row>
    <row r="537" ht="15.75" customHeight="1">
      <c r="A537" s="67"/>
      <c r="B537" s="68"/>
      <c r="C537" s="68"/>
      <c r="D537" s="69"/>
      <c r="E537" s="68"/>
      <c r="F537" s="69"/>
    </row>
    <row r="538" ht="15.75" customHeight="1">
      <c r="A538" s="67"/>
      <c r="B538" s="68"/>
      <c r="C538" s="68"/>
      <c r="D538" s="69"/>
      <c r="E538" s="68"/>
      <c r="F538" s="69"/>
    </row>
    <row r="539" ht="15.75" customHeight="1">
      <c r="A539" s="67"/>
      <c r="B539" s="68"/>
      <c r="C539" s="68"/>
      <c r="D539" s="69"/>
      <c r="E539" s="68"/>
      <c r="F539" s="69"/>
    </row>
    <row r="540" ht="15.75" customHeight="1">
      <c r="A540" s="67"/>
      <c r="B540" s="68"/>
      <c r="C540" s="68"/>
      <c r="D540" s="69"/>
      <c r="E540" s="68"/>
      <c r="F540" s="69"/>
    </row>
    <row r="541" ht="15.75" customHeight="1">
      <c r="A541" s="67"/>
      <c r="B541" s="68"/>
      <c r="C541" s="68"/>
      <c r="D541" s="69"/>
      <c r="E541" s="68"/>
      <c r="F541" s="69"/>
    </row>
    <row r="542" ht="15.75" customHeight="1">
      <c r="A542" s="67"/>
      <c r="B542" s="68"/>
      <c r="C542" s="68"/>
      <c r="D542" s="69"/>
      <c r="E542" s="68"/>
      <c r="F542" s="69"/>
    </row>
    <row r="543" ht="15.75" customHeight="1">
      <c r="A543" s="67"/>
      <c r="B543" s="68"/>
      <c r="C543" s="68"/>
      <c r="D543" s="69"/>
      <c r="E543" s="68"/>
      <c r="F543" s="69"/>
    </row>
    <row r="544" ht="15.75" customHeight="1">
      <c r="A544" s="67"/>
      <c r="B544" s="68"/>
      <c r="C544" s="68"/>
      <c r="D544" s="69"/>
      <c r="E544" s="68"/>
      <c r="F544" s="69"/>
    </row>
    <row r="545" ht="15.75" customHeight="1">
      <c r="A545" s="67"/>
      <c r="B545" s="68"/>
      <c r="C545" s="68"/>
      <c r="D545" s="69"/>
      <c r="E545" s="68"/>
      <c r="F545" s="69"/>
    </row>
    <row r="546" ht="15.75" customHeight="1">
      <c r="A546" s="67"/>
      <c r="B546" s="68"/>
      <c r="C546" s="68"/>
      <c r="D546" s="69"/>
      <c r="E546" s="68"/>
      <c r="F546" s="69"/>
    </row>
    <row r="547" ht="15.75" customHeight="1">
      <c r="A547" s="67"/>
      <c r="B547" s="68"/>
      <c r="C547" s="68"/>
      <c r="D547" s="69"/>
      <c r="E547" s="68"/>
      <c r="F547" s="69"/>
    </row>
    <row r="548" ht="15.75" customHeight="1">
      <c r="A548" s="67"/>
      <c r="B548" s="68"/>
      <c r="C548" s="68"/>
      <c r="D548" s="69"/>
      <c r="E548" s="68"/>
      <c r="F548" s="69"/>
    </row>
    <row r="549" ht="15.75" customHeight="1">
      <c r="A549" s="67"/>
      <c r="B549" s="68"/>
      <c r="C549" s="68"/>
      <c r="D549" s="69"/>
      <c r="E549" s="68"/>
      <c r="F549" s="69"/>
    </row>
    <row r="550" ht="15.75" customHeight="1">
      <c r="A550" s="67"/>
      <c r="B550" s="68"/>
      <c r="C550" s="68"/>
      <c r="D550" s="69"/>
      <c r="E550" s="68"/>
      <c r="F550" s="69"/>
    </row>
    <row r="551" ht="15.75" customHeight="1">
      <c r="A551" s="67"/>
      <c r="B551" s="68"/>
      <c r="C551" s="68"/>
      <c r="D551" s="69"/>
      <c r="E551" s="68"/>
      <c r="F551" s="69"/>
    </row>
    <row r="552" ht="15.75" customHeight="1">
      <c r="A552" s="67"/>
      <c r="B552" s="68"/>
      <c r="C552" s="68"/>
      <c r="D552" s="69"/>
      <c r="E552" s="68"/>
      <c r="F552" s="69"/>
    </row>
    <row r="553" ht="15.75" customHeight="1">
      <c r="A553" s="67"/>
      <c r="B553" s="68"/>
      <c r="C553" s="68"/>
      <c r="D553" s="69"/>
      <c r="E553" s="68"/>
      <c r="F553" s="69"/>
    </row>
    <row r="554" ht="15.75" customHeight="1">
      <c r="A554" s="67"/>
      <c r="B554" s="68"/>
      <c r="C554" s="68"/>
      <c r="D554" s="69"/>
      <c r="E554" s="68"/>
      <c r="F554" s="69"/>
    </row>
    <row r="555" ht="15.75" customHeight="1">
      <c r="A555" s="67"/>
      <c r="B555" s="68"/>
      <c r="C555" s="68"/>
      <c r="D555" s="69"/>
      <c r="E555" s="68"/>
      <c r="F555" s="69"/>
    </row>
    <row r="556" ht="15.75" customHeight="1">
      <c r="A556" s="67"/>
      <c r="B556" s="68"/>
      <c r="C556" s="68"/>
      <c r="D556" s="69"/>
      <c r="E556" s="68"/>
      <c r="F556" s="69"/>
    </row>
    <row r="557" ht="15.75" customHeight="1">
      <c r="A557" s="67"/>
      <c r="B557" s="68"/>
      <c r="C557" s="68"/>
      <c r="D557" s="69"/>
      <c r="E557" s="68"/>
      <c r="F557" s="69"/>
    </row>
    <row r="558" ht="15.75" customHeight="1">
      <c r="A558" s="67"/>
      <c r="B558" s="68"/>
      <c r="C558" s="68"/>
      <c r="D558" s="69"/>
      <c r="E558" s="68"/>
      <c r="F558" s="69"/>
    </row>
    <row r="559" ht="15.75" customHeight="1">
      <c r="A559" s="67"/>
      <c r="B559" s="68"/>
      <c r="C559" s="68"/>
      <c r="D559" s="69"/>
      <c r="E559" s="68"/>
      <c r="F559" s="69"/>
    </row>
    <row r="560" ht="15.75" customHeight="1">
      <c r="A560" s="67"/>
      <c r="B560" s="68"/>
      <c r="C560" s="68"/>
      <c r="D560" s="69"/>
      <c r="E560" s="68"/>
      <c r="F560" s="69"/>
    </row>
    <row r="561" ht="15.75" customHeight="1">
      <c r="A561" s="67"/>
      <c r="B561" s="68"/>
      <c r="C561" s="68"/>
      <c r="D561" s="69"/>
      <c r="E561" s="68"/>
      <c r="F561" s="69"/>
    </row>
    <row r="562" ht="15.75" customHeight="1">
      <c r="A562" s="67"/>
      <c r="B562" s="68"/>
      <c r="C562" s="68"/>
      <c r="D562" s="69"/>
      <c r="E562" s="68"/>
      <c r="F562" s="69"/>
    </row>
    <row r="563" ht="15.75" customHeight="1">
      <c r="A563" s="67"/>
      <c r="B563" s="68"/>
      <c r="C563" s="68"/>
      <c r="D563" s="69"/>
      <c r="E563" s="68"/>
      <c r="F563" s="69"/>
    </row>
    <row r="564" ht="15.75" customHeight="1">
      <c r="A564" s="67"/>
      <c r="B564" s="68"/>
      <c r="C564" s="68"/>
      <c r="D564" s="69"/>
      <c r="E564" s="68"/>
      <c r="F564" s="69"/>
    </row>
    <row r="565" ht="15.75" customHeight="1">
      <c r="A565" s="67"/>
      <c r="B565" s="68"/>
      <c r="C565" s="68"/>
      <c r="D565" s="69"/>
      <c r="E565" s="68"/>
      <c r="F565" s="69"/>
    </row>
    <row r="566" ht="15.75" customHeight="1">
      <c r="A566" s="67"/>
      <c r="B566" s="68"/>
      <c r="C566" s="68"/>
      <c r="D566" s="69"/>
      <c r="E566" s="68"/>
      <c r="F566" s="69"/>
    </row>
    <row r="567" ht="15.75" customHeight="1">
      <c r="A567" s="67"/>
      <c r="B567" s="68"/>
      <c r="C567" s="68"/>
      <c r="D567" s="69"/>
      <c r="E567" s="68"/>
      <c r="F567" s="69"/>
    </row>
    <row r="568" ht="15.75" customHeight="1">
      <c r="A568" s="67"/>
      <c r="B568" s="68"/>
      <c r="C568" s="68"/>
      <c r="D568" s="69"/>
      <c r="E568" s="68"/>
      <c r="F568" s="69"/>
    </row>
    <row r="569" ht="15.75" customHeight="1">
      <c r="A569" s="67"/>
      <c r="B569" s="68"/>
      <c r="C569" s="68"/>
      <c r="D569" s="69"/>
      <c r="E569" s="68"/>
      <c r="F569" s="69"/>
    </row>
    <row r="570" ht="15.75" customHeight="1">
      <c r="A570" s="67"/>
      <c r="B570" s="68"/>
      <c r="C570" s="68"/>
      <c r="D570" s="69"/>
      <c r="E570" s="68"/>
      <c r="F570" s="69"/>
    </row>
    <row r="571" ht="15.75" customHeight="1">
      <c r="A571" s="67"/>
      <c r="B571" s="68"/>
      <c r="C571" s="68"/>
      <c r="D571" s="69"/>
      <c r="E571" s="68"/>
      <c r="F571" s="69"/>
    </row>
    <row r="572" ht="15.75" customHeight="1">
      <c r="A572" s="67"/>
      <c r="B572" s="68"/>
      <c r="C572" s="68"/>
      <c r="D572" s="69"/>
      <c r="E572" s="68"/>
      <c r="F572" s="69"/>
    </row>
    <row r="573" ht="15.75" customHeight="1">
      <c r="A573" s="67"/>
      <c r="B573" s="68"/>
      <c r="C573" s="68"/>
      <c r="D573" s="69"/>
      <c r="E573" s="68"/>
      <c r="F573" s="69"/>
    </row>
    <row r="574" ht="15.75" customHeight="1">
      <c r="A574" s="67"/>
      <c r="B574" s="68"/>
      <c r="C574" s="68"/>
      <c r="D574" s="69"/>
      <c r="E574" s="68"/>
      <c r="F574" s="69"/>
    </row>
    <row r="575" ht="15.75" customHeight="1">
      <c r="A575" s="67"/>
      <c r="B575" s="68"/>
      <c r="C575" s="68"/>
      <c r="D575" s="69"/>
      <c r="E575" s="68"/>
      <c r="F575" s="69"/>
    </row>
    <row r="576" ht="15.75" customHeight="1">
      <c r="A576" s="67"/>
      <c r="B576" s="68"/>
      <c r="C576" s="68"/>
      <c r="D576" s="69"/>
      <c r="E576" s="68"/>
      <c r="F576" s="69"/>
    </row>
    <row r="577" ht="15.75" customHeight="1">
      <c r="A577" s="67"/>
      <c r="B577" s="68"/>
      <c r="C577" s="68"/>
      <c r="D577" s="69"/>
      <c r="E577" s="68"/>
      <c r="F577" s="69"/>
    </row>
    <row r="578" ht="15.75" customHeight="1">
      <c r="A578" s="67"/>
      <c r="B578" s="68"/>
      <c r="C578" s="68"/>
      <c r="D578" s="69"/>
      <c r="E578" s="68"/>
      <c r="F578" s="69"/>
    </row>
    <row r="579" ht="15.75" customHeight="1">
      <c r="A579" s="67"/>
      <c r="B579" s="68"/>
      <c r="C579" s="68"/>
      <c r="D579" s="69"/>
      <c r="E579" s="68"/>
      <c r="F579" s="69"/>
    </row>
    <row r="580" ht="15.75" customHeight="1">
      <c r="A580" s="67"/>
      <c r="B580" s="68"/>
      <c r="C580" s="68"/>
      <c r="D580" s="69"/>
      <c r="E580" s="68"/>
      <c r="F580" s="69"/>
    </row>
    <row r="581" ht="15.75" customHeight="1">
      <c r="A581" s="67"/>
      <c r="B581" s="68"/>
      <c r="C581" s="68"/>
      <c r="D581" s="69"/>
      <c r="E581" s="68"/>
      <c r="F581" s="69"/>
    </row>
    <row r="582" ht="15.75" customHeight="1">
      <c r="A582" s="67"/>
      <c r="B582" s="68"/>
      <c r="C582" s="68"/>
      <c r="D582" s="69"/>
      <c r="E582" s="68"/>
      <c r="F582" s="69"/>
    </row>
    <row r="583" ht="15.75" customHeight="1">
      <c r="A583" s="67"/>
      <c r="B583" s="68"/>
      <c r="C583" s="68"/>
      <c r="D583" s="69"/>
      <c r="E583" s="68"/>
      <c r="F583" s="69"/>
    </row>
    <row r="584" ht="15.75" customHeight="1">
      <c r="A584" s="67"/>
      <c r="B584" s="68"/>
      <c r="C584" s="68"/>
      <c r="D584" s="69"/>
      <c r="E584" s="68"/>
      <c r="F584" s="69"/>
    </row>
    <row r="585" ht="15.75" customHeight="1">
      <c r="A585" s="67"/>
      <c r="B585" s="68"/>
      <c r="C585" s="68"/>
      <c r="D585" s="69"/>
      <c r="E585" s="68"/>
      <c r="F585" s="69"/>
    </row>
    <row r="586" ht="15.75" customHeight="1">
      <c r="A586" s="67"/>
      <c r="B586" s="68"/>
      <c r="C586" s="68"/>
      <c r="D586" s="69"/>
      <c r="E586" s="68"/>
      <c r="F586" s="69"/>
    </row>
    <row r="587" ht="15.75" customHeight="1">
      <c r="A587" s="67"/>
      <c r="B587" s="68"/>
      <c r="C587" s="68"/>
      <c r="D587" s="69"/>
      <c r="E587" s="68"/>
      <c r="F587" s="69"/>
    </row>
    <row r="588" ht="15.75" customHeight="1">
      <c r="A588" s="67"/>
      <c r="B588" s="68"/>
      <c r="C588" s="68"/>
      <c r="D588" s="69"/>
      <c r="E588" s="68"/>
      <c r="F588" s="69"/>
    </row>
    <row r="589" ht="15.75" customHeight="1">
      <c r="A589" s="67"/>
      <c r="B589" s="68"/>
      <c r="C589" s="68"/>
      <c r="D589" s="69"/>
      <c r="E589" s="68"/>
      <c r="F589" s="69"/>
    </row>
    <row r="590" ht="15.75" customHeight="1">
      <c r="A590" s="67"/>
      <c r="B590" s="68"/>
      <c r="C590" s="68"/>
      <c r="D590" s="69"/>
      <c r="E590" s="68"/>
      <c r="F590" s="69"/>
    </row>
    <row r="591" ht="15.75" customHeight="1">
      <c r="A591" s="67"/>
      <c r="B591" s="68"/>
      <c r="C591" s="68"/>
      <c r="D591" s="69"/>
      <c r="E591" s="68"/>
      <c r="F591" s="69"/>
    </row>
    <row r="592" ht="15.75" customHeight="1">
      <c r="A592" s="67"/>
      <c r="B592" s="68"/>
      <c r="C592" s="68"/>
      <c r="D592" s="69"/>
      <c r="E592" s="68"/>
      <c r="F592" s="69"/>
    </row>
    <row r="593" ht="15.75" customHeight="1">
      <c r="A593" s="67"/>
      <c r="B593" s="68"/>
      <c r="C593" s="68"/>
      <c r="D593" s="69"/>
      <c r="E593" s="68"/>
      <c r="F593" s="69"/>
    </row>
    <row r="594" ht="15.75" customHeight="1">
      <c r="A594" s="67"/>
      <c r="B594" s="68"/>
      <c r="C594" s="68"/>
      <c r="D594" s="69"/>
      <c r="E594" s="68"/>
      <c r="F594" s="69"/>
    </row>
    <row r="595" ht="15.75" customHeight="1">
      <c r="A595" s="67"/>
      <c r="B595" s="68"/>
      <c r="C595" s="68"/>
      <c r="D595" s="69"/>
      <c r="E595" s="68"/>
      <c r="F595" s="69"/>
    </row>
    <row r="596" ht="15.75" customHeight="1">
      <c r="A596" s="67"/>
      <c r="B596" s="68"/>
      <c r="C596" s="68"/>
      <c r="D596" s="69"/>
      <c r="E596" s="68"/>
      <c r="F596" s="69"/>
    </row>
    <row r="597" ht="15.75" customHeight="1">
      <c r="A597" s="67"/>
      <c r="B597" s="68"/>
      <c r="C597" s="68"/>
      <c r="D597" s="69"/>
      <c r="E597" s="68"/>
      <c r="F597" s="69"/>
    </row>
    <row r="598" ht="15.75" customHeight="1">
      <c r="A598" s="67"/>
      <c r="B598" s="68"/>
      <c r="C598" s="68"/>
      <c r="D598" s="69"/>
      <c r="E598" s="68"/>
      <c r="F598" s="69"/>
    </row>
    <row r="599" ht="15.75" customHeight="1">
      <c r="A599" s="67"/>
      <c r="B599" s="68"/>
      <c r="C599" s="68"/>
      <c r="D599" s="69"/>
      <c r="E599" s="68"/>
      <c r="F599" s="69"/>
    </row>
    <row r="600" ht="15.75" customHeight="1">
      <c r="A600" s="67"/>
      <c r="B600" s="68"/>
      <c r="C600" s="68"/>
      <c r="D600" s="69"/>
      <c r="E600" s="68"/>
      <c r="F600" s="69"/>
    </row>
    <row r="601" ht="15.75" customHeight="1">
      <c r="A601" s="67"/>
      <c r="B601" s="68"/>
      <c r="C601" s="68"/>
      <c r="D601" s="69"/>
      <c r="E601" s="68"/>
      <c r="F601" s="69"/>
    </row>
    <row r="602" ht="15.75" customHeight="1">
      <c r="A602" s="67"/>
      <c r="B602" s="68"/>
      <c r="C602" s="68"/>
      <c r="D602" s="69"/>
      <c r="E602" s="68"/>
      <c r="F602" s="69"/>
    </row>
    <row r="603" ht="15.75" customHeight="1">
      <c r="A603" s="67"/>
      <c r="B603" s="68"/>
      <c r="C603" s="68"/>
      <c r="D603" s="69"/>
      <c r="E603" s="68"/>
      <c r="F603" s="69"/>
    </row>
    <row r="604" ht="15.75" customHeight="1">
      <c r="A604" s="67"/>
      <c r="B604" s="68"/>
      <c r="C604" s="68"/>
      <c r="D604" s="69"/>
      <c r="E604" s="68"/>
      <c r="F604" s="69"/>
    </row>
    <row r="605" ht="15.75" customHeight="1">
      <c r="A605" s="67"/>
      <c r="B605" s="68"/>
      <c r="C605" s="68"/>
      <c r="D605" s="69"/>
      <c r="E605" s="68"/>
      <c r="F605" s="69"/>
    </row>
    <row r="606" ht="15.75" customHeight="1">
      <c r="A606" s="67"/>
      <c r="B606" s="68"/>
      <c r="C606" s="68"/>
      <c r="D606" s="69"/>
      <c r="E606" s="68"/>
      <c r="F606" s="69"/>
    </row>
    <row r="607" ht="15.75" customHeight="1">
      <c r="A607" s="67"/>
      <c r="B607" s="68"/>
      <c r="C607" s="68"/>
      <c r="D607" s="69"/>
      <c r="E607" s="68"/>
      <c r="F607" s="69"/>
    </row>
    <row r="608" ht="15.75" customHeight="1">
      <c r="A608" s="67"/>
      <c r="B608" s="68"/>
      <c r="C608" s="68"/>
      <c r="D608" s="69"/>
      <c r="E608" s="68"/>
      <c r="F608" s="69"/>
    </row>
    <row r="609" ht="15.75" customHeight="1">
      <c r="A609" s="67"/>
      <c r="B609" s="68"/>
      <c r="C609" s="68"/>
      <c r="D609" s="69"/>
      <c r="E609" s="68"/>
      <c r="F609" s="69"/>
    </row>
    <row r="610" ht="15.75" customHeight="1">
      <c r="A610" s="67"/>
      <c r="B610" s="68"/>
      <c r="C610" s="68"/>
      <c r="D610" s="69"/>
      <c r="E610" s="68"/>
      <c r="F610" s="69"/>
    </row>
    <row r="611" ht="15.75" customHeight="1">
      <c r="A611" s="67"/>
      <c r="B611" s="68"/>
      <c r="C611" s="68"/>
      <c r="D611" s="69"/>
      <c r="E611" s="68"/>
      <c r="F611" s="69"/>
    </row>
    <row r="612" ht="15.75" customHeight="1">
      <c r="A612" s="67"/>
      <c r="B612" s="68"/>
      <c r="C612" s="68"/>
      <c r="D612" s="69"/>
      <c r="E612" s="68"/>
      <c r="F612" s="69"/>
    </row>
    <row r="613" ht="15.75" customHeight="1">
      <c r="A613" s="67"/>
      <c r="B613" s="68"/>
      <c r="C613" s="68"/>
      <c r="D613" s="69"/>
      <c r="E613" s="68"/>
      <c r="F613" s="69"/>
    </row>
    <row r="614" ht="15.75" customHeight="1">
      <c r="A614" s="67"/>
      <c r="B614" s="68"/>
      <c r="C614" s="68"/>
      <c r="D614" s="69"/>
      <c r="E614" s="68"/>
      <c r="F614" s="69"/>
    </row>
    <row r="615" ht="15.75" customHeight="1">
      <c r="A615" s="67"/>
      <c r="B615" s="68"/>
      <c r="C615" s="68"/>
      <c r="D615" s="69"/>
      <c r="E615" s="68"/>
      <c r="F615" s="69"/>
    </row>
    <row r="616" ht="15.75" customHeight="1">
      <c r="A616" s="67"/>
      <c r="B616" s="68"/>
      <c r="C616" s="68"/>
      <c r="D616" s="69"/>
      <c r="E616" s="68"/>
      <c r="F616" s="69"/>
    </row>
    <row r="617" ht="15.75" customHeight="1">
      <c r="A617" s="67"/>
      <c r="B617" s="68"/>
      <c r="C617" s="68"/>
      <c r="D617" s="69"/>
      <c r="E617" s="68"/>
      <c r="F617" s="69"/>
    </row>
    <row r="618" ht="15.75" customHeight="1">
      <c r="A618" s="67"/>
      <c r="B618" s="68"/>
      <c r="C618" s="68"/>
      <c r="D618" s="69"/>
      <c r="E618" s="68"/>
      <c r="F618" s="69"/>
    </row>
    <row r="619" ht="15.75" customHeight="1">
      <c r="A619" s="67"/>
      <c r="B619" s="68"/>
      <c r="C619" s="68"/>
      <c r="D619" s="69"/>
      <c r="E619" s="68"/>
      <c r="F619" s="69"/>
    </row>
    <row r="620" ht="15.75" customHeight="1">
      <c r="A620" s="67"/>
      <c r="B620" s="68"/>
      <c r="C620" s="68"/>
      <c r="D620" s="69"/>
      <c r="E620" s="68"/>
      <c r="F620" s="69"/>
    </row>
    <row r="621" ht="15.75" customHeight="1">
      <c r="A621" s="67"/>
      <c r="B621" s="68"/>
      <c r="C621" s="68"/>
      <c r="D621" s="69"/>
      <c r="E621" s="68"/>
      <c r="F621" s="69"/>
    </row>
    <row r="622" ht="15.75" customHeight="1">
      <c r="A622" s="67"/>
      <c r="B622" s="68"/>
      <c r="C622" s="68"/>
      <c r="D622" s="69"/>
      <c r="E622" s="68"/>
      <c r="F622" s="69"/>
    </row>
    <row r="623" ht="15.75" customHeight="1">
      <c r="A623" s="67"/>
      <c r="B623" s="68"/>
      <c r="C623" s="68"/>
      <c r="D623" s="69"/>
      <c r="E623" s="68"/>
      <c r="F623" s="69"/>
    </row>
    <row r="624" ht="15.75" customHeight="1">
      <c r="A624" s="67"/>
      <c r="B624" s="68"/>
      <c r="C624" s="68"/>
      <c r="D624" s="69"/>
      <c r="E624" s="68"/>
      <c r="F624" s="69"/>
    </row>
    <row r="625" ht="15.75" customHeight="1">
      <c r="A625" s="67"/>
      <c r="B625" s="68"/>
      <c r="C625" s="68"/>
      <c r="D625" s="69"/>
      <c r="E625" s="68"/>
      <c r="F625" s="69"/>
    </row>
    <row r="626" ht="15.75" customHeight="1">
      <c r="A626" s="67"/>
      <c r="B626" s="68"/>
      <c r="C626" s="68"/>
      <c r="D626" s="69"/>
      <c r="E626" s="68"/>
      <c r="F626" s="69"/>
    </row>
    <row r="627" ht="15.75" customHeight="1">
      <c r="A627" s="67"/>
      <c r="B627" s="68"/>
      <c r="C627" s="68"/>
      <c r="D627" s="69"/>
      <c r="E627" s="68"/>
      <c r="F627" s="69"/>
    </row>
    <row r="628" ht="15.75" customHeight="1">
      <c r="A628" s="67"/>
      <c r="B628" s="68"/>
      <c r="C628" s="68"/>
      <c r="D628" s="69"/>
      <c r="E628" s="68"/>
      <c r="F628" s="69"/>
    </row>
    <row r="629" ht="15.75" customHeight="1">
      <c r="A629" s="67"/>
      <c r="B629" s="68"/>
      <c r="C629" s="68"/>
      <c r="D629" s="69"/>
      <c r="E629" s="68"/>
      <c r="F629" s="69"/>
    </row>
    <row r="630" ht="15.75" customHeight="1">
      <c r="A630" s="67"/>
      <c r="B630" s="68"/>
      <c r="C630" s="68"/>
      <c r="D630" s="69"/>
      <c r="E630" s="68"/>
      <c r="F630" s="69"/>
    </row>
    <row r="631" ht="15.75" customHeight="1">
      <c r="A631" s="67"/>
      <c r="B631" s="68"/>
      <c r="C631" s="68"/>
      <c r="D631" s="69"/>
      <c r="E631" s="68"/>
      <c r="F631" s="69"/>
    </row>
    <row r="632" ht="15.75" customHeight="1">
      <c r="A632" s="67"/>
      <c r="B632" s="68"/>
      <c r="C632" s="68"/>
      <c r="D632" s="69"/>
      <c r="E632" s="68"/>
      <c r="F632" s="69"/>
    </row>
    <row r="633" ht="15.75" customHeight="1">
      <c r="A633" s="67"/>
      <c r="B633" s="68"/>
      <c r="C633" s="68"/>
      <c r="D633" s="69"/>
      <c r="E633" s="68"/>
      <c r="F633" s="69"/>
    </row>
    <row r="634" ht="15.75" customHeight="1">
      <c r="A634" s="67"/>
      <c r="B634" s="68"/>
      <c r="C634" s="68"/>
      <c r="D634" s="69"/>
      <c r="E634" s="68"/>
      <c r="F634" s="69"/>
    </row>
    <row r="635" ht="15.75" customHeight="1">
      <c r="A635" s="67"/>
      <c r="B635" s="68"/>
      <c r="C635" s="68"/>
      <c r="D635" s="69"/>
      <c r="E635" s="68"/>
      <c r="F635" s="69"/>
    </row>
    <row r="636" ht="15.75" customHeight="1">
      <c r="A636" s="67"/>
      <c r="B636" s="68"/>
      <c r="C636" s="68"/>
      <c r="D636" s="69"/>
      <c r="E636" s="68"/>
      <c r="F636" s="69"/>
    </row>
    <row r="637" ht="15.75" customHeight="1">
      <c r="A637" s="67"/>
      <c r="B637" s="68"/>
      <c r="C637" s="68"/>
      <c r="D637" s="69"/>
      <c r="E637" s="68"/>
      <c r="F637" s="69"/>
    </row>
    <row r="638" ht="15.75" customHeight="1">
      <c r="A638" s="67"/>
      <c r="B638" s="68"/>
      <c r="C638" s="68"/>
      <c r="D638" s="69"/>
      <c r="E638" s="68"/>
      <c r="F638" s="69"/>
    </row>
    <row r="639" ht="15.75" customHeight="1">
      <c r="A639" s="67"/>
      <c r="B639" s="68"/>
      <c r="C639" s="68"/>
      <c r="D639" s="69"/>
      <c r="E639" s="68"/>
      <c r="F639" s="69"/>
    </row>
    <row r="640" ht="15.75" customHeight="1">
      <c r="A640" s="67"/>
      <c r="B640" s="68"/>
      <c r="C640" s="68"/>
      <c r="D640" s="69"/>
      <c r="E640" s="68"/>
      <c r="F640" s="69"/>
    </row>
    <row r="641" ht="15.75" customHeight="1">
      <c r="A641" s="67"/>
      <c r="B641" s="68"/>
      <c r="C641" s="68"/>
      <c r="D641" s="69"/>
      <c r="E641" s="68"/>
      <c r="F641" s="69"/>
    </row>
    <row r="642" ht="15.75" customHeight="1">
      <c r="A642" s="67"/>
      <c r="B642" s="68"/>
      <c r="C642" s="68"/>
      <c r="D642" s="69"/>
      <c r="E642" s="68"/>
      <c r="F642" s="69"/>
    </row>
    <row r="643" ht="15.75" customHeight="1">
      <c r="A643" s="67"/>
      <c r="B643" s="68"/>
      <c r="C643" s="68"/>
      <c r="D643" s="69"/>
      <c r="E643" s="68"/>
      <c r="F643" s="69"/>
    </row>
    <row r="644" ht="15.75" customHeight="1">
      <c r="A644" s="67"/>
      <c r="B644" s="68"/>
      <c r="C644" s="68"/>
      <c r="D644" s="69"/>
      <c r="E644" s="68"/>
      <c r="F644" s="69"/>
    </row>
    <row r="645" ht="15.75" customHeight="1">
      <c r="A645" s="67"/>
      <c r="B645" s="68"/>
      <c r="C645" s="68"/>
      <c r="D645" s="69"/>
      <c r="E645" s="68"/>
      <c r="F645" s="69"/>
    </row>
    <row r="646" ht="15.75" customHeight="1">
      <c r="A646" s="67"/>
      <c r="B646" s="68"/>
      <c r="C646" s="68"/>
      <c r="D646" s="69"/>
      <c r="E646" s="68"/>
      <c r="F646" s="69"/>
    </row>
    <row r="647" ht="15.75" customHeight="1">
      <c r="A647" s="67"/>
      <c r="B647" s="68"/>
      <c r="C647" s="68"/>
      <c r="D647" s="69"/>
      <c r="E647" s="68"/>
      <c r="F647" s="69"/>
    </row>
    <row r="648" ht="15.75" customHeight="1">
      <c r="A648" s="67"/>
      <c r="B648" s="68"/>
      <c r="C648" s="68"/>
      <c r="D648" s="69"/>
      <c r="E648" s="68"/>
      <c r="F648" s="69"/>
    </row>
    <row r="649" ht="15.75" customHeight="1">
      <c r="A649" s="67"/>
      <c r="B649" s="68"/>
      <c r="C649" s="68"/>
      <c r="D649" s="69"/>
      <c r="E649" s="68"/>
      <c r="F649" s="69"/>
    </row>
    <row r="650" ht="15.75" customHeight="1">
      <c r="A650" s="67"/>
      <c r="B650" s="68"/>
      <c r="C650" s="68"/>
      <c r="D650" s="69"/>
      <c r="E650" s="68"/>
      <c r="F650" s="69"/>
    </row>
    <row r="651" ht="15.75" customHeight="1">
      <c r="A651" s="67"/>
      <c r="B651" s="68"/>
      <c r="C651" s="68"/>
      <c r="D651" s="69"/>
      <c r="E651" s="68"/>
      <c r="F651" s="69"/>
    </row>
    <row r="652" ht="15.75" customHeight="1">
      <c r="A652" s="67"/>
      <c r="B652" s="68"/>
      <c r="C652" s="68"/>
      <c r="D652" s="69"/>
      <c r="E652" s="68"/>
      <c r="F652" s="69"/>
    </row>
    <row r="653" ht="15.75" customHeight="1">
      <c r="A653" s="67"/>
      <c r="B653" s="68"/>
      <c r="C653" s="68"/>
      <c r="D653" s="69"/>
      <c r="E653" s="68"/>
      <c r="F653" s="69"/>
    </row>
    <row r="654" ht="15.75" customHeight="1">
      <c r="A654" s="67"/>
      <c r="B654" s="68"/>
      <c r="C654" s="68"/>
      <c r="D654" s="69"/>
      <c r="E654" s="68"/>
      <c r="F654" s="69"/>
    </row>
    <row r="655" ht="15.75" customHeight="1">
      <c r="A655" s="67"/>
      <c r="B655" s="68"/>
      <c r="C655" s="68"/>
      <c r="D655" s="69"/>
      <c r="E655" s="68"/>
      <c r="F655" s="69"/>
    </row>
    <row r="656" ht="15.75" customHeight="1">
      <c r="A656" s="67"/>
      <c r="B656" s="68"/>
      <c r="C656" s="68"/>
      <c r="D656" s="69"/>
      <c r="E656" s="68"/>
      <c r="F656" s="69"/>
    </row>
    <row r="657" ht="15.75" customHeight="1">
      <c r="A657" s="67"/>
      <c r="B657" s="68"/>
      <c r="C657" s="68"/>
      <c r="D657" s="69"/>
      <c r="E657" s="68"/>
      <c r="F657" s="69"/>
    </row>
    <row r="658" ht="15.75" customHeight="1">
      <c r="A658" s="67"/>
      <c r="B658" s="68"/>
      <c r="C658" s="68"/>
      <c r="D658" s="69"/>
      <c r="E658" s="68"/>
      <c r="F658" s="69"/>
    </row>
    <row r="659" ht="15.75" customHeight="1">
      <c r="A659" s="67"/>
      <c r="B659" s="68"/>
      <c r="C659" s="68"/>
      <c r="D659" s="69"/>
      <c r="E659" s="68"/>
      <c r="F659" s="69"/>
    </row>
    <row r="660" ht="15.75" customHeight="1">
      <c r="A660" s="67"/>
      <c r="B660" s="68"/>
      <c r="C660" s="68"/>
      <c r="D660" s="69"/>
      <c r="E660" s="68"/>
      <c r="F660" s="69"/>
    </row>
    <row r="661" ht="15.75" customHeight="1">
      <c r="A661" s="67"/>
      <c r="B661" s="68"/>
      <c r="C661" s="68"/>
      <c r="D661" s="69"/>
      <c r="E661" s="68"/>
      <c r="F661" s="69"/>
    </row>
    <row r="662" ht="15.75" customHeight="1">
      <c r="A662" s="67"/>
      <c r="B662" s="68"/>
      <c r="C662" s="68"/>
      <c r="D662" s="69"/>
      <c r="E662" s="68"/>
      <c r="F662" s="69"/>
    </row>
    <row r="663" ht="15.75" customHeight="1">
      <c r="A663" s="67"/>
      <c r="B663" s="68"/>
      <c r="C663" s="68"/>
      <c r="D663" s="69"/>
      <c r="E663" s="68"/>
      <c r="F663" s="69"/>
    </row>
    <row r="664" ht="15.75" customHeight="1">
      <c r="A664" s="67"/>
      <c r="B664" s="68"/>
      <c r="C664" s="68"/>
      <c r="D664" s="69"/>
      <c r="E664" s="68"/>
      <c r="F664" s="69"/>
    </row>
    <row r="665" ht="15.75" customHeight="1">
      <c r="A665" s="67"/>
      <c r="B665" s="68"/>
      <c r="C665" s="68"/>
      <c r="D665" s="69"/>
      <c r="E665" s="68"/>
      <c r="F665" s="69"/>
    </row>
    <row r="666" ht="15.75" customHeight="1">
      <c r="A666" s="67"/>
      <c r="B666" s="68"/>
      <c r="C666" s="68"/>
      <c r="D666" s="69"/>
      <c r="E666" s="68"/>
      <c r="F666" s="69"/>
    </row>
    <row r="667" ht="15.75" customHeight="1">
      <c r="A667" s="67"/>
      <c r="B667" s="68"/>
      <c r="C667" s="68"/>
      <c r="D667" s="69"/>
      <c r="E667" s="68"/>
      <c r="F667" s="69"/>
    </row>
    <row r="668" ht="15.75" customHeight="1">
      <c r="A668" s="67"/>
      <c r="B668" s="68"/>
      <c r="C668" s="68"/>
      <c r="D668" s="69"/>
      <c r="E668" s="68"/>
      <c r="F668" s="69"/>
    </row>
    <row r="669" ht="15.75" customHeight="1">
      <c r="A669" s="67"/>
      <c r="B669" s="68"/>
      <c r="C669" s="68"/>
      <c r="D669" s="69"/>
      <c r="E669" s="68"/>
      <c r="F669" s="69"/>
    </row>
    <row r="670" ht="15.75" customHeight="1">
      <c r="A670" s="67"/>
      <c r="B670" s="68"/>
      <c r="C670" s="68"/>
      <c r="D670" s="69"/>
      <c r="E670" s="68"/>
      <c r="F670" s="69"/>
    </row>
    <row r="671" ht="15.75" customHeight="1">
      <c r="A671" s="67"/>
      <c r="B671" s="68"/>
      <c r="C671" s="68"/>
      <c r="D671" s="69"/>
      <c r="E671" s="68"/>
      <c r="F671" s="69"/>
    </row>
    <row r="672" ht="15.75" customHeight="1">
      <c r="A672" s="67"/>
      <c r="B672" s="68"/>
      <c r="C672" s="68"/>
      <c r="D672" s="69"/>
      <c r="E672" s="68"/>
      <c r="F672" s="69"/>
    </row>
    <row r="673" ht="15.75" customHeight="1">
      <c r="A673" s="67"/>
      <c r="B673" s="68"/>
      <c r="C673" s="68"/>
      <c r="D673" s="69"/>
      <c r="E673" s="68"/>
      <c r="F673" s="69"/>
    </row>
    <row r="674" ht="15.75" customHeight="1">
      <c r="A674" s="67"/>
      <c r="B674" s="68"/>
      <c r="C674" s="68"/>
      <c r="D674" s="69"/>
      <c r="E674" s="68"/>
      <c r="F674" s="69"/>
    </row>
    <row r="675" ht="15.75" customHeight="1">
      <c r="A675" s="67"/>
      <c r="B675" s="68"/>
      <c r="C675" s="68"/>
      <c r="D675" s="69"/>
      <c r="E675" s="68"/>
      <c r="F675" s="69"/>
    </row>
    <row r="676" ht="15.75" customHeight="1">
      <c r="A676" s="67"/>
      <c r="B676" s="68"/>
      <c r="C676" s="68"/>
      <c r="D676" s="69"/>
      <c r="E676" s="68"/>
      <c r="F676" s="69"/>
    </row>
    <row r="677" ht="15.75" customHeight="1">
      <c r="A677" s="67"/>
      <c r="B677" s="68"/>
      <c r="C677" s="68"/>
      <c r="D677" s="69"/>
      <c r="E677" s="68"/>
      <c r="F677" s="69"/>
    </row>
    <row r="678" ht="15.75" customHeight="1">
      <c r="A678" s="67"/>
      <c r="B678" s="68"/>
      <c r="C678" s="68"/>
      <c r="D678" s="69"/>
      <c r="E678" s="68"/>
      <c r="F678" s="69"/>
    </row>
    <row r="679" ht="15.75" customHeight="1">
      <c r="A679" s="67"/>
      <c r="B679" s="68"/>
      <c r="C679" s="68"/>
      <c r="D679" s="69"/>
      <c r="E679" s="68"/>
      <c r="F679" s="69"/>
    </row>
    <row r="680" ht="15.75" customHeight="1">
      <c r="A680" s="67"/>
      <c r="B680" s="68"/>
      <c r="C680" s="68"/>
      <c r="D680" s="69"/>
      <c r="E680" s="68"/>
      <c r="F680" s="69"/>
    </row>
    <row r="681" ht="15.75" customHeight="1">
      <c r="A681" s="67"/>
      <c r="B681" s="68"/>
      <c r="C681" s="68"/>
      <c r="D681" s="69"/>
      <c r="E681" s="68"/>
      <c r="F681" s="69"/>
    </row>
    <row r="682" ht="15.75" customHeight="1">
      <c r="A682" s="67"/>
      <c r="B682" s="68"/>
      <c r="C682" s="68"/>
      <c r="D682" s="69"/>
      <c r="E682" s="68"/>
      <c r="F682" s="69"/>
    </row>
    <row r="683" ht="15.75" customHeight="1">
      <c r="A683" s="67"/>
      <c r="B683" s="68"/>
      <c r="C683" s="68"/>
      <c r="D683" s="69"/>
      <c r="E683" s="68"/>
      <c r="F683" s="69"/>
    </row>
    <row r="684" ht="15.75" customHeight="1">
      <c r="A684" s="67"/>
      <c r="B684" s="68"/>
      <c r="C684" s="68"/>
      <c r="D684" s="69"/>
      <c r="E684" s="68"/>
      <c r="F684" s="69"/>
    </row>
    <row r="685" ht="15.75" customHeight="1">
      <c r="A685" s="67"/>
      <c r="B685" s="68"/>
      <c r="C685" s="68"/>
      <c r="D685" s="69"/>
      <c r="E685" s="68"/>
      <c r="F685" s="69"/>
    </row>
    <row r="686" ht="15.75" customHeight="1">
      <c r="A686" s="67"/>
      <c r="B686" s="68"/>
      <c r="C686" s="68"/>
      <c r="D686" s="69"/>
      <c r="E686" s="68"/>
      <c r="F686" s="69"/>
    </row>
    <row r="687" ht="15.75" customHeight="1">
      <c r="A687" s="67"/>
      <c r="B687" s="68"/>
      <c r="C687" s="68"/>
      <c r="D687" s="69"/>
      <c r="E687" s="68"/>
      <c r="F687" s="69"/>
    </row>
    <row r="688" ht="15.75" customHeight="1">
      <c r="A688" s="67"/>
      <c r="B688" s="68"/>
      <c r="C688" s="68"/>
      <c r="D688" s="69"/>
      <c r="E688" s="68"/>
      <c r="F688" s="69"/>
    </row>
    <row r="689" ht="15.75" customHeight="1">
      <c r="A689" s="67"/>
      <c r="B689" s="68"/>
      <c r="C689" s="68"/>
      <c r="D689" s="69"/>
      <c r="E689" s="68"/>
      <c r="F689" s="69"/>
    </row>
    <row r="690" ht="15.75" customHeight="1">
      <c r="A690" s="67"/>
      <c r="B690" s="68"/>
      <c r="C690" s="68"/>
      <c r="D690" s="69"/>
      <c r="E690" s="68"/>
      <c r="F690" s="69"/>
    </row>
    <row r="691" ht="15.75" customHeight="1">
      <c r="A691" s="67"/>
      <c r="B691" s="68"/>
      <c r="C691" s="68"/>
      <c r="D691" s="69"/>
      <c r="E691" s="68"/>
      <c r="F691" s="69"/>
    </row>
    <row r="692" ht="15.75" customHeight="1">
      <c r="A692" s="67"/>
      <c r="B692" s="68"/>
      <c r="C692" s="68"/>
      <c r="D692" s="69"/>
      <c r="E692" s="68"/>
      <c r="F692" s="69"/>
    </row>
    <row r="693" ht="15.75" customHeight="1">
      <c r="A693" s="67"/>
      <c r="B693" s="68"/>
      <c r="C693" s="68"/>
      <c r="D693" s="69"/>
      <c r="E693" s="68"/>
      <c r="F693" s="69"/>
    </row>
    <row r="694" ht="15.75" customHeight="1">
      <c r="A694" s="67"/>
      <c r="B694" s="68"/>
      <c r="C694" s="68"/>
      <c r="D694" s="69"/>
      <c r="E694" s="68"/>
      <c r="F694" s="69"/>
    </row>
    <row r="695" ht="15.75" customHeight="1">
      <c r="A695" s="67"/>
      <c r="B695" s="68"/>
      <c r="C695" s="68"/>
      <c r="D695" s="69"/>
      <c r="E695" s="68"/>
      <c r="F695" s="69"/>
    </row>
    <row r="696" ht="15.75" customHeight="1">
      <c r="A696" s="67"/>
      <c r="B696" s="68"/>
      <c r="C696" s="68"/>
      <c r="D696" s="69"/>
      <c r="E696" s="68"/>
      <c r="F696" s="69"/>
    </row>
    <row r="697" ht="15.75" customHeight="1">
      <c r="A697" s="67"/>
      <c r="B697" s="68"/>
      <c r="C697" s="68"/>
      <c r="D697" s="69"/>
      <c r="E697" s="68"/>
      <c r="F697" s="69"/>
    </row>
    <row r="698" ht="15.75" customHeight="1">
      <c r="A698" s="67"/>
      <c r="B698" s="68"/>
      <c r="C698" s="68"/>
      <c r="D698" s="69"/>
      <c r="E698" s="68"/>
      <c r="F698" s="69"/>
    </row>
    <row r="699" ht="15.75" customHeight="1">
      <c r="A699" s="67"/>
      <c r="B699" s="68"/>
      <c r="C699" s="68"/>
      <c r="D699" s="69"/>
      <c r="E699" s="68"/>
      <c r="F699" s="69"/>
    </row>
    <row r="700" ht="15.75" customHeight="1">
      <c r="A700" s="67"/>
      <c r="B700" s="68"/>
      <c r="C700" s="68"/>
      <c r="D700" s="69"/>
      <c r="E700" s="68"/>
      <c r="F700" s="69"/>
    </row>
    <row r="701" ht="15.75" customHeight="1">
      <c r="A701" s="67"/>
      <c r="B701" s="68"/>
      <c r="C701" s="68"/>
      <c r="D701" s="69"/>
      <c r="E701" s="68"/>
      <c r="F701" s="69"/>
    </row>
    <row r="702" ht="15.75" customHeight="1">
      <c r="A702" s="67"/>
      <c r="B702" s="68"/>
      <c r="C702" s="68"/>
      <c r="D702" s="69"/>
      <c r="E702" s="68"/>
      <c r="F702" s="69"/>
    </row>
    <row r="703" ht="15.75" customHeight="1">
      <c r="A703" s="67"/>
      <c r="B703" s="68"/>
      <c r="C703" s="68"/>
      <c r="D703" s="69"/>
      <c r="E703" s="68"/>
      <c r="F703" s="69"/>
    </row>
    <row r="704" ht="15.75" customHeight="1">
      <c r="A704" s="67"/>
      <c r="B704" s="68"/>
      <c r="C704" s="68"/>
      <c r="D704" s="69"/>
      <c r="E704" s="68"/>
      <c r="F704" s="69"/>
    </row>
    <row r="705" ht="15.75" customHeight="1">
      <c r="A705" s="67"/>
      <c r="B705" s="68"/>
      <c r="C705" s="68"/>
      <c r="D705" s="69"/>
      <c r="E705" s="68"/>
      <c r="F705" s="69"/>
    </row>
    <row r="706" ht="15.75" customHeight="1">
      <c r="A706" s="67"/>
      <c r="B706" s="68"/>
      <c r="C706" s="68"/>
      <c r="D706" s="69"/>
      <c r="E706" s="68"/>
      <c r="F706" s="69"/>
    </row>
    <row r="707" ht="15.75" customHeight="1">
      <c r="A707" s="67"/>
      <c r="B707" s="68"/>
      <c r="C707" s="68"/>
      <c r="D707" s="69"/>
      <c r="E707" s="68"/>
      <c r="F707" s="69"/>
    </row>
    <row r="708" ht="15.75" customHeight="1">
      <c r="A708" s="67"/>
      <c r="B708" s="68"/>
      <c r="C708" s="68"/>
      <c r="D708" s="69"/>
      <c r="E708" s="68"/>
      <c r="F708" s="69"/>
    </row>
    <row r="709" ht="15.75" customHeight="1">
      <c r="A709" s="67"/>
      <c r="B709" s="68"/>
      <c r="C709" s="68"/>
      <c r="D709" s="69"/>
      <c r="E709" s="68"/>
      <c r="F709" s="69"/>
    </row>
    <row r="710" ht="15.75" customHeight="1">
      <c r="A710" s="67"/>
      <c r="B710" s="68"/>
      <c r="C710" s="68"/>
      <c r="D710" s="69"/>
      <c r="E710" s="68"/>
      <c r="F710" s="69"/>
    </row>
    <row r="711" ht="15.75" customHeight="1">
      <c r="A711" s="67"/>
      <c r="B711" s="68"/>
      <c r="C711" s="68"/>
      <c r="D711" s="69"/>
      <c r="E711" s="68"/>
      <c r="F711" s="69"/>
    </row>
    <row r="712" ht="15.75" customHeight="1">
      <c r="A712" s="67"/>
      <c r="B712" s="68"/>
      <c r="C712" s="68"/>
      <c r="D712" s="69"/>
      <c r="E712" s="68"/>
      <c r="F712" s="69"/>
    </row>
    <row r="713" ht="15.75" customHeight="1">
      <c r="A713" s="67"/>
      <c r="B713" s="68"/>
      <c r="C713" s="68"/>
      <c r="D713" s="69"/>
      <c r="E713" s="68"/>
      <c r="F713" s="69"/>
    </row>
    <row r="714" ht="15.75" customHeight="1">
      <c r="A714" s="67"/>
      <c r="B714" s="68"/>
      <c r="C714" s="68"/>
      <c r="D714" s="69"/>
      <c r="E714" s="68"/>
      <c r="F714" s="69"/>
    </row>
    <row r="715" ht="15.75" customHeight="1">
      <c r="A715" s="67"/>
      <c r="B715" s="68"/>
      <c r="C715" s="68"/>
      <c r="D715" s="69"/>
      <c r="E715" s="68"/>
      <c r="F715" s="69"/>
    </row>
    <row r="716" ht="15.75" customHeight="1">
      <c r="A716" s="67"/>
      <c r="B716" s="68"/>
      <c r="C716" s="68"/>
      <c r="D716" s="69"/>
      <c r="E716" s="68"/>
      <c r="F716" s="69"/>
    </row>
    <row r="717" ht="15.75" customHeight="1">
      <c r="A717" s="67"/>
      <c r="B717" s="68"/>
      <c r="C717" s="68"/>
      <c r="D717" s="69"/>
      <c r="E717" s="68"/>
      <c r="F717" s="69"/>
    </row>
    <row r="718" ht="15.75" customHeight="1">
      <c r="A718" s="67"/>
      <c r="B718" s="68"/>
      <c r="C718" s="68"/>
      <c r="D718" s="69"/>
      <c r="E718" s="68"/>
      <c r="F718" s="69"/>
    </row>
    <row r="719" ht="15.75" customHeight="1">
      <c r="A719" s="67"/>
      <c r="B719" s="68"/>
      <c r="C719" s="68"/>
      <c r="D719" s="69"/>
      <c r="E719" s="68"/>
      <c r="F719" s="69"/>
    </row>
    <row r="720" ht="15.75" customHeight="1">
      <c r="A720" s="67"/>
      <c r="B720" s="68"/>
      <c r="C720" s="68"/>
      <c r="D720" s="69"/>
      <c r="E720" s="68"/>
      <c r="F720" s="69"/>
    </row>
    <row r="721" ht="15.75" customHeight="1">
      <c r="A721" s="67"/>
      <c r="B721" s="68"/>
      <c r="C721" s="68"/>
      <c r="D721" s="69"/>
      <c r="E721" s="68"/>
      <c r="F721" s="69"/>
    </row>
    <row r="722" ht="15.75" customHeight="1">
      <c r="A722" s="67"/>
      <c r="B722" s="68"/>
      <c r="C722" s="68"/>
      <c r="D722" s="69"/>
      <c r="E722" s="68"/>
      <c r="F722" s="69"/>
    </row>
    <row r="723" ht="15.75" customHeight="1">
      <c r="A723" s="67"/>
      <c r="B723" s="68"/>
      <c r="C723" s="68"/>
      <c r="D723" s="69"/>
      <c r="E723" s="68"/>
      <c r="F723" s="69"/>
    </row>
    <row r="724" ht="15.75" customHeight="1">
      <c r="A724" s="67"/>
      <c r="B724" s="68"/>
      <c r="C724" s="68"/>
      <c r="D724" s="69"/>
      <c r="E724" s="68"/>
      <c r="F724" s="69"/>
    </row>
    <row r="725" ht="15.75" customHeight="1">
      <c r="A725" s="67"/>
      <c r="B725" s="68"/>
      <c r="C725" s="68"/>
      <c r="D725" s="69"/>
      <c r="E725" s="68"/>
      <c r="F725" s="69"/>
    </row>
    <row r="726" ht="15.75" customHeight="1">
      <c r="A726" s="67"/>
      <c r="B726" s="68"/>
      <c r="C726" s="68"/>
      <c r="D726" s="69"/>
      <c r="E726" s="68"/>
      <c r="F726" s="69"/>
    </row>
    <row r="727" ht="15.75" customHeight="1">
      <c r="A727" s="67"/>
      <c r="B727" s="68"/>
      <c r="C727" s="68"/>
      <c r="D727" s="69"/>
      <c r="E727" s="68"/>
      <c r="F727" s="69"/>
    </row>
    <row r="728" ht="15.75" customHeight="1">
      <c r="A728" s="67"/>
      <c r="B728" s="68"/>
      <c r="C728" s="68"/>
      <c r="D728" s="69"/>
      <c r="E728" s="68"/>
      <c r="F728" s="69"/>
    </row>
    <row r="729" ht="15.75" customHeight="1">
      <c r="A729" s="67"/>
      <c r="B729" s="68"/>
      <c r="C729" s="68"/>
      <c r="D729" s="69"/>
      <c r="E729" s="68"/>
      <c r="F729" s="69"/>
    </row>
    <row r="730" ht="15.75" customHeight="1">
      <c r="A730" s="67"/>
      <c r="B730" s="68"/>
      <c r="C730" s="68"/>
      <c r="D730" s="69"/>
      <c r="E730" s="68"/>
      <c r="F730" s="69"/>
    </row>
    <row r="731" ht="15.75" customHeight="1">
      <c r="A731" s="67"/>
      <c r="B731" s="68"/>
      <c r="C731" s="68"/>
      <c r="D731" s="69"/>
      <c r="E731" s="68"/>
      <c r="F731" s="69"/>
    </row>
    <row r="732" ht="15.75" customHeight="1">
      <c r="A732" s="67"/>
      <c r="B732" s="68"/>
      <c r="C732" s="68"/>
      <c r="D732" s="69"/>
      <c r="E732" s="68"/>
      <c r="F732" s="69"/>
    </row>
    <row r="733" ht="15.75" customHeight="1">
      <c r="A733" s="67"/>
      <c r="B733" s="68"/>
      <c r="C733" s="68"/>
      <c r="D733" s="69"/>
      <c r="E733" s="68"/>
      <c r="F733" s="69"/>
    </row>
    <row r="734" ht="15.75" customHeight="1">
      <c r="A734" s="67"/>
      <c r="B734" s="68"/>
      <c r="C734" s="68"/>
      <c r="D734" s="69"/>
      <c r="E734" s="68"/>
      <c r="F734" s="69"/>
    </row>
    <row r="735" ht="15.75" customHeight="1">
      <c r="A735" s="67"/>
      <c r="B735" s="68"/>
      <c r="C735" s="68"/>
      <c r="D735" s="69"/>
      <c r="E735" s="68"/>
      <c r="F735" s="69"/>
    </row>
    <row r="736" ht="15.75" customHeight="1">
      <c r="A736" s="67"/>
      <c r="B736" s="68"/>
      <c r="C736" s="68"/>
      <c r="D736" s="69"/>
      <c r="E736" s="68"/>
      <c r="F736" s="69"/>
    </row>
    <row r="737" ht="15.75" customHeight="1">
      <c r="A737" s="67"/>
      <c r="B737" s="68"/>
      <c r="C737" s="68"/>
      <c r="D737" s="69"/>
      <c r="E737" s="68"/>
      <c r="F737" s="69"/>
    </row>
    <row r="738" ht="15.75" customHeight="1">
      <c r="A738" s="67"/>
      <c r="B738" s="68"/>
      <c r="C738" s="68"/>
      <c r="D738" s="69"/>
      <c r="E738" s="68"/>
      <c r="F738" s="69"/>
    </row>
    <row r="739" ht="15.75" customHeight="1">
      <c r="A739" s="67"/>
      <c r="B739" s="68"/>
      <c r="C739" s="68"/>
      <c r="D739" s="69"/>
      <c r="E739" s="68"/>
      <c r="F739" s="69"/>
    </row>
    <row r="740" ht="15.75" customHeight="1">
      <c r="A740" s="67"/>
      <c r="B740" s="68"/>
      <c r="C740" s="68"/>
      <c r="D740" s="69"/>
      <c r="E740" s="68"/>
      <c r="F740" s="69"/>
    </row>
    <row r="741" ht="15.75" customHeight="1">
      <c r="A741" s="67"/>
      <c r="B741" s="68"/>
      <c r="C741" s="68"/>
      <c r="D741" s="69"/>
      <c r="E741" s="68"/>
      <c r="F741" s="69"/>
    </row>
    <row r="742" ht="15.75" customHeight="1">
      <c r="A742" s="67"/>
      <c r="B742" s="68"/>
      <c r="C742" s="68"/>
      <c r="D742" s="69"/>
      <c r="E742" s="68"/>
      <c r="F742" s="69"/>
    </row>
    <row r="743" ht="15.75" customHeight="1">
      <c r="A743" s="67"/>
      <c r="B743" s="68"/>
      <c r="C743" s="68"/>
      <c r="D743" s="69"/>
      <c r="E743" s="68"/>
      <c r="F743" s="69"/>
    </row>
    <row r="744" ht="15.75" customHeight="1">
      <c r="A744" s="67"/>
      <c r="B744" s="68"/>
      <c r="C744" s="68"/>
      <c r="D744" s="69"/>
      <c r="E744" s="68"/>
      <c r="F744" s="69"/>
    </row>
    <row r="745" ht="15.75" customHeight="1">
      <c r="A745" s="67"/>
      <c r="B745" s="68"/>
      <c r="C745" s="68"/>
      <c r="D745" s="69"/>
      <c r="E745" s="68"/>
      <c r="F745" s="69"/>
    </row>
    <row r="746" ht="15.75" customHeight="1">
      <c r="A746" s="67"/>
      <c r="B746" s="68"/>
      <c r="C746" s="68"/>
      <c r="D746" s="69"/>
      <c r="E746" s="68"/>
      <c r="F746" s="69"/>
    </row>
    <row r="747" ht="15.75" customHeight="1">
      <c r="A747" s="67"/>
      <c r="B747" s="68"/>
      <c r="C747" s="68"/>
      <c r="D747" s="69"/>
      <c r="E747" s="68"/>
      <c r="F747" s="69"/>
    </row>
    <row r="748" ht="15.75" customHeight="1">
      <c r="A748" s="67"/>
      <c r="B748" s="68"/>
      <c r="C748" s="68"/>
      <c r="D748" s="69"/>
      <c r="E748" s="68"/>
      <c r="F748" s="69"/>
    </row>
    <row r="749" ht="15.75" customHeight="1">
      <c r="A749" s="67"/>
      <c r="B749" s="68"/>
      <c r="C749" s="68"/>
      <c r="D749" s="69"/>
      <c r="E749" s="68"/>
      <c r="F749" s="69"/>
    </row>
    <row r="750" ht="15.75" customHeight="1">
      <c r="A750" s="67"/>
      <c r="B750" s="68"/>
      <c r="C750" s="68"/>
      <c r="D750" s="69"/>
      <c r="E750" s="68"/>
      <c r="F750" s="69"/>
    </row>
    <row r="751" ht="15.75" customHeight="1">
      <c r="A751" s="67"/>
      <c r="B751" s="68"/>
      <c r="C751" s="68"/>
      <c r="D751" s="69"/>
      <c r="E751" s="68"/>
      <c r="F751" s="69"/>
    </row>
    <row r="752" ht="15.75" customHeight="1">
      <c r="A752" s="67"/>
      <c r="B752" s="68"/>
      <c r="C752" s="68"/>
      <c r="D752" s="69"/>
      <c r="E752" s="68"/>
      <c r="F752" s="69"/>
    </row>
    <row r="753" ht="15.75" customHeight="1">
      <c r="A753" s="67"/>
      <c r="B753" s="68"/>
      <c r="C753" s="68"/>
      <c r="D753" s="69"/>
      <c r="E753" s="68"/>
      <c r="F753" s="69"/>
    </row>
    <row r="754" ht="15.75" customHeight="1">
      <c r="A754" s="67"/>
      <c r="B754" s="68"/>
      <c r="C754" s="68"/>
      <c r="D754" s="69"/>
      <c r="E754" s="68"/>
      <c r="F754" s="69"/>
    </row>
    <row r="755" ht="15.75" customHeight="1">
      <c r="A755" s="67"/>
      <c r="B755" s="68"/>
      <c r="C755" s="68"/>
      <c r="D755" s="69"/>
      <c r="E755" s="68"/>
      <c r="F755" s="69"/>
    </row>
    <row r="756" ht="15.75" customHeight="1">
      <c r="A756" s="67"/>
      <c r="B756" s="68"/>
      <c r="C756" s="68"/>
      <c r="D756" s="69"/>
      <c r="E756" s="68"/>
      <c r="F756" s="69"/>
    </row>
    <row r="757" ht="15.75" customHeight="1">
      <c r="A757" s="67"/>
      <c r="B757" s="68"/>
      <c r="C757" s="68"/>
      <c r="D757" s="69"/>
      <c r="E757" s="68"/>
      <c r="F757" s="69"/>
    </row>
    <row r="758" ht="15.75" customHeight="1">
      <c r="A758" s="67"/>
      <c r="B758" s="68"/>
      <c r="C758" s="68"/>
      <c r="D758" s="69"/>
      <c r="E758" s="68"/>
      <c r="F758" s="69"/>
    </row>
    <row r="759" ht="15.75" customHeight="1">
      <c r="A759" s="67"/>
      <c r="B759" s="68"/>
      <c r="C759" s="68"/>
      <c r="D759" s="69"/>
      <c r="E759" s="68"/>
      <c r="F759" s="69"/>
    </row>
    <row r="760" ht="15.75" customHeight="1">
      <c r="A760" s="67"/>
      <c r="B760" s="68"/>
      <c r="C760" s="68"/>
      <c r="D760" s="69"/>
      <c r="E760" s="68"/>
      <c r="F760" s="69"/>
    </row>
    <row r="761" ht="15.75" customHeight="1">
      <c r="A761" s="67"/>
      <c r="B761" s="68"/>
      <c r="C761" s="68"/>
      <c r="D761" s="69"/>
      <c r="E761" s="68"/>
      <c r="F761" s="69"/>
    </row>
    <row r="762" ht="15.75" customHeight="1">
      <c r="A762" s="67"/>
      <c r="B762" s="68"/>
      <c r="C762" s="68"/>
      <c r="D762" s="69"/>
      <c r="E762" s="68"/>
      <c r="F762" s="69"/>
    </row>
    <row r="763" ht="15.75" customHeight="1">
      <c r="A763" s="67"/>
      <c r="B763" s="68"/>
      <c r="C763" s="68"/>
      <c r="D763" s="69"/>
      <c r="E763" s="68"/>
      <c r="F763" s="69"/>
    </row>
    <row r="764" ht="15.75" customHeight="1">
      <c r="A764" s="67"/>
      <c r="B764" s="68"/>
      <c r="C764" s="68"/>
      <c r="D764" s="69"/>
      <c r="E764" s="68"/>
      <c r="F764" s="69"/>
    </row>
    <row r="765" ht="15.75" customHeight="1">
      <c r="A765" s="67"/>
      <c r="B765" s="68"/>
      <c r="C765" s="68"/>
      <c r="D765" s="69"/>
      <c r="E765" s="68"/>
      <c r="F765" s="69"/>
    </row>
    <row r="766" ht="15.75" customHeight="1">
      <c r="A766" s="67"/>
      <c r="B766" s="68"/>
      <c r="C766" s="68"/>
      <c r="D766" s="69"/>
      <c r="E766" s="68"/>
      <c r="F766" s="69"/>
    </row>
    <row r="767" ht="15.75" customHeight="1">
      <c r="A767" s="67"/>
      <c r="B767" s="68"/>
      <c r="C767" s="68"/>
      <c r="D767" s="69"/>
      <c r="E767" s="68"/>
      <c r="F767" s="69"/>
    </row>
    <row r="768" ht="15.75" customHeight="1">
      <c r="A768" s="67"/>
      <c r="B768" s="68"/>
      <c r="C768" s="68"/>
      <c r="D768" s="69"/>
      <c r="E768" s="68"/>
      <c r="F768" s="69"/>
    </row>
    <row r="769" ht="15.75" customHeight="1">
      <c r="A769" s="67"/>
      <c r="B769" s="68"/>
      <c r="C769" s="68"/>
      <c r="D769" s="69"/>
      <c r="E769" s="68"/>
      <c r="F769" s="69"/>
    </row>
    <row r="770" ht="15.75" customHeight="1">
      <c r="A770" s="67"/>
      <c r="B770" s="68"/>
      <c r="C770" s="68"/>
      <c r="D770" s="69"/>
      <c r="E770" s="68"/>
      <c r="F770" s="69"/>
    </row>
    <row r="771" ht="15.75" customHeight="1">
      <c r="A771" s="67"/>
      <c r="B771" s="68"/>
      <c r="C771" s="68"/>
      <c r="D771" s="69"/>
      <c r="E771" s="68"/>
      <c r="F771" s="69"/>
    </row>
    <row r="772" ht="15.75" customHeight="1">
      <c r="A772" s="67"/>
      <c r="B772" s="68"/>
      <c r="C772" s="68"/>
      <c r="D772" s="69"/>
      <c r="E772" s="68"/>
      <c r="F772" s="69"/>
    </row>
    <row r="773" ht="15.75" customHeight="1">
      <c r="A773" s="67"/>
      <c r="B773" s="68"/>
      <c r="C773" s="68"/>
      <c r="D773" s="69"/>
      <c r="E773" s="68"/>
      <c r="F773" s="69"/>
    </row>
    <row r="774" ht="15.75" customHeight="1">
      <c r="A774" s="67"/>
      <c r="B774" s="68"/>
      <c r="C774" s="68"/>
      <c r="D774" s="69"/>
      <c r="E774" s="68"/>
      <c r="F774" s="69"/>
    </row>
    <row r="775" ht="15.75" customHeight="1">
      <c r="A775" s="67"/>
      <c r="B775" s="68"/>
      <c r="C775" s="68"/>
      <c r="D775" s="69"/>
      <c r="E775" s="68"/>
      <c r="F775" s="69"/>
    </row>
    <row r="776" ht="15.75" customHeight="1">
      <c r="A776" s="67"/>
      <c r="B776" s="68"/>
      <c r="C776" s="68"/>
      <c r="D776" s="69"/>
      <c r="E776" s="68"/>
      <c r="F776" s="69"/>
    </row>
    <row r="777" ht="15.75" customHeight="1">
      <c r="A777" s="67"/>
      <c r="B777" s="68"/>
      <c r="C777" s="68"/>
      <c r="D777" s="69"/>
      <c r="E777" s="68"/>
      <c r="F777" s="69"/>
    </row>
    <row r="778" ht="15.75" customHeight="1">
      <c r="A778" s="67"/>
      <c r="B778" s="68"/>
      <c r="C778" s="68"/>
      <c r="D778" s="69"/>
      <c r="E778" s="68"/>
      <c r="F778" s="69"/>
    </row>
    <row r="779" ht="15.75" customHeight="1">
      <c r="A779" s="67"/>
      <c r="B779" s="68"/>
      <c r="C779" s="68"/>
      <c r="D779" s="69"/>
      <c r="E779" s="68"/>
      <c r="F779" s="69"/>
    </row>
    <row r="780" ht="15.75" customHeight="1">
      <c r="A780" s="67"/>
      <c r="B780" s="68"/>
      <c r="C780" s="68"/>
      <c r="D780" s="69"/>
      <c r="E780" s="68"/>
      <c r="F780" s="69"/>
    </row>
    <row r="781" ht="15.75" customHeight="1">
      <c r="A781" s="67"/>
      <c r="B781" s="68"/>
      <c r="C781" s="68"/>
      <c r="D781" s="69"/>
      <c r="E781" s="68"/>
      <c r="F781" s="69"/>
    </row>
    <row r="782" ht="15.75" customHeight="1">
      <c r="A782" s="67"/>
      <c r="B782" s="68"/>
      <c r="C782" s="68"/>
      <c r="D782" s="69"/>
      <c r="E782" s="68"/>
      <c r="F782" s="69"/>
    </row>
    <row r="783" ht="15.75" customHeight="1">
      <c r="A783" s="67"/>
      <c r="B783" s="68"/>
      <c r="C783" s="68"/>
      <c r="D783" s="69"/>
      <c r="E783" s="68"/>
      <c r="F783" s="69"/>
    </row>
    <row r="784" ht="15.75" customHeight="1">
      <c r="A784" s="67"/>
      <c r="B784" s="68"/>
      <c r="C784" s="68"/>
      <c r="D784" s="69"/>
      <c r="E784" s="68"/>
      <c r="F784" s="69"/>
    </row>
    <row r="785" ht="15.75" customHeight="1">
      <c r="A785" s="67"/>
      <c r="B785" s="68"/>
      <c r="C785" s="68"/>
      <c r="D785" s="69"/>
      <c r="E785" s="68"/>
      <c r="F785" s="69"/>
    </row>
    <row r="786" ht="15.75" customHeight="1">
      <c r="A786" s="67"/>
      <c r="B786" s="68"/>
      <c r="C786" s="68"/>
      <c r="D786" s="69"/>
      <c r="E786" s="68"/>
      <c r="F786" s="69"/>
    </row>
    <row r="787" ht="15.75" customHeight="1">
      <c r="A787" s="67"/>
      <c r="B787" s="68"/>
      <c r="C787" s="68"/>
      <c r="D787" s="69"/>
      <c r="E787" s="68"/>
      <c r="F787" s="69"/>
    </row>
    <row r="788" ht="15.75" customHeight="1">
      <c r="A788" s="67"/>
      <c r="B788" s="68"/>
      <c r="C788" s="68"/>
      <c r="D788" s="69"/>
      <c r="E788" s="68"/>
      <c r="F788" s="69"/>
    </row>
    <row r="789" ht="15.75" customHeight="1">
      <c r="A789" s="67"/>
      <c r="B789" s="68"/>
      <c r="C789" s="68"/>
      <c r="D789" s="69"/>
      <c r="E789" s="68"/>
      <c r="F789" s="69"/>
    </row>
    <row r="790" ht="15.75" customHeight="1">
      <c r="A790" s="67"/>
      <c r="B790" s="68"/>
      <c r="C790" s="68"/>
      <c r="D790" s="69"/>
      <c r="E790" s="68"/>
      <c r="F790" s="69"/>
    </row>
    <row r="791" ht="15.75" customHeight="1">
      <c r="A791" s="67"/>
      <c r="B791" s="68"/>
      <c r="C791" s="68"/>
      <c r="D791" s="69"/>
      <c r="E791" s="68"/>
      <c r="F791" s="69"/>
    </row>
    <row r="792" ht="15.75" customHeight="1">
      <c r="A792" s="67"/>
      <c r="B792" s="68"/>
      <c r="C792" s="68"/>
      <c r="D792" s="69"/>
      <c r="E792" s="68"/>
      <c r="F792" s="69"/>
    </row>
    <row r="793" ht="15.75" customHeight="1">
      <c r="A793" s="67"/>
      <c r="B793" s="68"/>
      <c r="C793" s="68"/>
      <c r="D793" s="69"/>
      <c r="E793" s="68"/>
      <c r="F793" s="69"/>
    </row>
    <row r="794" ht="15.75" customHeight="1">
      <c r="A794" s="67"/>
      <c r="B794" s="68"/>
      <c r="C794" s="68"/>
      <c r="D794" s="69"/>
      <c r="E794" s="68"/>
      <c r="F794" s="69"/>
    </row>
    <row r="795" ht="15.75" customHeight="1">
      <c r="A795" s="67"/>
      <c r="B795" s="68"/>
      <c r="C795" s="68"/>
      <c r="D795" s="69"/>
      <c r="E795" s="68"/>
      <c r="F795" s="69"/>
    </row>
    <row r="796" ht="15.75" customHeight="1">
      <c r="A796" s="67"/>
      <c r="B796" s="68"/>
      <c r="C796" s="68"/>
      <c r="D796" s="69"/>
      <c r="E796" s="68"/>
      <c r="F796" s="69"/>
    </row>
    <row r="797" ht="15.75" customHeight="1">
      <c r="A797" s="67"/>
      <c r="B797" s="68"/>
      <c r="C797" s="68"/>
      <c r="D797" s="69"/>
      <c r="E797" s="68"/>
      <c r="F797" s="69"/>
    </row>
    <row r="798" ht="15.75" customHeight="1">
      <c r="A798" s="67"/>
      <c r="B798" s="68"/>
      <c r="C798" s="68"/>
      <c r="D798" s="69"/>
      <c r="E798" s="68"/>
      <c r="F798" s="69"/>
    </row>
    <row r="799" ht="15.75" customHeight="1">
      <c r="A799" s="67"/>
      <c r="B799" s="68"/>
      <c r="C799" s="68"/>
      <c r="D799" s="69"/>
      <c r="E799" s="68"/>
      <c r="F799" s="69"/>
    </row>
    <row r="800" ht="15.75" customHeight="1">
      <c r="A800" s="67"/>
      <c r="B800" s="68"/>
      <c r="C800" s="68"/>
      <c r="D800" s="69"/>
      <c r="E800" s="68"/>
      <c r="F800" s="69"/>
    </row>
    <row r="801" ht="15.75" customHeight="1">
      <c r="A801" s="67"/>
      <c r="B801" s="68"/>
      <c r="C801" s="68"/>
      <c r="D801" s="69"/>
      <c r="E801" s="68"/>
      <c r="F801" s="69"/>
    </row>
    <row r="802" ht="15.75" customHeight="1">
      <c r="A802" s="67"/>
      <c r="B802" s="68"/>
      <c r="C802" s="68"/>
      <c r="D802" s="69"/>
      <c r="E802" s="68"/>
      <c r="F802" s="69"/>
    </row>
    <row r="803" ht="15.75" customHeight="1">
      <c r="A803" s="67"/>
      <c r="B803" s="68"/>
      <c r="C803" s="68"/>
      <c r="D803" s="69"/>
      <c r="E803" s="68"/>
      <c r="F803" s="69"/>
    </row>
    <row r="804" ht="15.75" customHeight="1">
      <c r="A804" s="67"/>
      <c r="B804" s="68"/>
      <c r="C804" s="68"/>
      <c r="D804" s="69"/>
      <c r="E804" s="68"/>
      <c r="F804" s="69"/>
    </row>
    <row r="805" ht="15.75" customHeight="1">
      <c r="A805" s="67"/>
      <c r="B805" s="68"/>
      <c r="C805" s="68"/>
      <c r="D805" s="69"/>
      <c r="E805" s="68"/>
      <c r="F805" s="69"/>
    </row>
    <row r="806" ht="15.75" customHeight="1">
      <c r="A806" s="67"/>
      <c r="B806" s="68"/>
      <c r="C806" s="68"/>
      <c r="D806" s="69"/>
      <c r="E806" s="68"/>
      <c r="F806" s="69"/>
    </row>
    <row r="807" ht="15.75" customHeight="1">
      <c r="A807" s="67"/>
      <c r="B807" s="68"/>
      <c r="C807" s="68"/>
      <c r="D807" s="69"/>
      <c r="E807" s="68"/>
      <c r="F807" s="69"/>
    </row>
    <row r="808" ht="15.75" customHeight="1">
      <c r="A808" s="67"/>
      <c r="B808" s="68"/>
      <c r="C808" s="68"/>
      <c r="D808" s="69"/>
      <c r="E808" s="68"/>
      <c r="F808" s="69"/>
    </row>
    <row r="809" ht="15.75" customHeight="1">
      <c r="A809" s="67"/>
      <c r="B809" s="68"/>
      <c r="C809" s="68"/>
      <c r="D809" s="69"/>
      <c r="E809" s="68"/>
      <c r="F809" s="69"/>
    </row>
    <row r="810" ht="15.75" customHeight="1">
      <c r="A810" s="67"/>
      <c r="B810" s="68"/>
      <c r="C810" s="68"/>
      <c r="D810" s="69"/>
      <c r="E810" s="68"/>
      <c r="F810" s="69"/>
    </row>
    <row r="811" ht="15.75" customHeight="1">
      <c r="A811" s="67"/>
      <c r="B811" s="68"/>
      <c r="C811" s="68"/>
      <c r="D811" s="69"/>
      <c r="E811" s="68"/>
      <c r="F811" s="69"/>
    </row>
    <row r="812" ht="15.75" customHeight="1">
      <c r="A812" s="67"/>
      <c r="B812" s="68"/>
      <c r="C812" s="68"/>
      <c r="D812" s="69"/>
      <c r="E812" s="68"/>
      <c r="F812" s="69"/>
    </row>
    <row r="813" ht="15.75" customHeight="1">
      <c r="A813" s="67"/>
      <c r="B813" s="68"/>
      <c r="C813" s="68"/>
      <c r="D813" s="69"/>
      <c r="E813" s="68"/>
      <c r="F813" s="69"/>
    </row>
    <row r="814" ht="15.75" customHeight="1">
      <c r="A814" s="67"/>
      <c r="B814" s="68"/>
      <c r="C814" s="68"/>
      <c r="D814" s="69"/>
      <c r="E814" s="68"/>
      <c r="F814" s="69"/>
    </row>
    <row r="815" ht="15.75" customHeight="1">
      <c r="A815" s="67"/>
      <c r="B815" s="68"/>
      <c r="C815" s="68"/>
      <c r="D815" s="69"/>
      <c r="E815" s="68"/>
      <c r="F815" s="69"/>
    </row>
    <row r="816" ht="15.75" customHeight="1">
      <c r="A816" s="67"/>
      <c r="B816" s="68"/>
      <c r="C816" s="68"/>
      <c r="D816" s="69"/>
      <c r="E816" s="68"/>
      <c r="F816" s="69"/>
    </row>
    <row r="817" ht="15.75" customHeight="1">
      <c r="A817" s="67"/>
      <c r="B817" s="68"/>
      <c r="C817" s="68"/>
      <c r="D817" s="69"/>
      <c r="E817" s="68"/>
      <c r="F817" s="69"/>
    </row>
    <row r="818" ht="15.75" customHeight="1">
      <c r="A818" s="67"/>
      <c r="B818" s="68"/>
      <c r="C818" s="68"/>
      <c r="D818" s="69"/>
      <c r="E818" s="68"/>
      <c r="F818" s="69"/>
    </row>
    <row r="819" ht="15.75" customHeight="1">
      <c r="A819" s="67"/>
      <c r="B819" s="68"/>
      <c r="C819" s="68"/>
      <c r="D819" s="69"/>
      <c r="E819" s="68"/>
      <c r="F819" s="69"/>
    </row>
    <row r="820" ht="15.75" customHeight="1">
      <c r="A820" s="67"/>
      <c r="B820" s="68"/>
      <c r="C820" s="68"/>
      <c r="D820" s="69"/>
      <c r="E820" s="68"/>
      <c r="F820" s="69"/>
    </row>
    <row r="821" ht="15.75" customHeight="1">
      <c r="A821" s="67"/>
      <c r="B821" s="68"/>
      <c r="C821" s="68"/>
      <c r="D821" s="69"/>
      <c r="E821" s="68"/>
      <c r="F821" s="69"/>
    </row>
    <row r="822" ht="15.75" customHeight="1">
      <c r="A822" s="67"/>
      <c r="B822" s="68"/>
      <c r="C822" s="68"/>
      <c r="D822" s="69"/>
      <c r="E822" s="68"/>
      <c r="F822" s="69"/>
    </row>
    <row r="823" ht="15.75" customHeight="1">
      <c r="A823" s="67"/>
      <c r="B823" s="68"/>
      <c r="C823" s="68"/>
      <c r="D823" s="69"/>
      <c r="E823" s="68"/>
      <c r="F823" s="69"/>
    </row>
    <row r="824" ht="15.75" customHeight="1">
      <c r="A824" s="67"/>
      <c r="B824" s="68"/>
      <c r="C824" s="68"/>
      <c r="D824" s="69"/>
      <c r="E824" s="68"/>
      <c r="F824" s="69"/>
    </row>
    <row r="825" ht="15.75" customHeight="1">
      <c r="A825" s="67"/>
      <c r="B825" s="68"/>
      <c r="C825" s="68"/>
      <c r="D825" s="69"/>
      <c r="E825" s="68"/>
      <c r="F825" s="69"/>
    </row>
    <row r="826" ht="15.75" customHeight="1">
      <c r="A826" s="67"/>
      <c r="B826" s="68"/>
      <c r="C826" s="68"/>
      <c r="D826" s="69"/>
      <c r="E826" s="68"/>
      <c r="F826" s="69"/>
    </row>
    <row r="827" ht="15.75" customHeight="1">
      <c r="A827" s="67"/>
      <c r="B827" s="68"/>
      <c r="C827" s="68"/>
      <c r="D827" s="69"/>
      <c r="E827" s="68"/>
      <c r="F827" s="69"/>
    </row>
    <row r="828" ht="15.75" customHeight="1">
      <c r="A828" s="67"/>
      <c r="B828" s="68"/>
      <c r="C828" s="68"/>
      <c r="D828" s="69"/>
      <c r="E828" s="68"/>
      <c r="F828" s="69"/>
    </row>
    <row r="829" ht="15.75" customHeight="1">
      <c r="A829" s="67"/>
      <c r="B829" s="68"/>
      <c r="C829" s="68"/>
      <c r="D829" s="69"/>
      <c r="E829" s="68"/>
      <c r="F829" s="69"/>
    </row>
    <row r="830" ht="15.75" customHeight="1">
      <c r="A830" s="67"/>
      <c r="B830" s="68"/>
      <c r="C830" s="68"/>
      <c r="D830" s="69"/>
      <c r="E830" s="68"/>
      <c r="F830" s="69"/>
    </row>
    <row r="831" ht="15.75" customHeight="1">
      <c r="A831" s="67"/>
      <c r="B831" s="68"/>
      <c r="C831" s="68"/>
      <c r="D831" s="69"/>
      <c r="E831" s="68"/>
      <c r="F831" s="69"/>
    </row>
    <row r="832" ht="15.75" customHeight="1">
      <c r="A832" s="67"/>
      <c r="B832" s="68"/>
      <c r="C832" s="68"/>
      <c r="D832" s="69"/>
      <c r="E832" s="68"/>
      <c r="F832" s="69"/>
    </row>
    <row r="833" ht="15.75" customHeight="1">
      <c r="A833" s="67"/>
      <c r="B833" s="68"/>
      <c r="C833" s="68"/>
      <c r="D833" s="69"/>
      <c r="E833" s="68"/>
      <c r="F833" s="69"/>
    </row>
    <row r="834" ht="15.75" customHeight="1">
      <c r="A834" s="67"/>
      <c r="B834" s="68"/>
      <c r="C834" s="68"/>
      <c r="D834" s="69"/>
      <c r="E834" s="68"/>
      <c r="F834" s="69"/>
    </row>
    <row r="835" ht="15.75" customHeight="1">
      <c r="A835" s="67"/>
      <c r="B835" s="68"/>
      <c r="C835" s="68"/>
      <c r="D835" s="69"/>
      <c r="E835" s="68"/>
      <c r="F835" s="69"/>
    </row>
    <row r="836" ht="15.75" customHeight="1">
      <c r="A836" s="67"/>
      <c r="B836" s="68"/>
      <c r="C836" s="68"/>
      <c r="D836" s="69"/>
      <c r="E836" s="68"/>
      <c r="F836" s="69"/>
    </row>
    <row r="837" ht="15.75" customHeight="1">
      <c r="A837" s="67"/>
      <c r="B837" s="68"/>
      <c r="C837" s="68"/>
      <c r="D837" s="69"/>
      <c r="E837" s="68"/>
      <c r="F837" s="69"/>
    </row>
    <row r="838" ht="15.75" customHeight="1">
      <c r="A838" s="67"/>
      <c r="B838" s="68"/>
      <c r="C838" s="68"/>
      <c r="D838" s="69"/>
      <c r="E838" s="68"/>
      <c r="F838" s="69"/>
    </row>
    <row r="839" ht="15.75" customHeight="1">
      <c r="A839" s="67"/>
      <c r="B839" s="68"/>
      <c r="C839" s="68"/>
      <c r="D839" s="69"/>
      <c r="E839" s="68"/>
      <c r="F839" s="69"/>
    </row>
    <row r="840" ht="15.75" customHeight="1">
      <c r="A840" s="67"/>
      <c r="B840" s="68"/>
      <c r="C840" s="68"/>
      <c r="D840" s="69"/>
      <c r="E840" s="68"/>
      <c r="F840" s="69"/>
    </row>
    <row r="841" ht="15.75" customHeight="1">
      <c r="A841" s="67"/>
      <c r="B841" s="68"/>
      <c r="C841" s="68"/>
      <c r="D841" s="69"/>
      <c r="E841" s="68"/>
      <c r="F841" s="69"/>
    </row>
    <row r="842" ht="15.75" customHeight="1">
      <c r="A842" s="67"/>
      <c r="B842" s="68"/>
      <c r="C842" s="68"/>
      <c r="D842" s="69"/>
      <c r="E842" s="68"/>
      <c r="F842" s="69"/>
    </row>
    <row r="843" ht="15.75" customHeight="1">
      <c r="A843" s="67"/>
      <c r="B843" s="68"/>
      <c r="C843" s="68"/>
      <c r="D843" s="69"/>
      <c r="E843" s="68"/>
      <c r="F843" s="69"/>
    </row>
    <row r="844" ht="15.75" customHeight="1">
      <c r="A844" s="67"/>
      <c r="B844" s="68"/>
      <c r="C844" s="68"/>
      <c r="D844" s="69"/>
      <c r="E844" s="68"/>
      <c r="F844" s="69"/>
    </row>
    <row r="845" ht="15.75" customHeight="1">
      <c r="A845" s="67"/>
      <c r="B845" s="68"/>
      <c r="C845" s="68"/>
      <c r="D845" s="69"/>
      <c r="E845" s="68"/>
      <c r="F845" s="69"/>
    </row>
    <row r="846" ht="15.75" customHeight="1">
      <c r="A846" s="67"/>
      <c r="B846" s="68"/>
      <c r="C846" s="68"/>
      <c r="D846" s="69"/>
      <c r="E846" s="68"/>
      <c r="F846" s="69"/>
    </row>
    <row r="847" ht="15.75" customHeight="1">
      <c r="A847" s="67"/>
      <c r="B847" s="68"/>
      <c r="C847" s="68"/>
      <c r="D847" s="69"/>
      <c r="E847" s="68"/>
      <c r="F847" s="69"/>
    </row>
    <row r="848" ht="15.75" customHeight="1">
      <c r="A848" s="67"/>
      <c r="B848" s="68"/>
      <c r="C848" s="68"/>
      <c r="D848" s="69"/>
      <c r="E848" s="68"/>
      <c r="F848" s="69"/>
    </row>
    <row r="849" ht="15.75" customHeight="1">
      <c r="A849" s="67"/>
      <c r="B849" s="68"/>
      <c r="C849" s="68"/>
      <c r="D849" s="69"/>
      <c r="E849" s="68"/>
      <c r="F849" s="69"/>
    </row>
    <row r="850" ht="15.75" customHeight="1">
      <c r="A850" s="67"/>
      <c r="B850" s="68"/>
      <c r="C850" s="68"/>
      <c r="D850" s="69"/>
      <c r="E850" s="68"/>
      <c r="F850" s="69"/>
    </row>
    <row r="851" ht="15.75" customHeight="1">
      <c r="A851" s="67"/>
      <c r="B851" s="68"/>
      <c r="C851" s="68"/>
      <c r="D851" s="69"/>
      <c r="E851" s="68"/>
      <c r="F851" s="69"/>
    </row>
    <row r="852" ht="15.75" customHeight="1">
      <c r="A852" s="67"/>
      <c r="B852" s="68"/>
      <c r="C852" s="68"/>
      <c r="D852" s="69"/>
      <c r="E852" s="68"/>
      <c r="F852" s="69"/>
    </row>
    <row r="853" ht="15.75" customHeight="1">
      <c r="A853" s="67"/>
      <c r="B853" s="68"/>
      <c r="C853" s="68"/>
      <c r="D853" s="69"/>
      <c r="E853" s="68"/>
      <c r="F853" s="69"/>
    </row>
    <row r="854" ht="15.75" customHeight="1">
      <c r="A854" s="67"/>
      <c r="B854" s="68"/>
      <c r="C854" s="68"/>
      <c r="D854" s="69"/>
      <c r="E854" s="68"/>
      <c r="F854" s="69"/>
    </row>
    <row r="855" ht="15.75" customHeight="1">
      <c r="A855" s="67"/>
      <c r="B855" s="68"/>
      <c r="C855" s="68"/>
      <c r="D855" s="69"/>
      <c r="E855" s="68"/>
      <c r="F855" s="69"/>
    </row>
    <row r="856" ht="15.75" customHeight="1">
      <c r="A856" s="67"/>
      <c r="B856" s="68"/>
      <c r="C856" s="68"/>
      <c r="D856" s="69"/>
      <c r="E856" s="68"/>
      <c r="F856" s="69"/>
    </row>
    <row r="857" ht="15.75" customHeight="1">
      <c r="A857" s="67"/>
      <c r="B857" s="68"/>
      <c r="C857" s="68"/>
      <c r="D857" s="69"/>
      <c r="E857" s="68"/>
      <c r="F857" s="69"/>
    </row>
    <row r="858" ht="15.75" customHeight="1">
      <c r="A858" s="67"/>
      <c r="B858" s="68"/>
      <c r="C858" s="68"/>
      <c r="D858" s="69"/>
      <c r="E858" s="68"/>
      <c r="F858" s="69"/>
    </row>
    <row r="859" ht="15.75" customHeight="1">
      <c r="A859" s="67"/>
      <c r="B859" s="68"/>
      <c r="C859" s="68"/>
      <c r="D859" s="69"/>
      <c r="E859" s="68"/>
      <c r="F859" s="69"/>
    </row>
    <row r="860" ht="15.75" customHeight="1">
      <c r="A860" s="67"/>
      <c r="B860" s="68"/>
      <c r="C860" s="68"/>
      <c r="D860" s="69"/>
      <c r="E860" s="68"/>
      <c r="F860" s="69"/>
    </row>
    <row r="861" ht="15.75" customHeight="1">
      <c r="A861" s="67"/>
      <c r="B861" s="68"/>
      <c r="C861" s="68"/>
      <c r="D861" s="69"/>
      <c r="E861" s="68"/>
      <c r="F861" s="69"/>
    </row>
    <row r="862" ht="15.75" customHeight="1">
      <c r="A862" s="67"/>
      <c r="B862" s="68"/>
      <c r="C862" s="68"/>
      <c r="D862" s="69"/>
      <c r="E862" s="68"/>
      <c r="F862" s="69"/>
    </row>
    <row r="863" ht="15.75" customHeight="1">
      <c r="A863" s="67"/>
      <c r="B863" s="68"/>
      <c r="C863" s="68"/>
      <c r="D863" s="69"/>
      <c r="E863" s="68"/>
      <c r="F863" s="69"/>
    </row>
    <row r="864" ht="15.75" customHeight="1">
      <c r="A864" s="67"/>
      <c r="B864" s="68"/>
      <c r="C864" s="68"/>
      <c r="D864" s="69"/>
      <c r="E864" s="68"/>
      <c r="F864" s="69"/>
    </row>
    <row r="865" ht="15.75" customHeight="1">
      <c r="A865" s="67"/>
      <c r="B865" s="68"/>
      <c r="C865" s="68"/>
      <c r="D865" s="69"/>
      <c r="E865" s="68"/>
      <c r="F865" s="69"/>
    </row>
    <row r="866" ht="15.75" customHeight="1">
      <c r="A866" s="67"/>
      <c r="B866" s="68"/>
      <c r="C866" s="68"/>
      <c r="D866" s="69"/>
      <c r="E866" s="68"/>
      <c r="F866" s="69"/>
    </row>
    <row r="867" ht="15.75" customHeight="1">
      <c r="A867" s="67"/>
      <c r="B867" s="68"/>
      <c r="C867" s="68"/>
      <c r="D867" s="69"/>
      <c r="E867" s="68"/>
      <c r="F867" s="69"/>
    </row>
    <row r="868" ht="15.75" customHeight="1">
      <c r="A868" s="67"/>
      <c r="B868" s="68"/>
      <c r="C868" s="68"/>
      <c r="D868" s="69"/>
      <c r="E868" s="68"/>
      <c r="F868" s="69"/>
    </row>
    <row r="869" ht="15.75" customHeight="1">
      <c r="A869" s="67"/>
      <c r="B869" s="68"/>
      <c r="C869" s="68"/>
      <c r="D869" s="69"/>
      <c r="E869" s="68"/>
      <c r="F869" s="69"/>
    </row>
    <row r="870" ht="15.75" customHeight="1">
      <c r="A870" s="67"/>
      <c r="B870" s="68"/>
      <c r="C870" s="68"/>
      <c r="D870" s="69"/>
      <c r="E870" s="68"/>
      <c r="F870" s="69"/>
    </row>
    <row r="871" ht="15.75" customHeight="1">
      <c r="A871" s="67"/>
      <c r="B871" s="68"/>
      <c r="C871" s="68"/>
      <c r="D871" s="69"/>
      <c r="E871" s="68"/>
      <c r="F871" s="69"/>
    </row>
    <row r="872" ht="15.75" customHeight="1">
      <c r="A872" s="67"/>
      <c r="B872" s="68"/>
      <c r="C872" s="68"/>
      <c r="D872" s="69"/>
      <c r="E872" s="68"/>
      <c r="F872" s="69"/>
    </row>
    <row r="873" ht="15.75" customHeight="1">
      <c r="A873" s="67"/>
      <c r="B873" s="68"/>
      <c r="C873" s="68"/>
      <c r="D873" s="69"/>
      <c r="E873" s="68"/>
      <c r="F873" s="69"/>
    </row>
    <row r="874" ht="15.75" customHeight="1">
      <c r="A874" s="67"/>
      <c r="B874" s="68"/>
      <c r="C874" s="68"/>
      <c r="D874" s="69"/>
      <c r="E874" s="68"/>
      <c r="F874" s="69"/>
    </row>
    <row r="875" ht="15.75" customHeight="1">
      <c r="A875" s="67"/>
      <c r="B875" s="68"/>
      <c r="C875" s="68"/>
      <c r="D875" s="69"/>
      <c r="E875" s="68"/>
      <c r="F875" s="69"/>
    </row>
    <row r="876" ht="15.75" customHeight="1">
      <c r="A876" s="67"/>
      <c r="B876" s="68"/>
      <c r="C876" s="68"/>
      <c r="D876" s="69"/>
      <c r="E876" s="68"/>
      <c r="F876" s="69"/>
    </row>
    <row r="877" ht="15.75" customHeight="1">
      <c r="A877" s="67"/>
      <c r="B877" s="68"/>
      <c r="C877" s="68"/>
      <c r="D877" s="69"/>
      <c r="E877" s="68"/>
      <c r="F877" s="69"/>
    </row>
    <row r="878" ht="15.75" customHeight="1">
      <c r="A878" s="67"/>
      <c r="B878" s="68"/>
      <c r="C878" s="68"/>
      <c r="D878" s="69"/>
      <c r="E878" s="68"/>
      <c r="F878" s="69"/>
    </row>
    <row r="879" ht="15.75" customHeight="1">
      <c r="A879" s="67"/>
      <c r="B879" s="68"/>
      <c r="C879" s="68"/>
      <c r="D879" s="69"/>
      <c r="E879" s="68"/>
      <c r="F879" s="69"/>
    </row>
    <row r="880" ht="15.75" customHeight="1">
      <c r="A880" s="67"/>
      <c r="B880" s="68"/>
      <c r="C880" s="68"/>
      <c r="D880" s="69"/>
      <c r="E880" s="68"/>
      <c r="F880" s="69"/>
    </row>
    <row r="881" ht="15.75" customHeight="1">
      <c r="A881" s="67"/>
      <c r="B881" s="68"/>
      <c r="C881" s="68"/>
      <c r="D881" s="69"/>
      <c r="E881" s="68"/>
      <c r="F881" s="69"/>
    </row>
    <row r="882" ht="15.75" customHeight="1">
      <c r="A882" s="67"/>
      <c r="B882" s="68"/>
      <c r="C882" s="68"/>
      <c r="D882" s="69"/>
      <c r="E882" s="68"/>
      <c r="F882" s="69"/>
    </row>
    <row r="883" ht="15.75" customHeight="1">
      <c r="A883" s="67"/>
      <c r="B883" s="68"/>
      <c r="C883" s="68"/>
      <c r="D883" s="69"/>
      <c r="E883" s="68"/>
      <c r="F883" s="69"/>
    </row>
    <row r="884" ht="15.75" customHeight="1">
      <c r="A884" s="67"/>
      <c r="B884" s="68"/>
      <c r="C884" s="68"/>
      <c r="D884" s="69"/>
      <c r="E884" s="68"/>
      <c r="F884" s="69"/>
    </row>
    <row r="885" ht="15.75" customHeight="1">
      <c r="A885" s="67"/>
      <c r="B885" s="68"/>
      <c r="C885" s="68"/>
      <c r="D885" s="69"/>
      <c r="E885" s="68"/>
      <c r="F885" s="69"/>
    </row>
    <row r="886" ht="15.75" customHeight="1">
      <c r="A886" s="67"/>
      <c r="B886" s="68"/>
      <c r="C886" s="68"/>
      <c r="D886" s="69"/>
      <c r="E886" s="68"/>
      <c r="F886" s="69"/>
    </row>
    <row r="887" ht="15.75" customHeight="1">
      <c r="A887" s="67"/>
      <c r="B887" s="68"/>
      <c r="C887" s="68"/>
      <c r="D887" s="69"/>
      <c r="E887" s="68"/>
      <c r="F887" s="69"/>
    </row>
    <row r="888" ht="15.75" customHeight="1">
      <c r="A888" s="67"/>
      <c r="B888" s="68"/>
      <c r="C888" s="68"/>
      <c r="D888" s="69"/>
      <c r="E888" s="68"/>
      <c r="F888" s="69"/>
    </row>
    <row r="889" ht="15.75" customHeight="1">
      <c r="A889" s="67"/>
      <c r="B889" s="68"/>
      <c r="C889" s="68"/>
      <c r="D889" s="69"/>
      <c r="E889" s="68"/>
      <c r="F889" s="69"/>
    </row>
    <row r="890" ht="15.75" customHeight="1">
      <c r="A890" s="67"/>
      <c r="B890" s="68"/>
      <c r="C890" s="68"/>
      <c r="D890" s="69"/>
      <c r="E890" s="68"/>
      <c r="F890" s="69"/>
    </row>
    <row r="891" ht="15.75" customHeight="1">
      <c r="A891" s="67"/>
      <c r="B891" s="68"/>
      <c r="C891" s="68"/>
      <c r="D891" s="69"/>
      <c r="E891" s="68"/>
      <c r="F891" s="69"/>
    </row>
    <row r="892" ht="15.75" customHeight="1">
      <c r="A892" s="67"/>
      <c r="B892" s="68"/>
      <c r="C892" s="68"/>
      <c r="D892" s="69"/>
      <c r="E892" s="68"/>
      <c r="F892" s="69"/>
    </row>
    <row r="893" ht="15.75" customHeight="1">
      <c r="A893" s="67"/>
      <c r="B893" s="68"/>
      <c r="C893" s="68"/>
      <c r="D893" s="69"/>
      <c r="E893" s="68"/>
      <c r="F893" s="69"/>
    </row>
    <row r="894" ht="15.75" customHeight="1">
      <c r="A894" s="67"/>
      <c r="B894" s="68"/>
      <c r="C894" s="68"/>
      <c r="D894" s="69"/>
      <c r="E894" s="68"/>
      <c r="F894" s="69"/>
    </row>
    <row r="895" ht="15.75" customHeight="1">
      <c r="A895" s="67"/>
      <c r="B895" s="68"/>
      <c r="C895" s="68"/>
      <c r="D895" s="69"/>
      <c r="E895" s="68"/>
      <c r="F895" s="69"/>
    </row>
    <row r="896" ht="15.75" customHeight="1">
      <c r="A896" s="67"/>
      <c r="B896" s="68"/>
      <c r="C896" s="68"/>
      <c r="D896" s="69"/>
      <c r="E896" s="68"/>
      <c r="F896" s="69"/>
    </row>
    <row r="897" ht="15.75" customHeight="1">
      <c r="A897" s="67"/>
      <c r="B897" s="68"/>
      <c r="C897" s="68"/>
      <c r="D897" s="69"/>
      <c r="E897" s="68"/>
      <c r="F897" s="69"/>
    </row>
    <row r="898" ht="15.75" customHeight="1">
      <c r="A898" s="67"/>
      <c r="B898" s="68"/>
      <c r="C898" s="68"/>
      <c r="D898" s="69"/>
      <c r="E898" s="68"/>
      <c r="F898" s="69"/>
    </row>
    <row r="899" ht="15.75" customHeight="1">
      <c r="A899" s="67"/>
      <c r="B899" s="68"/>
      <c r="C899" s="68"/>
      <c r="D899" s="69"/>
      <c r="E899" s="68"/>
      <c r="F899" s="69"/>
    </row>
    <row r="900" ht="15.75" customHeight="1">
      <c r="A900" s="67"/>
      <c r="B900" s="68"/>
      <c r="C900" s="68"/>
      <c r="D900" s="69"/>
      <c r="E900" s="68"/>
      <c r="F900" s="69"/>
    </row>
    <row r="901" ht="15.75" customHeight="1">
      <c r="A901" s="67"/>
      <c r="B901" s="68"/>
      <c r="C901" s="68"/>
      <c r="D901" s="69"/>
      <c r="E901" s="68"/>
      <c r="F901" s="69"/>
    </row>
    <row r="902" ht="15.75" customHeight="1">
      <c r="A902" s="67"/>
      <c r="B902" s="68"/>
      <c r="C902" s="68"/>
      <c r="D902" s="69"/>
      <c r="E902" s="68"/>
      <c r="F902" s="69"/>
    </row>
    <row r="903" ht="15.75" customHeight="1">
      <c r="A903" s="67"/>
      <c r="B903" s="68"/>
      <c r="C903" s="68"/>
      <c r="D903" s="69"/>
      <c r="E903" s="68"/>
      <c r="F903" s="69"/>
    </row>
    <row r="904" ht="15.75" customHeight="1">
      <c r="A904" s="67"/>
      <c r="B904" s="68"/>
      <c r="C904" s="68"/>
      <c r="D904" s="69"/>
      <c r="E904" s="68"/>
      <c r="F904" s="69"/>
    </row>
    <row r="905" ht="15.75" customHeight="1">
      <c r="A905" s="67"/>
      <c r="B905" s="68"/>
      <c r="C905" s="68"/>
      <c r="D905" s="69"/>
      <c r="E905" s="68"/>
      <c r="F905" s="69"/>
    </row>
    <row r="906" ht="15.75" customHeight="1">
      <c r="A906" s="67"/>
      <c r="B906" s="68"/>
      <c r="C906" s="68"/>
      <c r="D906" s="69"/>
      <c r="E906" s="68"/>
      <c r="F906" s="69"/>
    </row>
    <row r="907" ht="15.75" customHeight="1">
      <c r="A907" s="67"/>
      <c r="B907" s="68"/>
      <c r="C907" s="68"/>
      <c r="D907" s="69"/>
      <c r="E907" s="68"/>
      <c r="F907" s="69"/>
    </row>
    <row r="908" ht="15.75" customHeight="1">
      <c r="A908" s="67"/>
      <c r="B908" s="68"/>
      <c r="C908" s="68"/>
      <c r="D908" s="69"/>
      <c r="E908" s="68"/>
      <c r="F908" s="69"/>
    </row>
    <row r="909" ht="15.75" customHeight="1">
      <c r="A909" s="67"/>
      <c r="B909" s="68"/>
      <c r="C909" s="68"/>
      <c r="D909" s="69"/>
      <c r="E909" s="68"/>
      <c r="F909" s="69"/>
    </row>
    <row r="910" ht="15.75" customHeight="1">
      <c r="A910" s="67"/>
      <c r="B910" s="68"/>
      <c r="C910" s="68"/>
      <c r="D910" s="69"/>
      <c r="E910" s="68"/>
      <c r="F910" s="69"/>
    </row>
    <row r="911" ht="15.75" customHeight="1">
      <c r="A911" s="67"/>
      <c r="B911" s="68"/>
      <c r="C911" s="68"/>
      <c r="D911" s="69"/>
      <c r="E911" s="68"/>
      <c r="F911" s="69"/>
    </row>
    <row r="912" ht="15.75" customHeight="1">
      <c r="A912" s="67"/>
      <c r="B912" s="68"/>
      <c r="C912" s="68"/>
      <c r="D912" s="69"/>
      <c r="E912" s="68"/>
      <c r="F912" s="69"/>
    </row>
    <row r="913" ht="15.75" customHeight="1">
      <c r="A913" s="67"/>
      <c r="B913" s="68"/>
      <c r="C913" s="68"/>
      <c r="D913" s="69"/>
      <c r="E913" s="68"/>
      <c r="F913" s="69"/>
    </row>
    <row r="914" ht="15.75" customHeight="1">
      <c r="A914" s="67"/>
      <c r="B914" s="68"/>
      <c r="C914" s="68"/>
      <c r="D914" s="69"/>
      <c r="E914" s="68"/>
      <c r="F914" s="69"/>
    </row>
    <row r="915" ht="15.75" customHeight="1">
      <c r="A915" s="67"/>
      <c r="B915" s="68"/>
      <c r="C915" s="68"/>
      <c r="D915" s="69"/>
      <c r="E915" s="68"/>
      <c r="F915" s="69"/>
    </row>
    <row r="916" ht="15.75" customHeight="1">
      <c r="A916" s="67"/>
      <c r="B916" s="68"/>
      <c r="C916" s="68"/>
      <c r="D916" s="69"/>
      <c r="E916" s="68"/>
      <c r="F916" s="69"/>
    </row>
    <row r="917" ht="15.75" customHeight="1">
      <c r="A917" s="67"/>
      <c r="B917" s="68"/>
      <c r="C917" s="68"/>
      <c r="D917" s="69"/>
      <c r="E917" s="68"/>
      <c r="F917" s="69"/>
    </row>
    <row r="918" ht="15.75" customHeight="1">
      <c r="A918" s="67"/>
      <c r="B918" s="68"/>
      <c r="C918" s="68"/>
      <c r="D918" s="69"/>
      <c r="E918" s="68"/>
      <c r="F918" s="69"/>
    </row>
    <row r="919" ht="15.75" customHeight="1">
      <c r="A919" s="67"/>
      <c r="B919" s="68"/>
      <c r="C919" s="68"/>
      <c r="D919" s="69"/>
      <c r="E919" s="68"/>
      <c r="F919" s="69"/>
    </row>
    <row r="920" ht="15.75" customHeight="1">
      <c r="A920" s="67"/>
      <c r="B920" s="68"/>
      <c r="C920" s="68"/>
      <c r="D920" s="69"/>
      <c r="E920" s="68"/>
      <c r="F920" s="69"/>
    </row>
    <row r="921" ht="15.75" customHeight="1">
      <c r="A921" s="67"/>
      <c r="B921" s="68"/>
      <c r="C921" s="68"/>
      <c r="D921" s="69"/>
      <c r="E921" s="68"/>
      <c r="F921" s="69"/>
    </row>
    <row r="922" ht="15.75" customHeight="1">
      <c r="A922" s="67"/>
      <c r="B922" s="68"/>
      <c r="C922" s="68"/>
      <c r="D922" s="69"/>
      <c r="E922" s="68"/>
      <c r="F922" s="69"/>
    </row>
    <row r="923" ht="15.75" customHeight="1">
      <c r="A923" s="67"/>
      <c r="B923" s="68"/>
      <c r="C923" s="68"/>
      <c r="D923" s="69"/>
      <c r="E923" s="68"/>
      <c r="F923" s="69"/>
    </row>
    <row r="924" ht="15.75" customHeight="1">
      <c r="A924" s="67"/>
      <c r="B924" s="68"/>
      <c r="C924" s="68"/>
      <c r="D924" s="69"/>
      <c r="E924" s="68"/>
      <c r="F924" s="69"/>
    </row>
    <row r="925" ht="15.75" customHeight="1">
      <c r="A925" s="67"/>
      <c r="B925" s="68"/>
      <c r="C925" s="68"/>
      <c r="D925" s="69"/>
      <c r="E925" s="68"/>
      <c r="F925" s="69"/>
    </row>
    <row r="926" ht="15.75" customHeight="1">
      <c r="A926" s="67"/>
      <c r="B926" s="68"/>
      <c r="C926" s="68"/>
      <c r="D926" s="69"/>
      <c r="E926" s="68"/>
      <c r="F926" s="69"/>
    </row>
    <row r="927" ht="15.75" customHeight="1">
      <c r="A927" s="67"/>
      <c r="B927" s="68"/>
      <c r="C927" s="68"/>
      <c r="D927" s="69"/>
      <c r="E927" s="68"/>
      <c r="F927" s="69"/>
    </row>
    <row r="928" ht="15.75" customHeight="1">
      <c r="A928" s="67"/>
      <c r="B928" s="68"/>
      <c r="C928" s="68"/>
      <c r="D928" s="69"/>
      <c r="E928" s="68"/>
      <c r="F928" s="69"/>
    </row>
    <row r="929" ht="15.75" customHeight="1">
      <c r="A929" s="67"/>
      <c r="B929" s="68"/>
      <c r="C929" s="68"/>
      <c r="D929" s="69"/>
      <c r="E929" s="68"/>
      <c r="F929" s="69"/>
    </row>
    <row r="930" ht="15.75" customHeight="1">
      <c r="A930" s="67"/>
      <c r="B930" s="68"/>
      <c r="C930" s="68"/>
      <c r="D930" s="69"/>
      <c r="E930" s="68"/>
      <c r="F930" s="69"/>
    </row>
    <row r="931" ht="15.75" customHeight="1">
      <c r="A931" s="67"/>
      <c r="B931" s="68"/>
      <c r="C931" s="68"/>
      <c r="D931" s="69"/>
      <c r="E931" s="68"/>
      <c r="F931" s="69"/>
    </row>
    <row r="932" ht="15.75" customHeight="1">
      <c r="A932" s="67"/>
      <c r="B932" s="68"/>
      <c r="C932" s="68"/>
      <c r="D932" s="69"/>
      <c r="E932" s="68"/>
      <c r="F932" s="69"/>
    </row>
    <row r="933" ht="15.75" customHeight="1">
      <c r="A933" s="67"/>
      <c r="B933" s="68"/>
      <c r="C933" s="68"/>
      <c r="D933" s="69"/>
      <c r="E933" s="68"/>
      <c r="F933" s="69"/>
    </row>
    <row r="934" ht="15.75" customHeight="1">
      <c r="A934" s="67"/>
      <c r="B934" s="68"/>
      <c r="C934" s="68"/>
      <c r="D934" s="69"/>
      <c r="E934" s="68"/>
      <c r="F934" s="69"/>
    </row>
    <row r="935" ht="15.75" customHeight="1">
      <c r="A935" s="67"/>
      <c r="B935" s="68"/>
      <c r="C935" s="68"/>
      <c r="D935" s="69"/>
      <c r="E935" s="68"/>
      <c r="F935" s="69"/>
    </row>
    <row r="936" ht="15.75" customHeight="1">
      <c r="A936" s="67"/>
      <c r="B936" s="68"/>
      <c r="C936" s="68"/>
      <c r="D936" s="69"/>
      <c r="E936" s="68"/>
      <c r="F936" s="69"/>
    </row>
    <row r="937" ht="15.75" customHeight="1">
      <c r="A937" s="67"/>
      <c r="B937" s="68"/>
      <c r="C937" s="68"/>
      <c r="D937" s="69"/>
      <c r="E937" s="68"/>
      <c r="F937" s="69"/>
    </row>
    <row r="938" ht="15.75" customHeight="1">
      <c r="A938" s="67"/>
      <c r="B938" s="68"/>
      <c r="C938" s="68"/>
      <c r="D938" s="69"/>
      <c r="E938" s="68"/>
      <c r="F938" s="69"/>
    </row>
    <row r="939" ht="15.75" customHeight="1">
      <c r="A939" s="67"/>
      <c r="B939" s="68"/>
      <c r="C939" s="68"/>
      <c r="D939" s="69"/>
      <c r="E939" s="68"/>
      <c r="F939" s="69"/>
    </row>
    <row r="940" ht="15.75" customHeight="1">
      <c r="A940" s="67"/>
      <c r="B940" s="68"/>
      <c r="C940" s="68"/>
      <c r="D940" s="69"/>
      <c r="E940" s="68"/>
      <c r="F940" s="69"/>
    </row>
    <row r="941" ht="15.75" customHeight="1">
      <c r="A941" s="67"/>
      <c r="B941" s="68"/>
      <c r="C941" s="68"/>
      <c r="D941" s="69"/>
      <c r="E941" s="68"/>
      <c r="F941" s="69"/>
    </row>
    <row r="942" ht="15.75" customHeight="1">
      <c r="A942" s="67"/>
      <c r="B942" s="68"/>
      <c r="C942" s="68"/>
      <c r="D942" s="69"/>
      <c r="E942" s="68"/>
      <c r="F942" s="69"/>
    </row>
    <row r="943" ht="15.75" customHeight="1">
      <c r="A943" s="67"/>
      <c r="B943" s="68"/>
      <c r="C943" s="68"/>
      <c r="D943" s="69"/>
      <c r="E943" s="68"/>
      <c r="F943" s="69"/>
    </row>
    <row r="944" ht="15.75" customHeight="1">
      <c r="A944" s="67"/>
      <c r="B944" s="68"/>
      <c r="C944" s="68"/>
      <c r="D944" s="69"/>
      <c r="E944" s="68"/>
      <c r="F944" s="69"/>
    </row>
    <row r="945" ht="15.75" customHeight="1">
      <c r="A945" s="67"/>
      <c r="B945" s="68"/>
      <c r="C945" s="68"/>
      <c r="D945" s="69"/>
      <c r="E945" s="68"/>
      <c r="F945" s="69"/>
    </row>
    <row r="946" ht="15.75" customHeight="1">
      <c r="A946" s="67"/>
      <c r="B946" s="68"/>
      <c r="C946" s="68"/>
      <c r="D946" s="69"/>
      <c r="E946" s="68"/>
      <c r="F946" s="69"/>
    </row>
    <row r="947" ht="15.75" customHeight="1">
      <c r="A947" s="67"/>
      <c r="B947" s="68"/>
      <c r="C947" s="68"/>
      <c r="D947" s="69"/>
      <c r="E947" s="68"/>
      <c r="F947" s="69"/>
    </row>
    <row r="948" ht="15.75" customHeight="1">
      <c r="A948" s="67"/>
      <c r="B948" s="68"/>
      <c r="C948" s="68"/>
      <c r="D948" s="69"/>
      <c r="E948" s="68"/>
      <c r="F948" s="69"/>
    </row>
    <row r="949" ht="15.75" customHeight="1">
      <c r="A949" s="67"/>
      <c r="B949" s="68"/>
      <c r="C949" s="68"/>
      <c r="D949" s="69"/>
      <c r="E949" s="68"/>
      <c r="F949" s="69"/>
    </row>
    <row r="950" ht="15.75" customHeight="1">
      <c r="A950" s="67"/>
      <c r="B950" s="68"/>
      <c r="C950" s="68"/>
      <c r="D950" s="69"/>
      <c r="E950" s="68"/>
      <c r="F950" s="69"/>
    </row>
    <row r="951" ht="15.75" customHeight="1">
      <c r="A951" s="67"/>
      <c r="B951" s="68"/>
      <c r="C951" s="68"/>
      <c r="D951" s="69"/>
      <c r="E951" s="68"/>
      <c r="F951" s="69"/>
    </row>
    <row r="952" ht="15.75" customHeight="1">
      <c r="A952" s="67"/>
      <c r="B952" s="68"/>
      <c r="C952" s="68"/>
      <c r="D952" s="69"/>
      <c r="E952" s="68"/>
      <c r="F952" s="69"/>
    </row>
    <row r="953" ht="15.75" customHeight="1">
      <c r="A953" s="67"/>
      <c r="B953" s="68"/>
      <c r="C953" s="68"/>
      <c r="D953" s="69"/>
      <c r="E953" s="68"/>
      <c r="F953" s="69"/>
    </row>
    <row r="954" ht="15.75" customHeight="1">
      <c r="A954" s="67"/>
      <c r="B954" s="68"/>
      <c r="C954" s="68"/>
      <c r="D954" s="69"/>
      <c r="E954" s="68"/>
      <c r="F954" s="69"/>
    </row>
    <row r="955" ht="15.75" customHeight="1">
      <c r="A955" s="67"/>
      <c r="B955" s="68"/>
      <c r="C955" s="68"/>
      <c r="D955" s="69"/>
      <c r="E955" s="68"/>
      <c r="F955" s="69"/>
    </row>
    <row r="956" ht="15.75" customHeight="1">
      <c r="A956" s="67"/>
      <c r="B956" s="68"/>
      <c r="C956" s="68"/>
      <c r="D956" s="69"/>
      <c r="E956" s="68"/>
      <c r="F956" s="69"/>
    </row>
    <row r="957" ht="15.75" customHeight="1">
      <c r="A957" s="67"/>
      <c r="B957" s="68"/>
      <c r="C957" s="68"/>
      <c r="D957" s="69"/>
      <c r="E957" s="68"/>
      <c r="F957" s="69"/>
    </row>
    <row r="958" ht="15.75" customHeight="1">
      <c r="A958" s="67"/>
      <c r="B958" s="68"/>
      <c r="C958" s="68"/>
      <c r="D958" s="69"/>
      <c r="E958" s="68"/>
      <c r="F958" s="69"/>
    </row>
    <row r="959" ht="15.75" customHeight="1">
      <c r="A959" s="67"/>
      <c r="B959" s="68"/>
      <c r="C959" s="68"/>
      <c r="D959" s="69"/>
      <c r="E959" s="68"/>
      <c r="F959" s="69"/>
    </row>
    <row r="960" ht="15.75" customHeight="1">
      <c r="A960" s="67"/>
      <c r="B960" s="68"/>
      <c r="C960" s="68"/>
      <c r="D960" s="69"/>
      <c r="E960" s="68"/>
      <c r="F960" s="69"/>
    </row>
    <row r="961" ht="15.75" customHeight="1">
      <c r="A961" s="67"/>
      <c r="B961" s="68"/>
      <c r="C961" s="68"/>
      <c r="D961" s="69"/>
      <c r="E961" s="68"/>
      <c r="F961" s="69"/>
    </row>
    <row r="962" ht="15.75" customHeight="1">
      <c r="A962" s="67"/>
      <c r="B962" s="68"/>
      <c r="C962" s="68"/>
      <c r="D962" s="69"/>
      <c r="E962" s="68"/>
      <c r="F962" s="69"/>
    </row>
    <row r="963" ht="15.75" customHeight="1">
      <c r="A963" s="67"/>
      <c r="B963" s="68"/>
      <c r="C963" s="68"/>
      <c r="D963" s="69"/>
      <c r="E963" s="68"/>
      <c r="F963" s="69"/>
    </row>
    <row r="964" ht="15.75" customHeight="1">
      <c r="A964" s="67"/>
      <c r="B964" s="68"/>
      <c r="C964" s="68"/>
      <c r="D964" s="69"/>
      <c r="E964" s="68"/>
      <c r="F964" s="69"/>
    </row>
    <row r="965" ht="15.75" customHeight="1">
      <c r="A965" s="67"/>
      <c r="B965" s="68"/>
      <c r="C965" s="68"/>
      <c r="D965" s="69"/>
      <c r="E965" s="68"/>
      <c r="F965" s="69"/>
    </row>
    <row r="966" ht="15.75" customHeight="1">
      <c r="A966" s="67"/>
      <c r="B966" s="68"/>
      <c r="C966" s="68"/>
      <c r="D966" s="69"/>
      <c r="E966" s="68"/>
      <c r="F966" s="69"/>
    </row>
    <row r="967" ht="15.75" customHeight="1">
      <c r="A967" s="67"/>
      <c r="B967" s="68"/>
      <c r="C967" s="68"/>
      <c r="D967" s="69"/>
      <c r="E967" s="68"/>
      <c r="F967" s="69"/>
    </row>
    <row r="968" ht="15.75" customHeight="1">
      <c r="A968" s="67"/>
      <c r="B968" s="68"/>
      <c r="C968" s="68"/>
      <c r="D968" s="69"/>
      <c r="E968" s="68"/>
      <c r="F968" s="69"/>
    </row>
    <row r="969" ht="15.75" customHeight="1">
      <c r="A969" s="67"/>
      <c r="B969" s="68"/>
      <c r="C969" s="68"/>
      <c r="D969" s="69"/>
      <c r="E969" s="68"/>
      <c r="F969" s="69"/>
    </row>
    <row r="970" ht="15.75" customHeight="1">
      <c r="A970" s="67"/>
      <c r="B970" s="68"/>
      <c r="C970" s="68"/>
      <c r="D970" s="69"/>
      <c r="E970" s="68"/>
      <c r="F970" s="69"/>
    </row>
    <row r="971" ht="15.75" customHeight="1">
      <c r="A971" s="67"/>
      <c r="B971" s="68"/>
      <c r="C971" s="68"/>
      <c r="D971" s="69"/>
      <c r="E971" s="68"/>
      <c r="F971" s="69"/>
    </row>
    <row r="972" ht="15.75" customHeight="1">
      <c r="A972" s="67"/>
      <c r="B972" s="68"/>
      <c r="C972" s="68"/>
      <c r="D972" s="69"/>
      <c r="E972" s="68"/>
      <c r="F972" s="69"/>
    </row>
    <row r="973" ht="15.75" customHeight="1">
      <c r="A973" s="67"/>
      <c r="B973" s="68"/>
      <c r="C973" s="68"/>
      <c r="D973" s="69"/>
      <c r="E973" s="68"/>
      <c r="F973" s="69"/>
    </row>
    <row r="974" ht="15.75" customHeight="1">
      <c r="A974" s="67"/>
      <c r="B974" s="68"/>
      <c r="C974" s="68"/>
      <c r="D974" s="69"/>
      <c r="E974" s="68"/>
      <c r="F974" s="69"/>
    </row>
    <row r="975" ht="15.75" customHeight="1">
      <c r="A975" s="67"/>
      <c r="B975" s="68"/>
      <c r="C975" s="68"/>
      <c r="D975" s="69"/>
      <c r="E975" s="68"/>
      <c r="F975" s="69"/>
    </row>
    <row r="976" ht="15.75" customHeight="1">
      <c r="A976" s="67"/>
      <c r="B976" s="68"/>
      <c r="C976" s="68"/>
      <c r="D976" s="69"/>
      <c r="E976" s="68"/>
      <c r="F976" s="69"/>
    </row>
    <row r="977" ht="15.75" customHeight="1">
      <c r="A977" s="67"/>
      <c r="B977" s="68"/>
      <c r="C977" s="68"/>
      <c r="D977" s="69"/>
      <c r="E977" s="68"/>
      <c r="F977" s="69"/>
    </row>
    <row r="978" ht="15.75" customHeight="1">
      <c r="A978" s="67"/>
      <c r="B978" s="68"/>
      <c r="C978" s="68"/>
      <c r="D978" s="69"/>
      <c r="E978" s="68"/>
      <c r="F978" s="69"/>
    </row>
    <row r="979" ht="15.75" customHeight="1">
      <c r="A979" s="67"/>
      <c r="B979" s="68"/>
      <c r="C979" s="68"/>
      <c r="D979" s="69"/>
      <c r="E979" s="68"/>
      <c r="F979" s="69"/>
    </row>
    <row r="980" ht="15.75" customHeight="1">
      <c r="A980" s="67"/>
      <c r="B980" s="68"/>
      <c r="C980" s="68"/>
      <c r="D980" s="69"/>
      <c r="E980" s="68"/>
      <c r="F980" s="69"/>
    </row>
    <row r="981" ht="15.75" customHeight="1">
      <c r="A981" s="67"/>
      <c r="B981" s="68"/>
      <c r="C981" s="68"/>
      <c r="D981" s="69"/>
      <c r="E981" s="68"/>
      <c r="F981" s="69"/>
    </row>
    <row r="982" ht="15.75" customHeight="1">
      <c r="A982" s="67"/>
      <c r="B982" s="68"/>
      <c r="C982" s="68"/>
      <c r="D982" s="69"/>
      <c r="E982" s="68"/>
      <c r="F982" s="69"/>
    </row>
    <row r="983" ht="15.75" customHeight="1">
      <c r="A983" s="67"/>
      <c r="B983" s="68"/>
      <c r="C983" s="68"/>
      <c r="D983" s="69"/>
      <c r="E983" s="68"/>
      <c r="F983" s="69"/>
    </row>
    <row r="984" ht="15.75" customHeight="1">
      <c r="A984" s="67"/>
      <c r="B984" s="68"/>
      <c r="C984" s="68"/>
      <c r="D984" s="69"/>
      <c r="E984" s="68"/>
      <c r="F984" s="69"/>
    </row>
    <row r="985" ht="15.75" customHeight="1">
      <c r="A985" s="67"/>
      <c r="B985" s="68"/>
      <c r="C985" s="68"/>
      <c r="D985" s="69"/>
      <c r="E985" s="68"/>
      <c r="F985" s="69"/>
    </row>
    <row r="986" ht="15.75" customHeight="1">
      <c r="A986" s="67"/>
      <c r="B986" s="68"/>
      <c r="C986" s="68"/>
      <c r="D986" s="69"/>
      <c r="E986" s="68"/>
      <c r="F986" s="69"/>
    </row>
    <row r="987" ht="15.75" customHeight="1">
      <c r="A987" s="67"/>
      <c r="B987" s="68"/>
      <c r="C987" s="68"/>
      <c r="D987" s="69"/>
      <c r="E987" s="68"/>
      <c r="F987" s="69"/>
    </row>
    <row r="988" ht="15.75" customHeight="1">
      <c r="A988" s="67"/>
      <c r="B988" s="68"/>
      <c r="C988" s="68"/>
      <c r="D988" s="69"/>
      <c r="E988" s="68"/>
      <c r="F988" s="69"/>
    </row>
    <row r="989" ht="15.75" customHeight="1">
      <c r="A989" s="67"/>
      <c r="B989" s="68"/>
      <c r="C989" s="68"/>
      <c r="D989" s="69"/>
      <c r="E989" s="68"/>
      <c r="F989" s="69"/>
    </row>
    <row r="990" ht="15.75" customHeight="1">
      <c r="A990" s="67"/>
      <c r="B990" s="68"/>
      <c r="C990" s="68"/>
      <c r="D990" s="69"/>
      <c r="E990" s="68"/>
      <c r="F990" s="69"/>
    </row>
    <row r="991" ht="15.75" customHeight="1">
      <c r="A991" s="67"/>
      <c r="B991" s="68"/>
      <c r="C991" s="68"/>
      <c r="D991" s="69"/>
      <c r="E991" s="68"/>
      <c r="F991" s="69"/>
    </row>
    <row r="992" ht="15.75" customHeight="1">
      <c r="A992" s="67"/>
      <c r="B992" s="68"/>
      <c r="C992" s="68"/>
      <c r="D992" s="69"/>
      <c r="E992" s="68"/>
      <c r="F992" s="69"/>
    </row>
    <row r="993" ht="15.75" customHeight="1">
      <c r="A993" s="67"/>
      <c r="B993" s="68"/>
      <c r="C993" s="68"/>
      <c r="D993" s="69"/>
      <c r="E993" s="68"/>
      <c r="F993" s="69"/>
    </row>
    <row r="994" ht="15.75" customHeight="1">
      <c r="A994" s="67"/>
      <c r="B994" s="68"/>
      <c r="C994" s="68"/>
      <c r="D994" s="69"/>
      <c r="E994" s="68"/>
      <c r="F994" s="69"/>
    </row>
    <row r="995" ht="15.75" customHeight="1">
      <c r="A995" s="67"/>
      <c r="B995" s="68"/>
      <c r="C995" s="68"/>
      <c r="D995" s="69"/>
      <c r="E995" s="68"/>
      <c r="F995" s="69"/>
    </row>
    <row r="996" ht="15.75" customHeight="1">
      <c r="A996" s="67"/>
      <c r="B996" s="68"/>
      <c r="C996" s="68"/>
      <c r="D996" s="69"/>
      <c r="E996" s="68"/>
      <c r="F996" s="69"/>
    </row>
    <row r="997" ht="15.75" customHeight="1">
      <c r="A997" s="67"/>
      <c r="B997" s="68"/>
      <c r="C997" s="68"/>
      <c r="D997" s="69"/>
      <c r="E997" s="68"/>
      <c r="F997" s="69"/>
    </row>
    <row r="998" ht="15.75" customHeight="1">
      <c r="A998" s="67"/>
      <c r="B998" s="68"/>
      <c r="C998" s="68"/>
      <c r="D998" s="69"/>
      <c r="E998" s="68"/>
      <c r="F998" s="69"/>
    </row>
    <row r="999" ht="15.75" customHeight="1">
      <c r="A999" s="67"/>
      <c r="B999" s="68"/>
      <c r="C999" s="68"/>
      <c r="D999" s="69"/>
      <c r="E999" s="68"/>
      <c r="F999" s="69"/>
    </row>
    <row r="1000" ht="15.75" customHeight="1">
      <c r="A1000" s="67"/>
      <c r="B1000" s="68"/>
      <c r="C1000" s="68"/>
      <c r="D1000" s="69"/>
      <c r="E1000" s="68"/>
      <c r="F1000" s="69"/>
    </row>
  </sheetData>
  <mergeCells count="1">
    <mergeCell ref="H1:Q1"/>
  </mergeCells>
  <conditionalFormatting sqref="E2:E150 F2">
    <cfRule type="notContainsBlanks" dxfId="0" priority="1">
      <formula>LEN(TRIM(E2))&gt;0</formula>
    </cfRule>
  </conditionalFormatting>
  <conditionalFormatting sqref="E152:F152">
    <cfRule type="notContainsBlanks" dxfId="0" priority="2">
      <formula>LEN(TRIM(E152))&gt;0</formula>
    </cfRule>
  </conditionalFormatting>
  <conditionalFormatting sqref="G2:G150">
    <cfRule type="expression" dxfId="0" priority="3">
      <formula>$G2=TRUE</formula>
    </cfRule>
  </conditionalFormatting>
  <conditionalFormatting sqref="G2:G150">
    <cfRule type="expression" dxfId="1" priority="4">
      <formula>$G2=FALSE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13"/>
    <col customWidth="1" min="3" max="3" width="15.63"/>
    <col customWidth="1" min="4" max="4" width="27.5"/>
    <col customWidth="1" min="5" max="5" width="31.38"/>
    <col customWidth="1" min="6" max="6" width="19.63"/>
    <col customWidth="1" min="7" max="7" width="15.38"/>
    <col customWidth="1" min="8" max="17" width="7.0"/>
    <col customWidth="1" min="18" max="27" width="11.0"/>
  </cols>
  <sheetData>
    <row r="1" ht="36.75" customHeight="1">
      <c r="A1" s="7" t="s">
        <v>0</v>
      </c>
      <c r="B1" s="9" t="s">
        <v>2</v>
      </c>
      <c r="C1" s="2" t="s">
        <v>3</v>
      </c>
      <c r="D1" s="13" t="s">
        <v>4</v>
      </c>
      <c r="E1" s="15" t="s">
        <v>10</v>
      </c>
      <c r="F1" s="19" t="s">
        <v>6</v>
      </c>
      <c r="G1" s="2" t="s">
        <v>7</v>
      </c>
      <c r="H1" s="6" t="s">
        <v>8</v>
      </c>
      <c r="I1" s="8"/>
      <c r="J1" s="8"/>
      <c r="K1" s="8"/>
      <c r="L1" s="8"/>
      <c r="M1" s="8"/>
      <c r="N1" s="8"/>
      <c r="O1" s="8"/>
      <c r="P1" s="8"/>
      <c r="Q1" s="11"/>
      <c r="R1" s="14"/>
      <c r="S1" s="14"/>
      <c r="T1" s="14"/>
      <c r="U1" s="14"/>
      <c r="V1" s="14"/>
      <c r="W1" s="14"/>
    </row>
    <row r="2" ht="28.5" customHeight="1">
      <c r="A2" s="24" t="s">
        <v>14</v>
      </c>
      <c r="B2" s="27" t="s">
        <v>19</v>
      </c>
      <c r="C2" s="28" t="s">
        <v>20</v>
      </c>
      <c r="D2" s="29" t="s">
        <v>21</v>
      </c>
      <c r="E2" s="32" t="str">
        <f>IFERROR(__xludf.DUMMYFUNCTION("GOOGLETRANSLATE(D2,""zh-CN"",""vi"")"),"Xin hãy giúp tôi.")</f>
        <v>Xin hãy giúp tôi.</v>
      </c>
      <c r="F2" s="33" t="s">
        <v>14</v>
      </c>
      <c r="G2" s="34" t="b">
        <f t="shared" ref="G2:G151" si="1">EXACT(A2,F2)</f>
        <v>1</v>
      </c>
      <c r="H2" s="35" t="b">
        <v>0</v>
      </c>
      <c r="I2" s="35" t="b">
        <v>0</v>
      </c>
      <c r="J2" s="35" t="b">
        <v>0</v>
      </c>
      <c r="K2" s="35" t="b">
        <v>0</v>
      </c>
      <c r="L2" s="35" t="b">
        <v>0</v>
      </c>
      <c r="M2" s="35" t="b">
        <v>0</v>
      </c>
      <c r="N2" s="35" t="b">
        <v>0</v>
      </c>
      <c r="O2" s="35" t="b">
        <v>0</v>
      </c>
      <c r="P2" s="35" t="b">
        <v>0</v>
      </c>
      <c r="Q2" s="35" t="b">
        <v>0</v>
      </c>
      <c r="R2" s="14"/>
      <c r="S2" s="14"/>
      <c r="T2" s="14"/>
      <c r="U2" s="14"/>
      <c r="V2" s="14"/>
      <c r="W2" s="14"/>
    </row>
    <row r="3" ht="28.5" customHeight="1">
      <c r="A3" s="24" t="s">
        <v>27</v>
      </c>
      <c r="B3" s="27" t="s">
        <v>29</v>
      </c>
      <c r="C3" s="28" t="s">
        <v>31</v>
      </c>
      <c r="D3" s="29" t="s">
        <v>33</v>
      </c>
      <c r="E3" s="32" t="str">
        <f>IFERROR(__xludf.DUMMYFUNCTION("GOOGLETRANSLATE(D3,""zh-CN"",""vi"")"),"Chiếc áo sơ mi trắng của anh ấy rất đẹp.")</f>
        <v>Chiếc áo sơ mi trắng của anh ấy rất đẹp.</v>
      </c>
      <c r="F3" s="30" t="s">
        <v>27</v>
      </c>
      <c r="G3" s="34" t="b">
        <f t="shared" si="1"/>
        <v>1</v>
      </c>
      <c r="H3" s="35" t="b">
        <v>0</v>
      </c>
      <c r="I3" s="35" t="b">
        <v>0</v>
      </c>
      <c r="J3" s="35" t="b">
        <v>0</v>
      </c>
      <c r="K3" s="35" t="b">
        <v>0</v>
      </c>
      <c r="L3" s="35" t="b">
        <v>0</v>
      </c>
      <c r="M3" s="35" t="b">
        <v>0</v>
      </c>
      <c r="N3" s="35" t="b">
        <v>0</v>
      </c>
      <c r="O3" s="35" t="b">
        <v>0</v>
      </c>
      <c r="P3" s="35" t="b">
        <v>0</v>
      </c>
      <c r="Q3" s="35" t="b">
        <v>0</v>
      </c>
      <c r="R3" s="14"/>
      <c r="S3" s="14"/>
      <c r="T3" s="14"/>
      <c r="U3" s="14"/>
      <c r="V3" s="14"/>
      <c r="W3" s="14"/>
    </row>
    <row r="4" ht="28.5" customHeight="1">
      <c r="A4" s="24" t="s">
        <v>46</v>
      </c>
      <c r="B4" s="27" t="s">
        <v>47</v>
      </c>
      <c r="C4" s="28" t="s">
        <v>48</v>
      </c>
      <c r="D4" s="29" t="s">
        <v>50</v>
      </c>
      <c r="E4" s="32" t="str">
        <f>IFERROR(__xludf.DUMMYFUNCTION("GOOGLETRANSLATE(D4,""zh-CN"",""vi"")"),"Chúng ta cần mua một trăm quả táo.")</f>
        <v>Chúng ta cần mua một trăm quả táo.</v>
      </c>
      <c r="F4" s="30" t="s">
        <v>46</v>
      </c>
      <c r="G4" s="34" t="b">
        <f t="shared" si="1"/>
        <v>1</v>
      </c>
      <c r="H4" s="35" t="b">
        <v>0</v>
      </c>
      <c r="I4" s="35" t="b">
        <v>0</v>
      </c>
      <c r="J4" s="35" t="b">
        <v>0</v>
      </c>
      <c r="K4" s="35" t="b">
        <v>0</v>
      </c>
      <c r="L4" s="35" t="b">
        <v>0</v>
      </c>
      <c r="M4" s="35" t="b">
        <v>0</v>
      </c>
      <c r="N4" s="35" t="b">
        <v>0</v>
      </c>
      <c r="O4" s="35" t="b">
        <v>0</v>
      </c>
      <c r="P4" s="35" t="b">
        <v>0</v>
      </c>
      <c r="Q4" s="35" t="b">
        <v>0</v>
      </c>
      <c r="R4" s="14"/>
      <c r="S4" s="14"/>
      <c r="T4" s="14"/>
      <c r="U4" s="14"/>
      <c r="V4" s="14"/>
      <c r="W4" s="14"/>
    </row>
    <row r="5" ht="28.5" customHeight="1">
      <c r="A5" s="24" t="s">
        <v>65</v>
      </c>
      <c r="B5" s="27" t="s">
        <v>67</v>
      </c>
      <c r="C5" s="28" t="s">
        <v>69</v>
      </c>
      <c r="D5" s="29" t="s">
        <v>71</v>
      </c>
      <c r="E5" s="32" t="str">
        <f>IFERROR(__xludf.DUMMYFUNCTION("GOOGLETRANSLATE(D5,""zh-CN"",""vi"")"),"Vui lòng giúp dịch bài viết này.")</f>
        <v>Vui lòng giúp dịch bài viết này.</v>
      </c>
      <c r="F5" s="30" t="s">
        <v>65</v>
      </c>
      <c r="G5" s="34" t="b">
        <f t="shared" si="1"/>
        <v>1</v>
      </c>
      <c r="H5" s="35" t="b">
        <v>0</v>
      </c>
      <c r="I5" s="35" t="b">
        <v>0</v>
      </c>
      <c r="J5" s="35" t="b">
        <v>0</v>
      </c>
      <c r="K5" s="35" t="b">
        <v>0</v>
      </c>
      <c r="L5" s="35" t="b">
        <v>0</v>
      </c>
      <c r="M5" s="35" t="b">
        <v>0</v>
      </c>
      <c r="N5" s="35" t="b">
        <v>0</v>
      </c>
      <c r="O5" s="35" t="b">
        <v>0</v>
      </c>
      <c r="P5" s="35" t="b">
        <v>0</v>
      </c>
      <c r="Q5" s="35" t="b">
        <v>0</v>
      </c>
      <c r="R5" s="14"/>
      <c r="S5" s="14"/>
      <c r="T5" s="14"/>
      <c r="U5" s="14"/>
      <c r="V5" s="14"/>
      <c r="W5" s="14"/>
    </row>
    <row r="6" ht="28.5" customHeight="1">
      <c r="A6" s="24" t="s">
        <v>82</v>
      </c>
      <c r="B6" s="27" t="s">
        <v>83</v>
      </c>
      <c r="C6" s="28" t="s">
        <v>84</v>
      </c>
      <c r="D6" s="29" t="s">
        <v>85</v>
      </c>
      <c r="E6" s="32" t="str">
        <f>IFERROR(__xludf.DUMMYFUNCTION("GOOGLETRANSLATE(D6,""zh-CN"",""vi"")"),"Tôi đọc báo mỗi ngày.")</f>
        <v>Tôi đọc báo mỗi ngày.</v>
      </c>
      <c r="F6" s="30" t="s">
        <v>82</v>
      </c>
      <c r="G6" s="34" t="b">
        <f t="shared" si="1"/>
        <v>1</v>
      </c>
      <c r="H6" s="35" t="b">
        <v>0</v>
      </c>
      <c r="I6" s="35" t="b">
        <v>0</v>
      </c>
      <c r="J6" s="35" t="b">
        <v>0</v>
      </c>
      <c r="K6" s="35" t="b">
        <v>0</v>
      </c>
      <c r="L6" s="35" t="b">
        <v>0</v>
      </c>
      <c r="M6" s="35" t="b">
        <v>0</v>
      </c>
      <c r="N6" s="35" t="b">
        <v>0</v>
      </c>
      <c r="O6" s="35" t="b">
        <v>0</v>
      </c>
      <c r="P6" s="35" t="b">
        <v>0</v>
      </c>
      <c r="Q6" s="35" t="b">
        <v>0</v>
      </c>
      <c r="R6" s="14"/>
      <c r="S6" s="14"/>
      <c r="T6" s="14"/>
      <c r="U6" s="14"/>
      <c r="V6" s="14"/>
      <c r="W6" s="14"/>
    </row>
    <row r="7" ht="28.5" customHeight="1">
      <c r="A7" s="24" t="s">
        <v>95</v>
      </c>
      <c r="B7" s="27" t="s">
        <v>97</v>
      </c>
      <c r="C7" s="28" t="s">
        <v>99</v>
      </c>
      <c r="D7" s="29" t="s">
        <v>101</v>
      </c>
      <c r="E7" s="32" t="str">
        <f>IFERROR(__xludf.DUMMYFUNCTION("GOOGLETRANSLATE(D7,""zh-CN"",""vi"")"),"Nhà tôi to hơn nhà bạn.")</f>
        <v>Nhà tôi to hơn nhà bạn.</v>
      </c>
      <c r="F7" s="30" t="s">
        <v>95</v>
      </c>
      <c r="G7" s="34" t="b">
        <f t="shared" si="1"/>
        <v>1</v>
      </c>
      <c r="H7" s="35" t="b">
        <v>0</v>
      </c>
      <c r="I7" s="35" t="b">
        <v>0</v>
      </c>
      <c r="J7" s="35" t="b">
        <v>0</v>
      </c>
      <c r="K7" s="35" t="b">
        <v>0</v>
      </c>
      <c r="L7" s="35" t="b">
        <v>0</v>
      </c>
      <c r="M7" s="35" t="b">
        <v>0</v>
      </c>
      <c r="N7" s="35" t="b">
        <v>0</v>
      </c>
      <c r="O7" s="35" t="b">
        <v>0</v>
      </c>
      <c r="P7" s="35" t="b">
        <v>0</v>
      </c>
      <c r="Q7" s="35" t="b">
        <v>0</v>
      </c>
      <c r="R7" s="14"/>
      <c r="S7" s="14"/>
      <c r="T7" s="14"/>
      <c r="U7" s="14"/>
      <c r="V7" s="14"/>
      <c r="W7" s="14"/>
    </row>
    <row r="8" ht="28.5" customHeight="1">
      <c r="A8" s="24" t="s">
        <v>109</v>
      </c>
      <c r="B8" s="27" t="s">
        <v>110</v>
      </c>
      <c r="C8" s="28" t="s">
        <v>111</v>
      </c>
      <c r="D8" s="29" t="s">
        <v>112</v>
      </c>
      <c r="E8" s="32" t="str">
        <f>IFERROR(__xludf.DUMMYFUNCTION("GOOGLETRANSLATE(D8,""zh-CN"",""vi"")"),"Đừng quên chìa khóa của bạn.")</f>
        <v>Đừng quên chìa khóa của bạn.</v>
      </c>
      <c r="F8" s="30" t="s">
        <v>109</v>
      </c>
      <c r="G8" s="34" t="b">
        <f t="shared" si="1"/>
        <v>1</v>
      </c>
      <c r="H8" s="35" t="b">
        <v>0</v>
      </c>
      <c r="I8" s="35" t="b">
        <v>0</v>
      </c>
      <c r="J8" s="35" t="b">
        <v>0</v>
      </c>
      <c r="K8" s="35" t="b">
        <v>0</v>
      </c>
      <c r="L8" s="35" t="b">
        <v>0</v>
      </c>
      <c r="M8" s="35" t="b">
        <v>0</v>
      </c>
      <c r="N8" s="35" t="b">
        <v>0</v>
      </c>
      <c r="O8" s="35" t="b">
        <v>0</v>
      </c>
      <c r="P8" s="35" t="b">
        <v>0</v>
      </c>
      <c r="Q8" s="35" t="b">
        <v>0</v>
      </c>
      <c r="R8" s="14"/>
      <c r="S8" s="14"/>
      <c r="T8" s="14"/>
      <c r="U8" s="14"/>
      <c r="V8" s="14"/>
      <c r="W8" s="14"/>
    </row>
    <row r="9" ht="28.5" customHeight="1">
      <c r="A9" s="24" t="s">
        <v>121</v>
      </c>
      <c r="B9" s="27" t="s">
        <v>122</v>
      </c>
      <c r="C9" s="28" t="s">
        <v>123</v>
      </c>
      <c r="D9" s="29" t="s">
        <v>124</v>
      </c>
      <c r="E9" s="32" t="str">
        <f>IFERROR(__xludf.DUMMYFUNCTION("GOOGLETRANSLATE(D9,""zh-CN"",""vi"")"),"Tóc cô ấy rất dài.")</f>
        <v>Tóc cô ấy rất dài.</v>
      </c>
      <c r="F9" s="30" t="s">
        <v>121</v>
      </c>
      <c r="G9" s="34" t="b">
        <f t="shared" si="1"/>
        <v>1</v>
      </c>
      <c r="H9" s="35" t="b">
        <v>0</v>
      </c>
      <c r="I9" s="35" t="b">
        <v>0</v>
      </c>
      <c r="J9" s="35" t="b">
        <v>0</v>
      </c>
      <c r="K9" s="35" t="b">
        <v>0</v>
      </c>
      <c r="L9" s="35" t="b">
        <v>0</v>
      </c>
      <c r="M9" s="35" t="b">
        <v>0</v>
      </c>
      <c r="N9" s="35" t="b">
        <v>0</v>
      </c>
      <c r="O9" s="35" t="b">
        <v>0</v>
      </c>
      <c r="P9" s="35" t="b">
        <v>0</v>
      </c>
      <c r="Q9" s="35" t="b">
        <v>0</v>
      </c>
      <c r="R9" s="14"/>
      <c r="S9" s="14"/>
      <c r="T9" s="14"/>
      <c r="U9" s="14"/>
      <c r="V9" s="14"/>
      <c r="W9" s="14"/>
    </row>
    <row r="10" ht="28.5" customHeight="1">
      <c r="A10" s="24" t="s">
        <v>134</v>
      </c>
      <c r="B10" s="27" t="s">
        <v>136</v>
      </c>
      <c r="C10" s="28" t="s">
        <v>139</v>
      </c>
      <c r="D10" s="29" t="s">
        <v>140</v>
      </c>
      <c r="E10" s="32" t="str">
        <f>IFERROR(__xludf.DUMMYFUNCTION("GOOGLETRANSLATE(D10,""zh-CN"",""vi"")"),"Tôi thích hát.")</f>
        <v>Tôi thích hát.</v>
      </c>
      <c r="F10" s="30" t="s">
        <v>134</v>
      </c>
      <c r="G10" s="34" t="b">
        <f t="shared" si="1"/>
        <v>1</v>
      </c>
      <c r="H10" s="35" t="b">
        <v>0</v>
      </c>
      <c r="I10" s="35" t="b">
        <v>0</v>
      </c>
      <c r="J10" s="35" t="b">
        <v>0</v>
      </c>
      <c r="K10" s="35" t="b">
        <v>0</v>
      </c>
      <c r="L10" s="35" t="b">
        <v>0</v>
      </c>
      <c r="M10" s="35" t="b">
        <v>0</v>
      </c>
      <c r="N10" s="35" t="b">
        <v>0</v>
      </c>
      <c r="O10" s="35" t="b">
        <v>0</v>
      </c>
      <c r="P10" s="35" t="b">
        <v>0</v>
      </c>
      <c r="Q10" s="35" t="b">
        <v>0</v>
      </c>
      <c r="R10" s="14"/>
      <c r="S10" s="14"/>
      <c r="T10" s="14"/>
      <c r="U10" s="14"/>
      <c r="V10" s="14"/>
      <c r="W10" s="14"/>
    </row>
    <row r="11" ht="28.5" customHeight="1">
      <c r="A11" s="24" t="s">
        <v>149</v>
      </c>
      <c r="B11" s="27" t="s">
        <v>150</v>
      </c>
      <c r="C11" s="28" t="s">
        <v>151</v>
      </c>
      <c r="D11" s="38" t="s">
        <v>156</v>
      </c>
      <c r="E11" s="32" t="str">
        <f>IFERROR(__xludf.DUMMYFUNCTION("GOOGLETRANSLATE(D11,""zh-CN"",""vi"")"),"Chúng ta cùng ra ngoài và vui chơi nào.")</f>
        <v>Chúng ta cùng ra ngoài và vui chơi nào.</v>
      </c>
      <c r="F11" s="30" t="s">
        <v>149</v>
      </c>
      <c r="G11" s="34" t="b">
        <f t="shared" si="1"/>
        <v>1</v>
      </c>
      <c r="H11" s="35" t="b">
        <v>0</v>
      </c>
      <c r="I11" s="35" t="b">
        <v>0</v>
      </c>
      <c r="J11" s="35" t="b">
        <v>0</v>
      </c>
      <c r="K11" s="35" t="b">
        <v>0</v>
      </c>
      <c r="L11" s="35" t="b">
        <v>0</v>
      </c>
      <c r="M11" s="35" t="b">
        <v>0</v>
      </c>
      <c r="N11" s="35" t="b">
        <v>0</v>
      </c>
      <c r="O11" s="35" t="b">
        <v>0</v>
      </c>
      <c r="P11" s="35" t="b">
        <v>0</v>
      </c>
      <c r="Q11" s="35" t="b">
        <v>0</v>
      </c>
      <c r="R11" s="14"/>
      <c r="S11" s="14"/>
      <c r="T11" s="14"/>
      <c r="U11" s="14"/>
      <c r="V11" s="14"/>
      <c r="W11" s="14"/>
    </row>
    <row r="12" ht="28.5" customHeight="1">
      <c r="A12" s="24" t="s">
        <v>173</v>
      </c>
      <c r="B12" s="27" t="s">
        <v>174</v>
      </c>
      <c r="C12" s="28" t="s">
        <v>175</v>
      </c>
      <c r="D12" s="29" t="s">
        <v>176</v>
      </c>
      <c r="E12" s="32" t="str">
        <f>IFERROR(__xludf.DUMMYFUNCTION("GOOGLETRANSLATE(D12,""zh-CN"",""vi"")"),"Quần áo của bạn rất đẹp.")</f>
        <v>Quần áo của bạn rất đẹp.</v>
      </c>
      <c r="F12" s="30" t="s">
        <v>173</v>
      </c>
      <c r="G12" s="34" t="b">
        <f t="shared" si="1"/>
        <v>1</v>
      </c>
      <c r="H12" s="35" t="b">
        <v>0</v>
      </c>
      <c r="I12" s="35" t="b">
        <v>0</v>
      </c>
      <c r="J12" s="35" t="b">
        <v>0</v>
      </c>
      <c r="K12" s="35" t="b">
        <v>0</v>
      </c>
      <c r="L12" s="35" t="b">
        <v>0</v>
      </c>
      <c r="M12" s="35" t="b">
        <v>0</v>
      </c>
      <c r="N12" s="35" t="b">
        <v>0</v>
      </c>
      <c r="O12" s="35" t="b">
        <v>0</v>
      </c>
      <c r="P12" s="35" t="b">
        <v>0</v>
      </c>
      <c r="Q12" s="35" t="b">
        <v>0</v>
      </c>
      <c r="R12" s="14"/>
      <c r="S12" s="14"/>
      <c r="T12" s="14"/>
      <c r="U12" s="14"/>
      <c r="V12" s="14"/>
      <c r="W12" s="14"/>
    </row>
    <row r="13" ht="28.5" customHeight="1">
      <c r="A13" s="24" t="s">
        <v>181</v>
      </c>
      <c r="B13" s="27" t="s">
        <v>182</v>
      </c>
      <c r="C13" s="28" t="s">
        <v>183</v>
      </c>
      <c r="D13" s="29" t="s">
        <v>184</v>
      </c>
      <c r="E13" s="32" t="str">
        <f>IFERROR(__xludf.DUMMYFUNCTION("GOOGLETRANSLATE(D13,""zh-CN"",""vi"")"),"Anh ấy đang ngồi trên thuyền.")</f>
        <v>Anh ấy đang ngồi trên thuyền.</v>
      </c>
      <c r="F13" s="30" t="s">
        <v>181</v>
      </c>
      <c r="G13" s="34" t="b">
        <f t="shared" si="1"/>
        <v>1</v>
      </c>
      <c r="H13" s="35" t="b">
        <v>0</v>
      </c>
      <c r="I13" s="35" t="b">
        <v>0</v>
      </c>
      <c r="J13" s="35" t="b">
        <v>0</v>
      </c>
      <c r="K13" s="35" t="b">
        <v>0</v>
      </c>
      <c r="L13" s="35" t="b">
        <v>0</v>
      </c>
      <c r="M13" s="35" t="b">
        <v>0</v>
      </c>
      <c r="N13" s="35" t="b">
        <v>0</v>
      </c>
      <c r="O13" s="35" t="b">
        <v>0</v>
      </c>
      <c r="P13" s="35" t="b">
        <v>0</v>
      </c>
      <c r="Q13" s="35" t="b">
        <v>0</v>
      </c>
      <c r="R13" s="14"/>
      <c r="S13" s="14"/>
      <c r="T13" s="14"/>
      <c r="U13" s="14"/>
      <c r="V13" s="14"/>
      <c r="W13" s="14"/>
    </row>
    <row r="14" ht="28.5" customHeight="1">
      <c r="A14" s="24" t="s">
        <v>193</v>
      </c>
      <c r="B14" s="27" t="s">
        <v>194</v>
      </c>
      <c r="C14" s="28" t="s">
        <v>196</v>
      </c>
      <c r="D14" s="38" t="s">
        <v>198</v>
      </c>
      <c r="E14" s="32" t="str">
        <f>IFERROR(__xludf.DUMMYFUNCTION("GOOGLETRANSLATE(D14,""zh-CN"",""vi"")"),"Đây là lần đầu tiên tôi đến đây.")</f>
        <v>Đây là lần đầu tiên tôi đến đây.</v>
      </c>
      <c r="F14" s="30" t="s">
        <v>193</v>
      </c>
      <c r="G14" s="34" t="b">
        <f t="shared" si="1"/>
        <v>1</v>
      </c>
      <c r="H14" s="35" t="b">
        <v>0</v>
      </c>
      <c r="I14" s="35" t="b">
        <v>0</v>
      </c>
      <c r="J14" s="35" t="b">
        <v>0</v>
      </c>
      <c r="K14" s="35" t="b">
        <v>0</v>
      </c>
      <c r="L14" s="35" t="b">
        <v>0</v>
      </c>
      <c r="M14" s="35" t="b">
        <v>0</v>
      </c>
      <c r="N14" s="35" t="b">
        <v>0</v>
      </c>
      <c r="O14" s="35" t="b">
        <v>0</v>
      </c>
      <c r="P14" s="35" t="b">
        <v>0</v>
      </c>
      <c r="Q14" s="35" t="b">
        <v>0</v>
      </c>
      <c r="R14" s="14"/>
      <c r="S14" s="14"/>
      <c r="T14" s="14"/>
      <c r="U14" s="14"/>
      <c r="V14" s="14"/>
      <c r="W14" s="14"/>
    </row>
    <row r="15" ht="28.5" customHeight="1">
      <c r="A15" s="24" t="s">
        <v>213</v>
      </c>
      <c r="B15" s="27" t="s">
        <v>214</v>
      </c>
      <c r="C15" s="28" t="s">
        <v>215</v>
      </c>
      <c r="D15" s="38" t="s">
        <v>216</v>
      </c>
      <c r="E15" s="32" t="str">
        <f>IFERROR(__xludf.DUMMYFUNCTION("GOOGLETRANSLATE(D15,""zh-CN"",""vi"")"),"Anh ấy làm việc từ sáng đến tối.")</f>
        <v>Anh ấy làm việc từ sáng đến tối.</v>
      </c>
      <c r="F15" s="30" t="s">
        <v>213</v>
      </c>
      <c r="G15" s="34" t="b">
        <f t="shared" si="1"/>
        <v>1</v>
      </c>
      <c r="H15" s="35" t="b">
        <v>0</v>
      </c>
      <c r="I15" s="35" t="b">
        <v>0</v>
      </c>
      <c r="J15" s="35" t="b">
        <v>0</v>
      </c>
      <c r="K15" s="35" t="b">
        <v>0</v>
      </c>
      <c r="L15" s="35" t="b">
        <v>0</v>
      </c>
      <c r="M15" s="35" t="b">
        <v>0</v>
      </c>
      <c r="N15" s="35" t="b">
        <v>0</v>
      </c>
      <c r="O15" s="35" t="b">
        <v>0</v>
      </c>
      <c r="P15" s="35" t="b">
        <v>0</v>
      </c>
      <c r="Q15" s="35" t="b">
        <v>0</v>
      </c>
      <c r="R15" s="14"/>
      <c r="S15" s="14"/>
      <c r="T15" s="14"/>
      <c r="U15" s="14"/>
      <c r="V15" s="14"/>
      <c r="W15" s="14"/>
    </row>
    <row r="16" ht="28.5" customHeight="1">
      <c r="A16" s="24" t="s">
        <v>233</v>
      </c>
      <c r="B16" s="27" t="s">
        <v>234</v>
      </c>
      <c r="C16" s="28" t="s">
        <v>235</v>
      </c>
      <c r="D16" s="29" t="s">
        <v>237</v>
      </c>
      <c r="E16" s="32" t="str">
        <f>IFERROR(__xludf.DUMMYFUNCTION("GOOGLETRANSLATE(D16,""zh-CN"",""vi"")"),"Anh ấy trả lời sai một câu hỏi.")</f>
        <v>Anh ấy trả lời sai một câu hỏi.</v>
      </c>
      <c r="F16" s="30" t="s">
        <v>233</v>
      </c>
      <c r="G16" s="34" t="b">
        <f t="shared" si="1"/>
        <v>1</v>
      </c>
      <c r="H16" s="35" t="b">
        <v>0</v>
      </c>
      <c r="I16" s="35" t="b">
        <v>0</v>
      </c>
      <c r="J16" s="35" t="b">
        <v>0</v>
      </c>
      <c r="K16" s="35" t="b">
        <v>0</v>
      </c>
      <c r="L16" s="35" t="b">
        <v>0</v>
      </c>
      <c r="M16" s="35" t="b">
        <v>0</v>
      </c>
      <c r="N16" s="35" t="b">
        <v>0</v>
      </c>
      <c r="O16" s="35" t="b">
        <v>0</v>
      </c>
      <c r="P16" s="35" t="b">
        <v>0</v>
      </c>
      <c r="Q16" s="35" t="b">
        <v>0</v>
      </c>
      <c r="R16" s="14"/>
      <c r="S16" s="14"/>
      <c r="T16" s="14"/>
      <c r="U16" s="14"/>
      <c r="V16" s="14"/>
      <c r="W16" s="14"/>
    </row>
    <row r="17" ht="28.5" customHeight="1">
      <c r="A17" s="24" t="s">
        <v>257</v>
      </c>
      <c r="B17" s="27" t="s">
        <v>258</v>
      </c>
      <c r="C17" s="28" t="s">
        <v>259</v>
      </c>
      <c r="D17" s="29" t="s">
        <v>260</v>
      </c>
      <c r="E17" s="32" t="str">
        <f>IFERROR(__xludf.DUMMYFUNCTION("GOOGLETRANSLATE(D17,""zh-CN"",""vi"")"),"Anh ấy chơi bóng rổ rất giỏi.")</f>
        <v>Anh ấy chơi bóng rổ rất giỏi.</v>
      </c>
      <c r="F17" s="30" t="s">
        <v>257</v>
      </c>
      <c r="G17" s="34" t="b">
        <f t="shared" si="1"/>
        <v>1</v>
      </c>
      <c r="H17" s="35" t="b">
        <v>0</v>
      </c>
      <c r="I17" s="35" t="b">
        <v>0</v>
      </c>
      <c r="J17" s="35" t="b">
        <v>0</v>
      </c>
      <c r="K17" s="35" t="b">
        <v>0</v>
      </c>
      <c r="L17" s="35" t="b">
        <v>0</v>
      </c>
      <c r="M17" s="35" t="b">
        <v>0</v>
      </c>
      <c r="N17" s="35" t="b">
        <v>0</v>
      </c>
      <c r="O17" s="35" t="b">
        <v>0</v>
      </c>
      <c r="P17" s="35" t="b">
        <v>0</v>
      </c>
      <c r="Q17" s="35" t="b">
        <v>0</v>
      </c>
      <c r="R17" s="14"/>
      <c r="S17" s="14"/>
      <c r="T17" s="14"/>
      <c r="U17" s="14"/>
      <c r="V17" s="14"/>
      <c r="W17" s="14"/>
    </row>
    <row r="18" ht="28.5" customHeight="1">
      <c r="A18" s="24" t="s">
        <v>270</v>
      </c>
      <c r="B18" s="27" t="s">
        <v>272</v>
      </c>
      <c r="C18" s="28" t="s">
        <v>274</v>
      </c>
      <c r="D18" s="29" t="s">
        <v>278</v>
      </c>
      <c r="E18" s="32" t="str">
        <f>IFERROR(__xludf.DUMMYFUNCTION("GOOGLETRANSLATE(D18,""zh-CN"",""vi"")"),"Mọi người đều rất vui vẻ.")</f>
        <v>Mọi người đều rất vui vẻ.</v>
      </c>
      <c r="F18" s="30" t="s">
        <v>270</v>
      </c>
      <c r="G18" s="34" t="b">
        <f t="shared" si="1"/>
        <v>1</v>
      </c>
      <c r="H18" s="35" t="b">
        <v>0</v>
      </c>
      <c r="I18" s="35" t="b">
        <v>0</v>
      </c>
      <c r="J18" s="35" t="b">
        <v>0</v>
      </c>
      <c r="K18" s="35" t="b">
        <v>0</v>
      </c>
      <c r="L18" s="35" t="b">
        <v>0</v>
      </c>
      <c r="M18" s="35" t="b">
        <v>0</v>
      </c>
      <c r="N18" s="35" t="b">
        <v>0</v>
      </c>
      <c r="O18" s="35" t="b">
        <v>0</v>
      </c>
      <c r="P18" s="35" t="b">
        <v>0</v>
      </c>
      <c r="Q18" s="35" t="b">
        <v>0</v>
      </c>
      <c r="R18" s="14"/>
      <c r="S18" s="14"/>
      <c r="T18" s="14"/>
      <c r="U18" s="14"/>
      <c r="V18" s="14"/>
      <c r="W18" s="14"/>
    </row>
    <row r="19" ht="28.5" customHeight="1">
      <c r="A19" s="24" t="s">
        <v>297</v>
      </c>
      <c r="B19" s="27" t="s">
        <v>298</v>
      </c>
      <c r="C19" s="28" t="s">
        <v>299</v>
      </c>
      <c r="D19" s="29" t="s">
        <v>302</v>
      </c>
      <c r="E19" s="32" t="str">
        <f>IFERROR(__xludf.DUMMYFUNCTION("GOOGLETRANSLATE(D19,""zh-CN"",""vi"")"),"Tôi muốn đi, nhưng tôi không có thời gian.")</f>
        <v>Tôi muốn đi, nhưng tôi không có thời gian.</v>
      </c>
      <c r="F19" s="30" t="s">
        <v>297</v>
      </c>
      <c r="G19" s="34" t="b">
        <f t="shared" si="1"/>
        <v>1</v>
      </c>
      <c r="H19" s="35" t="b">
        <v>0</v>
      </c>
      <c r="I19" s="35" t="b">
        <v>0</v>
      </c>
      <c r="J19" s="35" t="b">
        <v>0</v>
      </c>
      <c r="K19" s="35" t="b">
        <v>0</v>
      </c>
      <c r="L19" s="35" t="b">
        <v>0</v>
      </c>
      <c r="M19" s="35" t="b">
        <v>0</v>
      </c>
      <c r="N19" s="35" t="b">
        <v>0</v>
      </c>
      <c r="O19" s="35" t="b">
        <v>0</v>
      </c>
      <c r="P19" s="35" t="b">
        <v>0</v>
      </c>
      <c r="Q19" s="35" t="b">
        <v>0</v>
      </c>
      <c r="R19" s="14"/>
      <c r="S19" s="14"/>
      <c r="T19" s="14"/>
      <c r="U19" s="14"/>
      <c r="V19" s="14"/>
      <c r="W19" s="14"/>
    </row>
    <row r="20" ht="28.5" customHeight="1">
      <c r="A20" s="24" t="s">
        <v>321</v>
      </c>
      <c r="B20" s="27" t="s">
        <v>323</v>
      </c>
      <c r="C20" s="28" t="s">
        <v>325</v>
      </c>
      <c r="D20" s="29" t="s">
        <v>327</v>
      </c>
      <c r="E20" s="32" t="str">
        <f>IFERROR(__xludf.DUMMYFUNCTION("GOOGLETRANSLATE(D20,""zh-CN"",""vi"")"),"Hôm nay chúng tôi đã đến trường.")</f>
        <v>Hôm nay chúng tôi đã đến trường.</v>
      </c>
      <c r="F20" s="30" t="s">
        <v>321</v>
      </c>
      <c r="G20" s="34" t="b">
        <f t="shared" si="1"/>
        <v>1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14"/>
      <c r="S20" s="14"/>
      <c r="T20" s="14"/>
      <c r="U20" s="14"/>
      <c r="V20" s="14"/>
      <c r="W20" s="14"/>
    </row>
    <row r="21" ht="28.5" customHeight="1">
      <c r="A21" s="24" t="s">
        <v>358</v>
      </c>
      <c r="B21" s="27" t="s">
        <v>360</v>
      </c>
      <c r="C21" s="28" t="s">
        <v>363</v>
      </c>
      <c r="D21" s="29" t="s">
        <v>364</v>
      </c>
      <c r="E21" s="32" t="str">
        <f>IFERROR(__xludf.DUMMYFUNCTION("GOOGLETRANSLATE(D21,""zh-CN"",""vi"")"),"Bạn cần phải học hành chăm chỉ.")</f>
        <v>Bạn cần phải học hành chăm chỉ.</v>
      </c>
      <c r="F21" s="30" t="s">
        <v>358</v>
      </c>
      <c r="G21" s="34" t="b">
        <f t="shared" si="1"/>
        <v>1</v>
      </c>
      <c r="H21" s="35" t="b">
        <v>0</v>
      </c>
      <c r="I21" s="35" t="b">
        <v>0</v>
      </c>
      <c r="J21" s="35" t="b">
        <v>0</v>
      </c>
      <c r="K21" s="35" t="b">
        <v>0</v>
      </c>
      <c r="L21" s="35" t="b">
        <v>0</v>
      </c>
      <c r="M21" s="35" t="b">
        <v>0</v>
      </c>
      <c r="N21" s="35" t="b">
        <v>0</v>
      </c>
      <c r="O21" s="35" t="b">
        <v>0</v>
      </c>
      <c r="P21" s="35" t="b">
        <v>0</v>
      </c>
      <c r="Q21" s="35" t="b">
        <v>0</v>
      </c>
      <c r="R21" s="14"/>
      <c r="S21" s="14"/>
      <c r="T21" s="14"/>
      <c r="U21" s="14"/>
      <c r="V21" s="14"/>
      <c r="W21" s="14"/>
    </row>
    <row r="22" ht="28.5" customHeight="1">
      <c r="A22" s="24" t="s">
        <v>389</v>
      </c>
      <c r="B22" s="27" t="s">
        <v>390</v>
      </c>
      <c r="C22" s="28" t="s">
        <v>391</v>
      </c>
      <c r="D22" s="29" t="s">
        <v>394</v>
      </c>
      <c r="E22" s="32" t="str">
        <f>IFERROR(__xludf.DUMMYFUNCTION("GOOGLETRANSLATE(D22,""zh-CN"",""vi"")"),"Chúng tôi đang chờ bạn.")</f>
        <v>Chúng tôi đang chờ bạn.</v>
      </c>
      <c r="F22" s="30" t="s">
        <v>389</v>
      </c>
      <c r="G22" s="34" t="b">
        <f t="shared" si="1"/>
        <v>1</v>
      </c>
      <c r="H22" s="35" t="b">
        <v>0</v>
      </c>
      <c r="I22" s="35" t="b">
        <v>0</v>
      </c>
      <c r="J22" s="35" t="b">
        <v>0</v>
      </c>
      <c r="K22" s="35" t="b">
        <v>0</v>
      </c>
      <c r="L22" s="35" t="b">
        <v>0</v>
      </c>
      <c r="M22" s="35" t="b">
        <v>0</v>
      </c>
      <c r="N22" s="35" t="b">
        <v>0</v>
      </c>
      <c r="O22" s="35" t="b">
        <v>0</v>
      </c>
      <c r="P22" s="35" t="b">
        <v>0</v>
      </c>
      <c r="Q22" s="35" t="b">
        <v>0</v>
      </c>
      <c r="R22" s="14"/>
      <c r="S22" s="14"/>
      <c r="T22" s="14"/>
      <c r="U22" s="14"/>
      <c r="V22" s="14"/>
      <c r="W22" s="14"/>
    </row>
    <row r="23" ht="28.5" customHeight="1">
      <c r="A23" s="24" t="s">
        <v>415</v>
      </c>
      <c r="B23" s="27" t="s">
        <v>417</v>
      </c>
      <c r="C23" s="28" t="s">
        <v>420</v>
      </c>
      <c r="D23" s="29" t="s">
        <v>421</v>
      </c>
      <c r="E23" s="32" t="str">
        <f>IFERROR(__xludf.DUMMYFUNCTION("GOOGLETRANSLATE(D23,""zh-CN"",""vi"")"),"Em trai tôi đang chơi đồ chơi.")</f>
        <v>Em trai tôi đang chơi đồ chơi.</v>
      </c>
      <c r="F23" s="30" t="s">
        <v>415</v>
      </c>
      <c r="G23" s="34" t="b">
        <f t="shared" si="1"/>
        <v>1</v>
      </c>
      <c r="H23" s="35" t="b">
        <v>0</v>
      </c>
      <c r="I23" s="35" t="b">
        <v>0</v>
      </c>
      <c r="J23" s="35" t="b">
        <v>0</v>
      </c>
      <c r="K23" s="35" t="b">
        <v>0</v>
      </c>
      <c r="L23" s="35" t="b">
        <v>0</v>
      </c>
      <c r="M23" s="35" t="b">
        <v>0</v>
      </c>
      <c r="N23" s="35" t="b">
        <v>0</v>
      </c>
      <c r="O23" s="35" t="b">
        <v>0</v>
      </c>
      <c r="P23" s="35" t="b">
        <v>0</v>
      </c>
      <c r="Q23" s="35" t="b">
        <v>0</v>
      </c>
      <c r="R23" s="14"/>
      <c r="S23" s="14"/>
      <c r="T23" s="14"/>
      <c r="U23" s="14"/>
      <c r="V23" s="14"/>
      <c r="W23" s="14"/>
    </row>
    <row r="24" ht="28.5" customHeight="1">
      <c r="A24" s="24" t="s">
        <v>442</v>
      </c>
      <c r="B24" s="27" t="s">
        <v>443</v>
      </c>
      <c r="C24" s="28" t="s">
        <v>444</v>
      </c>
      <c r="D24" s="29" t="s">
        <v>445</v>
      </c>
      <c r="E24" s="32" t="str">
        <f>IFERROR(__xludf.DUMMYFUNCTION("GOOGLETRANSLATE(D24,""zh-CN"",""vi"")"),"Anh ấy đã giành vị trí thứ nhất.")</f>
        <v>Anh ấy đã giành vị trí thứ nhất.</v>
      </c>
      <c r="F24" s="30" t="s">
        <v>442</v>
      </c>
      <c r="G24" s="34" t="b">
        <f t="shared" si="1"/>
        <v>1</v>
      </c>
      <c r="H24" s="35" t="b">
        <v>0</v>
      </c>
      <c r="I24" s="35" t="b">
        <v>0</v>
      </c>
      <c r="J24" s="35" t="b">
        <v>0</v>
      </c>
      <c r="K24" s="35" t="b">
        <v>0</v>
      </c>
      <c r="L24" s="35" t="b">
        <v>0</v>
      </c>
      <c r="M24" s="35" t="b">
        <v>0</v>
      </c>
      <c r="N24" s="35" t="b">
        <v>0</v>
      </c>
      <c r="O24" s="35" t="b">
        <v>0</v>
      </c>
      <c r="P24" s="35" t="b">
        <v>0</v>
      </c>
      <c r="Q24" s="35" t="b">
        <v>0</v>
      </c>
      <c r="R24" s="14"/>
      <c r="S24" s="14"/>
      <c r="T24" s="14"/>
      <c r="U24" s="14"/>
      <c r="V24" s="14"/>
      <c r="W24" s="14"/>
    </row>
    <row r="25" ht="28.5" customHeight="1">
      <c r="A25" s="24" t="s">
        <v>465</v>
      </c>
      <c r="B25" s="27" t="s">
        <v>469</v>
      </c>
      <c r="C25" s="28" t="s">
        <v>474</v>
      </c>
      <c r="D25" s="29" t="s">
        <v>477</v>
      </c>
      <c r="E25" s="32" t="str">
        <f>IFERROR(__xludf.DUMMYFUNCTION("GOOGLETRANSLATE(D25,""zh-CN"",""vi"")"),"Tôi không hiểu câu hỏi này.")</f>
        <v>Tôi không hiểu câu hỏi này.</v>
      </c>
      <c r="F25" s="30" t="s">
        <v>465</v>
      </c>
      <c r="G25" s="34" t="b">
        <f t="shared" si="1"/>
        <v>1</v>
      </c>
      <c r="H25" s="35" t="b">
        <v>0</v>
      </c>
      <c r="I25" s="35" t="b">
        <v>0</v>
      </c>
      <c r="J25" s="35" t="b">
        <v>0</v>
      </c>
      <c r="K25" s="35" t="b">
        <v>0</v>
      </c>
      <c r="L25" s="35" t="b">
        <v>0</v>
      </c>
      <c r="M25" s="35" t="b">
        <v>0</v>
      </c>
      <c r="N25" s="35" t="b">
        <v>0</v>
      </c>
      <c r="O25" s="35" t="b">
        <v>0</v>
      </c>
      <c r="P25" s="35" t="b">
        <v>0</v>
      </c>
      <c r="Q25" s="35" t="b">
        <v>0</v>
      </c>
      <c r="R25" s="14"/>
      <c r="S25" s="14"/>
      <c r="T25" s="14"/>
      <c r="U25" s="14"/>
      <c r="V25" s="14"/>
      <c r="W25" s="14"/>
    </row>
    <row r="26" ht="28.5" customHeight="1">
      <c r="A26" s="24" t="s">
        <v>490</v>
      </c>
      <c r="B26" s="27" t="s">
        <v>493</v>
      </c>
      <c r="C26" s="28" t="s">
        <v>496</v>
      </c>
      <c r="D26" s="29" t="s">
        <v>497</v>
      </c>
      <c r="E26" s="32" t="str">
        <f>IFERROR(__xludf.DUMMYFUNCTION("GOOGLETRANSLATE(D26,""zh-CN"",""vi"")"),"Bạn rất tốt với tôi.")</f>
        <v>Bạn rất tốt với tôi.</v>
      </c>
      <c r="F26" s="30" t="s">
        <v>490</v>
      </c>
      <c r="G26" s="34" t="b">
        <f t="shared" si="1"/>
        <v>1</v>
      </c>
      <c r="H26" s="35" t="b">
        <v>0</v>
      </c>
      <c r="I26" s="35" t="b">
        <v>0</v>
      </c>
      <c r="J26" s="35" t="b">
        <v>0</v>
      </c>
      <c r="K26" s="35" t="b">
        <v>0</v>
      </c>
      <c r="L26" s="35" t="b">
        <v>0</v>
      </c>
      <c r="M26" s="35" t="b">
        <v>0</v>
      </c>
      <c r="N26" s="35" t="b">
        <v>0</v>
      </c>
      <c r="O26" s="35" t="b">
        <v>0</v>
      </c>
      <c r="P26" s="35" t="b">
        <v>0</v>
      </c>
      <c r="Q26" s="35" t="b">
        <v>0</v>
      </c>
      <c r="R26" s="14"/>
      <c r="S26" s="14"/>
      <c r="T26" s="14"/>
      <c r="U26" s="14"/>
      <c r="V26" s="14"/>
      <c r="W26" s="14"/>
    </row>
    <row r="27" ht="28.5" customHeight="1">
      <c r="A27" s="24" t="s">
        <v>512</v>
      </c>
      <c r="B27" s="27" t="s">
        <v>515</v>
      </c>
      <c r="C27" s="28" t="s">
        <v>516</v>
      </c>
      <c r="D27" s="29" t="s">
        <v>518</v>
      </c>
      <c r="E27" s="32" t="str">
        <f>IFERROR(__xludf.DUMMYFUNCTION("GOOGLETRANSLATE(D27,""zh-CN"",""vi"")"),"Căn phòng rất yên tĩnh.")</f>
        <v>Căn phòng rất yên tĩnh.</v>
      </c>
      <c r="F27" s="30" t="s">
        <v>512</v>
      </c>
      <c r="G27" s="34" t="b">
        <f t="shared" si="1"/>
        <v>1</v>
      </c>
      <c r="H27" s="35" t="b">
        <v>0</v>
      </c>
      <c r="I27" s="35" t="b">
        <v>0</v>
      </c>
      <c r="J27" s="35" t="b">
        <v>0</v>
      </c>
      <c r="K27" s="35" t="b">
        <v>0</v>
      </c>
      <c r="L27" s="35" t="b">
        <v>0</v>
      </c>
      <c r="M27" s="35" t="b">
        <v>0</v>
      </c>
      <c r="N27" s="35" t="b">
        <v>0</v>
      </c>
      <c r="O27" s="35" t="b">
        <v>0</v>
      </c>
      <c r="P27" s="35" t="b">
        <v>0</v>
      </c>
      <c r="Q27" s="35" t="b">
        <v>0</v>
      </c>
      <c r="R27" s="14"/>
      <c r="S27" s="14"/>
      <c r="T27" s="14"/>
      <c r="U27" s="14"/>
      <c r="V27" s="14"/>
      <c r="W27" s="14"/>
    </row>
    <row r="28" ht="15.75" customHeight="1">
      <c r="A28" s="24" t="s">
        <v>534</v>
      </c>
      <c r="B28" s="27" t="s">
        <v>536</v>
      </c>
      <c r="C28" s="28" t="s">
        <v>537</v>
      </c>
      <c r="D28" s="29" t="s">
        <v>538</v>
      </c>
      <c r="E28" s="32" t="str">
        <f>IFERROR(__xludf.DUMMYFUNCTION("GOOGLETRANSLATE(D28,""zh-CN"",""vi"")"),"Món này ngon tuyệt.")</f>
        <v>Món này ngon tuyệt.</v>
      </c>
      <c r="F28" s="30" t="s">
        <v>534</v>
      </c>
      <c r="G28" s="34" t="b">
        <f t="shared" si="1"/>
        <v>1</v>
      </c>
      <c r="H28" s="35" t="b">
        <v>0</v>
      </c>
      <c r="I28" s="35" t="b">
        <v>0</v>
      </c>
      <c r="J28" s="35" t="b">
        <v>0</v>
      </c>
      <c r="K28" s="35" t="b">
        <v>0</v>
      </c>
      <c r="L28" s="35" t="b">
        <v>0</v>
      </c>
      <c r="M28" s="35" t="b">
        <v>0</v>
      </c>
      <c r="N28" s="35" t="b">
        <v>0</v>
      </c>
      <c r="O28" s="35" t="b">
        <v>0</v>
      </c>
      <c r="P28" s="35" t="b">
        <v>0</v>
      </c>
      <c r="Q28" s="35" t="b">
        <v>0</v>
      </c>
      <c r="R28" s="14"/>
      <c r="S28" s="14"/>
      <c r="T28" s="14"/>
      <c r="U28" s="14"/>
      <c r="V28" s="14"/>
      <c r="W28" s="14"/>
    </row>
    <row r="29" ht="15.75" customHeight="1">
      <c r="A29" s="24" t="s">
        <v>555</v>
      </c>
      <c r="B29" s="27" t="s">
        <v>556</v>
      </c>
      <c r="C29" s="28" t="s">
        <v>557</v>
      </c>
      <c r="D29" s="29" t="s">
        <v>559</v>
      </c>
      <c r="E29" s="32" t="str">
        <f>IFERROR(__xludf.DUMMYFUNCTION("GOOGLETRANSLATE(D29,""zh-CN"",""vi"")"),"Nhân viên phục vụ, làm ơn giúp tôi.")</f>
        <v>Nhân viên phục vụ, làm ơn giúp tôi.</v>
      </c>
      <c r="F29" s="30" t="s">
        <v>555</v>
      </c>
      <c r="G29" s="34" t="b">
        <f t="shared" si="1"/>
        <v>1</v>
      </c>
      <c r="H29" s="35" t="b">
        <v>0</v>
      </c>
      <c r="I29" s="35" t="b">
        <v>0</v>
      </c>
      <c r="J29" s="35" t="b">
        <v>0</v>
      </c>
      <c r="K29" s="35" t="b">
        <v>0</v>
      </c>
      <c r="L29" s="35" t="b">
        <v>0</v>
      </c>
      <c r="M29" s="35" t="b">
        <v>0</v>
      </c>
      <c r="N29" s="35" t="b">
        <v>0</v>
      </c>
      <c r="O29" s="35" t="b">
        <v>0</v>
      </c>
      <c r="P29" s="35" t="b">
        <v>0</v>
      </c>
      <c r="Q29" s="35" t="b">
        <v>0</v>
      </c>
      <c r="R29" s="14"/>
      <c r="S29" s="14"/>
      <c r="T29" s="14"/>
      <c r="U29" s="14"/>
      <c r="V29" s="14"/>
      <c r="W29" s="14"/>
    </row>
    <row r="30" ht="15.75" customHeight="1">
      <c r="A30" s="24" t="s">
        <v>576</v>
      </c>
      <c r="B30" s="27" t="s">
        <v>579</v>
      </c>
      <c r="C30" s="28" t="s">
        <v>581</v>
      </c>
      <c r="D30" s="29" t="s">
        <v>582</v>
      </c>
      <c r="E30" s="32" t="str">
        <f>IFERROR(__xludf.DUMMYFUNCTION("GOOGLETRANSLATE(D30,""zh-CN"",""vi"")"),"Anh ấy rất cao.")</f>
        <v>Anh ấy rất cao.</v>
      </c>
      <c r="F30" s="30" t="s">
        <v>576</v>
      </c>
      <c r="G30" s="34" t="b">
        <f t="shared" si="1"/>
        <v>1</v>
      </c>
      <c r="H30" s="35" t="b">
        <v>0</v>
      </c>
      <c r="I30" s="35" t="b">
        <v>0</v>
      </c>
      <c r="J30" s="35" t="b">
        <v>0</v>
      </c>
      <c r="K30" s="35" t="b">
        <v>0</v>
      </c>
      <c r="L30" s="35" t="b">
        <v>0</v>
      </c>
      <c r="M30" s="35" t="b">
        <v>0</v>
      </c>
      <c r="N30" s="35" t="b">
        <v>0</v>
      </c>
      <c r="O30" s="35" t="b">
        <v>0</v>
      </c>
      <c r="P30" s="35" t="b">
        <v>0</v>
      </c>
      <c r="Q30" s="35" t="b">
        <v>0</v>
      </c>
      <c r="R30" s="14"/>
      <c r="S30" s="14"/>
      <c r="T30" s="14"/>
      <c r="U30" s="14"/>
      <c r="V30" s="14"/>
      <c r="W30" s="14"/>
    </row>
    <row r="31" ht="15.75" customHeight="1">
      <c r="A31" s="24" t="s">
        <v>595</v>
      </c>
      <c r="B31" s="27" t="s">
        <v>597</v>
      </c>
      <c r="C31" s="28" t="s">
        <v>599</v>
      </c>
      <c r="D31" s="29" t="s">
        <v>602</v>
      </c>
      <c r="E31" s="32" t="str">
        <f>IFERROR(__xludf.DUMMYFUNCTION("GOOGLETRANSLATE(D31,""zh-CN"",""vi"")"),"Hãy cho tôi biết câu trả lời.")</f>
        <v>Hãy cho tôi biết câu trả lời.</v>
      </c>
      <c r="F31" s="30" t="s">
        <v>595</v>
      </c>
      <c r="G31" s="34" t="b">
        <f t="shared" si="1"/>
        <v>1</v>
      </c>
      <c r="H31" s="35" t="b">
        <v>0</v>
      </c>
      <c r="I31" s="35" t="b">
        <v>0</v>
      </c>
      <c r="J31" s="35" t="b">
        <v>0</v>
      </c>
      <c r="K31" s="35" t="b">
        <v>0</v>
      </c>
      <c r="L31" s="35" t="b">
        <v>0</v>
      </c>
      <c r="M31" s="35" t="b">
        <v>0</v>
      </c>
      <c r="N31" s="35" t="b">
        <v>0</v>
      </c>
      <c r="O31" s="35" t="b">
        <v>0</v>
      </c>
      <c r="P31" s="35" t="b">
        <v>0</v>
      </c>
      <c r="Q31" s="35" t="b">
        <v>0</v>
      </c>
      <c r="R31" s="14"/>
      <c r="S31" s="14"/>
      <c r="T31" s="14"/>
      <c r="U31" s="14"/>
      <c r="V31" s="14"/>
      <c r="W31" s="14"/>
    </row>
    <row r="32" ht="15.75" customHeight="1">
      <c r="A32" s="24" t="s">
        <v>619</v>
      </c>
      <c r="B32" s="27" t="s">
        <v>620</v>
      </c>
      <c r="C32" s="28" t="s">
        <v>622</v>
      </c>
      <c r="D32" s="29" t="s">
        <v>624</v>
      </c>
      <c r="E32" s="32" t="str">
        <f>IFERROR(__xludf.DUMMYFUNCTION("GOOGLETRANSLATE(D32,""zh-CN"",""vi"")"),"Anh trai tôi đang ở nhà.")</f>
        <v>Anh trai tôi đang ở nhà.</v>
      </c>
      <c r="F32" s="30" t="s">
        <v>619</v>
      </c>
      <c r="G32" s="34" t="b">
        <f t="shared" si="1"/>
        <v>1</v>
      </c>
      <c r="H32" s="35" t="b">
        <v>0</v>
      </c>
      <c r="I32" s="35" t="b">
        <v>0</v>
      </c>
      <c r="J32" s="35" t="b">
        <v>0</v>
      </c>
      <c r="K32" s="35" t="b">
        <v>0</v>
      </c>
      <c r="L32" s="35" t="b">
        <v>0</v>
      </c>
      <c r="M32" s="35" t="b">
        <v>0</v>
      </c>
      <c r="N32" s="35" t="b">
        <v>0</v>
      </c>
      <c r="O32" s="35" t="b">
        <v>0</v>
      </c>
      <c r="P32" s="35" t="b">
        <v>0</v>
      </c>
      <c r="Q32" s="35" t="b">
        <v>0</v>
      </c>
      <c r="R32" s="14"/>
      <c r="S32" s="14"/>
      <c r="T32" s="14"/>
      <c r="U32" s="14"/>
      <c r="V32" s="14"/>
      <c r="W32" s="14"/>
    </row>
    <row r="33" ht="15.75" customHeight="1">
      <c r="A33" s="24" t="s">
        <v>640</v>
      </c>
      <c r="B33" s="27" t="s">
        <v>642</v>
      </c>
      <c r="C33" s="28" t="s">
        <v>644</v>
      </c>
      <c r="D33" s="29" t="s">
        <v>645</v>
      </c>
      <c r="E33" s="32" t="str">
        <f>IFERROR(__xludf.DUMMYFUNCTION("GOOGLETRANSLATE(D33,""zh-CN"",""vi"")"),"Làm ơn đưa cho tôi một cuốn sách.")</f>
        <v>Làm ơn đưa cho tôi một cuốn sách.</v>
      </c>
      <c r="F33" s="30" t="s">
        <v>640</v>
      </c>
      <c r="G33" s="34" t="b">
        <f t="shared" si="1"/>
        <v>1</v>
      </c>
      <c r="H33" s="35" t="b">
        <v>0</v>
      </c>
      <c r="I33" s="35" t="b">
        <v>0</v>
      </c>
      <c r="J33" s="35" t="b">
        <v>0</v>
      </c>
      <c r="K33" s="35" t="b">
        <v>0</v>
      </c>
      <c r="L33" s="35" t="b">
        <v>0</v>
      </c>
      <c r="M33" s="35" t="b">
        <v>0</v>
      </c>
      <c r="N33" s="35" t="b">
        <v>0</v>
      </c>
      <c r="O33" s="35" t="b">
        <v>0</v>
      </c>
      <c r="P33" s="35" t="b">
        <v>0</v>
      </c>
      <c r="Q33" s="35" t="b">
        <v>0</v>
      </c>
      <c r="R33" s="14"/>
      <c r="S33" s="14"/>
      <c r="T33" s="14"/>
      <c r="U33" s="14"/>
      <c r="V33" s="14"/>
      <c r="W33" s="14"/>
    </row>
    <row r="34" ht="15.75" customHeight="1">
      <c r="A34" s="24" t="s">
        <v>662</v>
      </c>
      <c r="B34" s="27" t="s">
        <v>664</v>
      </c>
      <c r="C34" s="28" t="s">
        <v>667</v>
      </c>
      <c r="D34" s="29" t="s">
        <v>681</v>
      </c>
      <c r="E34" s="32" t="str">
        <f>IFERROR(__xludf.DUMMYFUNCTION("GOOGLETRANSLATE(D34,""zh-CN"",""vi"")"),"Xe buýt công cộng rất tiện lợi.")</f>
        <v>Xe buýt công cộng rất tiện lợi.</v>
      </c>
      <c r="F34" s="30" t="s">
        <v>662</v>
      </c>
      <c r="G34" s="34" t="b">
        <f t="shared" si="1"/>
        <v>1</v>
      </c>
      <c r="H34" s="35" t="b">
        <v>0</v>
      </c>
      <c r="I34" s="35" t="b">
        <v>0</v>
      </c>
      <c r="J34" s="35" t="b">
        <v>0</v>
      </c>
      <c r="K34" s="35" t="b">
        <v>0</v>
      </c>
      <c r="L34" s="35" t="b">
        <v>0</v>
      </c>
      <c r="M34" s="35" t="b">
        <v>0</v>
      </c>
      <c r="N34" s="35" t="b">
        <v>0</v>
      </c>
      <c r="O34" s="35" t="b">
        <v>0</v>
      </c>
      <c r="P34" s="35" t="b">
        <v>0</v>
      </c>
      <c r="Q34" s="35" t="b">
        <v>0</v>
      </c>
      <c r="R34" s="14"/>
      <c r="S34" s="14"/>
      <c r="T34" s="14"/>
      <c r="U34" s="14"/>
      <c r="V34" s="14"/>
      <c r="W34" s="14"/>
    </row>
    <row r="35" ht="15.75" customHeight="1">
      <c r="A35" s="24" t="s">
        <v>704</v>
      </c>
      <c r="B35" s="27" t="s">
        <v>705</v>
      </c>
      <c r="C35" s="28" t="s">
        <v>706</v>
      </c>
      <c r="D35" s="29" t="s">
        <v>707</v>
      </c>
      <c r="E35" s="32" t="str">
        <f>IFERROR(__xludf.DUMMYFUNCTION("GOOGLETRANSLATE(D35,""zh-CN"",""vi"")"),"Chiếc túi này nặng mười kilôgam.")</f>
        <v>Chiếc túi này nặng mười kilôgam.</v>
      </c>
      <c r="F35" s="30" t="s">
        <v>704</v>
      </c>
      <c r="G35" s="34" t="b">
        <f t="shared" si="1"/>
        <v>1</v>
      </c>
      <c r="H35" s="35" t="b">
        <v>0</v>
      </c>
      <c r="I35" s="35" t="b">
        <v>0</v>
      </c>
      <c r="J35" s="35" t="b">
        <v>0</v>
      </c>
      <c r="K35" s="35" t="b">
        <v>0</v>
      </c>
      <c r="L35" s="35" t="b">
        <v>0</v>
      </c>
      <c r="M35" s="35" t="b">
        <v>0</v>
      </c>
      <c r="N35" s="35" t="b">
        <v>0</v>
      </c>
      <c r="O35" s="35" t="b">
        <v>0</v>
      </c>
      <c r="P35" s="35" t="b">
        <v>0</v>
      </c>
      <c r="Q35" s="35" t="b">
        <v>0</v>
      </c>
      <c r="R35" s="14"/>
      <c r="S35" s="14"/>
      <c r="T35" s="14"/>
      <c r="U35" s="14"/>
      <c r="V35" s="14"/>
      <c r="W35" s="14"/>
    </row>
    <row r="36" ht="15.75" customHeight="1">
      <c r="A36" s="24" t="s">
        <v>726</v>
      </c>
      <c r="B36" s="27" t="s">
        <v>729</v>
      </c>
      <c r="C36" s="28" t="s">
        <v>731</v>
      </c>
      <c r="D36" s="29" t="s">
        <v>733</v>
      </c>
      <c r="E36" s="32" t="str">
        <f>IFERROR(__xludf.DUMMYFUNCTION("GOOGLETRANSLATE(D36,""zh-CN"",""vi"")"),"Tôi làm việc tại một công ty.")</f>
        <v>Tôi làm việc tại một công ty.</v>
      </c>
      <c r="F36" s="30" t="s">
        <v>726</v>
      </c>
      <c r="G36" s="34" t="b">
        <f t="shared" si="1"/>
        <v>1</v>
      </c>
      <c r="H36" s="35" t="b">
        <v>0</v>
      </c>
      <c r="I36" s="35" t="b">
        <v>0</v>
      </c>
      <c r="J36" s="35" t="b">
        <v>0</v>
      </c>
      <c r="K36" s="35" t="b">
        <v>0</v>
      </c>
      <c r="L36" s="35" t="b">
        <v>0</v>
      </c>
      <c r="M36" s="35" t="b">
        <v>0</v>
      </c>
      <c r="N36" s="35" t="b">
        <v>0</v>
      </c>
      <c r="O36" s="35" t="b">
        <v>0</v>
      </c>
      <c r="P36" s="35" t="b">
        <v>0</v>
      </c>
      <c r="Q36" s="35" t="b">
        <v>0</v>
      </c>
      <c r="R36" s="14"/>
      <c r="S36" s="14"/>
      <c r="T36" s="14"/>
      <c r="U36" s="14"/>
      <c r="V36" s="14"/>
      <c r="W36" s="14"/>
    </row>
    <row r="37" ht="15.75" customHeight="1">
      <c r="A37" s="24" t="s">
        <v>755</v>
      </c>
      <c r="B37" s="27" t="s">
        <v>758</v>
      </c>
      <c r="C37" s="28" t="s">
        <v>762</v>
      </c>
      <c r="D37" s="29" t="s">
        <v>764</v>
      </c>
      <c r="E37" s="32" t="str">
        <f>IFERROR(__xludf.DUMMYFUNCTION("GOOGLETRANSLATE(D37,""zh-CN"",""vi"")"),"Chiếc váy này rất đắt tiền.")</f>
        <v>Chiếc váy này rất đắt tiền.</v>
      </c>
      <c r="F37" s="30" t="s">
        <v>755</v>
      </c>
      <c r="G37" s="34" t="b">
        <f t="shared" si="1"/>
        <v>1</v>
      </c>
      <c r="H37" s="35" t="b">
        <v>0</v>
      </c>
      <c r="I37" s="35" t="b">
        <v>0</v>
      </c>
      <c r="J37" s="35" t="b">
        <v>0</v>
      </c>
      <c r="K37" s="35" t="b">
        <v>0</v>
      </c>
      <c r="L37" s="35" t="b">
        <v>0</v>
      </c>
      <c r="M37" s="35" t="b">
        <v>0</v>
      </c>
      <c r="N37" s="35" t="b">
        <v>0</v>
      </c>
      <c r="O37" s="35" t="b">
        <v>0</v>
      </c>
      <c r="P37" s="35" t="b">
        <v>0</v>
      </c>
      <c r="Q37" s="35" t="b">
        <v>0</v>
      </c>
      <c r="R37" s="14"/>
      <c r="S37" s="14"/>
      <c r="T37" s="14"/>
      <c r="U37" s="14"/>
      <c r="V37" s="14"/>
      <c r="W37" s="14"/>
    </row>
    <row r="38" ht="15.75" customHeight="1">
      <c r="A38" s="24" t="s">
        <v>810</v>
      </c>
      <c r="B38" s="27" t="s">
        <v>812</v>
      </c>
      <c r="C38" s="28" t="s">
        <v>815</v>
      </c>
      <c r="D38" s="29" t="s">
        <v>817</v>
      </c>
      <c r="E38" s="32" t="str">
        <f>IFERROR(__xludf.DUMMYFUNCTION("GOOGLETRANSLATE(D38,""zh-CN"",""vi"")"),"Vui lòng đi qua cổng an ninh.")</f>
        <v>Vui lòng đi qua cổng an ninh.</v>
      </c>
      <c r="F38" s="30" t="s">
        <v>810</v>
      </c>
      <c r="G38" s="34" t="b">
        <f t="shared" si="1"/>
        <v>1</v>
      </c>
      <c r="H38" s="35" t="b">
        <v>0</v>
      </c>
      <c r="I38" s="35" t="b">
        <v>0</v>
      </c>
      <c r="J38" s="35" t="b">
        <v>0</v>
      </c>
      <c r="K38" s="35" t="b">
        <v>0</v>
      </c>
      <c r="L38" s="35" t="b">
        <v>0</v>
      </c>
      <c r="M38" s="35" t="b">
        <v>0</v>
      </c>
      <c r="N38" s="35" t="b">
        <v>0</v>
      </c>
      <c r="O38" s="35" t="b">
        <v>0</v>
      </c>
      <c r="P38" s="35" t="b">
        <v>0</v>
      </c>
      <c r="Q38" s="35" t="b">
        <v>0</v>
      </c>
      <c r="R38" s="14"/>
      <c r="S38" s="14"/>
      <c r="T38" s="14"/>
      <c r="U38" s="14"/>
      <c r="V38" s="14"/>
      <c r="W38" s="14"/>
    </row>
    <row r="39" ht="15.75" customHeight="1">
      <c r="A39" s="24" t="s">
        <v>837</v>
      </c>
      <c r="B39" s="27" t="s">
        <v>839</v>
      </c>
      <c r="C39" s="28" t="s">
        <v>841</v>
      </c>
      <c r="D39" s="29" t="s">
        <v>842</v>
      </c>
      <c r="E39" s="32" t="str">
        <f>IFERROR(__xludf.DUMMYFUNCTION("GOOGLETRANSLATE(D39,""zh-CN"",""vi"")"),"Tôi muốn thêm một ly nước nữa.")</f>
        <v>Tôi muốn thêm một ly nước nữa.</v>
      </c>
      <c r="F39" s="30" t="s">
        <v>837</v>
      </c>
      <c r="G39" s="34" t="b">
        <f t="shared" si="1"/>
        <v>1</v>
      </c>
      <c r="H39" s="35" t="b">
        <v>0</v>
      </c>
      <c r="I39" s="35" t="b">
        <v>0</v>
      </c>
      <c r="J39" s="35" t="b">
        <v>0</v>
      </c>
      <c r="K39" s="35" t="b">
        <v>0</v>
      </c>
      <c r="L39" s="35" t="b">
        <v>0</v>
      </c>
      <c r="M39" s="35" t="b">
        <v>0</v>
      </c>
      <c r="N39" s="35" t="b">
        <v>0</v>
      </c>
      <c r="O39" s="35" t="b">
        <v>0</v>
      </c>
      <c r="P39" s="35" t="b">
        <v>0</v>
      </c>
      <c r="Q39" s="35" t="b">
        <v>0</v>
      </c>
      <c r="R39" s="14"/>
      <c r="S39" s="14"/>
      <c r="T39" s="14"/>
      <c r="U39" s="14"/>
      <c r="V39" s="14"/>
      <c r="W39" s="14"/>
    </row>
    <row r="40" ht="15.75" customHeight="1">
      <c r="A40" s="24" t="s">
        <v>855</v>
      </c>
      <c r="B40" s="27" t="s">
        <v>857</v>
      </c>
      <c r="C40" s="28" t="s">
        <v>860</v>
      </c>
      <c r="D40" s="29" t="s">
        <v>862</v>
      </c>
      <c r="E40" s="32" t="str">
        <f>IFERROR(__xludf.DUMMYFUNCTION("GOOGLETRANSLATE(D40,""zh-CN"",""vi"")"),"Các em nhỏ đang chơi đùa.")</f>
        <v>Các em nhỏ đang chơi đùa.</v>
      </c>
      <c r="F40" s="30" t="s">
        <v>855</v>
      </c>
      <c r="G40" s="34" t="b">
        <f t="shared" si="1"/>
        <v>1</v>
      </c>
      <c r="H40" s="35" t="b">
        <v>0</v>
      </c>
      <c r="I40" s="35" t="b">
        <v>0</v>
      </c>
      <c r="J40" s="35" t="b">
        <v>0</v>
      </c>
      <c r="K40" s="35" t="b">
        <v>0</v>
      </c>
      <c r="L40" s="35" t="b">
        <v>0</v>
      </c>
      <c r="M40" s="35" t="b">
        <v>0</v>
      </c>
      <c r="N40" s="35" t="b">
        <v>0</v>
      </c>
      <c r="O40" s="35" t="b">
        <v>0</v>
      </c>
      <c r="P40" s="35" t="b">
        <v>0</v>
      </c>
      <c r="Q40" s="35" t="b">
        <v>0</v>
      </c>
      <c r="R40" s="14"/>
      <c r="S40" s="14"/>
      <c r="T40" s="14"/>
      <c r="U40" s="14"/>
      <c r="V40" s="14"/>
      <c r="W40" s="14"/>
    </row>
    <row r="41" ht="15.75" customHeight="1">
      <c r="A41" s="24" t="s">
        <v>877</v>
      </c>
      <c r="B41" s="27" t="s">
        <v>878</v>
      </c>
      <c r="C41" s="28" t="s">
        <v>879</v>
      </c>
      <c r="D41" s="29" t="s">
        <v>880</v>
      </c>
      <c r="E41" s="32" t="str">
        <f>IFERROR(__xludf.DUMMYFUNCTION("GOOGLETRANSLATE(D41,""zh-CN"",""vi"")"),"Món này ngon tuyệt.")</f>
        <v>Món này ngon tuyệt.</v>
      </c>
      <c r="F41" s="30" t="s">
        <v>877</v>
      </c>
      <c r="G41" s="34" t="b">
        <f t="shared" si="1"/>
        <v>1</v>
      </c>
      <c r="H41" s="35" t="b">
        <v>0</v>
      </c>
      <c r="I41" s="35" t="b">
        <v>0</v>
      </c>
      <c r="J41" s="35" t="b">
        <v>0</v>
      </c>
      <c r="K41" s="35" t="b">
        <v>0</v>
      </c>
      <c r="L41" s="35" t="b">
        <v>0</v>
      </c>
      <c r="M41" s="35" t="b">
        <v>0</v>
      </c>
      <c r="N41" s="35" t="b">
        <v>0</v>
      </c>
      <c r="O41" s="35" t="b">
        <v>0</v>
      </c>
      <c r="P41" s="35" t="b">
        <v>0</v>
      </c>
      <c r="Q41" s="35" t="b">
        <v>0</v>
      </c>
      <c r="R41" s="14"/>
      <c r="S41" s="14"/>
      <c r="T41" s="14"/>
      <c r="U41" s="14"/>
      <c r="V41" s="14"/>
      <c r="W41" s="14"/>
    </row>
    <row r="42" ht="15.75" customHeight="1">
      <c r="A42" s="24" t="s">
        <v>896</v>
      </c>
      <c r="B42" s="27" t="s">
        <v>897</v>
      </c>
      <c r="C42" s="28" t="s">
        <v>898</v>
      </c>
      <c r="D42" s="29" t="s">
        <v>899</v>
      </c>
      <c r="E42" s="32" t="str">
        <f>IFERROR(__xludf.DUMMYFUNCTION("GOOGLETRANSLATE(D42,""zh-CN"",""vi"")"),"Số điện thoại của bạn là gì?")</f>
        <v>Số điện thoại của bạn là gì?</v>
      </c>
      <c r="F42" s="30" t="s">
        <v>896</v>
      </c>
      <c r="G42" s="34" t="b">
        <f t="shared" si="1"/>
        <v>1</v>
      </c>
      <c r="H42" s="35" t="b">
        <v>0</v>
      </c>
      <c r="I42" s="35" t="b">
        <v>0</v>
      </c>
      <c r="J42" s="35" t="b">
        <v>0</v>
      </c>
      <c r="K42" s="35" t="b">
        <v>0</v>
      </c>
      <c r="L42" s="35" t="b">
        <v>0</v>
      </c>
      <c r="M42" s="35" t="b">
        <v>0</v>
      </c>
      <c r="N42" s="35" t="b">
        <v>0</v>
      </c>
      <c r="O42" s="35" t="b">
        <v>0</v>
      </c>
      <c r="P42" s="35" t="b">
        <v>0</v>
      </c>
      <c r="Q42" s="35" t="b">
        <v>0</v>
      </c>
      <c r="R42" s="14"/>
      <c r="S42" s="14"/>
      <c r="T42" s="14"/>
      <c r="U42" s="14"/>
      <c r="V42" s="14"/>
      <c r="W42" s="14"/>
    </row>
    <row r="43" ht="15.75" customHeight="1">
      <c r="A43" s="24" t="s">
        <v>913</v>
      </c>
      <c r="B43" s="27" t="s">
        <v>915</v>
      </c>
      <c r="C43" s="28" t="s">
        <v>918</v>
      </c>
      <c r="D43" s="29" t="s">
        <v>919</v>
      </c>
      <c r="E43" s="32" t="str">
        <f>IFERROR(__xludf.DUMMYFUNCTION("GOOGLETRANSLATE(D43,""zh-CN"",""vi"")"),"Xe của tôi màu đen.")</f>
        <v>Xe của tôi màu đen.</v>
      </c>
      <c r="F43" s="30" t="s">
        <v>913</v>
      </c>
      <c r="G43" s="34" t="b">
        <f t="shared" si="1"/>
        <v>1</v>
      </c>
      <c r="H43" s="35" t="b">
        <v>0</v>
      </c>
      <c r="I43" s="35" t="b">
        <v>0</v>
      </c>
      <c r="J43" s="35" t="b">
        <v>0</v>
      </c>
      <c r="K43" s="35" t="b">
        <v>0</v>
      </c>
      <c r="L43" s="35" t="b">
        <v>0</v>
      </c>
      <c r="M43" s="35" t="b">
        <v>0</v>
      </c>
      <c r="N43" s="35" t="b">
        <v>0</v>
      </c>
      <c r="O43" s="35" t="b">
        <v>0</v>
      </c>
      <c r="P43" s="35" t="b">
        <v>0</v>
      </c>
      <c r="Q43" s="35" t="b">
        <v>0</v>
      </c>
      <c r="R43" s="14"/>
      <c r="S43" s="14"/>
      <c r="T43" s="14"/>
      <c r="U43" s="14"/>
      <c r="V43" s="14"/>
      <c r="W43" s="14"/>
    </row>
    <row r="44" ht="15.75" customHeight="1">
      <c r="A44" s="24" t="s">
        <v>932</v>
      </c>
      <c r="B44" s="27" t="s">
        <v>934</v>
      </c>
      <c r="C44" s="28" t="s">
        <v>936</v>
      </c>
      <c r="D44" s="29" t="s">
        <v>940</v>
      </c>
      <c r="E44" s="32" t="str">
        <f>IFERROR(__xludf.DUMMYFUNCTION("GOOGLETRANSLATE(D44,""zh-CN"",""vi"")"),"Cô ấy thích quần áo màu đỏ.")</f>
        <v>Cô ấy thích quần áo màu đỏ.</v>
      </c>
      <c r="F44" s="30" t="s">
        <v>932</v>
      </c>
      <c r="G44" s="34" t="b">
        <f t="shared" si="1"/>
        <v>1</v>
      </c>
      <c r="H44" s="35" t="b">
        <v>0</v>
      </c>
      <c r="I44" s="35" t="b">
        <v>0</v>
      </c>
      <c r="J44" s="35" t="b">
        <v>0</v>
      </c>
      <c r="K44" s="35" t="b">
        <v>0</v>
      </c>
      <c r="L44" s="35" t="b">
        <v>0</v>
      </c>
      <c r="M44" s="35" t="b">
        <v>0</v>
      </c>
      <c r="N44" s="35" t="b">
        <v>0</v>
      </c>
      <c r="O44" s="35" t="b">
        <v>0</v>
      </c>
      <c r="P44" s="35" t="b">
        <v>0</v>
      </c>
      <c r="Q44" s="35" t="b">
        <v>0</v>
      </c>
      <c r="R44" s="14"/>
      <c r="S44" s="14"/>
      <c r="T44" s="14"/>
      <c r="U44" s="14"/>
      <c r="V44" s="14"/>
      <c r="W44" s="14"/>
    </row>
    <row r="45" ht="15.75" customHeight="1">
      <c r="A45" s="24" t="s">
        <v>955</v>
      </c>
      <c r="B45" s="27" t="s">
        <v>957</v>
      </c>
      <c r="C45" s="28" t="s">
        <v>958</v>
      </c>
      <c r="D45" s="29" t="s">
        <v>960</v>
      </c>
      <c r="E45" s="32" t="str">
        <f>IFERROR(__xludf.DUMMYFUNCTION("GOOGLETRANSLATE(D45,""zh-CN"",""vi"")"),"Chào mừng đến nhà tôi.")</f>
        <v>Chào mừng đến nhà tôi.</v>
      </c>
      <c r="F45" s="30" t="s">
        <v>955</v>
      </c>
      <c r="G45" s="34" t="b">
        <f t="shared" si="1"/>
        <v>1</v>
      </c>
      <c r="H45" s="35" t="b">
        <v>0</v>
      </c>
      <c r="I45" s="35" t="b">
        <v>0</v>
      </c>
      <c r="J45" s="35" t="b">
        <v>0</v>
      </c>
      <c r="K45" s="35" t="b">
        <v>0</v>
      </c>
      <c r="L45" s="35" t="b">
        <v>0</v>
      </c>
      <c r="M45" s="35" t="b">
        <v>0</v>
      </c>
      <c r="N45" s="35" t="b">
        <v>0</v>
      </c>
      <c r="O45" s="35" t="b">
        <v>0</v>
      </c>
      <c r="P45" s="35" t="b">
        <v>0</v>
      </c>
      <c r="Q45" s="35" t="b">
        <v>0</v>
      </c>
      <c r="R45" s="14"/>
      <c r="S45" s="14"/>
      <c r="T45" s="14"/>
      <c r="U45" s="14"/>
      <c r="V45" s="14"/>
      <c r="W45" s="14"/>
    </row>
    <row r="46" ht="15.75" customHeight="1">
      <c r="A46" s="24" t="s">
        <v>977</v>
      </c>
      <c r="B46" s="27" t="s">
        <v>979</v>
      </c>
      <c r="C46" s="28" t="s">
        <v>981</v>
      </c>
      <c r="D46" s="29" t="s">
        <v>983</v>
      </c>
      <c r="E46" s="32" t="str">
        <f>IFERROR(__xludf.DUMMYFUNCTION("GOOGLETRANSLATE(D46,""zh-CN"",""vi"")"),"Hãy trả lời câu hỏi của tôi.")</f>
        <v>Hãy trả lời câu hỏi của tôi.</v>
      </c>
      <c r="F46" s="30" t="s">
        <v>977</v>
      </c>
      <c r="G46" s="34" t="b">
        <f t="shared" si="1"/>
        <v>1</v>
      </c>
      <c r="H46" s="35" t="b">
        <v>1</v>
      </c>
      <c r="I46" s="35" t="b">
        <v>0</v>
      </c>
      <c r="J46" s="35" t="b">
        <v>0</v>
      </c>
      <c r="K46" s="35" t="b">
        <v>0</v>
      </c>
      <c r="L46" s="35" t="b">
        <v>0</v>
      </c>
      <c r="M46" s="35" t="b">
        <v>0</v>
      </c>
      <c r="N46" s="35" t="b">
        <v>0</v>
      </c>
      <c r="O46" s="35" t="b">
        <v>0</v>
      </c>
      <c r="P46" s="35" t="b">
        <v>0</v>
      </c>
      <c r="Q46" s="35" t="b">
        <v>0</v>
      </c>
      <c r="R46" s="14"/>
      <c r="S46" s="14"/>
      <c r="T46" s="14"/>
      <c r="U46" s="14"/>
      <c r="V46" s="14"/>
      <c r="W46" s="14"/>
    </row>
    <row r="47" ht="15.75" customHeight="1">
      <c r="A47" s="24" t="s">
        <v>1014</v>
      </c>
      <c r="B47" s="27" t="s">
        <v>1016</v>
      </c>
      <c r="C47" s="28" t="s">
        <v>1018</v>
      </c>
      <c r="D47" s="29" t="s">
        <v>1019</v>
      </c>
      <c r="E47" s="32" t="str">
        <f>IFERROR(__xludf.DUMMYFUNCTION("GOOGLETRANSLATE(D47,""zh-CN"",""vi"")"),"Sân bay rất gần đây.")</f>
        <v>Sân bay rất gần đây.</v>
      </c>
      <c r="F47" s="30" t="s">
        <v>1014</v>
      </c>
      <c r="G47" s="34" t="b">
        <f t="shared" si="1"/>
        <v>1</v>
      </c>
      <c r="H47" s="35" t="b">
        <v>1</v>
      </c>
      <c r="I47" s="35" t="b">
        <v>0</v>
      </c>
      <c r="J47" s="35" t="b">
        <v>0</v>
      </c>
      <c r="K47" s="35" t="b">
        <v>0</v>
      </c>
      <c r="L47" s="35" t="b">
        <v>0</v>
      </c>
      <c r="M47" s="35" t="b">
        <v>0</v>
      </c>
      <c r="N47" s="35" t="b">
        <v>0</v>
      </c>
      <c r="O47" s="35" t="b">
        <v>0</v>
      </c>
      <c r="P47" s="35" t="b">
        <v>0</v>
      </c>
      <c r="Q47" s="35" t="b">
        <v>0</v>
      </c>
      <c r="R47" s="14"/>
      <c r="S47" s="14"/>
      <c r="T47" s="14"/>
      <c r="U47" s="14"/>
      <c r="V47" s="14"/>
      <c r="W47" s="14"/>
    </row>
    <row r="48" ht="15.75" customHeight="1">
      <c r="A48" s="24" t="s">
        <v>1031</v>
      </c>
      <c r="B48" s="27" t="s">
        <v>1034</v>
      </c>
      <c r="C48" s="28" t="s">
        <v>1036</v>
      </c>
      <c r="D48" s="29" t="s">
        <v>1039</v>
      </c>
      <c r="E48" s="32" t="str">
        <f>IFERROR(__xludf.DUMMYFUNCTION("GOOGLETRANSLATE(D48,""zh-CN"",""vi"")"),"Tôi thích ăn trứng.")</f>
        <v>Tôi thích ăn trứng.</v>
      </c>
      <c r="F48" s="30" t="s">
        <v>1031</v>
      </c>
      <c r="G48" s="34" t="b">
        <f t="shared" si="1"/>
        <v>1</v>
      </c>
      <c r="H48" s="35" t="b">
        <v>1</v>
      </c>
      <c r="I48" s="35" t="b">
        <v>0</v>
      </c>
      <c r="J48" s="35" t="b">
        <v>0</v>
      </c>
      <c r="K48" s="35" t="b">
        <v>0</v>
      </c>
      <c r="L48" s="35" t="b">
        <v>0</v>
      </c>
      <c r="M48" s="35" t="b">
        <v>0</v>
      </c>
      <c r="N48" s="35" t="b">
        <v>0</v>
      </c>
      <c r="O48" s="35" t="b">
        <v>0</v>
      </c>
      <c r="P48" s="35" t="b">
        <v>0</v>
      </c>
      <c r="Q48" s="35" t="b">
        <v>0</v>
      </c>
      <c r="R48" s="14"/>
      <c r="S48" s="14"/>
      <c r="T48" s="14"/>
      <c r="U48" s="14"/>
      <c r="V48" s="14"/>
      <c r="W48" s="14"/>
    </row>
    <row r="49" ht="15.75" customHeight="1">
      <c r="A49" s="24" t="s">
        <v>1051</v>
      </c>
      <c r="B49" s="27" t="s">
        <v>1053</v>
      </c>
      <c r="C49" s="28" t="s">
        <v>1055</v>
      </c>
      <c r="D49" s="29" t="s">
        <v>1056</v>
      </c>
      <c r="E49" s="32" t="str">
        <f>IFERROR(__xludf.DUMMYFUNCTION("GOOGLETRANSLATE(D49,""zh-CN"",""vi"")"),"Chiếc váy này rất đẹp.")</f>
        <v>Chiếc váy này rất đẹp.</v>
      </c>
      <c r="F49" s="30" t="s">
        <v>1051</v>
      </c>
      <c r="G49" s="34" t="b">
        <f t="shared" si="1"/>
        <v>1</v>
      </c>
      <c r="H49" s="35" t="b">
        <v>1</v>
      </c>
      <c r="I49" s="35" t="b">
        <v>0</v>
      </c>
      <c r="J49" s="35" t="b">
        <v>0</v>
      </c>
      <c r="K49" s="35" t="b">
        <v>0</v>
      </c>
      <c r="L49" s="35" t="b">
        <v>0</v>
      </c>
      <c r="M49" s="35" t="b">
        <v>0</v>
      </c>
      <c r="N49" s="35" t="b">
        <v>0</v>
      </c>
      <c r="O49" s="35" t="b">
        <v>0</v>
      </c>
      <c r="P49" s="35" t="b">
        <v>0</v>
      </c>
      <c r="Q49" s="35" t="b">
        <v>0</v>
      </c>
      <c r="R49" s="14"/>
      <c r="S49" s="14"/>
      <c r="T49" s="14"/>
      <c r="U49" s="14"/>
      <c r="V49" s="14"/>
      <c r="W49" s="14"/>
    </row>
    <row r="50" ht="15.75" customHeight="1">
      <c r="A50" s="24" t="s">
        <v>1071</v>
      </c>
      <c r="B50" s="27" t="s">
        <v>1073</v>
      </c>
      <c r="C50" s="28" t="s">
        <v>1075</v>
      </c>
      <c r="D50" s="29" t="s">
        <v>1077</v>
      </c>
      <c r="E50" s="32" t="str">
        <f>IFERROR(__xludf.DUMMYFUNCTION("GOOGLETRANSLATE(D50,""zh-CN"",""vi"")"),"Học sinh đang học tập trong lớp học.")</f>
        <v>Học sinh đang học tập trong lớp học.</v>
      </c>
      <c r="F50" s="30" t="s">
        <v>1071</v>
      </c>
      <c r="G50" s="34" t="b">
        <f t="shared" si="1"/>
        <v>1</v>
      </c>
      <c r="H50" s="35" t="b">
        <v>1</v>
      </c>
      <c r="I50" s="35" t="b">
        <v>0</v>
      </c>
      <c r="J50" s="35" t="b">
        <v>0</v>
      </c>
      <c r="K50" s="35" t="b">
        <v>0</v>
      </c>
      <c r="L50" s="35" t="b">
        <v>0</v>
      </c>
      <c r="M50" s="35" t="b">
        <v>0</v>
      </c>
      <c r="N50" s="35" t="b">
        <v>0</v>
      </c>
      <c r="O50" s="35" t="b">
        <v>0</v>
      </c>
      <c r="P50" s="35" t="b">
        <v>0</v>
      </c>
      <c r="Q50" s="35" t="b">
        <v>0</v>
      </c>
      <c r="R50" s="14"/>
      <c r="S50" s="14"/>
      <c r="T50" s="14"/>
      <c r="U50" s="14"/>
      <c r="V50" s="14"/>
      <c r="W50" s="14"/>
    </row>
    <row r="51" ht="15.75" customHeight="1">
      <c r="A51" s="24" t="s">
        <v>1094</v>
      </c>
      <c r="B51" s="27" t="s">
        <v>1097</v>
      </c>
      <c r="C51" s="28" t="s">
        <v>1099</v>
      </c>
      <c r="D51" s="29" t="s">
        <v>1101</v>
      </c>
      <c r="E51" s="32" t="str">
        <f>IFERROR(__xludf.DUMMYFUNCTION("GOOGLETRANSLATE(D51,""zh-CN"",""vi"")"),"Chị gái tôi hơn tôi ba tuổi.")</f>
        <v>Chị gái tôi hơn tôi ba tuổi.</v>
      </c>
      <c r="F51" s="30" t="s">
        <v>1094</v>
      </c>
      <c r="G51" s="34" t="b">
        <f t="shared" si="1"/>
        <v>1</v>
      </c>
      <c r="H51" s="35" t="b">
        <v>1</v>
      </c>
      <c r="I51" s="35" t="b">
        <v>0</v>
      </c>
      <c r="J51" s="35" t="b">
        <v>0</v>
      </c>
      <c r="K51" s="35" t="b">
        <v>0</v>
      </c>
      <c r="L51" s="35" t="b">
        <v>0</v>
      </c>
      <c r="M51" s="35" t="b">
        <v>0</v>
      </c>
      <c r="N51" s="35" t="b">
        <v>0</v>
      </c>
      <c r="O51" s="35" t="b">
        <v>0</v>
      </c>
      <c r="P51" s="35" t="b">
        <v>0</v>
      </c>
      <c r="Q51" s="35" t="b">
        <v>0</v>
      </c>
      <c r="R51" s="14"/>
      <c r="S51" s="14"/>
      <c r="T51" s="14"/>
      <c r="U51" s="14"/>
      <c r="V51" s="14"/>
      <c r="W51" s="14"/>
    </row>
    <row r="52" ht="15.75" customHeight="1">
      <c r="A52" s="24" t="s">
        <v>1112</v>
      </c>
      <c r="B52" s="27" t="s">
        <v>1115</v>
      </c>
      <c r="C52" s="28" t="s">
        <v>1118</v>
      </c>
      <c r="D52" s="29" t="s">
        <v>1120</v>
      </c>
      <c r="E52" s="32" t="str">
        <f>IFERROR(__xludf.DUMMYFUNCTION("GOOGLETRANSLATE(D52,""zh-CN"",""vi"")"),"Hãy tự giới thiệu.")</f>
        <v>Hãy tự giới thiệu.</v>
      </c>
      <c r="F52" s="30" t="s">
        <v>1112</v>
      </c>
      <c r="G52" s="34" t="b">
        <f t="shared" si="1"/>
        <v>1</v>
      </c>
      <c r="H52" s="35" t="b">
        <v>1</v>
      </c>
      <c r="I52" s="35" t="b">
        <v>0</v>
      </c>
      <c r="J52" s="35" t="b">
        <v>0</v>
      </c>
      <c r="K52" s="35" t="b">
        <v>0</v>
      </c>
      <c r="L52" s="35" t="b">
        <v>0</v>
      </c>
      <c r="M52" s="35" t="b">
        <v>0</v>
      </c>
      <c r="N52" s="35" t="b">
        <v>0</v>
      </c>
      <c r="O52" s="35" t="b">
        <v>0</v>
      </c>
      <c r="P52" s="35" t="b">
        <v>0</v>
      </c>
      <c r="Q52" s="35" t="b">
        <v>0</v>
      </c>
      <c r="R52" s="14"/>
      <c r="S52" s="14"/>
      <c r="T52" s="14"/>
      <c r="U52" s="14"/>
      <c r="V52" s="14"/>
      <c r="W52" s="14"/>
    </row>
    <row r="53" ht="15.75" customHeight="1">
      <c r="A53" s="24" t="s">
        <v>1133</v>
      </c>
      <c r="B53" s="27" t="s">
        <v>1134</v>
      </c>
      <c r="C53" s="28" t="s">
        <v>1135</v>
      </c>
      <c r="D53" s="29" t="s">
        <v>1136</v>
      </c>
      <c r="E53" s="32" t="str">
        <f>IFERROR(__xludf.DUMMYFUNCTION("GOOGLETRANSLATE(D53,""zh-CN"",""vi"")"),"Mời vào, đừng ngại nhé.")</f>
        <v>Mời vào, đừng ngại nhé.</v>
      </c>
      <c r="F53" s="30" t="s">
        <v>1133</v>
      </c>
      <c r="G53" s="34" t="b">
        <f t="shared" si="1"/>
        <v>1</v>
      </c>
      <c r="H53" s="35" t="b">
        <v>1</v>
      </c>
      <c r="I53" s="35" t="b">
        <v>0</v>
      </c>
      <c r="J53" s="35" t="b">
        <v>0</v>
      </c>
      <c r="K53" s="35" t="b">
        <v>0</v>
      </c>
      <c r="L53" s="35" t="b">
        <v>0</v>
      </c>
      <c r="M53" s="35" t="b">
        <v>0</v>
      </c>
      <c r="N53" s="35" t="b">
        <v>0</v>
      </c>
      <c r="O53" s="35" t="b">
        <v>0</v>
      </c>
      <c r="P53" s="35" t="b">
        <v>0</v>
      </c>
      <c r="Q53" s="35" t="b">
        <v>0</v>
      </c>
      <c r="R53" s="14"/>
      <c r="S53" s="14"/>
      <c r="T53" s="14"/>
      <c r="U53" s="14"/>
      <c r="V53" s="14"/>
      <c r="W53" s="14"/>
    </row>
    <row r="54" ht="15.75" customHeight="1">
      <c r="A54" s="24" t="s">
        <v>1152</v>
      </c>
      <c r="B54" s="27" t="s">
        <v>1134</v>
      </c>
      <c r="C54" s="28" t="s">
        <v>1155</v>
      </c>
      <c r="D54" s="29" t="s">
        <v>1157</v>
      </c>
      <c r="E54" s="32" t="str">
        <f>IFERROR(__xludf.DUMMYFUNCTION("GOOGLETRANSLATE(D54,""zh-CN"",""vi"")"),"Trường học rất gần nhà tôi.")</f>
        <v>Trường học rất gần nhà tôi.</v>
      </c>
      <c r="F54" s="30" t="s">
        <v>1152</v>
      </c>
      <c r="G54" s="34" t="b">
        <f t="shared" si="1"/>
        <v>1</v>
      </c>
      <c r="H54" s="35" t="b">
        <v>1</v>
      </c>
      <c r="I54" s="35" t="b">
        <v>0</v>
      </c>
      <c r="J54" s="35" t="b">
        <v>0</v>
      </c>
      <c r="K54" s="35" t="b">
        <v>0</v>
      </c>
      <c r="L54" s="35" t="b">
        <v>0</v>
      </c>
      <c r="M54" s="35" t="b">
        <v>0</v>
      </c>
      <c r="N54" s="35" t="b">
        <v>0</v>
      </c>
      <c r="O54" s="35" t="b">
        <v>0</v>
      </c>
      <c r="P54" s="35" t="b">
        <v>0</v>
      </c>
      <c r="Q54" s="35" t="b">
        <v>0</v>
      </c>
      <c r="R54" s="14"/>
      <c r="S54" s="14"/>
      <c r="T54" s="14"/>
      <c r="U54" s="14"/>
      <c r="V54" s="14"/>
      <c r="W54" s="14"/>
    </row>
    <row r="55" ht="15.75" customHeight="1">
      <c r="A55" s="24" t="s">
        <v>1171</v>
      </c>
      <c r="B55" s="27" t="s">
        <v>1173</v>
      </c>
      <c r="C55" s="28" t="s">
        <v>1174</v>
      </c>
      <c r="D55" s="29" t="s">
        <v>1175</v>
      </c>
      <c r="E55" s="32" t="str">
        <f>IFERROR(__xludf.DUMMYFUNCTION("GOOGLETRANSLATE(D55,""zh-CN"",""vi"")"),"Anh ấy sống ngay cạnh nhà tôi.")</f>
        <v>Anh ấy sống ngay cạnh nhà tôi.</v>
      </c>
      <c r="F55" s="30" t="s">
        <v>1171</v>
      </c>
      <c r="G55" s="34" t="b">
        <f t="shared" si="1"/>
        <v>1</v>
      </c>
      <c r="H55" s="35" t="b">
        <v>1</v>
      </c>
      <c r="I55" s="35" t="b">
        <v>0</v>
      </c>
      <c r="J55" s="35" t="b">
        <v>0</v>
      </c>
      <c r="K55" s="35" t="b">
        <v>0</v>
      </c>
      <c r="L55" s="35" t="b">
        <v>0</v>
      </c>
      <c r="M55" s="35" t="b">
        <v>0</v>
      </c>
      <c r="N55" s="35" t="b">
        <v>0</v>
      </c>
      <c r="O55" s="35" t="b">
        <v>0</v>
      </c>
      <c r="P55" s="35" t="b">
        <v>0</v>
      </c>
      <c r="Q55" s="35" t="b">
        <v>0</v>
      </c>
      <c r="R55" s="14"/>
      <c r="S55" s="14"/>
      <c r="T55" s="14"/>
      <c r="U55" s="14"/>
      <c r="V55" s="14"/>
      <c r="W55" s="14"/>
    </row>
    <row r="56" ht="15.75" customHeight="1">
      <c r="A56" s="24" t="s">
        <v>1188</v>
      </c>
      <c r="B56" s="27" t="s">
        <v>1189</v>
      </c>
      <c r="C56" s="28" t="s">
        <v>1190</v>
      </c>
      <c r="D56" s="29" t="s">
        <v>1193</v>
      </c>
      <c r="E56" s="32" t="str">
        <f>IFERROR(__xludf.DUMMYFUNCTION("GOOGLETRANSLATE(D56,""zh-CN"",""vi"")"),"Hôm nay tôi cảm thấy rất nóng.")</f>
        <v>Hôm nay tôi cảm thấy rất nóng.</v>
      </c>
      <c r="F56" s="30" t="s">
        <v>1188</v>
      </c>
      <c r="G56" s="34" t="b">
        <f t="shared" si="1"/>
        <v>1</v>
      </c>
      <c r="H56" s="35" t="b">
        <v>1</v>
      </c>
      <c r="I56" s="35" t="b">
        <v>0</v>
      </c>
      <c r="J56" s="35" t="b">
        <v>0</v>
      </c>
      <c r="K56" s="35" t="b">
        <v>0</v>
      </c>
      <c r="L56" s="35" t="b">
        <v>0</v>
      </c>
      <c r="M56" s="35" t="b">
        <v>0</v>
      </c>
      <c r="N56" s="35" t="b">
        <v>0</v>
      </c>
      <c r="O56" s="35" t="b">
        <v>0</v>
      </c>
      <c r="P56" s="35" t="b">
        <v>0</v>
      </c>
      <c r="Q56" s="35" t="b">
        <v>0</v>
      </c>
      <c r="R56" s="14"/>
      <c r="S56" s="14"/>
      <c r="T56" s="14"/>
      <c r="U56" s="14"/>
      <c r="V56" s="14"/>
      <c r="W56" s="14"/>
    </row>
    <row r="57" ht="15.75" customHeight="1">
      <c r="A57" s="24" t="s">
        <v>1208</v>
      </c>
      <c r="B57" s="27" t="s">
        <v>1209</v>
      </c>
      <c r="C57" s="28" t="s">
        <v>1211</v>
      </c>
      <c r="D57" s="29" t="s">
        <v>1213</v>
      </c>
      <c r="E57" s="32" t="str">
        <f>IFERROR(__xludf.DUMMYFUNCTION("GOOGLETRANSLATE(D57,""zh-CN"",""vi"")"),"Tôi uống cà phê mỗi sáng.")</f>
        <v>Tôi uống cà phê mỗi sáng.</v>
      </c>
      <c r="F57" s="30" t="s">
        <v>1208</v>
      </c>
      <c r="G57" s="34" t="b">
        <f t="shared" si="1"/>
        <v>1</v>
      </c>
      <c r="H57" s="35" t="b">
        <v>1</v>
      </c>
      <c r="I57" s="35" t="b">
        <v>0</v>
      </c>
      <c r="J57" s="35" t="b">
        <v>0</v>
      </c>
      <c r="K57" s="35" t="b">
        <v>0</v>
      </c>
      <c r="L57" s="35" t="b">
        <v>0</v>
      </c>
      <c r="M57" s="35" t="b">
        <v>0</v>
      </c>
      <c r="N57" s="35" t="b">
        <v>0</v>
      </c>
      <c r="O57" s="35" t="b">
        <v>0</v>
      </c>
      <c r="P57" s="35" t="b">
        <v>0</v>
      </c>
      <c r="Q57" s="35" t="b">
        <v>0</v>
      </c>
      <c r="R57" s="14"/>
      <c r="S57" s="14"/>
      <c r="T57" s="14"/>
      <c r="U57" s="14"/>
      <c r="V57" s="14"/>
      <c r="W57" s="14"/>
    </row>
    <row r="58" ht="15.75" customHeight="1">
      <c r="A58" s="24" t="s">
        <v>1231</v>
      </c>
      <c r="B58" s="27" t="s">
        <v>1233</v>
      </c>
      <c r="C58" s="28" t="s">
        <v>1234</v>
      </c>
      <c r="D58" s="29" t="s">
        <v>1235</v>
      </c>
      <c r="E58" s="32" t="str">
        <f>IFERROR(__xludf.DUMMYFUNCTION("GOOGLETRANSLATE(D58,""zh-CN"",""vi"")"),"Chúng ta sẽ bắt đầu giờ học ngay bây giờ.")</f>
        <v>Chúng ta sẽ bắt đầu giờ học ngay bây giờ.</v>
      </c>
      <c r="F58" s="30" t="s">
        <v>1231</v>
      </c>
      <c r="G58" s="34" t="b">
        <f t="shared" si="1"/>
        <v>1</v>
      </c>
      <c r="H58" s="35" t="b">
        <v>1</v>
      </c>
      <c r="I58" s="35" t="b">
        <v>0</v>
      </c>
      <c r="J58" s="35" t="b">
        <v>0</v>
      </c>
      <c r="K58" s="35" t="b">
        <v>0</v>
      </c>
      <c r="L58" s="35" t="b">
        <v>0</v>
      </c>
      <c r="M58" s="35" t="b">
        <v>0</v>
      </c>
      <c r="N58" s="35" t="b">
        <v>0</v>
      </c>
      <c r="O58" s="35" t="b">
        <v>0</v>
      </c>
      <c r="P58" s="35" t="b">
        <v>0</v>
      </c>
      <c r="Q58" s="35" t="b">
        <v>0</v>
      </c>
      <c r="R58" s="14"/>
      <c r="S58" s="14"/>
      <c r="T58" s="14"/>
      <c r="U58" s="14"/>
      <c r="V58" s="14"/>
      <c r="W58" s="14"/>
    </row>
    <row r="59" ht="15.75" customHeight="1">
      <c r="A59" s="24" t="s">
        <v>1248</v>
      </c>
      <c r="B59" s="27" t="s">
        <v>1249</v>
      </c>
      <c r="C59" s="28" t="s">
        <v>1251</v>
      </c>
      <c r="D59" s="29" t="s">
        <v>1253</v>
      </c>
      <c r="E59" s="32" t="str">
        <f>IFERROR(__xludf.DUMMYFUNCTION("GOOGLETRANSLATE(D59,""zh-CN"",""vi"")"),"Tôi đã sẵn sàng cho kỳ thi.")</f>
        <v>Tôi đã sẵn sàng cho kỳ thi.</v>
      </c>
      <c r="F59" s="30" t="s">
        <v>1248</v>
      </c>
      <c r="G59" s="34" t="b">
        <f t="shared" si="1"/>
        <v>1</v>
      </c>
      <c r="H59" s="35" t="b">
        <v>1</v>
      </c>
      <c r="I59" s="35" t="b">
        <v>0</v>
      </c>
      <c r="J59" s="35" t="b">
        <v>0</v>
      </c>
      <c r="K59" s="35" t="b">
        <v>0</v>
      </c>
      <c r="L59" s="35" t="b">
        <v>0</v>
      </c>
      <c r="M59" s="35" t="b">
        <v>0</v>
      </c>
      <c r="N59" s="35" t="b">
        <v>0</v>
      </c>
      <c r="O59" s="35" t="b">
        <v>0</v>
      </c>
      <c r="P59" s="35" t="b">
        <v>0</v>
      </c>
      <c r="Q59" s="35" t="b">
        <v>0</v>
      </c>
      <c r="R59" s="14"/>
      <c r="S59" s="14"/>
      <c r="T59" s="14"/>
      <c r="U59" s="14"/>
      <c r="V59" s="14"/>
      <c r="W59" s="14"/>
    </row>
    <row r="60" ht="15.75" customHeight="1">
      <c r="A60" s="24" t="s">
        <v>1272</v>
      </c>
      <c r="B60" s="27" t="s">
        <v>1273</v>
      </c>
      <c r="C60" s="28" t="s">
        <v>1010</v>
      </c>
      <c r="D60" s="29" t="s">
        <v>1276</v>
      </c>
      <c r="E60" s="32" t="str">
        <f>IFERROR(__xludf.DUMMYFUNCTION("GOOGLETRANSLATE(D60,""zh-CN"",""vi"")"),"Có thể trời sẽ mưa.")</f>
        <v>Có thể trời sẽ mưa.</v>
      </c>
      <c r="F60" s="30" t="s">
        <v>1272</v>
      </c>
      <c r="G60" s="34" t="b">
        <f t="shared" si="1"/>
        <v>1</v>
      </c>
      <c r="H60" s="35" t="b">
        <v>1</v>
      </c>
      <c r="I60" s="35" t="b">
        <v>0</v>
      </c>
      <c r="J60" s="35" t="b">
        <v>0</v>
      </c>
      <c r="K60" s="35" t="b">
        <v>0</v>
      </c>
      <c r="L60" s="35" t="b">
        <v>0</v>
      </c>
      <c r="M60" s="35" t="b">
        <v>0</v>
      </c>
      <c r="N60" s="35" t="b">
        <v>0</v>
      </c>
      <c r="O60" s="35" t="b">
        <v>0</v>
      </c>
      <c r="P60" s="35" t="b">
        <v>0</v>
      </c>
      <c r="Q60" s="35" t="b">
        <v>0</v>
      </c>
      <c r="R60" s="14"/>
      <c r="S60" s="14"/>
      <c r="T60" s="14"/>
      <c r="U60" s="14"/>
      <c r="V60" s="14"/>
      <c r="W60" s="14"/>
    </row>
    <row r="61" ht="15.75" customHeight="1">
      <c r="A61" s="24" t="s">
        <v>1289</v>
      </c>
      <c r="B61" s="27" t="s">
        <v>1290</v>
      </c>
      <c r="C61" s="28" t="s">
        <v>1010</v>
      </c>
      <c r="D61" s="29" t="s">
        <v>1296</v>
      </c>
      <c r="E61" s="32" t="str">
        <f>IFERROR(__xludf.DUMMYFUNCTION("GOOGLETRANSLATE(D61,""zh-CN"",""vi"")"),"Bạn có thể ngồi đây.")</f>
        <v>Bạn có thể ngồi đây.</v>
      </c>
      <c r="F61" s="30" t="s">
        <v>1289</v>
      </c>
      <c r="G61" s="34" t="b">
        <f t="shared" si="1"/>
        <v>1</v>
      </c>
      <c r="H61" s="35" t="b">
        <v>1</v>
      </c>
      <c r="I61" s="35" t="b">
        <v>0</v>
      </c>
      <c r="J61" s="35" t="b">
        <v>0</v>
      </c>
      <c r="K61" s="35" t="b">
        <v>0</v>
      </c>
      <c r="L61" s="35" t="b">
        <v>0</v>
      </c>
      <c r="M61" s="35" t="b">
        <v>0</v>
      </c>
      <c r="N61" s="35" t="b">
        <v>0</v>
      </c>
      <c r="O61" s="35" t="b">
        <v>0</v>
      </c>
      <c r="P61" s="35" t="b">
        <v>0</v>
      </c>
      <c r="Q61" s="35" t="b">
        <v>0</v>
      </c>
      <c r="R61" s="14"/>
      <c r="S61" s="14"/>
      <c r="T61" s="14"/>
      <c r="U61" s="14"/>
      <c r="V61" s="14"/>
      <c r="W61" s="14"/>
    </row>
    <row r="62" ht="15.75" customHeight="1">
      <c r="A62" s="24" t="s">
        <v>1313</v>
      </c>
      <c r="B62" s="27" t="s">
        <v>1314</v>
      </c>
      <c r="C62" s="28" t="s">
        <v>1315</v>
      </c>
      <c r="D62" s="29" t="s">
        <v>1316</v>
      </c>
      <c r="E62" s="32" t="str">
        <f>IFERROR(__xludf.DUMMYFUNCTION("GOOGLETRANSLATE(D62,""zh-CN"",""vi"")"),"Hôm nay chúng ta có ba tiết học.")</f>
        <v>Hôm nay chúng ta có ba tiết học.</v>
      </c>
      <c r="F62" s="30" t="s">
        <v>1313</v>
      </c>
      <c r="G62" s="34" t="b">
        <f t="shared" si="1"/>
        <v>1</v>
      </c>
      <c r="H62" s="35" t="b">
        <v>1</v>
      </c>
      <c r="I62" s="35" t="b">
        <v>0</v>
      </c>
      <c r="J62" s="35" t="b">
        <v>0</v>
      </c>
      <c r="K62" s="35" t="b">
        <v>0</v>
      </c>
      <c r="L62" s="35" t="b">
        <v>0</v>
      </c>
      <c r="M62" s="35" t="b">
        <v>0</v>
      </c>
      <c r="N62" s="35" t="b">
        <v>0</v>
      </c>
      <c r="O62" s="35" t="b">
        <v>0</v>
      </c>
      <c r="P62" s="35" t="b">
        <v>0</v>
      </c>
      <c r="Q62" s="35" t="b">
        <v>0</v>
      </c>
      <c r="R62" s="14"/>
      <c r="S62" s="14"/>
      <c r="T62" s="14"/>
      <c r="U62" s="14"/>
      <c r="V62" s="14"/>
      <c r="W62" s="14"/>
    </row>
    <row r="63" ht="15.75" customHeight="1">
      <c r="A63" s="24" t="s">
        <v>1329</v>
      </c>
      <c r="B63" s="27" t="s">
        <v>654</v>
      </c>
      <c r="C63" s="28" t="s">
        <v>1330</v>
      </c>
      <c r="D63" s="29" t="s">
        <v>1332</v>
      </c>
      <c r="E63" s="32" t="str">
        <f>IFERROR(__xludf.DUMMYFUNCTION("GOOGLETRANSLATE(D63,""zh-CN"",""vi"")"),"Anh ấy chạy rất nhanh.")</f>
        <v>Anh ấy chạy rất nhanh.</v>
      </c>
      <c r="F63" s="30" t="s">
        <v>1329</v>
      </c>
      <c r="G63" s="34" t="b">
        <f t="shared" si="1"/>
        <v>1</v>
      </c>
      <c r="H63" s="35" t="b">
        <v>1</v>
      </c>
      <c r="I63" s="35" t="b">
        <v>0</v>
      </c>
      <c r="J63" s="35" t="b">
        <v>0</v>
      </c>
      <c r="K63" s="35" t="b">
        <v>0</v>
      </c>
      <c r="L63" s="35" t="b">
        <v>0</v>
      </c>
      <c r="M63" s="35" t="b">
        <v>0</v>
      </c>
      <c r="N63" s="35" t="b">
        <v>0</v>
      </c>
      <c r="O63" s="35" t="b">
        <v>0</v>
      </c>
      <c r="P63" s="35" t="b">
        <v>0</v>
      </c>
      <c r="Q63" s="35" t="b">
        <v>0</v>
      </c>
      <c r="R63" s="14"/>
      <c r="S63" s="14"/>
      <c r="T63" s="14"/>
      <c r="U63" s="14"/>
      <c r="V63" s="14"/>
      <c r="W63" s="14"/>
    </row>
    <row r="64" ht="15.75" customHeight="1">
      <c r="A64" s="24" t="s">
        <v>1348</v>
      </c>
      <c r="B64" s="27" t="s">
        <v>1349</v>
      </c>
      <c r="C64" s="28" t="s">
        <v>1350</v>
      </c>
      <c r="D64" s="29" t="s">
        <v>1352</v>
      </c>
      <c r="E64" s="32" t="str">
        <f>IFERROR(__xludf.DUMMYFUNCTION("GOOGLETRANSLATE(D64,""zh-CN"",""vi"")"),"Chúc mừng sinh nhật bạn.")</f>
        <v>Chúc mừng sinh nhật bạn.</v>
      </c>
      <c r="F64" s="30" t="s">
        <v>1348</v>
      </c>
      <c r="G64" s="34" t="b">
        <f t="shared" si="1"/>
        <v>1</v>
      </c>
      <c r="H64" s="35" t="b">
        <v>1</v>
      </c>
      <c r="I64" s="35" t="b">
        <v>0</v>
      </c>
      <c r="J64" s="35" t="b">
        <v>0</v>
      </c>
      <c r="K64" s="35" t="b">
        <v>0</v>
      </c>
      <c r="L64" s="35" t="b">
        <v>0</v>
      </c>
      <c r="M64" s="35" t="b">
        <v>0</v>
      </c>
      <c r="N64" s="35" t="b">
        <v>0</v>
      </c>
      <c r="O64" s="35" t="b">
        <v>0</v>
      </c>
      <c r="P64" s="35" t="b">
        <v>0</v>
      </c>
      <c r="Q64" s="35" t="b">
        <v>0</v>
      </c>
      <c r="R64" s="14"/>
      <c r="S64" s="14"/>
      <c r="T64" s="14"/>
      <c r="U64" s="14"/>
      <c r="V64" s="14"/>
      <c r="W64" s="14"/>
    </row>
    <row r="65" ht="15.75" customHeight="1">
      <c r="A65" s="24" t="s">
        <v>1369</v>
      </c>
      <c r="B65" s="27" t="s">
        <v>1372</v>
      </c>
      <c r="C65" s="28" t="s">
        <v>1373</v>
      </c>
      <c r="D65" s="29" t="s">
        <v>1374</v>
      </c>
      <c r="E65" s="32" t="str">
        <f>IFERROR(__xludf.DUMMYFUNCTION("GOOGLETRANSLATE(D65,""zh-CN"",""vi"")"),"Tôi mệt và muốn nghỉ ngơi.")</f>
        <v>Tôi mệt và muốn nghỉ ngơi.</v>
      </c>
      <c r="F65" s="30" t="s">
        <v>1369</v>
      </c>
      <c r="G65" s="34" t="b">
        <f t="shared" si="1"/>
        <v>1</v>
      </c>
      <c r="H65" s="35" t="b">
        <v>1</v>
      </c>
      <c r="I65" s="35" t="b">
        <v>0</v>
      </c>
      <c r="J65" s="35" t="b">
        <v>0</v>
      </c>
      <c r="K65" s="35" t="b">
        <v>0</v>
      </c>
      <c r="L65" s="35" t="b">
        <v>0</v>
      </c>
      <c r="M65" s="35" t="b">
        <v>0</v>
      </c>
      <c r="N65" s="35" t="b">
        <v>0</v>
      </c>
      <c r="O65" s="35" t="b">
        <v>0</v>
      </c>
      <c r="P65" s="35" t="b">
        <v>0</v>
      </c>
      <c r="Q65" s="35" t="b">
        <v>0</v>
      </c>
      <c r="R65" s="14"/>
      <c r="S65" s="14"/>
      <c r="T65" s="14"/>
      <c r="U65" s="14"/>
      <c r="V65" s="14"/>
      <c r="W65" s="14"/>
    </row>
    <row r="66" ht="15.75" customHeight="1">
      <c r="A66" s="24" t="s">
        <v>1391</v>
      </c>
      <c r="B66" s="27" t="s">
        <v>1393</v>
      </c>
      <c r="C66" s="28" t="s">
        <v>1397</v>
      </c>
      <c r="D66" s="29" t="s">
        <v>1399</v>
      </c>
      <c r="E66" s="32" t="str">
        <f>IFERROR(__xludf.DUMMYFUNCTION("GOOGLETRANSLATE(D66,""zh-CN"",""vi"")"),"Trường học không xa nhà tôi lắm.")</f>
        <v>Trường học không xa nhà tôi lắm.</v>
      </c>
      <c r="F66" s="30" t="s">
        <v>1391</v>
      </c>
      <c r="G66" s="34" t="b">
        <f t="shared" si="1"/>
        <v>1</v>
      </c>
      <c r="H66" s="35" t="b">
        <v>1</v>
      </c>
      <c r="I66" s="35" t="b">
        <v>0</v>
      </c>
      <c r="J66" s="35" t="b">
        <v>0</v>
      </c>
      <c r="K66" s="35" t="b">
        <v>0</v>
      </c>
      <c r="L66" s="35" t="b">
        <v>0</v>
      </c>
      <c r="M66" s="35" t="b">
        <v>0</v>
      </c>
      <c r="N66" s="35" t="b">
        <v>0</v>
      </c>
      <c r="O66" s="35" t="b">
        <v>0</v>
      </c>
      <c r="P66" s="35" t="b">
        <v>0</v>
      </c>
      <c r="Q66" s="35" t="b">
        <v>0</v>
      </c>
      <c r="R66" s="14"/>
      <c r="S66" s="14"/>
      <c r="T66" s="14"/>
      <c r="U66" s="14"/>
      <c r="V66" s="14"/>
      <c r="W66" s="14"/>
    </row>
    <row r="67" ht="15.75" customHeight="1">
      <c r="A67" s="24" t="s">
        <v>1413</v>
      </c>
      <c r="B67" s="27" t="s">
        <v>1417</v>
      </c>
      <c r="C67" s="28" t="s">
        <v>1419</v>
      </c>
      <c r="D67" s="29" t="s">
        <v>1421</v>
      </c>
      <c r="E67" s="32" t="str">
        <f>IFERROR(__xludf.DUMMYFUNCTION("GOOGLETRANSLATE(D67,""zh-CN"",""vi"")"),"Tôi có hai em trai.")</f>
        <v>Tôi có hai em trai.</v>
      </c>
      <c r="F67" s="30" t="s">
        <v>1413</v>
      </c>
      <c r="G67" s="34" t="b">
        <f t="shared" si="1"/>
        <v>1</v>
      </c>
      <c r="H67" s="35" t="b">
        <v>1</v>
      </c>
      <c r="I67" s="35" t="b">
        <v>0</v>
      </c>
      <c r="J67" s="35" t="b">
        <v>0</v>
      </c>
      <c r="K67" s="35" t="b">
        <v>0</v>
      </c>
      <c r="L67" s="35" t="b">
        <v>0</v>
      </c>
      <c r="M67" s="35" t="b">
        <v>0</v>
      </c>
      <c r="N67" s="35" t="b">
        <v>0</v>
      </c>
      <c r="O67" s="35" t="b">
        <v>0</v>
      </c>
      <c r="P67" s="35" t="b">
        <v>0</v>
      </c>
      <c r="Q67" s="35" t="b">
        <v>0</v>
      </c>
      <c r="R67" s="14"/>
      <c r="S67" s="14"/>
      <c r="T67" s="14"/>
      <c r="U67" s="14"/>
      <c r="V67" s="14"/>
      <c r="W67" s="14"/>
    </row>
    <row r="68" ht="15.75" customHeight="1">
      <c r="A68" s="24" t="s">
        <v>1434</v>
      </c>
      <c r="B68" s="27" t="s">
        <v>1437</v>
      </c>
      <c r="C68" s="28" t="s">
        <v>1442</v>
      </c>
      <c r="D68" s="29" t="s">
        <v>1444</v>
      </c>
      <c r="E68" s="32" t="str">
        <f>IFERROR(__xludf.DUMMYFUNCTION("GOOGLETRANSLATE(D68,""zh-CN"",""vi"")"),"Con đường này rất dài.")</f>
        <v>Con đường này rất dài.</v>
      </c>
      <c r="F68" s="30" t="s">
        <v>1434</v>
      </c>
      <c r="G68" s="34" t="b">
        <f t="shared" si="1"/>
        <v>1</v>
      </c>
      <c r="H68" s="35" t="b">
        <v>1</v>
      </c>
      <c r="I68" s="35" t="b">
        <v>0</v>
      </c>
      <c r="J68" s="35" t="b">
        <v>0</v>
      </c>
      <c r="K68" s="35" t="b">
        <v>0</v>
      </c>
      <c r="L68" s="35" t="b">
        <v>0</v>
      </c>
      <c r="M68" s="35" t="b">
        <v>0</v>
      </c>
      <c r="N68" s="35" t="b">
        <v>0</v>
      </c>
      <c r="O68" s="35" t="b">
        <v>0</v>
      </c>
      <c r="P68" s="35" t="b">
        <v>0</v>
      </c>
      <c r="Q68" s="35" t="b">
        <v>0</v>
      </c>
      <c r="R68" s="14"/>
      <c r="S68" s="14"/>
      <c r="T68" s="14"/>
      <c r="U68" s="14"/>
      <c r="V68" s="14"/>
      <c r="W68" s="14"/>
    </row>
    <row r="69" ht="15.75" customHeight="1">
      <c r="A69" s="24" t="s">
        <v>1461</v>
      </c>
      <c r="B69" s="27" t="s">
        <v>1463</v>
      </c>
      <c r="C69" s="28" t="s">
        <v>1464</v>
      </c>
      <c r="D69" s="29" t="s">
        <v>1465</v>
      </c>
      <c r="E69" s="32" t="str">
        <f>IFERROR(__xludf.DUMMYFUNCTION("GOOGLETRANSLATE(D69,""zh-CN"",""vi"")"),"Tôi thích đi du lịch.")</f>
        <v>Tôi thích đi du lịch.</v>
      </c>
      <c r="F69" s="30" t="s">
        <v>1461</v>
      </c>
      <c r="G69" s="34" t="b">
        <f t="shared" si="1"/>
        <v>1</v>
      </c>
      <c r="H69" s="35" t="b">
        <v>1</v>
      </c>
      <c r="I69" s="35" t="b">
        <v>0</v>
      </c>
      <c r="J69" s="35" t="b">
        <v>0</v>
      </c>
      <c r="K69" s="35" t="b">
        <v>0</v>
      </c>
      <c r="L69" s="35" t="b">
        <v>0</v>
      </c>
      <c r="M69" s="35" t="b">
        <v>0</v>
      </c>
      <c r="N69" s="35" t="b">
        <v>0</v>
      </c>
      <c r="O69" s="35" t="b">
        <v>0</v>
      </c>
      <c r="P69" s="35" t="b">
        <v>0</v>
      </c>
      <c r="Q69" s="35" t="b">
        <v>0</v>
      </c>
      <c r="R69" s="14"/>
      <c r="S69" s="14"/>
      <c r="T69" s="14"/>
      <c r="U69" s="14"/>
      <c r="V69" s="14"/>
      <c r="W69" s="14"/>
    </row>
    <row r="70" ht="15.75" customHeight="1">
      <c r="A70" s="24" t="s">
        <v>1481</v>
      </c>
      <c r="B70" s="27" t="s">
        <v>1483</v>
      </c>
      <c r="C70" s="28" t="s">
        <v>1484</v>
      </c>
      <c r="D70" s="29" t="s">
        <v>1485</v>
      </c>
      <c r="E70" s="32" t="str">
        <f>IFERROR(__xludf.DUMMYFUNCTION("GOOGLETRANSLATE(D70,""zh-CN"",""vi"")"),"Anh ấy bán hàng trong cửa hàng.")</f>
        <v>Anh ấy bán hàng trong cửa hàng.</v>
      </c>
      <c r="F70" s="30" t="s">
        <v>1481</v>
      </c>
      <c r="G70" s="34" t="b">
        <f t="shared" si="1"/>
        <v>1</v>
      </c>
      <c r="H70" s="35" t="b">
        <v>1</v>
      </c>
      <c r="I70" s="35" t="b">
        <v>0</v>
      </c>
      <c r="J70" s="35" t="b">
        <v>0</v>
      </c>
      <c r="K70" s="35" t="b">
        <v>0</v>
      </c>
      <c r="L70" s="35" t="b">
        <v>0</v>
      </c>
      <c r="M70" s="35" t="b">
        <v>0</v>
      </c>
      <c r="N70" s="35" t="b">
        <v>0</v>
      </c>
      <c r="O70" s="35" t="b">
        <v>0</v>
      </c>
      <c r="P70" s="35" t="b">
        <v>0</v>
      </c>
      <c r="Q70" s="35" t="b">
        <v>0</v>
      </c>
      <c r="R70" s="14"/>
      <c r="S70" s="14"/>
      <c r="T70" s="14"/>
      <c r="U70" s="14"/>
      <c r="V70" s="14"/>
      <c r="W70" s="14"/>
    </row>
    <row r="71" ht="15.75" customHeight="1">
      <c r="A71" s="24" t="s">
        <v>1497</v>
      </c>
      <c r="B71" s="27" t="s">
        <v>1498</v>
      </c>
      <c r="C71" s="28" t="s">
        <v>1501</v>
      </c>
      <c r="D71" s="29" t="s">
        <v>1503</v>
      </c>
      <c r="E71" s="32" t="str">
        <f>IFERROR(__xludf.DUMMYFUNCTION("GOOGLETRANSLATE(D71,""zh-CN"",""vi"")"),"Anh ta bước đi rất chậm.")</f>
        <v>Anh ta bước đi rất chậm.</v>
      </c>
      <c r="F71" s="30" t="s">
        <v>1497</v>
      </c>
      <c r="G71" s="34" t="b">
        <f t="shared" si="1"/>
        <v>1</v>
      </c>
      <c r="H71" s="35" t="b">
        <v>1</v>
      </c>
      <c r="I71" s="35" t="b">
        <v>0</v>
      </c>
      <c r="J71" s="35" t="b">
        <v>0</v>
      </c>
      <c r="K71" s="35" t="b">
        <v>0</v>
      </c>
      <c r="L71" s="35" t="b">
        <v>0</v>
      </c>
      <c r="M71" s="35" t="b">
        <v>0</v>
      </c>
      <c r="N71" s="35" t="b">
        <v>0</v>
      </c>
      <c r="O71" s="35" t="b">
        <v>0</v>
      </c>
      <c r="P71" s="35" t="b">
        <v>0</v>
      </c>
      <c r="Q71" s="35" t="b">
        <v>0</v>
      </c>
      <c r="R71" s="14"/>
      <c r="S71" s="14"/>
      <c r="T71" s="14"/>
      <c r="U71" s="14"/>
      <c r="V71" s="14"/>
      <c r="W71" s="14"/>
    </row>
    <row r="72" ht="15.75" customHeight="1">
      <c r="A72" s="24" t="s">
        <v>1517</v>
      </c>
      <c r="B72" s="27" t="s">
        <v>1518</v>
      </c>
      <c r="C72" s="28" t="s">
        <v>1521</v>
      </c>
      <c r="D72" s="29" t="s">
        <v>1523</v>
      </c>
      <c r="E72" s="32" t="str">
        <f>IFERROR(__xludf.DUMMYFUNCTION("GOOGLETRANSLATE(D72,""zh-CN"",""vi"")"),"Hôm nay tôi rất bận.")</f>
        <v>Hôm nay tôi rất bận.</v>
      </c>
      <c r="F72" s="30" t="s">
        <v>1517</v>
      </c>
      <c r="G72" s="34" t="b">
        <f t="shared" si="1"/>
        <v>1</v>
      </c>
      <c r="H72" s="35" t="b">
        <v>1</v>
      </c>
      <c r="I72" s="35" t="b">
        <v>0</v>
      </c>
      <c r="J72" s="35" t="b">
        <v>0</v>
      </c>
      <c r="K72" s="35" t="b">
        <v>0</v>
      </c>
      <c r="L72" s="35" t="b">
        <v>0</v>
      </c>
      <c r="M72" s="35" t="b">
        <v>0</v>
      </c>
      <c r="N72" s="35" t="b">
        <v>0</v>
      </c>
      <c r="O72" s="35" t="b">
        <v>0</v>
      </c>
      <c r="P72" s="35" t="b">
        <v>0</v>
      </c>
      <c r="Q72" s="35" t="b">
        <v>0</v>
      </c>
      <c r="R72" s="14"/>
      <c r="S72" s="14"/>
      <c r="T72" s="14"/>
      <c r="U72" s="14"/>
      <c r="V72" s="14"/>
      <c r="W72" s="14"/>
    </row>
    <row r="73" ht="15.75" customHeight="1">
      <c r="A73" s="24" t="s">
        <v>1552</v>
      </c>
      <c r="B73" s="27" t="s">
        <v>1559</v>
      </c>
      <c r="C73" s="28" t="s">
        <v>1561</v>
      </c>
      <c r="D73" s="29" t="s">
        <v>1563</v>
      </c>
      <c r="E73" s="32" t="str">
        <f>IFERROR(__xludf.DUMMYFUNCTION("GOOGLETRANSLATE(D73,""zh-CN"",""vi"")"),"Ai cũng có cơ hội.")</f>
        <v>Ai cũng có cơ hội.</v>
      </c>
      <c r="F73" s="30" t="s">
        <v>1552</v>
      </c>
      <c r="G73" s="34" t="b">
        <f t="shared" si="1"/>
        <v>1</v>
      </c>
      <c r="H73" s="35" t="b">
        <v>1</v>
      </c>
      <c r="I73" s="35" t="b">
        <v>0</v>
      </c>
      <c r="J73" s="35" t="b">
        <v>0</v>
      </c>
      <c r="K73" s="35" t="b">
        <v>0</v>
      </c>
      <c r="L73" s="35" t="b">
        <v>0</v>
      </c>
      <c r="M73" s="35" t="b">
        <v>0</v>
      </c>
      <c r="N73" s="35" t="b">
        <v>0</v>
      </c>
      <c r="O73" s="35" t="b">
        <v>0</v>
      </c>
      <c r="P73" s="35" t="b">
        <v>0</v>
      </c>
      <c r="Q73" s="35" t="b">
        <v>0</v>
      </c>
      <c r="R73" s="14"/>
      <c r="S73" s="14"/>
      <c r="T73" s="14"/>
      <c r="U73" s="14"/>
      <c r="V73" s="14"/>
      <c r="W73" s="14"/>
    </row>
    <row r="74" ht="15.75" customHeight="1">
      <c r="A74" s="24" t="s">
        <v>1584</v>
      </c>
      <c r="B74" s="27" t="s">
        <v>1586</v>
      </c>
      <c r="C74" s="28" t="s">
        <v>1589</v>
      </c>
      <c r="D74" s="29" t="s">
        <v>1592</v>
      </c>
      <c r="E74" s="32" t="str">
        <f>IFERROR(__xludf.DUMMYFUNCTION("GOOGLETRANSLATE(D74,""zh-CN"",""vi"")"),"Em gái tôi đang hát.")</f>
        <v>Em gái tôi đang hát.</v>
      </c>
      <c r="F74" s="30" t="s">
        <v>1584</v>
      </c>
      <c r="G74" s="34" t="b">
        <f t="shared" si="1"/>
        <v>1</v>
      </c>
      <c r="H74" s="35" t="b">
        <v>1</v>
      </c>
      <c r="I74" s="35" t="b">
        <v>0</v>
      </c>
      <c r="J74" s="35" t="b">
        <v>0</v>
      </c>
      <c r="K74" s="35" t="b">
        <v>0</v>
      </c>
      <c r="L74" s="35" t="b">
        <v>0</v>
      </c>
      <c r="M74" s="35" t="b">
        <v>0</v>
      </c>
      <c r="N74" s="35" t="b">
        <v>0</v>
      </c>
      <c r="O74" s="35" t="b">
        <v>0</v>
      </c>
      <c r="P74" s="35" t="b">
        <v>0</v>
      </c>
      <c r="Q74" s="35" t="b">
        <v>0</v>
      </c>
      <c r="R74" s="14"/>
      <c r="S74" s="14"/>
      <c r="T74" s="14"/>
      <c r="U74" s="14"/>
      <c r="V74" s="14"/>
      <c r="W74" s="14"/>
    </row>
    <row r="75" ht="15.75" customHeight="1">
      <c r="A75" s="24" t="s">
        <v>1605</v>
      </c>
      <c r="B75" s="27" t="s">
        <v>1606</v>
      </c>
      <c r="C75" s="28" t="s">
        <v>1608</v>
      </c>
      <c r="D75" s="29" t="s">
        <v>1610</v>
      </c>
      <c r="E75" s="32" t="str">
        <f>IFERROR(__xludf.DUMMYFUNCTION("GOOGLETRANSLATE(D75,""zh-CN"",""vi"")"),"Anh ta đứng ở cửa.")</f>
        <v>Anh ta đứng ở cửa.</v>
      </c>
      <c r="F75" s="30" t="s">
        <v>1605</v>
      </c>
      <c r="G75" s="34" t="b">
        <f t="shared" si="1"/>
        <v>1</v>
      </c>
      <c r="H75" s="35" t="b">
        <v>1</v>
      </c>
      <c r="I75" s="35" t="b">
        <v>0</v>
      </c>
      <c r="J75" s="35" t="b">
        <v>0</v>
      </c>
      <c r="K75" s="35" t="b">
        <v>0</v>
      </c>
      <c r="L75" s="35" t="b">
        <v>0</v>
      </c>
      <c r="M75" s="35" t="b">
        <v>0</v>
      </c>
      <c r="N75" s="35" t="b">
        <v>0</v>
      </c>
      <c r="O75" s="35" t="b">
        <v>0</v>
      </c>
      <c r="P75" s="35" t="b">
        <v>0</v>
      </c>
      <c r="Q75" s="35" t="b">
        <v>0</v>
      </c>
      <c r="R75" s="14"/>
      <c r="S75" s="14"/>
      <c r="T75" s="14"/>
      <c r="U75" s="14"/>
      <c r="V75" s="14"/>
      <c r="W75" s="14"/>
    </row>
    <row r="76" ht="15.75" customHeight="1">
      <c r="A76" s="24" t="s">
        <v>1624</v>
      </c>
      <c r="B76" s="27" t="s">
        <v>1625</v>
      </c>
      <c r="C76" s="28" t="s">
        <v>1626</v>
      </c>
      <c r="D76" s="29" t="s">
        <v>1627</v>
      </c>
      <c r="E76" s="32" t="str">
        <f>IFERROR(__xludf.DUMMYFUNCTION("GOOGLETRANSLATE(D76,""zh-CN"",""vi"")"),"Người đàn ông đó rất cao.")</f>
        <v>Người đàn ông đó rất cao.</v>
      </c>
      <c r="F76" s="30" t="s">
        <v>1624</v>
      </c>
      <c r="G76" s="34" t="b">
        <f t="shared" si="1"/>
        <v>1</v>
      </c>
      <c r="H76" s="35" t="b">
        <v>1</v>
      </c>
      <c r="I76" s="35" t="b">
        <v>0</v>
      </c>
      <c r="J76" s="35" t="b">
        <v>0</v>
      </c>
      <c r="K76" s="35" t="b">
        <v>0</v>
      </c>
      <c r="L76" s="35" t="b">
        <v>0</v>
      </c>
      <c r="M76" s="35" t="b">
        <v>0</v>
      </c>
      <c r="N76" s="35" t="b">
        <v>0</v>
      </c>
      <c r="O76" s="35" t="b">
        <v>0</v>
      </c>
      <c r="P76" s="35" t="b">
        <v>0</v>
      </c>
      <c r="Q76" s="35" t="b">
        <v>0</v>
      </c>
      <c r="R76" s="14"/>
      <c r="S76" s="14"/>
      <c r="T76" s="14"/>
      <c r="U76" s="14"/>
      <c r="V76" s="14"/>
      <c r="W76" s="14"/>
    </row>
    <row r="77" ht="15.75" customHeight="1">
      <c r="A77" s="24" t="s">
        <v>1641</v>
      </c>
      <c r="B77" s="27" t="s">
        <v>1644</v>
      </c>
      <c r="C77" s="28" t="s">
        <v>1649</v>
      </c>
      <c r="D77" s="29" t="s">
        <v>1651</v>
      </c>
      <c r="E77" s="32" t="str">
        <f>IFERROR(__xludf.DUMMYFUNCTION("GOOGLETRANSLATE(D77,""zh-CN"",""vi"")"),"Chào, mời vào.")</f>
        <v>Chào, mời vào.</v>
      </c>
      <c r="F77" s="30" t="s">
        <v>1641</v>
      </c>
      <c r="G77" s="34" t="b">
        <f t="shared" si="1"/>
        <v>1</v>
      </c>
      <c r="H77" s="35" t="b">
        <v>1</v>
      </c>
      <c r="I77" s="35" t="b">
        <v>0</v>
      </c>
      <c r="J77" s="35" t="b">
        <v>0</v>
      </c>
      <c r="K77" s="35" t="b">
        <v>0</v>
      </c>
      <c r="L77" s="35" t="b">
        <v>0</v>
      </c>
      <c r="M77" s="35" t="b">
        <v>0</v>
      </c>
      <c r="N77" s="35" t="b">
        <v>0</v>
      </c>
      <c r="O77" s="35" t="b">
        <v>0</v>
      </c>
      <c r="P77" s="35" t="b">
        <v>0</v>
      </c>
      <c r="Q77" s="35" t="b">
        <v>0</v>
      </c>
      <c r="R77" s="14"/>
      <c r="S77" s="14"/>
      <c r="T77" s="14"/>
      <c r="U77" s="14"/>
      <c r="V77" s="14"/>
      <c r="W77" s="14"/>
    </row>
    <row r="78" ht="15.75" customHeight="1">
      <c r="A78" s="24" t="s">
        <v>1666</v>
      </c>
      <c r="B78" s="27" t="s">
        <v>1668</v>
      </c>
      <c r="C78" s="28" t="s">
        <v>1671</v>
      </c>
      <c r="D78" s="29" t="s">
        <v>1672</v>
      </c>
      <c r="E78" s="32" t="str">
        <f>IFERROR(__xludf.DUMMYFUNCTION("GOOGLETRANSLATE(D78,""zh-CN"",""vi"")"),"Tôi uống sữa mỗi sáng.")</f>
        <v>Tôi uống sữa mỗi sáng.</v>
      </c>
      <c r="F78" s="30" t="s">
        <v>1666</v>
      </c>
      <c r="G78" s="34" t="b">
        <f t="shared" si="1"/>
        <v>1</v>
      </c>
      <c r="H78" s="35" t="b">
        <v>1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14"/>
      <c r="S78" s="14"/>
      <c r="T78" s="14"/>
      <c r="U78" s="14"/>
      <c r="V78" s="14"/>
      <c r="W78" s="14"/>
    </row>
    <row r="79" ht="15.75" customHeight="1">
      <c r="A79" s="24" t="s">
        <v>1685</v>
      </c>
      <c r="B79" s="27" t="s">
        <v>1686</v>
      </c>
      <c r="C79" s="28" t="s">
        <v>1687</v>
      </c>
      <c r="D79" s="29" t="s">
        <v>1688</v>
      </c>
      <c r="E79" s="32" t="str">
        <f>IFERROR(__xludf.DUMMYFUNCTION("GOOGLETRANSLATE(D79,""zh-CN"",""vi"")"),"Người phụ nữ đó là mẹ tôi.")</f>
        <v>Người phụ nữ đó là mẹ tôi.</v>
      </c>
      <c r="F79" s="30" t="s">
        <v>1685</v>
      </c>
      <c r="G79" s="34" t="b">
        <f t="shared" si="1"/>
        <v>1</v>
      </c>
      <c r="H79" s="35" t="b">
        <v>1</v>
      </c>
      <c r="I79" s="35" t="b">
        <v>0</v>
      </c>
      <c r="J79" s="35" t="b">
        <v>0</v>
      </c>
      <c r="K79" s="35" t="b">
        <v>0</v>
      </c>
      <c r="L79" s="35" t="b">
        <v>0</v>
      </c>
      <c r="M79" s="35" t="b">
        <v>0</v>
      </c>
      <c r="N79" s="35" t="b">
        <v>0</v>
      </c>
      <c r="O79" s="35" t="b">
        <v>0</v>
      </c>
      <c r="P79" s="35" t="b">
        <v>0</v>
      </c>
      <c r="Q79" s="35" t="b">
        <v>0</v>
      </c>
      <c r="R79" s="14"/>
      <c r="S79" s="14"/>
      <c r="T79" s="14"/>
      <c r="U79" s="14"/>
      <c r="V79" s="14"/>
      <c r="W79" s="14"/>
    </row>
    <row r="80" ht="15.75" customHeight="1">
      <c r="A80" s="24" t="s">
        <v>1704</v>
      </c>
      <c r="B80" s="27" t="s">
        <v>1705</v>
      </c>
      <c r="C80" s="28" t="s">
        <v>1706</v>
      </c>
      <c r="D80" s="29" t="s">
        <v>1708</v>
      </c>
      <c r="E80" s="32" t="str">
        <f>IFERROR(__xludf.DUMMYFUNCTION("GOOGLETRANSLATE(D80,""zh-CN"",""vi"")"),"Trường học nằm ngay cạnh nhà tôi.")</f>
        <v>Trường học nằm ngay cạnh nhà tôi.</v>
      </c>
      <c r="F80" s="30" t="s">
        <v>1704</v>
      </c>
      <c r="G80" s="34" t="b">
        <f t="shared" si="1"/>
        <v>1</v>
      </c>
      <c r="H80" s="35" t="b">
        <v>1</v>
      </c>
      <c r="I80" s="35" t="b">
        <v>0</v>
      </c>
      <c r="J80" s="35" t="b">
        <v>0</v>
      </c>
      <c r="K80" s="35" t="b">
        <v>0</v>
      </c>
      <c r="L80" s="35" t="b">
        <v>0</v>
      </c>
      <c r="M80" s="35" t="b">
        <v>0</v>
      </c>
      <c r="N80" s="35" t="b">
        <v>0</v>
      </c>
      <c r="O80" s="35" t="b">
        <v>0</v>
      </c>
      <c r="P80" s="35" t="b">
        <v>0</v>
      </c>
      <c r="Q80" s="35" t="b">
        <v>0</v>
      </c>
      <c r="R80" s="14"/>
      <c r="S80" s="14"/>
      <c r="T80" s="14"/>
      <c r="U80" s="14"/>
      <c r="V80" s="14"/>
      <c r="W80" s="14"/>
    </row>
    <row r="81" ht="15.75" customHeight="1">
      <c r="A81" s="24" t="s">
        <v>1722</v>
      </c>
      <c r="B81" s="27" t="s">
        <v>1723</v>
      </c>
      <c r="C81" s="28" t="s">
        <v>1724</v>
      </c>
      <c r="D81" s="29" t="s">
        <v>1726</v>
      </c>
      <c r="E81" s="32" t="str">
        <f>IFERROR(__xludf.DUMMYFUNCTION("GOOGLETRANSLATE(D81,""zh-CN"",""vi"")"),"Tôi chạy bộ mỗi sáng.")</f>
        <v>Tôi chạy bộ mỗi sáng.</v>
      </c>
      <c r="F81" s="30" t="s">
        <v>1722</v>
      </c>
      <c r="G81" s="34" t="b">
        <f t="shared" si="1"/>
        <v>1</v>
      </c>
      <c r="H81" s="35" t="b">
        <v>1</v>
      </c>
      <c r="I81" s="35" t="b">
        <v>0</v>
      </c>
      <c r="J81" s="35" t="b">
        <v>0</v>
      </c>
      <c r="K81" s="35" t="b">
        <v>0</v>
      </c>
      <c r="L81" s="35" t="b">
        <v>0</v>
      </c>
      <c r="M81" s="35" t="b">
        <v>0</v>
      </c>
      <c r="N81" s="35" t="b">
        <v>0</v>
      </c>
      <c r="O81" s="35" t="b">
        <v>0</v>
      </c>
      <c r="P81" s="35" t="b">
        <v>0</v>
      </c>
      <c r="Q81" s="35" t="b">
        <v>0</v>
      </c>
      <c r="R81" s="14"/>
      <c r="S81" s="14"/>
      <c r="T81" s="14"/>
      <c r="U81" s="14"/>
      <c r="V81" s="14"/>
      <c r="W81" s="14"/>
    </row>
    <row r="82" ht="15.75" customHeight="1">
      <c r="A82" s="24" t="s">
        <v>1739</v>
      </c>
      <c r="B82" s="27" t="s">
        <v>1741</v>
      </c>
      <c r="C82" s="28" t="s">
        <v>1744</v>
      </c>
      <c r="D82" s="29" t="s">
        <v>1748</v>
      </c>
      <c r="E82" s="32" t="str">
        <f>IFERROR(__xludf.DUMMYFUNCTION("GOOGLETRANSLATE(D82,""zh-CN"",""vi"")"),"Món đồ này rất rẻ.")</f>
        <v>Món đồ này rất rẻ.</v>
      </c>
      <c r="F82" s="30" t="s">
        <v>1739</v>
      </c>
      <c r="G82" s="34" t="b">
        <f t="shared" si="1"/>
        <v>1</v>
      </c>
      <c r="H82" s="35" t="b">
        <v>1</v>
      </c>
      <c r="I82" s="35" t="b">
        <v>0</v>
      </c>
      <c r="J82" s="35" t="b">
        <v>0</v>
      </c>
      <c r="K82" s="35" t="b">
        <v>0</v>
      </c>
      <c r="L82" s="35" t="b">
        <v>0</v>
      </c>
      <c r="M82" s="35" t="b">
        <v>0</v>
      </c>
      <c r="N82" s="35" t="b">
        <v>0</v>
      </c>
      <c r="O82" s="35" t="b">
        <v>0</v>
      </c>
      <c r="P82" s="35" t="b">
        <v>0</v>
      </c>
      <c r="Q82" s="35" t="b">
        <v>0</v>
      </c>
      <c r="R82" s="14"/>
      <c r="S82" s="14"/>
      <c r="T82" s="14"/>
      <c r="U82" s="14"/>
      <c r="V82" s="14"/>
      <c r="W82" s="14"/>
    </row>
    <row r="83" ht="15.75" customHeight="1">
      <c r="A83" s="24" t="s">
        <v>1770</v>
      </c>
      <c r="B83" s="27" t="s">
        <v>1771</v>
      </c>
      <c r="C83" s="28" t="s">
        <v>1772</v>
      </c>
      <c r="D83" s="29" t="s">
        <v>1773</v>
      </c>
      <c r="E83" s="32" t="str">
        <f>IFERROR(__xludf.DUMMYFUNCTION("GOOGLETRANSLATE(D83,""zh-CN"",""vi"")"),"Tôi đã mua hai vé xem phim.")</f>
        <v>Tôi đã mua hai vé xem phim.</v>
      </c>
      <c r="F83" s="30" t="s">
        <v>1770</v>
      </c>
      <c r="G83" s="34" t="b">
        <f t="shared" si="1"/>
        <v>1</v>
      </c>
      <c r="H83" s="35" t="b">
        <v>1</v>
      </c>
      <c r="I83" s="35" t="b">
        <v>0</v>
      </c>
      <c r="J83" s="35" t="b">
        <v>0</v>
      </c>
      <c r="K83" s="35" t="b">
        <v>0</v>
      </c>
      <c r="L83" s="35" t="b">
        <v>0</v>
      </c>
      <c r="M83" s="35" t="b">
        <v>0</v>
      </c>
      <c r="N83" s="35" t="b">
        <v>0</v>
      </c>
      <c r="O83" s="35" t="b">
        <v>0</v>
      </c>
      <c r="P83" s="35" t="b">
        <v>0</v>
      </c>
      <c r="Q83" s="35" t="b">
        <v>0</v>
      </c>
      <c r="R83" s="14"/>
      <c r="S83" s="14"/>
      <c r="T83" s="14"/>
      <c r="U83" s="14"/>
      <c r="V83" s="14"/>
      <c r="W83" s="14"/>
    </row>
    <row r="84" ht="15.75" customHeight="1">
      <c r="A84" s="24" t="s">
        <v>1787</v>
      </c>
      <c r="B84" s="27" t="s">
        <v>1789</v>
      </c>
      <c r="C84" s="28" t="s">
        <v>1792</v>
      </c>
      <c r="D84" s="29" t="s">
        <v>1793</v>
      </c>
      <c r="E84" s="32" t="str">
        <f>IFERROR(__xludf.DUMMYFUNCTION("GOOGLETRANSLATE(D84,""zh-CN"",""vi"")"),"Đây là vợ tôi.")</f>
        <v>Đây là vợ tôi.</v>
      </c>
      <c r="F84" s="30" t="s">
        <v>1787</v>
      </c>
      <c r="G84" s="34" t="b">
        <f t="shared" si="1"/>
        <v>1</v>
      </c>
      <c r="H84" s="35" t="b">
        <v>1</v>
      </c>
      <c r="I84" s="35" t="b">
        <v>0</v>
      </c>
      <c r="J84" s="35" t="b">
        <v>0</v>
      </c>
      <c r="K84" s="35" t="b">
        <v>0</v>
      </c>
      <c r="L84" s="35" t="b">
        <v>0</v>
      </c>
      <c r="M84" s="35" t="b">
        <v>0</v>
      </c>
      <c r="N84" s="35" t="b">
        <v>0</v>
      </c>
      <c r="O84" s="35" t="b">
        <v>0</v>
      </c>
      <c r="P84" s="35" t="b">
        <v>0</v>
      </c>
      <c r="Q84" s="35" t="b">
        <v>0</v>
      </c>
      <c r="R84" s="14"/>
      <c r="S84" s="14"/>
      <c r="T84" s="14"/>
      <c r="U84" s="14"/>
      <c r="V84" s="14"/>
      <c r="W84" s="14"/>
    </row>
    <row r="85" ht="15.75" customHeight="1">
      <c r="A85" s="24" t="s">
        <v>1803</v>
      </c>
      <c r="B85" s="27" t="s">
        <v>1805</v>
      </c>
      <c r="C85" s="28" t="s">
        <v>1808</v>
      </c>
      <c r="D85" s="29" t="s">
        <v>1809</v>
      </c>
      <c r="E85" s="32" t="str">
        <f>IFERROR(__xludf.DUMMYFUNCTION("GOOGLETRANSLATE(D85,""zh-CN"",""vi"")"),"Tôi thức dậy lúc sáu giờ mỗi ngày.")</f>
        <v>Tôi thức dậy lúc sáu giờ mỗi ngày.</v>
      </c>
      <c r="F85" s="30" t="s">
        <v>1803</v>
      </c>
      <c r="G85" s="34" t="b">
        <f t="shared" si="1"/>
        <v>1</v>
      </c>
      <c r="H85" s="35" t="b">
        <v>1</v>
      </c>
      <c r="I85" s="35" t="b">
        <v>0</v>
      </c>
      <c r="J85" s="35" t="b">
        <v>0</v>
      </c>
      <c r="K85" s="35" t="b">
        <v>0</v>
      </c>
      <c r="L85" s="35" t="b">
        <v>0</v>
      </c>
      <c r="M85" s="35" t="b">
        <v>0</v>
      </c>
      <c r="N85" s="35" t="b">
        <v>0</v>
      </c>
      <c r="O85" s="35" t="b">
        <v>0</v>
      </c>
      <c r="P85" s="35" t="b">
        <v>0</v>
      </c>
      <c r="Q85" s="35" t="b">
        <v>0</v>
      </c>
      <c r="R85" s="14"/>
      <c r="S85" s="14"/>
      <c r="T85" s="14"/>
      <c r="U85" s="14"/>
      <c r="V85" s="14"/>
      <c r="W85" s="14"/>
    </row>
    <row r="86" ht="15.75" customHeight="1">
      <c r="A86" s="24" t="s">
        <v>1819</v>
      </c>
      <c r="B86" s="27" t="s">
        <v>1820</v>
      </c>
      <c r="C86" s="28" t="s">
        <v>1823</v>
      </c>
      <c r="D86" s="29" t="s">
        <v>1825</v>
      </c>
      <c r="E86" s="32" t="str">
        <f>IFERROR(__xludf.DUMMYFUNCTION("GOOGLETRANSLATE(D86,""zh-CN"",""vi"")"),"Tôi có một nghìn đô la.")</f>
        <v>Tôi có một nghìn đô la.</v>
      </c>
      <c r="F86" s="30" t="s">
        <v>1819</v>
      </c>
      <c r="G86" s="34" t="b">
        <f t="shared" si="1"/>
        <v>1</v>
      </c>
      <c r="H86" s="35" t="b">
        <v>1</v>
      </c>
      <c r="I86" s="35" t="b">
        <v>0</v>
      </c>
      <c r="J86" s="35" t="b">
        <v>0</v>
      </c>
      <c r="K86" s="35" t="b">
        <v>0</v>
      </c>
      <c r="L86" s="35" t="b">
        <v>0</v>
      </c>
      <c r="M86" s="35" t="b">
        <v>0</v>
      </c>
      <c r="N86" s="35" t="b">
        <v>0</v>
      </c>
      <c r="O86" s="35" t="b">
        <v>0</v>
      </c>
      <c r="P86" s="35" t="b">
        <v>0</v>
      </c>
      <c r="Q86" s="35" t="b">
        <v>0</v>
      </c>
      <c r="R86" s="14"/>
      <c r="S86" s="14"/>
      <c r="T86" s="14"/>
      <c r="U86" s="14"/>
      <c r="V86" s="14"/>
      <c r="W86" s="14"/>
    </row>
    <row r="87" ht="15.75" customHeight="1">
      <c r="A87" s="24" t="s">
        <v>1842</v>
      </c>
      <c r="B87" s="27" t="s">
        <v>1843</v>
      </c>
      <c r="C87" s="28" t="s">
        <v>1844</v>
      </c>
      <c r="D87" s="29" t="s">
        <v>1845</v>
      </c>
      <c r="E87" s="32" t="str">
        <f>IFERROR(__xludf.DUMMYFUNCTION("GOOGLETRANSLATE(D87,""zh-CN"",""vi"")"),"Trời nắng.")</f>
        <v>Trời nắng.</v>
      </c>
      <c r="F87" s="30" t="s">
        <v>1842</v>
      </c>
      <c r="G87" s="34" t="b">
        <f t="shared" si="1"/>
        <v>1</v>
      </c>
      <c r="H87" s="35" t="b">
        <v>1</v>
      </c>
      <c r="I87" s="35" t="b">
        <v>0</v>
      </c>
      <c r="J87" s="35" t="b">
        <v>0</v>
      </c>
      <c r="K87" s="35" t="b">
        <v>0</v>
      </c>
      <c r="L87" s="35" t="b">
        <v>0</v>
      </c>
      <c r="M87" s="35" t="b">
        <v>0</v>
      </c>
      <c r="N87" s="35" t="b">
        <v>0</v>
      </c>
      <c r="O87" s="35" t="b">
        <v>0</v>
      </c>
      <c r="P87" s="35" t="b">
        <v>0</v>
      </c>
      <c r="Q87" s="35" t="b">
        <v>0</v>
      </c>
      <c r="R87" s="14"/>
      <c r="S87" s="14"/>
      <c r="T87" s="14"/>
      <c r="U87" s="14"/>
      <c r="V87" s="14"/>
      <c r="W87" s="14"/>
    </row>
    <row r="88" ht="15.75" customHeight="1">
      <c r="A88" s="24" t="s">
        <v>1858</v>
      </c>
      <c r="B88" s="27" t="s">
        <v>1859</v>
      </c>
      <c r="C88" s="28" t="s">
        <v>1861</v>
      </c>
      <c r="D88" s="29" t="s">
        <v>1863</v>
      </c>
      <c r="E88" s="32" t="str">
        <f>IFERROR(__xludf.DUMMYFUNCTION("GOOGLETRANSLATE(D88,""zh-CN"",""vi"")"),"Tôi đã đến Trung Quốc năm ngoái.")</f>
        <v>Tôi đã đến Trung Quốc năm ngoái.</v>
      </c>
      <c r="F88" s="30" t="s">
        <v>1858</v>
      </c>
      <c r="G88" s="34" t="b">
        <f t="shared" si="1"/>
        <v>1</v>
      </c>
      <c r="H88" s="35" t="b">
        <v>1</v>
      </c>
      <c r="I88" s="35" t="b">
        <v>0</v>
      </c>
      <c r="J88" s="35" t="b">
        <v>0</v>
      </c>
      <c r="K88" s="35" t="b">
        <v>0</v>
      </c>
      <c r="L88" s="35" t="b">
        <v>0</v>
      </c>
      <c r="M88" s="35" t="b">
        <v>0</v>
      </c>
      <c r="N88" s="35" t="b">
        <v>0</v>
      </c>
      <c r="O88" s="35" t="b">
        <v>0</v>
      </c>
      <c r="P88" s="35" t="b">
        <v>0</v>
      </c>
      <c r="Q88" s="35" t="b">
        <v>0</v>
      </c>
      <c r="R88" s="14"/>
      <c r="S88" s="14"/>
      <c r="T88" s="14"/>
      <c r="U88" s="14"/>
      <c r="V88" s="14"/>
      <c r="W88" s="14"/>
    </row>
    <row r="89" ht="15.75" customHeight="1">
      <c r="A89" s="24" t="s">
        <v>1882</v>
      </c>
      <c r="B89" s="27" t="s">
        <v>1883</v>
      </c>
      <c r="C89" s="28" t="s">
        <v>1885</v>
      </c>
      <c r="D89" s="29" t="s">
        <v>1887</v>
      </c>
      <c r="E89" s="32" t="str">
        <f>IFERROR(__xludf.DUMMYFUNCTION("GOOGLETRANSLATE(D89,""zh-CN"",""vi"")"),"Hãy cho anh ấy vào.")</f>
        <v>Hãy cho anh ấy vào.</v>
      </c>
      <c r="F89" s="30" t="s">
        <v>1882</v>
      </c>
      <c r="G89" s="34" t="b">
        <f t="shared" si="1"/>
        <v>1</v>
      </c>
      <c r="H89" s="35" t="b">
        <v>1</v>
      </c>
      <c r="I89" s="35" t="b">
        <v>0</v>
      </c>
      <c r="J89" s="35" t="b">
        <v>0</v>
      </c>
      <c r="K89" s="35" t="b">
        <v>0</v>
      </c>
      <c r="L89" s="35" t="b">
        <v>0</v>
      </c>
      <c r="M89" s="35" t="b">
        <v>0</v>
      </c>
      <c r="N89" s="35" t="b">
        <v>0</v>
      </c>
      <c r="O89" s="35" t="b">
        <v>0</v>
      </c>
      <c r="P89" s="35" t="b">
        <v>0</v>
      </c>
      <c r="Q89" s="35" t="b">
        <v>0</v>
      </c>
      <c r="R89" s="14"/>
      <c r="S89" s="14"/>
      <c r="T89" s="14"/>
      <c r="U89" s="14"/>
      <c r="V89" s="14"/>
      <c r="W89" s="14"/>
    </row>
    <row r="90" ht="15.75" customHeight="1">
      <c r="A90" s="24" t="s">
        <v>1903</v>
      </c>
      <c r="B90" s="27" t="s">
        <v>1905</v>
      </c>
      <c r="C90" s="28" t="s">
        <v>1908</v>
      </c>
      <c r="D90" s="29" t="s">
        <v>1910</v>
      </c>
      <c r="E90" s="32" t="str">
        <f>IFERROR(__xludf.DUMMYFUNCTION("GOOGLETRANSLATE(D90,""zh-CN"",""vi"")"),"Tôi bắt đầu làm việc lúc tám giờ mỗi ngày.")</f>
        <v>Tôi bắt đầu làm việc lúc tám giờ mỗi ngày.</v>
      </c>
      <c r="F90" s="30" t="s">
        <v>1903</v>
      </c>
      <c r="G90" s="34" t="b">
        <f t="shared" si="1"/>
        <v>1</v>
      </c>
      <c r="H90" s="35" t="b">
        <v>1</v>
      </c>
      <c r="I90" s="35" t="b">
        <v>0</v>
      </c>
      <c r="J90" s="35" t="b">
        <v>0</v>
      </c>
      <c r="K90" s="35" t="b">
        <v>0</v>
      </c>
      <c r="L90" s="35" t="b">
        <v>0</v>
      </c>
      <c r="M90" s="35" t="b">
        <v>0</v>
      </c>
      <c r="N90" s="35" t="b">
        <v>0</v>
      </c>
      <c r="O90" s="35" t="b">
        <v>0</v>
      </c>
      <c r="P90" s="35" t="b">
        <v>0</v>
      </c>
      <c r="Q90" s="35" t="b">
        <v>0</v>
      </c>
      <c r="R90" s="14"/>
      <c r="S90" s="14"/>
      <c r="T90" s="14"/>
      <c r="U90" s="14"/>
      <c r="V90" s="14"/>
      <c r="W90" s="14"/>
    </row>
    <row r="91" ht="15.75" customHeight="1">
      <c r="A91" s="24" t="s">
        <v>1928</v>
      </c>
      <c r="B91" s="27" t="s">
        <v>1930</v>
      </c>
      <c r="C91" s="28" t="s">
        <v>1931</v>
      </c>
      <c r="D91" s="29" t="s">
        <v>1932</v>
      </c>
      <c r="E91" s="32" t="str">
        <f>IFERROR(__xludf.DUMMYFUNCTION("GOOGLETRANSLATE(D91,""zh-CN"",""vi"")"),"Bạn cảm thấy thế nào?")</f>
        <v>Bạn cảm thấy thế nào?</v>
      </c>
      <c r="F91" s="30" t="s">
        <v>1928</v>
      </c>
      <c r="G91" s="34" t="b">
        <f t="shared" si="1"/>
        <v>1</v>
      </c>
      <c r="H91" s="35" t="b">
        <v>1</v>
      </c>
      <c r="I91" s="35" t="b">
        <v>0</v>
      </c>
      <c r="J91" s="35" t="b">
        <v>0</v>
      </c>
      <c r="K91" s="35" t="b">
        <v>0</v>
      </c>
      <c r="L91" s="35" t="b">
        <v>0</v>
      </c>
      <c r="M91" s="35" t="b">
        <v>0</v>
      </c>
      <c r="N91" s="35" t="b">
        <v>0</v>
      </c>
      <c r="O91" s="35" t="b">
        <v>0</v>
      </c>
      <c r="P91" s="35" t="b">
        <v>0</v>
      </c>
      <c r="Q91" s="35" t="b">
        <v>0</v>
      </c>
      <c r="R91" s="14"/>
      <c r="S91" s="14"/>
      <c r="T91" s="14"/>
      <c r="U91" s="14"/>
      <c r="V91" s="14"/>
      <c r="W91" s="14"/>
    </row>
    <row r="92" ht="15.75" customHeight="1">
      <c r="A92" s="24" t="s">
        <v>1953</v>
      </c>
      <c r="B92" s="27" t="s">
        <v>1954</v>
      </c>
      <c r="C92" s="28" t="s">
        <v>1955</v>
      </c>
      <c r="D92" s="29" t="s">
        <v>1956</v>
      </c>
      <c r="E92" s="32" t="str">
        <f>IFERROR(__xludf.DUMMYFUNCTION("GOOGLETRANSLATE(D92,""zh-CN"",""vi"")"),"Cậu ấy bị ốm và không thể đến lớp.")</f>
        <v>Cậu ấy bị ốm và không thể đến lớp.</v>
      </c>
      <c r="F92" s="30" t="s">
        <v>1953</v>
      </c>
      <c r="G92" s="34" t="b">
        <f t="shared" si="1"/>
        <v>1</v>
      </c>
      <c r="H92" s="35" t="b">
        <v>1</v>
      </c>
      <c r="I92" s="35" t="b">
        <v>0</v>
      </c>
      <c r="J92" s="35" t="b">
        <v>0</v>
      </c>
      <c r="K92" s="35" t="b">
        <v>0</v>
      </c>
      <c r="L92" s="35" t="b">
        <v>0</v>
      </c>
      <c r="M92" s="35" t="b">
        <v>0</v>
      </c>
      <c r="N92" s="35" t="b">
        <v>0</v>
      </c>
      <c r="O92" s="35" t="b">
        <v>0</v>
      </c>
      <c r="P92" s="35" t="b">
        <v>0</v>
      </c>
      <c r="Q92" s="35" t="b">
        <v>0</v>
      </c>
      <c r="R92" s="14"/>
      <c r="S92" s="14"/>
      <c r="T92" s="14"/>
      <c r="U92" s="14"/>
      <c r="V92" s="14"/>
      <c r="W92" s="14"/>
    </row>
    <row r="93" ht="15.75" customHeight="1">
      <c r="A93" s="24" t="s">
        <v>1974</v>
      </c>
      <c r="B93" s="27" t="s">
        <v>1977</v>
      </c>
      <c r="C93" s="28" t="s">
        <v>1979</v>
      </c>
      <c r="D93" s="29" t="s">
        <v>1981</v>
      </c>
      <c r="E93" s="32" t="str">
        <f>IFERROR(__xludf.DUMMYFUNCTION("GOOGLETRANSLATE(D93,""zh-CN"",""vi"")"),"Hôm nay là sinh nhật tôi.")</f>
        <v>Hôm nay là sinh nhật tôi.</v>
      </c>
      <c r="F93" s="30" t="s">
        <v>1974</v>
      </c>
      <c r="G93" s="34" t="b">
        <f t="shared" si="1"/>
        <v>1</v>
      </c>
      <c r="H93" s="35" t="b">
        <v>1</v>
      </c>
      <c r="I93" s="35" t="b">
        <v>0</v>
      </c>
      <c r="J93" s="35" t="b">
        <v>0</v>
      </c>
      <c r="K93" s="35" t="b">
        <v>0</v>
      </c>
      <c r="L93" s="35" t="b">
        <v>0</v>
      </c>
      <c r="M93" s="35" t="b">
        <v>0</v>
      </c>
      <c r="N93" s="35" t="b">
        <v>0</v>
      </c>
      <c r="O93" s="35" t="b">
        <v>0</v>
      </c>
      <c r="P93" s="35" t="b">
        <v>0</v>
      </c>
      <c r="Q93" s="35" t="b">
        <v>0</v>
      </c>
      <c r="R93" s="14"/>
      <c r="S93" s="14"/>
      <c r="T93" s="14"/>
      <c r="U93" s="14"/>
      <c r="V93" s="14"/>
      <c r="W93" s="14"/>
    </row>
    <row r="94" ht="15.75" customHeight="1">
      <c r="A94" s="24" t="s">
        <v>1995</v>
      </c>
      <c r="B94" s="27" t="s">
        <v>1996</v>
      </c>
      <c r="C94" s="28" t="s">
        <v>1998</v>
      </c>
      <c r="D94" s="29" t="s">
        <v>2000</v>
      </c>
      <c r="E94" s="32" t="str">
        <f>IFERROR(__xludf.DUMMYFUNCTION("GOOGLETRANSLATE(D94,""zh-CN"",""vi"")"),"Tôi không có thời gian ngay bây giờ.")</f>
        <v>Tôi không có thời gian ngay bây giờ.</v>
      </c>
      <c r="F94" s="30" t="s">
        <v>1995</v>
      </c>
      <c r="G94" s="34" t="b">
        <f t="shared" si="1"/>
        <v>1</v>
      </c>
      <c r="H94" s="35" t="b">
        <v>1</v>
      </c>
      <c r="I94" s="35" t="b">
        <v>0</v>
      </c>
      <c r="J94" s="35" t="b">
        <v>0</v>
      </c>
      <c r="K94" s="35" t="b">
        <v>0</v>
      </c>
      <c r="L94" s="35" t="b">
        <v>0</v>
      </c>
      <c r="M94" s="35" t="b">
        <v>0</v>
      </c>
      <c r="N94" s="35" t="b">
        <v>0</v>
      </c>
      <c r="O94" s="35" t="b">
        <v>0</v>
      </c>
      <c r="P94" s="35" t="b">
        <v>0</v>
      </c>
      <c r="Q94" s="35" t="b">
        <v>0</v>
      </c>
      <c r="R94" s="14"/>
      <c r="S94" s="14"/>
      <c r="T94" s="14"/>
      <c r="U94" s="14"/>
      <c r="V94" s="14"/>
      <c r="W94" s="14"/>
    </row>
    <row r="95" ht="15.75" customHeight="1">
      <c r="A95" s="24" t="s">
        <v>2016</v>
      </c>
      <c r="B95" s="27" t="s">
        <v>2018</v>
      </c>
      <c r="C95" s="28" t="s">
        <v>2020</v>
      </c>
      <c r="D95" s="29" t="s">
        <v>2022</v>
      </c>
      <c r="E95" s="32" t="str">
        <f>IFERROR(__xludf.DUMMYFUNCTION("GOOGLETRANSLATE(D95,""zh-CN"",""vi"")"),"Bạn đang làm gì thế?")</f>
        <v>Bạn đang làm gì thế?</v>
      </c>
      <c r="F95" s="30" t="s">
        <v>2016</v>
      </c>
      <c r="G95" s="34" t="b">
        <f t="shared" si="1"/>
        <v>1</v>
      </c>
      <c r="H95" s="35" t="b">
        <v>1</v>
      </c>
      <c r="I95" s="35" t="b">
        <v>0</v>
      </c>
      <c r="J95" s="35" t="b">
        <v>0</v>
      </c>
      <c r="K95" s="35" t="b">
        <v>0</v>
      </c>
      <c r="L95" s="35" t="b">
        <v>0</v>
      </c>
      <c r="M95" s="35" t="b">
        <v>0</v>
      </c>
      <c r="N95" s="35" t="b">
        <v>0</v>
      </c>
      <c r="O95" s="35" t="b">
        <v>0</v>
      </c>
      <c r="P95" s="35" t="b">
        <v>0</v>
      </c>
      <c r="Q95" s="35" t="b">
        <v>0</v>
      </c>
      <c r="R95" s="14"/>
      <c r="S95" s="14"/>
      <c r="T95" s="14"/>
      <c r="U95" s="14"/>
      <c r="V95" s="14"/>
      <c r="W95" s="14"/>
    </row>
    <row r="96" ht="15.75" customHeight="1">
      <c r="A96" s="24" t="s">
        <v>2037</v>
      </c>
      <c r="B96" s="27" t="s">
        <v>2040</v>
      </c>
      <c r="C96" s="58" t="s">
        <v>2041</v>
      </c>
      <c r="D96" s="29" t="s">
        <v>2059</v>
      </c>
      <c r="E96" s="32" t="str">
        <f>IFERROR(__xludf.DUMMYFUNCTION("GOOGLETRANSLATE(D96,""zh-CN"",""vi"")"),"Chiếc đồng hồ này rất đắt tiền.")</f>
        <v>Chiếc đồng hồ này rất đắt tiền.</v>
      </c>
      <c r="F96" s="30" t="s">
        <v>2037</v>
      </c>
      <c r="G96" s="34" t="b">
        <f t="shared" si="1"/>
        <v>1</v>
      </c>
      <c r="H96" s="35" t="b">
        <v>1</v>
      </c>
      <c r="I96" s="35" t="b">
        <v>0</v>
      </c>
      <c r="J96" s="35" t="b">
        <v>0</v>
      </c>
      <c r="K96" s="35" t="b">
        <v>0</v>
      </c>
      <c r="L96" s="35" t="b">
        <v>0</v>
      </c>
      <c r="M96" s="35" t="b">
        <v>0</v>
      </c>
      <c r="N96" s="35" t="b">
        <v>0</v>
      </c>
      <c r="O96" s="35" t="b">
        <v>0</v>
      </c>
      <c r="P96" s="35" t="b">
        <v>0</v>
      </c>
      <c r="Q96" s="35" t="b">
        <v>0</v>
      </c>
      <c r="R96" s="14"/>
      <c r="S96" s="14"/>
      <c r="T96" s="14"/>
      <c r="U96" s="14"/>
      <c r="V96" s="14"/>
      <c r="W96" s="14"/>
    </row>
    <row r="97" ht="15.75" customHeight="1">
      <c r="A97" s="24" t="s">
        <v>2073</v>
      </c>
      <c r="B97" s="27" t="s">
        <v>2074</v>
      </c>
      <c r="C97" s="28" t="s">
        <v>2075</v>
      </c>
      <c r="D97" s="29" t="s">
        <v>2077</v>
      </c>
      <c r="E97" s="32" t="str">
        <f>IFERROR(__xludf.DUMMYFUNCTION("GOOGLETRANSLATE(D97,""zh-CN"",""vi"")"),"Điện thoại của tôi hết pin rồi.")</f>
        <v>Điện thoại của tôi hết pin rồi.</v>
      </c>
      <c r="F97" s="30" t="s">
        <v>2073</v>
      </c>
      <c r="G97" s="34" t="b">
        <f t="shared" si="1"/>
        <v>1</v>
      </c>
      <c r="H97" s="35" t="b">
        <v>1</v>
      </c>
      <c r="I97" s="35" t="b">
        <v>0</v>
      </c>
      <c r="J97" s="35" t="b">
        <v>0</v>
      </c>
      <c r="K97" s="35" t="b">
        <v>0</v>
      </c>
      <c r="L97" s="35" t="b">
        <v>0</v>
      </c>
      <c r="M97" s="35" t="b">
        <v>0</v>
      </c>
      <c r="N97" s="35" t="b">
        <v>0</v>
      </c>
      <c r="O97" s="35" t="b">
        <v>0</v>
      </c>
      <c r="P97" s="35" t="b">
        <v>0</v>
      </c>
      <c r="Q97" s="35" t="b">
        <v>0</v>
      </c>
      <c r="R97" s="14"/>
      <c r="S97" s="14"/>
      <c r="T97" s="14"/>
      <c r="U97" s="14"/>
      <c r="V97" s="14"/>
      <c r="W97" s="14"/>
    </row>
    <row r="98" ht="15.75" customHeight="1">
      <c r="A98" s="24" t="s">
        <v>2093</v>
      </c>
      <c r="B98" s="27" t="s">
        <v>2094</v>
      </c>
      <c r="C98" s="28" t="s">
        <v>2097</v>
      </c>
      <c r="D98" s="29" t="s">
        <v>2100</v>
      </c>
      <c r="E98" s="32" t="str">
        <f>IFERROR(__xludf.DUMMYFUNCTION("GOOGLETRANSLATE(D98,""zh-CN"",""vi"")"),"Tôi sẽ tặng bạn một cuốn sách.")</f>
        <v>Tôi sẽ tặng bạn một cuốn sách.</v>
      </c>
      <c r="F98" s="30" t="s">
        <v>2093</v>
      </c>
      <c r="G98" s="34" t="b">
        <f t="shared" si="1"/>
        <v>1</v>
      </c>
      <c r="H98" s="35" t="b">
        <v>1</v>
      </c>
      <c r="I98" s="35" t="b">
        <v>0</v>
      </c>
      <c r="J98" s="35" t="b">
        <v>0</v>
      </c>
      <c r="K98" s="35" t="b">
        <v>0</v>
      </c>
      <c r="L98" s="35" t="b">
        <v>0</v>
      </c>
      <c r="M98" s="35" t="b">
        <v>0</v>
      </c>
      <c r="N98" s="35" t="b">
        <v>0</v>
      </c>
      <c r="O98" s="35" t="b">
        <v>0</v>
      </c>
      <c r="P98" s="35" t="b">
        <v>0</v>
      </c>
      <c r="Q98" s="35" t="b">
        <v>0</v>
      </c>
      <c r="R98" s="14"/>
      <c r="S98" s="14"/>
      <c r="T98" s="14"/>
      <c r="U98" s="14"/>
      <c r="V98" s="14"/>
      <c r="W98" s="14"/>
    </row>
    <row r="99" ht="15.75" customHeight="1">
      <c r="A99" s="24" t="s">
        <v>2118</v>
      </c>
      <c r="B99" s="27" t="s">
        <v>2120</v>
      </c>
      <c r="C99" s="28" t="s">
        <v>2122</v>
      </c>
      <c r="D99" s="29" t="s">
        <v>2124</v>
      </c>
      <c r="E99" s="32" t="str">
        <f>IFERROR(__xludf.DUMMYFUNCTION("GOOGLETRANSLATE(D99,""zh-CN"",""vi"")"),"Anh ấy rất mệt nên đã nghỉ ngơi.")</f>
        <v>Anh ấy rất mệt nên đã nghỉ ngơi.</v>
      </c>
      <c r="F99" s="30" t="s">
        <v>2118</v>
      </c>
      <c r="G99" s="34" t="b">
        <f t="shared" si="1"/>
        <v>1</v>
      </c>
      <c r="H99" s="35" t="b">
        <v>1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14"/>
      <c r="S99" s="14"/>
      <c r="T99" s="14"/>
      <c r="U99" s="14"/>
      <c r="V99" s="14"/>
      <c r="W99" s="14"/>
    </row>
    <row r="100" ht="15.75" customHeight="1">
      <c r="A100" s="24" t="s">
        <v>2137</v>
      </c>
      <c r="B100" s="27" t="s">
        <v>1587</v>
      </c>
      <c r="C100" s="28" t="s">
        <v>2142</v>
      </c>
      <c r="D100" s="29" t="s">
        <v>2144</v>
      </c>
      <c r="E100" s="32" t="str">
        <f>IFERROR(__xludf.DUMMYFUNCTION("GOOGLETRANSLATE(D100,""zh-CN"",""vi"")"),"Đây là một chú mèo nhỏ dễ thương.")</f>
        <v>Đây là một chú mèo nhỏ dễ thương.</v>
      </c>
      <c r="F100" s="30" t="s">
        <v>2137</v>
      </c>
      <c r="G100" s="34" t="b">
        <f t="shared" si="1"/>
        <v>1</v>
      </c>
      <c r="H100" s="35" t="b">
        <v>1</v>
      </c>
      <c r="I100" s="35" t="b">
        <v>0</v>
      </c>
      <c r="J100" s="35" t="b">
        <v>0</v>
      </c>
      <c r="K100" s="35" t="b">
        <v>0</v>
      </c>
      <c r="L100" s="35" t="b">
        <v>0</v>
      </c>
      <c r="M100" s="35" t="b">
        <v>0</v>
      </c>
      <c r="N100" s="35" t="b">
        <v>0</v>
      </c>
      <c r="O100" s="35" t="b">
        <v>0</v>
      </c>
      <c r="P100" s="35" t="b">
        <v>0</v>
      </c>
      <c r="Q100" s="35" t="b">
        <v>0</v>
      </c>
      <c r="R100" s="14"/>
      <c r="S100" s="14"/>
      <c r="T100" s="14"/>
      <c r="U100" s="14"/>
      <c r="V100" s="14"/>
      <c r="W100" s="14"/>
    </row>
    <row r="101" ht="15.75" customHeight="1">
      <c r="A101" s="24" t="s">
        <v>2158</v>
      </c>
      <c r="B101" s="27" t="s">
        <v>2159</v>
      </c>
      <c r="C101" s="28" t="s">
        <v>2160</v>
      </c>
      <c r="D101" s="29" t="s">
        <v>2162</v>
      </c>
      <c r="E101" s="32" t="str">
        <f>IFERROR(__xludf.DUMMYFUNCTION("GOOGLETRANSLATE(D101,""zh-CN"",""vi"")"),"Chúng ta cùng chơi bóng đá nhé.")</f>
        <v>Chúng ta cùng chơi bóng đá nhé.</v>
      </c>
      <c r="F101" s="30" t="s">
        <v>2158</v>
      </c>
      <c r="G101" s="34" t="b">
        <f t="shared" si="1"/>
        <v>1</v>
      </c>
      <c r="H101" s="35" t="b">
        <v>1</v>
      </c>
      <c r="I101" s="35" t="b">
        <v>0</v>
      </c>
      <c r="J101" s="35" t="b">
        <v>0</v>
      </c>
      <c r="K101" s="35" t="b">
        <v>0</v>
      </c>
      <c r="L101" s="35" t="b">
        <v>0</v>
      </c>
      <c r="M101" s="35" t="b">
        <v>0</v>
      </c>
      <c r="N101" s="35" t="b">
        <v>0</v>
      </c>
      <c r="O101" s="35" t="b">
        <v>0</v>
      </c>
      <c r="P101" s="35" t="b">
        <v>0</v>
      </c>
      <c r="Q101" s="35" t="b">
        <v>0</v>
      </c>
      <c r="R101" s="14"/>
      <c r="S101" s="14"/>
      <c r="T101" s="14"/>
      <c r="U101" s="14"/>
      <c r="V101" s="14"/>
      <c r="W101" s="14"/>
    </row>
    <row r="102" ht="15.75" customHeight="1">
      <c r="A102" s="24" t="s">
        <v>2180</v>
      </c>
      <c r="B102" s="27" t="s">
        <v>2182</v>
      </c>
      <c r="C102" s="28" t="s">
        <v>2184</v>
      </c>
      <c r="D102" s="29" t="s">
        <v>2186</v>
      </c>
      <c r="E102" s="32" t="str">
        <f>IFERROR(__xludf.DUMMYFUNCTION("GOOGLETRANSLATE(D102,""zh-CN"",""vi"")"),"Câu hỏi này rất khó.")</f>
        <v>Câu hỏi này rất khó.</v>
      </c>
      <c r="F102" s="30" t="s">
        <v>2180</v>
      </c>
      <c r="G102" s="34" t="b">
        <f t="shared" si="1"/>
        <v>1</v>
      </c>
      <c r="H102" s="35" t="b">
        <v>1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14"/>
      <c r="S102" s="14"/>
      <c r="T102" s="14"/>
      <c r="U102" s="14"/>
      <c r="V102" s="14"/>
      <c r="W102" s="14"/>
    </row>
    <row r="103" ht="15.75" customHeight="1">
      <c r="A103" s="24" t="s">
        <v>2200</v>
      </c>
      <c r="B103" s="27" t="s">
        <v>2202</v>
      </c>
      <c r="C103" s="28" t="s">
        <v>2204</v>
      </c>
      <c r="D103" s="29" t="s">
        <v>2205</v>
      </c>
      <c r="E103" s="32" t="str">
        <f>IFERROR(__xludf.DUMMYFUNCTION("GOOGLETRANSLATE(D103,""zh-CN"",""vi"")"),"Tôi thích khiêu vũ.")</f>
        <v>Tôi thích khiêu vũ.</v>
      </c>
      <c r="F103" s="30" t="s">
        <v>2200</v>
      </c>
      <c r="G103" s="34" t="b">
        <f t="shared" si="1"/>
        <v>1</v>
      </c>
      <c r="H103" s="35" t="b">
        <v>1</v>
      </c>
      <c r="I103" s="35" t="b">
        <v>0</v>
      </c>
      <c r="J103" s="35" t="b">
        <v>0</v>
      </c>
      <c r="K103" s="35" t="b">
        <v>0</v>
      </c>
      <c r="L103" s="35" t="b">
        <v>0</v>
      </c>
      <c r="M103" s="35" t="b">
        <v>0</v>
      </c>
      <c r="N103" s="35" t="b">
        <v>0</v>
      </c>
      <c r="O103" s="35" t="b">
        <v>0</v>
      </c>
      <c r="P103" s="35" t="b">
        <v>0</v>
      </c>
      <c r="Q103" s="35" t="b">
        <v>0</v>
      </c>
      <c r="R103" s="14"/>
      <c r="S103" s="14"/>
      <c r="T103" s="14"/>
      <c r="U103" s="14"/>
      <c r="V103" s="14"/>
      <c r="W103" s="14"/>
    </row>
    <row r="104" ht="15.75" customHeight="1">
      <c r="A104" s="24" t="s">
        <v>2222</v>
      </c>
      <c r="B104" s="27" t="s">
        <v>2225</v>
      </c>
      <c r="C104" s="28" t="s">
        <v>2227</v>
      </c>
      <c r="D104" s="29" t="s">
        <v>2230</v>
      </c>
      <c r="E104" s="32" t="str">
        <f>IFERROR(__xludf.DUMMYFUNCTION("GOOGLETRANSLATE(D104,""zh-CN"",""vi"")"),"Anh ấy đang đợi bạn ở bên ngoài.")</f>
        <v>Anh ấy đang đợi bạn ở bên ngoài.</v>
      </c>
      <c r="F104" s="30" t="s">
        <v>2222</v>
      </c>
      <c r="G104" s="34" t="b">
        <f t="shared" si="1"/>
        <v>1</v>
      </c>
      <c r="H104" s="35" t="b">
        <v>1</v>
      </c>
      <c r="I104" s="35" t="b">
        <v>0</v>
      </c>
      <c r="J104" s="35" t="b">
        <v>0</v>
      </c>
      <c r="K104" s="35" t="b">
        <v>0</v>
      </c>
      <c r="L104" s="35" t="b">
        <v>0</v>
      </c>
      <c r="M104" s="35" t="b">
        <v>0</v>
      </c>
      <c r="N104" s="35" t="b">
        <v>0</v>
      </c>
      <c r="O104" s="35" t="b">
        <v>0</v>
      </c>
      <c r="P104" s="35" t="b">
        <v>0</v>
      </c>
      <c r="Q104" s="35" t="b">
        <v>0</v>
      </c>
      <c r="R104" s="14"/>
      <c r="S104" s="14"/>
      <c r="T104" s="14"/>
      <c r="U104" s="14"/>
      <c r="V104" s="14"/>
      <c r="W104" s="14"/>
    </row>
    <row r="105" ht="15.75" customHeight="1">
      <c r="A105" s="24" t="s">
        <v>2246</v>
      </c>
      <c r="B105" s="27" t="s">
        <v>2248</v>
      </c>
      <c r="C105" s="28" t="s">
        <v>2249</v>
      </c>
      <c r="D105" s="29" t="s">
        <v>2251</v>
      </c>
      <c r="E105" s="32" t="str">
        <f>IFERROR(__xludf.DUMMYFUNCTION("GOOGLETRANSLATE(D105,""zh-CN"",""vi"")"),"Các em nhỏ đang chơi một trò chơi.")</f>
        <v>Các em nhỏ đang chơi một trò chơi.</v>
      </c>
      <c r="F105" s="30" t="s">
        <v>2246</v>
      </c>
      <c r="G105" s="34" t="b">
        <f t="shared" si="1"/>
        <v>1</v>
      </c>
      <c r="H105" s="35" t="b">
        <v>1</v>
      </c>
      <c r="I105" s="35" t="b">
        <v>0</v>
      </c>
      <c r="J105" s="35" t="b">
        <v>0</v>
      </c>
      <c r="K105" s="35" t="b">
        <v>0</v>
      </c>
      <c r="L105" s="35" t="b">
        <v>0</v>
      </c>
      <c r="M105" s="35" t="b">
        <v>0</v>
      </c>
      <c r="N105" s="35" t="b">
        <v>0</v>
      </c>
      <c r="O105" s="35" t="b">
        <v>0</v>
      </c>
      <c r="P105" s="35" t="b">
        <v>0</v>
      </c>
      <c r="Q105" s="35" t="b">
        <v>0</v>
      </c>
      <c r="R105" s="14"/>
      <c r="S105" s="14"/>
      <c r="T105" s="14"/>
      <c r="U105" s="14"/>
      <c r="V105" s="14"/>
      <c r="W105" s="14"/>
    </row>
    <row r="106" ht="15.75" customHeight="1">
      <c r="A106" s="24" t="s">
        <v>2265</v>
      </c>
      <c r="B106" s="27" t="s">
        <v>2248</v>
      </c>
      <c r="C106" s="28" t="s">
        <v>2273</v>
      </c>
      <c r="D106" s="29" t="s">
        <v>2275</v>
      </c>
      <c r="E106" s="32" t="str">
        <f>IFERROR(__xludf.DUMMYFUNCTION("GOOGLETRANSLATE(D106,""zh-CN"",""vi"")"),"Tôi đã làm xong bài tập về nhà.")</f>
        <v>Tôi đã làm xong bài tập về nhà.</v>
      </c>
      <c r="F106" s="30" t="s">
        <v>2265</v>
      </c>
      <c r="G106" s="34" t="b">
        <f t="shared" si="1"/>
        <v>1</v>
      </c>
      <c r="H106" s="35" t="b">
        <v>1</v>
      </c>
      <c r="I106" s="35" t="b">
        <v>0</v>
      </c>
      <c r="J106" s="35" t="b">
        <v>0</v>
      </c>
      <c r="K106" s="35" t="b">
        <v>0</v>
      </c>
      <c r="L106" s="35" t="b">
        <v>0</v>
      </c>
      <c r="M106" s="35" t="b">
        <v>0</v>
      </c>
      <c r="N106" s="35" t="b">
        <v>0</v>
      </c>
      <c r="O106" s="35" t="b">
        <v>0</v>
      </c>
      <c r="P106" s="35" t="b">
        <v>0</v>
      </c>
      <c r="Q106" s="35" t="b">
        <v>0</v>
      </c>
      <c r="R106" s="14"/>
      <c r="S106" s="14"/>
      <c r="T106" s="14"/>
      <c r="U106" s="14"/>
      <c r="V106" s="14"/>
      <c r="W106" s="14"/>
    </row>
    <row r="107" ht="15.75" customHeight="1">
      <c r="A107" s="24" t="s">
        <v>2294</v>
      </c>
      <c r="B107" s="27" t="s">
        <v>2296</v>
      </c>
      <c r="C107" s="28" t="s">
        <v>2299</v>
      </c>
      <c r="D107" s="29" t="s">
        <v>2300</v>
      </c>
      <c r="E107" s="32" t="str">
        <f>IFERROR(__xludf.DUMMYFUNCTION("GOOGLETRANSLATE(D107,""zh-CN"",""vi"")"),"Tôi đi ngủ lúc chín giờ tối.")</f>
        <v>Tôi đi ngủ lúc chín giờ tối.</v>
      </c>
      <c r="F107" s="30" t="s">
        <v>2294</v>
      </c>
      <c r="G107" s="34" t="b">
        <f t="shared" si="1"/>
        <v>1</v>
      </c>
      <c r="H107" s="35" t="b">
        <v>1</v>
      </c>
      <c r="I107" s="35" t="b">
        <v>0</v>
      </c>
      <c r="J107" s="35" t="b">
        <v>0</v>
      </c>
      <c r="K107" s="35" t="b">
        <v>0</v>
      </c>
      <c r="L107" s="35" t="b">
        <v>0</v>
      </c>
      <c r="M107" s="35" t="b">
        <v>0</v>
      </c>
      <c r="N107" s="35" t="b">
        <v>0</v>
      </c>
      <c r="O107" s="35" t="b">
        <v>0</v>
      </c>
      <c r="P107" s="35" t="b">
        <v>0</v>
      </c>
      <c r="Q107" s="35" t="b">
        <v>0</v>
      </c>
      <c r="R107" s="14"/>
      <c r="S107" s="14"/>
      <c r="T107" s="14"/>
      <c r="U107" s="14"/>
      <c r="V107" s="14"/>
      <c r="W107" s="14"/>
    </row>
    <row r="108" ht="15.75" customHeight="1">
      <c r="A108" s="24" t="s">
        <v>2319</v>
      </c>
      <c r="B108" s="27" t="s">
        <v>2321</v>
      </c>
      <c r="C108" s="28" t="s">
        <v>2323</v>
      </c>
      <c r="D108" s="29" t="s">
        <v>2325</v>
      </c>
      <c r="E108" s="32" t="str">
        <f>IFERROR(__xludf.DUMMYFUNCTION("GOOGLETRANSLATE(D108,""zh-CN"",""vi"")"),"Sao bạn không đến?")</f>
        <v>Sao bạn không đến?</v>
      </c>
      <c r="F108" s="30" t="s">
        <v>2319</v>
      </c>
      <c r="G108" s="34" t="b">
        <f t="shared" si="1"/>
        <v>1</v>
      </c>
      <c r="H108" s="35" t="b">
        <v>1</v>
      </c>
      <c r="I108" s="35" t="b">
        <v>0</v>
      </c>
      <c r="J108" s="35" t="b">
        <v>0</v>
      </c>
      <c r="K108" s="35" t="b">
        <v>0</v>
      </c>
      <c r="L108" s="35" t="b">
        <v>0</v>
      </c>
      <c r="M108" s="35" t="b">
        <v>0</v>
      </c>
      <c r="N108" s="35" t="b">
        <v>0</v>
      </c>
      <c r="O108" s="35" t="b">
        <v>0</v>
      </c>
      <c r="P108" s="35" t="b">
        <v>0</v>
      </c>
      <c r="Q108" s="35" t="b">
        <v>0</v>
      </c>
      <c r="R108" s="14"/>
      <c r="S108" s="14"/>
      <c r="T108" s="14"/>
      <c r="U108" s="14"/>
      <c r="V108" s="14"/>
      <c r="W108" s="14"/>
    </row>
    <row r="109" ht="15.75" customHeight="1">
      <c r="A109" s="24" t="s">
        <v>2341</v>
      </c>
      <c r="B109" s="27" t="s">
        <v>2342</v>
      </c>
      <c r="C109" s="28" t="s">
        <v>2343</v>
      </c>
      <c r="D109" s="29" t="s">
        <v>2347</v>
      </c>
      <c r="E109" s="32" t="str">
        <f>IFERROR(__xludf.DUMMYFUNCTION("GOOGLETRANSLATE(D109,""zh-CN"",""vi"")"),"Tên bạn là gì?")</f>
        <v>Tên bạn là gì?</v>
      </c>
      <c r="F109" s="30" t="s">
        <v>2341</v>
      </c>
      <c r="G109" s="34" t="b">
        <f t="shared" si="1"/>
        <v>1</v>
      </c>
      <c r="H109" s="35" t="b">
        <v>1</v>
      </c>
      <c r="I109" s="35" t="b">
        <v>0</v>
      </c>
      <c r="J109" s="35" t="b">
        <v>0</v>
      </c>
      <c r="K109" s="35" t="b">
        <v>0</v>
      </c>
      <c r="L109" s="35" t="b">
        <v>0</v>
      </c>
      <c r="M109" s="35" t="b">
        <v>0</v>
      </c>
      <c r="N109" s="35" t="b">
        <v>0</v>
      </c>
      <c r="O109" s="35" t="b">
        <v>0</v>
      </c>
      <c r="P109" s="35" t="b">
        <v>0</v>
      </c>
      <c r="Q109" s="35" t="b">
        <v>0</v>
      </c>
      <c r="R109" s="14"/>
      <c r="S109" s="14"/>
      <c r="T109" s="14"/>
      <c r="U109" s="14"/>
      <c r="V109" s="14"/>
      <c r="W109" s="14"/>
    </row>
    <row r="110" ht="15.75" customHeight="1">
      <c r="A110" s="24" t="s">
        <v>2358</v>
      </c>
      <c r="B110" s="27" t="s">
        <v>2360</v>
      </c>
      <c r="C110" s="28" t="s">
        <v>2361</v>
      </c>
      <c r="D110" s="29" t="s">
        <v>2362</v>
      </c>
      <c r="E110" s="32" t="str">
        <f>IFERROR(__xludf.DUMMYFUNCTION("GOOGLETRANSLATE(D110,""zh-CN"",""vi"")"),"Đây là một câu hỏi rất quan trọng.")</f>
        <v>Đây là một câu hỏi rất quan trọng.</v>
      </c>
      <c r="F110" s="30" t="s">
        <v>2358</v>
      </c>
      <c r="G110" s="34" t="b">
        <f t="shared" si="1"/>
        <v>1</v>
      </c>
      <c r="H110" s="35" t="b">
        <v>1</v>
      </c>
      <c r="I110" s="35" t="b">
        <v>0</v>
      </c>
      <c r="J110" s="35" t="b">
        <v>0</v>
      </c>
      <c r="K110" s="35" t="b">
        <v>0</v>
      </c>
      <c r="L110" s="35" t="b">
        <v>0</v>
      </c>
      <c r="M110" s="35" t="b">
        <v>0</v>
      </c>
      <c r="N110" s="35" t="b">
        <v>0</v>
      </c>
      <c r="O110" s="35" t="b">
        <v>0</v>
      </c>
      <c r="P110" s="35" t="b">
        <v>0</v>
      </c>
      <c r="Q110" s="35" t="b">
        <v>0</v>
      </c>
      <c r="R110" s="14"/>
      <c r="S110" s="14"/>
      <c r="T110" s="14"/>
      <c r="U110" s="14"/>
      <c r="V110" s="14"/>
      <c r="W110" s="14"/>
    </row>
    <row r="111" ht="15.75" customHeight="1">
      <c r="A111" s="24" t="s">
        <v>2372</v>
      </c>
      <c r="B111" s="27" t="s">
        <v>2373</v>
      </c>
      <c r="C111" s="28" t="s">
        <v>2374</v>
      </c>
      <c r="D111" s="29" t="s">
        <v>2375</v>
      </c>
      <c r="E111" s="32" t="str">
        <f>IFERROR(__xludf.DUMMYFUNCTION("GOOGLETRANSLATE(D111,""zh-CN"",""vi"")"),"Tôi thích ăn dưa hấu.")</f>
        <v>Tôi thích ăn dưa hấu.</v>
      </c>
      <c r="F111" s="30" t="s">
        <v>2372</v>
      </c>
      <c r="G111" s="34" t="b">
        <f t="shared" si="1"/>
        <v>1</v>
      </c>
      <c r="H111" s="35" t="b">
        <v>1</v>
      </c>
      <c r="I111" s="35" t="b">
        <v>0</v>
      </c>
      <c r="J111" s="35" t="b">
        <v>0</v>
      </c>
      <c r="K111" s="35" t="b">
        <v>0</v>
      </c>
      <c r="L111" s="35" t="b">
        <v>0</v>
      </c>
      <c r="M111" s="35" t="b">
        <v>0</v>
      </c>
      <c r="N111" s="35" t="b">
        <v>0</v>
      </c>
      <c r="O111" s="35" t="b">
        <v>0</v>
      </c>
      <c r="P111" s="35" t="b">
        <v>0</v>
      </c>
      <c r="Q111" s="35" t="b">
        <v>0</v>
      </c>
      <c r="R111" s="14"/>
      <c r="S111" s="14"/>
      <c r="T111" s="14"/>
      <c r="U111" s="14"/>
      <c r="V111" s="14"/>
      <c r="W111" s="14"/>
    </row>
    <row r="112" ht="15.75" customHeight="1">
      <c r="A112" s="24" t="s">
        <v>2393</v>
      </c>
      <c r="B112" s="27" t="s">
        <v>2396</v>
      </c>
      <c r="C112" s="28" t="s">
        <v>2398</v>
      </c>
      <c r="D112" s="29" t="s">
        <v>2399</v>
      </c>
      <c r="E112" s="32" t="str">
        <f>IFERROR(__xludf.DUMMYFUNCTION("GOOGLETRANSLATE(D112,""zh-CN"",""vi"")"),"Tôi hy vọng bạn có thể đến.")</f>
        <v>Tôi hy vọng bạn có thể đến.</v>
      </c>
      <c r="F112" s="30" t="s">
        <v>2393</v>
      </c>
      <c r="G112" s="34" t="b">
        <f t="shared" si="1"/>
        <v>1</v>
      </c>
      <c r="H112" s="35" t="b">
        <v>1</v>
      </c>
      <c r="I112" s="35" t="b">
        <v>0</v>
      </c>
      <c r="J112" s="35" t="b">
        <v>0</v>
      </c>
      <c r="K112" s="35" t="b">
        <v>0</v>
      </c>
      <c r="L112" s="35" t="b">
        <v>0</v>
      </c>
      <c r="M112" s="35" t="b">
        <v>0</v>
      </c>
      <c r="N112" s="35" t="b">
        <v>0</v>
      </c>
      <c r="O112" s="35" t="b">
        <v>0</v>
      </c>
      <c r="P112" s="35" t="b">
        <v>0</v>
      </c>
      <c r="Q112" s="35" t="b">
        <v>0</v>
      </c>
      <c r="R112" s="14"/>
      <c r="S112" s="14"/>
      <c r="T112" s="14"/>
      <c r="U112" s="14"/>
      <c r="V112" s="14"/>
      <c r="W112" s="14"/>
    </row>
    <row r="113" ht="15.75" customHeight="1">
      <c r="A113" s="24" t="s">
        <v>2412</v>
      </c>
      <c r="B113" s="27" t="s">
        <v>2413</v>
      </c>
      <c r="C113" s="28" t="s">
        <v>2414</v>
      </c>
      <c r="D113" s="29" t="s">
        <v>2415</v>
      </c>
      <c r="E113" s="32" t="str">
        <f>IFERROR(__xludf.DUMMYFUNCTION("GOOGLETRANSLATE(D113,""zh-CN"",""vi"")"),"Hãy rửa tay.")</f>
        <v>Hãy rửa tay.</v>
      </c>
      <c r="F113" s="30" t="s">
        <v>2412</v>
      </c>
      <c r="G113" s="34" t="b">
        <f t="shared" si="1"/>
        <v>1</v>
      </c>
      <c r="H113" s="35" t="b">
        <v>1</v>
      </c>
      <c r="I113" s="35" t="b">
        <v>0</v>
      </c>
      <c r="J113" s="35" t="b">
        <v>0</v>
      </c>
      <c r="K113" s="35" t="b">
        <v>0</v>
      </c>
      <c r="L113" s="35" t="b">
        <v>0</v>
      </c>
      <c r="M113" s="35" t="b">
        <v>0</v>
      </c>
      <c r="N113" s="35" t="b">
        <v>0</v>
      </c>
      <c r="O113" s="35" t="b">
        <v>0</v>
      </c>
      <c r="P113" s="35" t="b">
        <v>0</v>
      </c>
      <c r="Q113" s="35" t="b">
        <v>0</v>
      </c>
      <c r="R113" s="14"/>
      <c r="S113" s="14"/>
      <c r="T113" s="14"/>
      <c r="U113" s="14"/>
      <c r="V113" s="14"/>
      <c r="W113" s="14"/>
    </row>
    <row r="114" ht="15.75" customHeight="1">
      <c r="A114" s="24" t="s">
        <v>2432</v>
      </c>
      <c r="B114" s="27" t="s">
        <v>2433</v>
      </c>
      <c r="C114" s="28" t="s">
        <v>2434</v>
      </c>
      <c r="D114" s="29" t="s">
        <v>2435</v>
      </c>
      <c r="E114" s="32" t="str">
        <f>IFERROR(__xludf.DUMMYFUNCTION("GOOGLETRANSLATE(D114,""zh-CN"",""vi"")"),"Đi về bên trái.")</f>
        <v>Đi về bên trái.</v>
      </c>
      <c r="F114" s="30" t="s">
        <v>2432</v>
      </c>
      <c r="G114" s="34" t="b">
        <f t="shared" si="1"/>
        <v>1</v>
      </c>
      <c r="H114" s="35" t="b">
        <v>1</v>
      </c>
      <c r="I114" s="35" t="b">
        <v>0</v>
      </c>
      <c r="J114" s="35" t="b">
        <v>0</v>
      </c>
      <c r="K114" s="35" t="b">
        <v>0</v>
      </c>
      <c r="L114" s="35" t="b">
        <v>0</v>
      </c>
      <c r="M114" s="35" t="b">
        <v>0</v>
      </c>
      <c r="N114" s="35" t="b">
        <v>0</v>
      </c>
      <c r="O114" s="35" t="b">
        <v>0</v>
      </c>
      <c r="P114" s="35" t="b">
        <v>0</v>
      </c>
      <c r="Q114" s="35" t="b">
        <v>0</v>
      </c>
      <c r="R114" s="14"/>
      <c r="S114" s="14"/>
      <c r="T114" s="14"/>
      <c r="U114" s="14"/>
      <c r="V114" s="14"/>
      <c r="W114" s="14"/>
    </row>
    <row r="115" ht="15.75" customHeight="1">
      <c r="A115" s="24" t="s">
        <v>2449</v>
      </c>
      <c r="B115" s="27" t="s">
        <v>2451</v>
      </c>
      <c r="C115" s="28" t="s">
        <v>2452</v>
      </c>
      <c r="D115" s="29" t="s">
        <v>2453</v>
      </c>
      <c r="E115" s="32" t="str">
        <f>IFERROR(__xludf.DUMMYFUNCTION("GOOGLETRANSLATE(D115,""zh-CN"",""vi"")"),"Tôi học một tiếng mỗi ngày.")</f>
        <v>Tôi học một tiếng mỗi ngày.</v>
      </c>
      <c r="F115" s="30" t="s">
        <v>2449</v>
      </c>
      <c r="G115" s="34" t="b">
        <f t="shared" si="1"/>
        <v>1</v>
      </c>
      <c r="H115" s="35" t="b">
        <v>1</v>
      </c>
      <c r="I115" s="35" t="b">
        <v>0</v>
      </c>
      <c r="J115" s="35" t="b">
        <v>0</v>
      </c>
      <c r="K115" s="35" t="b">
        <v>0</v>
      </c>
      <c r="L115" s="35" t="b">
        <v>0</v>
      </c>
      <c r="M115" s="35" t="b">
        <v>0</v>
      </c>
      <c r="N115" s="35" t="b">
        <v>0</v>
      </c>
      <c r="O115" s="35" t="b">
        <v>0</v>
      </c>
      <c r="P115" s="35" t="b">
        <v>0</v>
      </c>
      <c r="Q115" s="35" t="b">
        <v>0</v>
      </c>
      <c r="R115" s="14"/>
      <c r="S115" s="14"/>
      <c r="T115" s="14"/>
      <c r="U115" s="14"/>
      <c r="V115" s="14"/>
      <c r="W115" s="14"/>
    </row>
    <row r="116" ht="15.75" customHeight="1">
      <c r="A116" s="24" t="s">
        <v>2468</v>
      </c>
      <c r="B116" s="27" t="s">
        <v>2470</v>
      </c>
      <c r="C116" s="28" t="s">
        <v>2472</v>
      </c>
      <c r="D116" s="29" t="s">
        <v>2473</v>
      </c>
      <c r="E116" s="32" t="str">
        <f>IFERROR(__xludf.DUMMYFUNCTION("GOOGLETRANSLATE(D116,""zh-CN"",""vi"")"),"Anh ta đang cười cái gì vậy?")</f>
        <v>Anh ta đang cười cái gì vậy?</v>
      </c>
      <c r="F116" s="30" t="s">
        <v>2468</v>
      </c>
      <c r="G116" s="34" t="b">
        <f t="shared" si="1"/>
        <v>1</v>
      </c>
      <c r="H116" s="35" t="b">
        <v>1</v>
      </c>
      <c r="I116" s="35" t="b">
        <v>0</v>
      </c>
      <c r="J116" s="35" t="b">
        <v>0</v>
      </c>
      <c r="K116" s="35" t="b">
        <v>0</v>
      </c>
      <c r="L116" s="35" t="b">
        <v>0</v>
      </c>
      <c r="M116" s="35" t="b">
        <v>0</v>
      </c>
      <c r="N116" s="35" t="b">
        <v>0</v>
      </c>
      <c r="O116" s="35" t="b">
        <v>0</v>
      </c>
      <c r="P116" s="35" t="b">
        <v>0</v>
      </c>
      <c r="Q116" s="35" t="b">
        <v>0</v>
      </c>
      <c r="R116" s="14"/>
      <c r="S116" s="14"/>
      <c r="T116" s="14"/>
      <c r="U116" s="14"/>
      <c r="V116" s="14"/>
      <c r="W116" s="14"/>
    </row>
    <row r="117" ht="15.75" customHeight="1">
      <c r="A117" s="24" t="s">
        <v>2484</v>
      </c>
      <c r="B117" s="27" t="s">
        <v>2486</v>
      </c>
      <c r="C117" s="28" t="s">
        <v>2487</v>
      </c>
      <c r="D117" s="29" t="s">
        <v>2488</v>
      </c>
      <c r="E117" s="32" t="str">
        <f>IFERROR(__xludf.DUMMYFUNCTION("GOOGLETRANSLATE(D117,""zh-CN"",""vi"")"),"Tôi có điện thoại mới.")</f>
        <v>Tôi có điện thoại mới.</v>
      </c>
      <c r="F117" s="30" t="s">
        <v>2484</v>
      </c>
      <c r="G117" s="34" t="b">
        <f t="shared" si="1"/>
        <v>1</v>
      </c>
      <c r="H117" s="35" t="b">
        <v>1</v>
      </c>
      <c r="I117" s="35" t="b">
        <v>0</v>
      </c>
      <c r="J117" s="35" t="b">
        <v>0</v>
      </c>
      <c r="K117" s="35" t="b">
        <v>0</v>
      </c>
      <c r="L117" s="35" t="b">
        <v>0</v>
      </c>
      <c r="M117" s="35" t="b">
        <v>0</v>
      </c>
      <c r="N117" s="35" t="b">
        <v>0</v>
      </c>
      <c r="O117" s="35" t="b">
        <v>0</v>
      </c>
      <c r="P117" s="35" t="b">
        <v>0</v>
      </c>
      <c r="Q117" s="35" t="b">
        <v>0</v>
      </c>
      <c r="R117" s="14"/>
      <c r="S117" s="14"/>
      <c r="T117" s="14"/>
      <c r="U117" s="14"/>
      <c r="V117" s="14"/>
      <c r="W117" s="14"/>
    </row>
    <row r="118" ht="15.75" customHeight="1">
      <c r="A118" s="24" t="s">
        <v>2502</v>
      </c>
      <c r="B118" s="27" t="s">
        <v>2504</v>
      </c>
      <c r="C118" s="58" t="s">
        <v>2507</v>
      </c>
      <c r="D118" s="29" t="s">
        <v>2508</v>
      </c>
      <c r="E118" s="32" t="str">
        <f>IFERROR(__xludf.DUMMYFUNCTION("GOOGLETRANSLATE(D118,""zh-CN"",""vi"")"),"Họ của bạn là gì?")</f>
        <v>Họ của bạn là gì?</v>
      </c>
      <c r="F118" s="30" t="s">
        <v>2502</v>
      </c>
      <c r="G118" s="34" t="b">
        <f t="shared" si="1"/>
        <v>1</v>
      </c>
      <c r="H118" s="35" t="b">
        <v>1</v>
      </c>
      <c r="I118" s="35" t="b">
        <v>0</v>
      </c>
      <c r="J118" s="35" t="b">
        <v>0</v>
      </c>
      <c r="K118" s="35" t="b">
        <v>0</v>
      </c>
      <c r="L118" s="35" t="b">
        <v>0</v>
      </c>
      <c r="M118" s="35" t="b">
        <v>0</v>
      </c>
      <c r="N118" s="35" t="b">
        <v>0</v>
      </c>
      <c r="O118" s="35" t="b">
        <v>0</v>
      </c>
      <c r="P118" s="35" t="b">
        <v>0</v>
      </c>
      <c r="Q118" s="35" t="b">
        <v>0</v>
      </c>
      <c r="R118" s="14"/>
      <c r="S118" s="14"/>
      <c r="T118" s="14"/>
      <c r="U118" s="14"/>
      <c r="V118" s="14"/>
      <c r="W118" s="14"/>
    </row>
    <row r="119" ht="15.75" customHeight="1">
      <c r="A119" s="24" t="s">
        <v>2519</v>
      </c>
      <c r="B119" s="27" t="s">
        <v>2521</v>
      </c>
      <c r="C119" s="28" t="s">
        <v>2524</v>
      </c>
      <c r="D119" s="29" t="s">
        <v>2526</v>
      </c>
      <c r="E119" s="32" t="str">
        <f>IFERROR(__xludf.DUMMYFUNCTION("GOOGLETRANSLATE(D119,""zh-CN"",""vi"")"),"Tôi mệt rồi và cần nghỉ ngơi.")</f>
        <v>Tôi mệt rồi và cần nghỉ ngơi.</v>
      </c>
      <c r="F119" s="30" t="s">
        <v>2519</v>
      </c>
      <c r="G119" s="34" t="b">
        <f t="shared" si="1"/>
        <v>1</v>
      </c>
      <c r="H119" s="35" t="b">
        <v>1</v>
      </c>
      <c r="I119" s="35" t="b">
        <v>0</v>
      </c>
      <c r="J119" s="35" t="b">
        <v>0</v>
      </c>
      <c r="K119" s="35" t="b">
        <v>0</v>
      </c>
      <c r="L119" s="35" t="b">
        <v>0</v>
      </c>
      <c r="M119" s="35" t="b">
        <v>0</v>
      </c>
      <c r="N119" s="35" t="b">
        <v>0</v>
      </c>
      <c r="O119" s="35" t="b">
        <v>0</v>
      </c>
      <c r="P119" s="35" t="b">
        <v>0</v>
      </c>
      <c r="Q119" s="35" t="b">
        <v>0</v>
      </c>
      <c r="R119" s="14"/>
      <c r="S119" s="14"/>
      <c r="T119" s="14"/>
      <c r="U119" s="14"/>
      <c r="V119" s="14"/>
      <c r="W119" s="14"/>
    </row>
    <row r="120" ht="15.75" customHeight="1">
      <c r="A120" s="24" t="s">
        <v>2535</v>
      </c>
      <c r="B120" s="27" t="s">
        <v>2536</v>
      </c>
      <c r="C120" s="28" t="s">
        <v>2539</v>
      </c>
      <c r="D120" s="29" t="s">
        <v>2541</v>
      </c>
      <c r="E120" s="32" t="str">
        <f>IFERROR(__xludf.DUMMYFUNCTION("GOOGLETRANSLATE(D120,""zh-CN"",""vi"")"),"Ngày mai trời sẽ có tuyết.")</f>
        <v>Ngày mai trời sẽ có tuyết.</v>
      </c>
      <c r="F120" s="30" t="s">
        <v>2535</v>
      </c>
      <c r="G120" s="34" t="b">
        <f t="shared" si="1"/>
        <v>1</v>
      </c>
      <c r="H120" s="35" t="b">
        <v>1</v>
      </c>
      <c r="I120" s="35" t="b">
        <v>0</v>
      </c>
      <c r="J120" s="35" t="b">
        <v>0</v>
      </c>
      <c r="K120" s="35" t="b">
        <v>0</v>
      </c>
      <c r="L120" s="35" t="b">
        <v>0</v>
      </c>
      <c r="M120" s="35" t="b">
        <v>0</v>
      </c>
      <c r="N120" s="35" t="b">
        <v>0</v>
      </c>
      <c r="O120" s="35" t="b">
        <v>0</v>
      </c>
      <c r="P120" s="35" t="b">
        <v>0</v>
      </c>
      <c r="Q120" s="35" t="b">
        <v>0</v>
      </c>
      <c r="R120" s="14"/>
      <c r="S120" s="14"/>
      <c r="T120" s="14"/>
      <c r="U120" s="14"/>
      <c r="V120" s="14"/>
      <c r="W120" s="14"/>
    </row>
    <row r="121" ht="15.75" customHeight="1">
      <c r="A121" s="24" t="s">
        <v>2548</v>
      </c>
      <c r="B121" s="27" t="s">
        <v>2551</v>
      </c>
      <c r="C121" s="28" t="s">
        <v>2553</v>
      </c>
      <c r="D121" s="29" t="s">
        <v>2554</v>
      </c>
      <c r="E121" s="32" t="str">
        <f>IFERROR(__xludf.DUMMYFUNCTION("GOOGLETRANSLATE(D121,""zh-CN"",""vi"")"),"Bạn thích màu gì?")</f>
        <v>Bạn thích màu gì?</v>
      </c>
      <c r="F121" s="30" t="s">
        <v>2548</v>
      </c>
      <c r="G121" s="34" t="b">
        <f t="shared" si="1"/>
        <v>1</v>
      </c>
      <c r="H121" s="35" t="b">
        <v>1</v>
      </c>
      <c r="I121" s="35" t="b">
        <v>0</v>
      </c>
      <c r="J121" s="35" t="b">
        <v>0</v>
      </c>
      <c r="K121" s="35" t="b">
        <v>0</v>
      </c>
      <c r="L121" s="35" t="b">
        <v>0</v>
      </c>
      <c r="M121" s="35" t="b">
        <v>0</v>
      </c>
      <c r="N121" s="35" t="b">
        <v>0</v>
      </c>
      <c r="O121" s="35" t="b">
        <v>0</v>
      </c>
      <c r="P121" s="35" t="b">
        <v>0</v>
      </c>
      <c r="Q121" s="35" t="b">
        <v>0</v>
      </c>
      <c r="R121" s="14"/>
      <c r="S121" s="14"/>
      <c r="T121" s="14"/>
      <c r="U121" s="14"/>
      <c r="V121" s="14"/>
      <c r="W121" s="14"/>
    </row>
    <row r="122" ht="15.75" customHeight="1">
      <c r="A122" s="24" t="s">
        <v>2559</v>
      </c>
      <c r="B122" s="27" t="s">
        <v>2560</v>
      </c>
      <c r="C122" s="28" t="s">
        <v>2561</v>
      </c>
      <c r="D122" s="29" t="s">
        <v>2563</v>
      </c>
      <c r="E122" s="32" t="str">
        <f>IFERROR(__xludf.DUMMYFUNCTION("GOOGLETRANSLATE(D122,""zh-CN"",""vi"")"),"Anh ấy có đôi mắt to.")</f>
        <v>Anh ấy có đôi mắt to.</v>
      </c>
      <c r="F122" s="30" t="s">
        <v>2559</v>
      </c>
      <c r="G122" s="34" t="b">
        <f t="shared" si="1"/>
        <v>1</v>
      </c>
      <c r="H122" s="35" t="b">
        <v>1</v>
      </c>
      <c r="I122" s="35" t="b">
        <v>0</v>
      </c>
      <c r="J122" s="35" t="b">
        <v>0</v>
      </c>
      <c r="K122" s="35" t="b">
        <v>0</v>
      </c>
      <c r="L122" s="35" t="b">
        <v>0</v>
      </c>
      <c r="M122" s="35" t="b">
        <v>0</v>
      </c>
      <c r="N122" s="35" t="b">
        <v>0</v>
      </c>
      <c r="O122" s="35" t="b">
        <v>0</v>
      </c>
      <c r="P122" s="35" t="b">
        <v>0</v>
      </c>
      <c r="Q122" s="35" t="b">
        <v>0</v>
      </c>
      <c r="R122" s="14"/>
      <c r="S122" s="14"/>
      <c r="T122" s="14"/>
      <c r="U122" s="14"/>
      <c r="V122" s="14"/>
      <c r="W122" s="14"/>
    </row>
    <row r="123" ht="15.75" customHeight="1">
      <c r="A123" s="24" t="s">
        <v>2571</v>
      </c>
      <c r="B123" s="27" t="s">
        <v>2573</v>
      </c>
      <c r="C123" s="28" t="s">
        <v>2576</v>
      </c>
      <c r="D123" s="29" t="s">
        <v>2578</v>
      </c>
      <c r="E123" s="32" t="str">
        <f>IFERROR(__xludf.DUMMYFUNCTION("GOOGLETRANSLATE(D123,""zh-CN"",""vi"")"),"Tôi thích ăn thịt cừu.")</f>
        <v>Tôi thích ăn thịt cừu.</v>
      </c>
      <c r="F123" s="30" t="s">
        <v>2571</v>
      </c>
      <c r="G123" s="34" t="b">
        <f t="shared" si="1"/>
        <v>1</v>
      </c>
      <c r="H123" s="35" t="b">
        <v>1</v>
      </c>
      <c r="I123" s="35" t="b">
        <v>0</v>
      </c>
      <c r="J123" s="35" t="b">
        <v>0</v>
      </c>
      <c r="K123" s="35" t="b">
        <v>0</v>
      </c>
      <c r="L123" s="35" t="b">
        <v>0</v>
      </c>
      <c r="M123" s="35" t="b">
        <v>0</v>
      </c>
      <c r="N123" s="35" t="b">
        <v>0</v>
      </c>
      <c r="O123" s="35" t="b">
        <v>0</v>
      </c>
      <c r="P123" s="35" t="b">
        <v>0</v>
      </c>
      <c r="Q123" s="35" t="b">
        <v>0</v>
      </c>
      <c r="R123" s="14"/>
      <c r="S123" s="14"/>
      <c r="T123" s="14"/>
      <c r="U123" s="14"/>
      <c r="V123" s="14"/>
      <c r="W123" s="14"/>
    </row>
    <row r="124" ht="15.75" customHeight="1">
      <c r="A124" s="24" t="s">
        <v>2583</v>
      </c>
      <c r="B124" s="27" t="s">
        <v>2584</v>
      </c>
      <c r="C124" s="28" t="s">
        <v>2585</v>
      </c>
      <c r="D124" s="29" t="s">
        <v>2587</v>
      </c>
      <c r="E124" s="32" t="str">
        <f>IFERROR(__xludf.DUMMYFUNCTION("GOOGLETRANSLATE(D124,""zh-CN"",""vi"")"),"Tôi muốn một ly nước.")</f>
        <v>Tôi muốn một ly nước.</v>
      </c>
      <c r="F124" s="30" t="s">
        <v>2583</v>
      </c>
      <c r="G124" s="34" t="b">
        <f t="shared" si="1"/>
        <v>1</v>
      </c>
      <c r="H124" s="35" t="b">
        <v>1</v>
      </c>
      <c r="I124" s="35" t="b">
        <v>0</v>
      </c>
      <c r="J124" s="35" t="b">
        <v>0</v>
      </c>
      <c r="K124" s="35" t="b">
        <v>0</v>
      </c>
      <c r="L124" s="35" t="b">
        <v>0</v>
      </c>
      <c r="M124" s="35" t="b">
        <v>0</v>
      </c>
      <c r="N124" s="35" t="b">
        <v>0</v>
      </c>
      <c r="O124" s="35" t="b">
        <v>0</v>
      </c>
      <c r="P124" s="35" t="b">
        <v>0</v>
      </c>
      <c r="Q124" s="35" t="b">
        <v>0</v>
      </c>
      <c r="R124" s="14"/>
      <c r="S124" s="14"/>
      <c r="T124" s="14"/>
      <c r="U124" s="14"/>
      <c r="V124" s="14"/>
      <c r="W124" s="14"/>
    </row>
    <row r="125" ht="15.75" customHeight="1">
      <c r="A125" s="24" t="s">
        <v>2595</v>
      </c>
      <c r="B125" s="27" t="s">
        <v>2584</v>
      </c>
      <c r="C125" s="28" t="s">
        <v>2596</v>
      </c>
      <c r="D125" s="29" t="s">
        <v>2597</v>
      </c>
      <c r="E125" s="32" t="str">
        <f>IFERROR(__xludf.DUMMYFUNCTION("GOOGLETRANSLATE(D125,""zh-CN"",""vi"")"),"Tôi bị ốm và cần uống thuốc.")</f>
        <v>Tôi bị ốm và cần uống thuốc.</v>
      </c>
      <c r="F125" s="30" t="s">
        <v>2595</v>
      </c>
      <c r="G125" s="34" t="b">
        <f t="shared" si="1"/>
        <v>1</v>
      </c>
      <c r="H125" s="35" t="b">
        <v>1</v>
      </c>
      <c r="I125" s="35" t="b">
        <v>0</v>
      </c>
      <c r="J125" s="35" t="b">
        <v>0</v>
      </c>
      <c r="K125" s="35" t="b">
        <v>0</v>
      </c>
      <c r="L125" s="35" t="b">
        <v>0</v>
      </c>
      <c r="M125" s="35" t="b">
        <v>0</v>
      </c>
      <c r="N125" s="35" t="b">
        <v>0</v>
      </c>
      <c r="O125" s="35" t="b">
        <v>0</v>
      </c>
      <c r="P125" s="35" t="b">
        <v>0</v>
      </c>
      <c r="Q125" s="35" t="b">
        <v>0</v>
      </c>
      <c r="R125" s="14"/>
      <c r="S125" s="14"/>
      <c r="T125" s="14"/>
      <c r="U125" s="14"/>
      <c r="V125" s="14"/>
      <c r="W125" s="14"/>
    </row>
    <row r="126" ht="15.75" customHeight="1">
      <c r="A126" s="24" t="s">
        <v>2606</v>
      </c>
      <c r="B126" s="27" t="s">
        <v>2607</v>
      </c>
      <c r="C126" s="28" t="s">
        <v>2609</v>
      </c>
      <c r="D126" s="29" t="s">
        <v>2611</v>
      </c>
      <c r="E126" s="32" t="str">
        <f>IFERROR(__xludf.DUMMYFUNCTION("GOOGLETRANSLATE(D126,""zh-CN"",""vi"")"),"Anh ấy cũng thích bơi lội.")</f>
        <v>Anh ấy cũng thích bơi lội.</v>
      </c>
      <c r="F126" s="30" t="s">
        <v>2606</v>
      </c>
      <c r="G126" s="34" t="b">
        <f t="shared" si="1"/>
        <v>1</v>
      </c>
      <c r="H126" s="35" t="b">
        <v>1</v>
      </c>
      <c r="I126" s="35" t="b">
        <v>0</v>
      </c>
      <c r="J126" s="35" t="b">
        <v>0</v>
      </c>
      <c r="K126" s="35" t="b">
        <v>0</v>
      </c>
      <c r="L126" s="35" t="b">
        <v>0</v>
      </c>
      <c r="M126" s="35" t="b">
        <v>0</v>
      </c>
      <c r="N126" s="35" t="b">
        <v>0</v>
      </c>
      <c r="O126" s="35" t="b">
        <v>0</v>
      </c>
      <c r="P126" s="35" t="b">
        <v>0</v>
      </c>
      <c r="Q126" s="35" t="b">
        <v>0</v>
      </c>
      <c r="R126" s="14"/>
      <c r="S126" s="14"/>
      <c r="T126" s="14"/>
      <c r="U126" s="14"/>
      <c r="V126" s="14"/>
      <c r="W126" s="14"/>
    </row>
    <row r="127" ht="15.75" customHeight="1">
      <c r="A127" s="24" t="s">
        <v>2619</v>
      </c>
      <c r="B127" s="27" t="s">
        <v>2621</v>
      </c>
      <c r="C127" s="28" t="s">
        <v>2624</v>
      </c>
      <c r="D127" s="29" t="s">
        <v>2625</v>
      </c>
      <c r="E127" s="32" t="str">
        <f>IFERROR(__xludf.DUMMYFUNCTION("GOOGLETRANSLATE(D127,""zh-CN"",""vi"")"),"Tôi đã ăn xong rồi.")</f>
        <v>Tôi đã ăn xong rồi.</v>
      </c>
      <c r="F127" s="30" t="s">
        <v>2619</v>
      </c>
      <c r="G127" s="34" t="b">
        <f t="shared" si="1"/>
        <v>1</v>
      </c>
      <c r="H127" s="35" t="b">
        <v>1</v>
      </c>
      <c r="I127" s="35" t="b">
        <v>0</v>
      </c>
      <c r="J127" s="35" t="b">
        <v>0</v>
      </c>
      <c r="K127" s="35" t="b">
        <v>0</v>
      </c>
      <c r="L127" s="35" t="b">
        <v>0</v>
      </c>
      <c r="M127" s="35" t="b">
        <v>0</v>
      </c>
      <c r="N127" s="35" t="b">
        <v>0</v>
      </c>
      <c r="O127" s="35" t="b">
        <v>0</v>
      </c>
      <c r="P127" s="35" t="b">
        <v>0</v>
      </c>
      <c r="Q127" s="35" t="b">
        <v>0</v>
      </c>
      <c r="R127" s="14"/>
      <c r="S127" s="14"/>
      <c r="T127" s="14"/>
      <c r="U127" s="14"/>
      <c r="V127" s="14"/>
      <c r="W127" s="14"/>
    </row>
    <row r="128" ht="15.75" customHeight="1">
      <c r="A128" s="24" t="s">
        <v>2634</v>
      </c>
      <c r="B128" s="27" t="s">
        <v>2636</v>
      </c>
      <c r="C128" s="28" t="s">
        <v>2641</v>
      </c>
      <c r="D128" s="29" t="s">
        <v>2644</v>
      </c>
      <c r="E128" s="32" t="str">
        <f>IFERROR(__xludf.DUMMYFUNCTION("GOOGLETRANSLATE(D128,""zh-CN"",""vi"")"),"Chúng ta cùng đi xem phim nhé.")</f>
        <v>Chúng ta cùng đi xem phim nhé.</v>
      </c>
      <c r="F128" s="30" t="s">
        <v>2634</v>
      </c>
      <c r="G128" s="34" t="b">
        <f t="shared" si="1"/>
        <v>1</v>
      </c>
      <c r="H128" s="35" t="b">
        <v>1</v>
      </c>
      <c r="I128" s="35" t="b">
        <v>0</v>
      </c>
      <c r="J128" s="35" t="b">
        <v>0</v>
      </c>
      <c r="K128" s="35" t="b">
        <v>0</v>
      </c>
      <c r="L128" s="35" t="b">
        <v>0</v>
      </c>
      <c r="M128" s="35" t="b">
        <v>0</v>
      </c>
      <c r="N128" s="35" t="b">
        <v>0</v>
      </c>
      <c r="O128" s="35" t="b">
        <v>0</v>
      </c>
      <c r="P128" s="35" t="b">
        <v>0</v>
      </c>
      <c r="Q128" s="35" t="b">
        <v>0</v>
      </c>
      <c r="R128" s="14"/>
      <c r="S128" s="14"/>
      <c r="T128" s="14"/>
      <c r="U128" s="14"/>
      <c r="V128" s="14"/>
      <c r="W128" s="14"/>
    </row>
    <row r="129" ht="15.75" customHeight="1">
      <c r="A129" s="24" t="s">
        <v>2654</v>
      </c>
      <c r="B129" s="27" t="s">
        <v>2655</v>
      </c>
      <c r="C129" s="28" t="s">
        <v>2656</v>
      </c>
      <c r="D129" s="29" t="s">
        <v>2658</v>
      </c>
      <c r="E129" s="32" t="str">
        <f>IFERROR(__xludf.DUMMYFUNCTION("GOOGLETRANSLATE(D129,""zh-CN"",""vi"")"),"Điều này có nghĩa là gì?")</f>
        <v>Điều này có nghĩa là gì?</v>
      </c>
      <c r="F129" s="30" t="s">
        <v>2654</v>
      </c>
      <c r="G129" s="34" t="b">
        <f t="shared" si="1"/>
        <v>1</v>
      </c>
      <c r="H129" s="35" t="b">
        <v>1</v>
      </c>
      <c r="I129" s="35" t="b">
        <v>0</v>
      </c>
      <c r="J129" s="35" t="b">
        <v>0</v>
      </c>
      <c r="K129" s="35" t="b">
        <v>0</v>
      </c>
      <c r="L129" s="35" t="b">
        <v>0</v>
      </c>
      <c r="M129" s="35" t="b">
        <v>0</v>
      </c>
      <c r="N129" s="35" t="b">
        <v>0</v>
      </c>
      <c r="O129" s="35" t="b">
        <v>0</v>
      </c>
      <c r="P129" s="35" t="b">
        <v>0</v>
      </c>
      <c r="Q129" s="35" t="b">
        <v>0</v>
      </c>
      <c r="R129" s="14"/>
      <c r="S129" s="14"/>
      <c r="T129" s="14"/>
      <c r="U129" s="14"/>
      <c r="V129" s="14"/>
      <c r="W129" s="14"/>
    </row>
    <row r="130" ht="15.75" customHeight="1">
      <c r="A130" s="24" t="s">
        <v>2674</v>
      </c>
      <c r="B130" s="27" t="s">
        <v>2675</v>
      </c>
      <c r="C130" s="28" t="s">
        <v>2676</v>
      </c>
      <c r="D130" s="29" t="s">
        <v>2678</v>
      </c>
      <c r="E130" s="32" t="str">
        <f>IFERROR(__xludf.DUMMYFUNCTION("GOOGLETRANSLATE(D130,""zh-CN"",""vi"")"),"Hôm nay trời nhiều mây.")</f>
        <v>Hôm nay trời nhiều mây.</v>
      </c>
      <c r="F130" s="30" t="s">
        <v>2674</v>
      </c>
      <c r="G130" s="34" t="b">
        <f t="shared" si="1"/>
        <v>1</v>
      </c>
      <c r="H130" s="35" t="b">
        <v>1</v>
      </c>
      <c r="I130" s="35" t="b">
        <v>0</v>
      </c>
      <c r="J130" s="35" t="b">
        <v>0</v>
      </c>
      <c r="K130" s="35" t="b">
        <v>0</v>
      </c>
      <c r="L130" s="35" t="b">
        <v>0</v>
      </c>
      <c r="M130" s="35" t="b">
        <v>0</v>
      </c>
      <c r="N130" s="35" t="b">
        <v>0</v>
      </c>
      <c r="O130" s="35" t="b">
        <v>0</v>
      </c>
      <c r="P130" s="35" t="b">
        <v>0</v>
      </c>
      <c r="Q130" s="35" t="b">
        <v>0</v>
      </c>
      <c r="R130" s="14"/>
      <c r="S130" s="14"/>
      <c r="T130" s="14"/>
      <c r="U130" s="14"/>
      <c r="V130" s="14"/>
      <c r="W130" s="14"/>
    </row>
    <row r="131" ht="15.75" customHeight="1">
      <c r="A131" s="24" t="s">
        <v>2694</v>
      </c>
      <c r="B131" s="27" t="s">
        <v>2695</v>
      </c>
      <c r="C131" s="28" t="s">
        <v>2697</v>
      </c>
      <c r="D131" s="29" t="s">
        <v>2699</v>
      </c>
      <c r="E131" s="32" t="str">
        <f>IFERROR(__xludf.DUMMYFUNCTION("GOOGLETRANSLATE(D131,""zh-CN"",""vi"")"),"Tôi sẽ không đi chạy bộ vì trời đang mưa.")</f>
        <v>Tôi sẽ không đi chạy bộ vì trời đang mưa.</v>
      </c>
      <c r="F131" s="30" t="s">
        <v>2694</v>
      </c>
      <c r="G131" s="34" t="b">
        <f t="shared" si="1"/>
        <v>1</v>
      </c>
      <c r="H131" s="35" t="b">
        <v>1</v>
      </c>
      <c r="I131" s="35" t="b">
        <v>0</v>
      </c>
      <c r="J131" s="35" t="b">
        <v>0</v>
      </c>
      <c r="K131" s="35" t="b">
        <v>0</v>
      </c>
      <c r="L131" s="35" t="b">
        <v>0</v>
      </c>
      <c r="M131" s="35" t="b">
        <v>0</v>
      </c>
      <c r="N131" s="35" t="b">
        <v>0</v>
      </c>
      <c r="O131" s="35" t="b">
        <v>0</v>
      </c>
      <c r="P131" s="35" t="b">
        <v>0</v>
      </c>
      <c r="Q131" s="35" t="b">
        <v>0</v>
      </c>
      <c r="R131" s="14"/>
      <c r="S131" s="14"/>
      <c r="T131" s="14"/>
      <c r="U131" s="14"/>
      <c r="V131" s="14"/>
      <c r="W131" s="14"/>
    </row>
    <row r="132" ht="15.75" customHeight="1">
      <c r="A132" s="24" t="s">
        <v>2721</v>
      </c>
      <c r="B132" s="27" t="s">
        <v>2722</v>
      </c>
      <c r="C132" s="28" t="s">
        <v>2723</v>
      </c>
      <c r="D132" s="29" t="s">
        <v>2724</v>
      </c>
      <c r="E132" s="32" t="str">
        <f>IFERROR(__xludf.DUMMYFUNCTION("GOOGLETRANSLATE(D132,""zh-CN"",""vi"")"),"Tôi thích bơi lội.")</f>
        <v>Tôi thích bơi lội.</v>
      </c>
      <c r="F132" s="30" t="s">
        <v>2721</v>
      </c>
      <c r="G132" s="34" t="b">
        <f t="shared" si="1"/>
        <v>1</v>
      </c>
      <c r="H132" s="35" t="b">
        <v>1</v>
      </c>
      <c r="I132" s="35" t="b">
        <v>0</v>
      </c>
      <c r="J132" s="35" t="b">
        <v>0</v>
      </c>
      <c r="K132" s="35" t="b">
        <v>0</v>
      </c>
      <c r="L132" s="35" t="b">
        <v>0</v>
      </c>
      <c r="M132" s="35" t="b">
        <v>0</v>
      </c>
      <c r="N132" s="35" t="b">
        <v>0</v>
      </c>
      <c r="O132" s="35" t="b">
        <v>0</v>
      </c>
      <c r="P132" s="35" t="b">
        <v>0</v>
      </c>
      <c r="Q132" s="35" t="b">
        <v>0</v>
      </c>
      <c r="R132" s="14"/>
      <c r="S132" s="14"/>
      <c r="T132" s="14"/>
      <c r="U132" s="14"/>
      <c r="V132" s="14"/>
      <c r="W132" s="14"/>
    </row>
    <row r="133" ht="15.75" customHeight="1">
      <c r="A133" s="24" t="s">
        <v>2741</v>
      </c>
      <c r="B133" s="27" t="s">
        <v>2742</v>
      </c>
      <c r="C133" s="28" t="s">
        <v>2744</v>
      </c>
      <c r="D133" s="29" t="s">
        <v>2746</v>
      </c>
      <c r="E133" s="32" t="str">
        <f>IFERROR(__xludf.DUMMYFUNCTION("GOOGLETRANSLATE(D133,""zh-CN"",""vi"")"),"Anh ấy ngồi bên phải tôi.")</f>
        <v>Anh ấy ngồi bên phải tôi.</v>
      </c>
      <c r="F133" s="30" t="s">
        <v>2741</v>
      </c>
      <c r="G133" s="34" t="b">
        <f t="shared" si="1"/>
        <v>1</v>
      </c>
      <c r="H133" s="35" t="b">
        <v>1</v>
      </c>
      <c r="I133" s="35" t="b">
        <v>0</v>
      </c>
      <c r="J133" s="35" t="b">
        <v>0</v>
      </c>
      <c r="K133" s="35" t="b">
        <v>0</v>
      </c>
      <c r="L133" s="35" t="b">
        <v>0</v>
      </c>
      <c r="M133" s="35" t="b">
        <v>0</v>
      </c>
      <c r="N133" s="35" t="b">
        <v>0</v>
      </c>
      <c r="O133" s="35" t="b">
        <v>0</v>
      </c>
      <c r="P133" s="35" t="b">
        <v>0</v>
      </c>
      <c r="Q133" s="35" t="b">
        <v>0</v>
      </c>
      <c r="R133" s="14"/>
      <c r="S133" s="14"/>
      <c r="T133" s="14"/>
      <c r="U133" s="14"/>
      <c r="V133" s="14"/>
      <c r="W133" s="14"/>
    </row>
    <row r="134" ht="15.75" customHeight="1">
      <c r="A134" s="24" t="s">
        <v>2769</v>
      </c>
      <c r="B134" s="27" t="s">
        <v>2771</v>
      </c>
      <c r="C134" s="28" t="s">
        <v>2774</v>
      </c>
      <c r="D134" s="29" t="s">
        <v>2776</v>
      </c>
      <c r="E134" s="32" t="str">
        <f>IFERROR(__xludf.DUMMYFUNCTION("GOOGLETRANSLATE(D134,""zh-CN"",""vi"")"),"Tối nay chúng ta ăn cá.")</f>
        <v>Tối nay chúng ta ăn cá.</v>
      </c>
      <c r="F134" s="30" t="s">
        <v>2769</v>
      </c>
      <c r="G134" s="34" t="b">
        <f t="shared" si="1"/>
        <v>1</v>
      </c>
      <c r="H134" s="35" t="b">
        <v>1</v>
      </c>
      <c r="I134" s="35" t="b">
        <v>0</v>
      </c>
      <c r="J134" s="35" t="b">
        <v>0</v>
      </c>
      <c r="K134" s="35" t="b">
        <v>0</v>
      </c>
      <c r="L134" s="35" t="b">
        <v>0</v>
      </c>
      <c r="M134" s="35" t="b">
        <v>0</v>
      </c>
      <c r="N134" s="35" t="b">
        <v>0</v>
      </c>
      <c r="O134" s="35" t="b">
        <v>0</v>
      </c>
      <c r="P134" s="35" t="b">
        <v>0</v>
      </c>
      <c r="Q134" s="35" t="b">
        <v>0</v>
      </c>
      <c r="R134" s="14"/>
      <c r="S134" s="14"/>
      <c r="T134" s="14"/>
      <c r="U134" s="14"/>
      <c r="V134" s="14"/>
      <c r="W134" s="14"/>
    </row>
    <row r="135" ht="15.75" customHeight="1">
      <c r="A135" s="24" t="s">
        <v>2788</v>
      </c>
      <c r="B135" s="27" t="s">
        <v>2790</v>
      </c>
      <c r="C135" s="28" t="s">
        <v>2793</v>
      </c>
      <c r="D135" s="29" t="s">
        <v>2795</v>
      </c>
      <c r="E135" s="32" t="str">
        <f>IFERROR(__xludf.DUMMYFUNCTION("GOOGLETRANSLATE(D135,""zh-CN"",""vi"")"),"Cuốn sách này có giá mười nhân dân tệ.")</f>
        <v>Cuốn sách này có giá mười nhân dân tệ.</v>
      </c>
      <c r="F135" s="30" t="s">
        <v>2788</v>
      </c>
      <c r="G135" s="34" t="b">
        <f t="shared" si="1"/>
        <v>1</v>
      </c>
      <c r="H135" s="35" t="b">
        <v>1</v>
      </c>
      <c r="I135" s="35" t="b">
        <v>0</v>
      </c>
      <c r="J135" s="35" t="b">
        <v>0</v>
      </c>
      <c r="K135" s="35" t="b">
        <v>0</v>
      </c>
      <c r="L135" s="35" t="b">
        <v>0</v>
      </c>
      <c r="M135" s="35" t="b">
        <v>0</v>
      </c>
      <c r="N135" s="35" t="b">
        <v>0</v>
      </c>
      <c r="O135" s="35" t="b">
        <v>0</v>
      </c>
      <c r="P135" s="35" t="b">
        <v>0</v>
      </c>
      <c r="Q135" s="35" t="b">
        <v>0</v>
      </c>
      <c r="R135" s="14"/>
      <c r="S135" s="14"/>
      <c r="T135" s="14"/>
      <c r="U135" s="14"/>
      <c r="V135" s="14"/>
      <c r="W135" s="14"/>
    </row>
    <row r="136" ht="15.75" customHeight="1">
      <c r="A136" s="24" t="s">
        <v>2804</v>
      </c>
      <c r="B136" s="27" t="s">
        <v>2807</v>
      </c>
      <c r="C136" s="28" t="s">
        <v>2809</v>
      </c>
      <c r="D136" s="29" t="s">
        <v>2811</v>
      </c>
      <c r="E136" s="32" t="str">
        <f>IFERROR(__xludf.DUMMYFUNCTION("GOOGLETRANSLATE(D136,""zh-CN"",""vi"")"),"Nhà anh ấy cách trường học khá xa.")</f>
        <v>Nhà anh ấy cách trường học khá xa.</v>
      </c>
      <c r="F136" s="30" t="s">
        <v>2804</v>
      </c>
      <c r="G136" s="34" t="b">
        <f t="shared" si="1"/>
        <v>1</v>
      </c>
      <c r="H136" s="35" t="b">
        <v>1</v>
      </c>
      <c r="I136" s="35" t="b">
        <v>0</v>
      </c>
      <c r="J136" s="35" t="b">
        <v>0</v>
      </c>
      <c r="K136" s="35" t="b">
        <v>0</v>
      </c>
      <c r="L136" s="35" t="b">
        <v>0</v>
      </c>
      <c r="M136" s="35" t="b">
        <v>0</v>
      </c>
      <c r="N136" s="35" t="b">
        <v>0</v>
      </c>
      <c r="O136" s="35" t="b">
        <v>0</v>
      </c>
      <c r="P136" s="35" t="b">
        <v>0</v>
      </c>
      <c r="Q136" s="35" t="b">
        <v>0</v>
      </c>
      <c r="R136" s="14"/>
      <c r="S136" s="14"/>
      <c r="T136" s="14"/>
      <c r="U136" s="14"/>
      <c r="V136" s="14"/>
      <c r="W136" s="14"/>
    </row>
    <row r="137" ht="15.75" customHeight="1">
      <c r="A137" s="24" t="s">
        <v>2821</v>
      </c>
      <c r="B137" s="27" t="s">
        <v>2824</v>
      </c>
      <c r="C137" s="58" t="s">
        <v>2826</v>
      </c>
      <c r="D137" s="29" t="s">
        <v>2827</v>
      </c>
      <c r="E137" s="32" t="str">
        <f>IFERROR(__xludf.DUMMYFUNCTION("GOOGLETRANSLATE(D137,""zh-CN"",""vi"")"),"Tôi tập thể dục mỗi ngày.")</f>
        <v>Tôi tập thể dục mỗi ngày.</v>
      </c>
      <c r="F137" s="30" t="s">
        <v>2821</v>
      </c>
      <c r="G137" s="34" t="b">
        <f t="shared" si="1"/>
        <v>1</v>
      </c>
      <c r="H137" s="35" t="b">
        <v>1</v>
      </c>
      <c r="I137" s="35" t="b">
        <v>0</v>
      </c>
      <c r="J137" s="35" t="b">
        <v>0</v>
      </c>
      <c r="K137" s="35" t="b">
        <v>0</v>
      </c>
      <c r="L137" s="35" t="b">
        <v>0</v>
      </c>
      <c r="M137" s="35" t="b">
        <v>0</v>
      </c>
      <c r="N137" s="35" t="b">
        <v>0</v>
      </c>
      <c r="O137" s="35" t="b">
        <v>0</v>
      </c>
      <c r="P137" s="35" t="b">
        <v>0</v>
      </c>
      <c r="Q137" s="35" t="b">
        <v>0</v>
      </c>
      <c r="R137" s="14"/>
      <c r="S137" s="14"/>
      <c r="T137" s="14"/>
      <c r="U137" s="14"/>
      <c r="V137" s="14"/>
      <c r="W137" s="14"/>
    </row>
    <row r="138" ht="15.75" customHeight="1">
      <c r="A138" s="24" t="s">
        <v>2838</v>
      </c>
      <c r="B138" s="27" t="s">
        <v>2175</v>
      </c>
      <c r="C138" s="28" t="s">
        <v>2842</v>
      </c>
      <c r="D138" s="29" t="s">
        <v>2844</v>
      </c>
      <c r="E138" s="32" t="str">
        <f>IFERROR(__xludf.DUMMYFUNCTION("GOOGLETRANSLATE(D138,""zh-CN"",""vi"")"),"Xin hãy nhắc lại lần nữa.")</f>
        <v>Xin hãy nhắc lại lần nữa.</v>
      </c>
      <c r="F138" s="30" t="s">
        <v>2838</v>
      </c>
      <c r="G138" s="34" t="b">
        <f t="shared" si="1"/>
        <v>1</v>
      </c>
      <c r="H138" s="35" t="b">
        <v>1</v>
      </c>
      <c r="I138" s="35" t="b">
        <v>0</v>
      </c>
      <c r="J138" s="35" t="b">
        <v>0</v>
      </c>
      <c r="K138" s="35" t="b">
        <v>0</v>
      </c>
      <c r="L138" s="35" t="b">
        <v>0</v>
      </c>
      <c r="M138" s="35" t="b">
        <v>0</v>
      </c>
      <c r="N138" s="35" t="b">
        <v>0</v>
      </c>
      <c r="O138" s="35" t="b">
        <v>0</v>
      </c>
      <c r="P138" s="35" t="b">
        <v>0</v>
      </c>
      <c r="Q138" s="35" t="b">
        <v>0</v>
      </c>
      <c r="R138" s="14"/>
      <c r="S138" s="14"/>
      <c r="T138" s="14"/>
      <c r="U138" s="14"/>
      <c r="V138" s="14"/>
      <c r="W138" s="14"/>
    </row>
    <row r="139" ht="15.75" customHeight="1">
      <c r="A139" s="24" t="s">
        <v>2855</v>
      </c>
      <c r="B139" s="27" t="s">
        <v>2856</v>
      </c>
      <c r="C139" s="28" t="s">
        <v>1342</v>
      </c>
      <c r="D139" s="29" t="s">
        <v>2857</v>
      </c>
      <c r="E139" s="32" t="str">
        <f>IFERROR(__xludf.DUMMYFUNCTION("GOOGLETRANSLATE(D139,""zh-CN"",""vi"")"),"Tôi thức dậy lúc sáu giờ mỗi sáng.")</f>
        <v>Tôi thức dậy lúc sáu giờ mỗi sáng.</v>
      </c>
      <c r="F139" s="30" t="s">
        <v>2855</v>
      </c>
      <c r="G139" s="34" t="b">
        <f t="shared" si="1"/>
        <v>1</v>
      </c>
      <c r="H139" s="35" t="b">
        <v>1</v>
      </c>
      <c r="I139" s="35" t="b">
        <v>0</v>
      </c>
      <c r="J139" s="35" t="b">
        <v>0</v>
      </c>
      <c r="K139" s="35" t="b">
        <v>0</v>
      </c>
      <c r="L139" s="35" t="b">
        <v>0</v>
      </c>
      <c r="M139" s="35" t="b">
        <v>0</v>
      </c>
      <c r="N139" s="35" t="b">
        <v>0</v>
      </c>
      <c r="O139" s="35" t="b">
        <v>0</v>
      </c>
      <c r="P139" s="35" t="b">
        <v>0</v>
      </c>
      <c r="Q139" s="35" t="b">
        <v>0</v>
      </c>
      <c r="R139" s="14"/>
      <c r="S139" s="14"/>
      <c r="T139" s="14"/>
      <c r="U139" s="14"/>
      <c r="V139" s="14"/>
      <c r="W139" s="14"/>
    </row>
    <row r="140" ht="15.75" customHeight="1">
      <c r="A140" s="24" t="s">
        <v>2873</v>
      </c>
      <c r="B140" s="27" t="s">
        <v>2874</v>
      </c>
      <c r="C140" s="28" t="s">
        <v>2875</v>
      </c>
      <c r="D140" s="29" t="s">
        <v>2876</v>
      </c>
      <c r="E140" s="32" t="str">
        <f>IFERROR(__xludf.DUMMYFUNCTION("GOOGLETRANSLATE(D140,""zh-CN"",""vi"")"),"Đây là một bức ảnh.")</f>
        <v>Đây là một bức ảnh.</v>
      </c>
      <c r="F140" s="30" t="s">
        <v>2873</v>
      </c>
      <c r="G140" s="34" t="b">
        <f t="shared" si="1"/>
        <v>1</v>
      </c>
      <c r="H140" s="35" t="b">
        <v>1</v>
      </c>
      <c r="I140" s="35" t="b">
        <v>0</v>
      </c>
      <c r="J140" s="35" t="b">
        <v>0</v>
      </c>
      <c r="K140" s="35" t="b">
        <v>0</v>
      </c>
      <c r="L140" s="35" t="b">
        <v>0</v>
      </c>
      <c r="M140" s="35" t="b">
        <v>0</v>
      </c>
      <c r="N140" s="35" t="b">
        <v>0</v>
      </c>
      <c r="O140" s="35" t="b">
        <v>0</v>
      </c>
      <c r="P140" s="35" t="b">
        <v>0</v>
      </c>
      <c r="Q140" s="35" t="b">
        <v>0</v>
      </c>
      <c r="R140" s="14"/>
      <c r="S140" s="14"/>
      <c r="T140" s="14"/>
      <c r="U140" s="14"/>
      <c r="V140" s="14"/>
      <c r="W140" s="14"/>
    </row>
    <row r="141" ht="15.75" customHeight="1">
      <c r="A141" s="24" t="s">
        <v>2885</v>
      </c>
      <c r="B141" s="27" t="s">
        <v>2886</v>
      </c>
      <c r="C141" s="28" t="s">
        <v>2887</v>
      </c>
      <c r="D141" s="29" t="s">
        <v>2888</v>
      </c>
      <c r="E141" s="32" t="str">
        <f>IFERROR(__xludf.DUMMYFUNCTION("GOOGLETRANSLATE(D141,""zh-CN"",""vi"")"),"Đây là chồng tôi.")</f>
        <v>Đây là chồng tôi.</v>
      </c>
      <c r="F141" s="30" t="s">
        <v>2885</v>
      </c>
      <c r="G141" s="34" t="b">
        <f t="shared" si="1"/>
        <v>1</v>
      </c>
      <c r="H141" s="35" t="b">
        <v>1</v>
      </c>
      <c r="I141" s="35" t="b">
        <v>0</v>
      </c>
      <c r="J141" s="35" t="b">
        <v>0</v>
      </c>
      <c r="K141" s="35" t="b">
        <v>0</v>
      </c>
      <c r="L141" s="35" t="b">
        <v>0</v>
      </c>
      <c r="M141" s="35" t="b">
        <v>0</v>
      </c>
      <c r="N141" s="35" t="b">
        <v>0</v>
      </c>
      <c r="O141" s="35" t="b">
        <v>0</v>
      </c>
      <c r="P141" s="35" t="b">
        <v>0</v>
      </c>
      <c r="Q141" s="35" t="b">
        <v>0</v>
      </c>
      <c r="R141" s="14"/>
      <c r="S141" s="14"/>
      <c r="T141" s="14"/>
      <c r="U141" s="14"/>
      <c r="V141" s="14"/>
      <c r="W141" s="14"/>
    </row>
    <row r="142" ht="15.75" customHeight="1">
      <c r="A142" s="24" t="s">
        <v>2898</v>
      </c>
      <c r="B142" s="27" t="s">
        <v>2900</v>
      </c>
      <c r="C142" s="28" t="s">
        <v>2902</v>
      </c>
      <c r="D142" s="29" t="s">
        <v>2904</v>
      </c>
      <c r="E142" s="32" t="str">
        <f>IFERROR(__xludf.DUMMYFUNCTION("GOOGLETRANSLATE(D142,""zh-CN"",""vi"")"),"Tôi đang tìm chìa khóa của mình.")</f>
        <v>Tôi đang tìm chìa khóa của mình.</v>
      </c>
      <c r="F142" s="30" t="s">
        <v>2898</v>
      </c>
      <c r="G142" s="34" t="b">
        <f t="shared" si="1"/>
        <v>1</v>
      </c>
      <c r="H142" s="35" t="b">
        <v>1</v>
      </c>
      <c r="I142" s="35" t="b">
        <v>0</v>
      </c>
      <c r="J142" s="35" t="b">
        <v>0</v>
      </c>
      <c r="K142" s="35" t="b">
        <v>0</v>
      </c>
      <c r="L142" s="35" t="b">
        <v>0</v>
      </c>
      <c r="M142" s="35" t="b">
        <v>0</v>
      </c>
      <c r="N142" s="35" t="b">
        <v>0</v>
      </c>
      <c r="O142" s="35" t="b">
        <v>0</v>
      </c>
      <c r="P142" s="35" t="b">
        <v>0</v>
      </c>
      <c r="Q142" s="35" t="b">
        <v>0</v>
      </c>
      <c r="R142" s="14"/>
      <c r="S142" s="14"/>
      <c r="T142" s="14"/>
      <c r="U142" s="14"/>
      <c r="V142" s="14"/>
      <c r="W142" s="14"/>
    </row>
    <row r="143" ht="15.75" customHeight="1">
      <c r="A143" s="24" t="s">
        <v>2912</v>
      </c>
      <c r="B143" s="27" t="s">
        <v>2913</v>
      </c>
      <c r="C143" s="28" t="s">
        <v>2914</v>
      </c>
      <c r="D143" s="29" t="s">
        <v>2915</v>
      </c>
      <c r="E143" s="32" t="str">
        <f>IFERROR(__xludf.DUMMYFUNCTION("GOOGLETRANSLATE(D143,""zh-CN"",""vi"")"),"Anh ấy đang ăn.")</f>
        <v>Anh ấy đang ăn.</v>
      </c>
      <c r="F143" s="30" t="s">
        <v>2912</v>
      </c>
      <c r="G143" s="34" t="b">
        <f t="shared" si="1"/>
        <v>1</v>
      </c>
      <c r="H143" s="35" t="b">
        <v>1</v>
      </c>
      <c r="I143" s="35" t="b">
        <v>0</v>
      </c>
      <c r="J143" s="35" t="b">
        <v>0</v>
      </c>
      <c r="K143" s="35" t="b">
        <v>0</v>
      </c>
      <c r="L143" s="35" t="b">
        <v>0</v>
      </c>
      <c r="M143" s="35" t="b">
        <v>0</v>
      </c>
      <c r="N143" s="35" t="b">
        <v>0</v>
      </c>
      <c r="O143" s="35" t="b">
        <v>0</v>
      </c>
      <c r="P143" s="35" t="b">
        <v>0</v>
      </c>
      <c r="Q143" s="35" t="b">
        <v>0</v>
      </c>
      <c r="R143" s="14"/>
      <c r="S143" s="14"/>
      <c r="T143" s="14"/>
      <c r="U143" s="14"/>
      <c r="V143" s="14"/>
      <c r="W143" s="14"/>
    </row>
    <row r="144" ht="15.75" customHeight="1">
      <c r="A144" s="24" t="s">
        <v>2935</v>
      </c>
      <c r="B144" s="27" t="s">
        <v>2938</v>
      </c>
      <c r="C144" s="28" t="s">
        <v>2940</v>
      </c>
      <c r="D144" s="29" t="s">
        <v>2944</v>
      </c>
      <c r="E144" s="32" t="str">
        <f>IFERROR(__xludf.DUMMYFUNCTION("GOOGLETRANSLATE(D144,""zh-CN"",""vi"")"),"Quả táo này rất ngon.")</f>
        <v>Quả táo này rất ngon.</v>
      </c>
      <c r="F144" s="30" t="s">
        <v>2935</v>
      </c>
      <c r="G144" s="34" t="b">
        <f t="shared" si="1"/>
        <v>1</v>
      </c>
      <c r="H144" s="35" t="b">
        <v>1</v>
      </c>
      <c r="I144" s="35" t="b">
        <v>0</v>
      </c>
      <c r="J144" s="35" t="b">
        <v>0</v>
      </c>
      <c r="K144" s="35" t="b">
        <v>0</v>
      </c>
      <c r="L144" s="35" t="b">
        <v>0</v>
      </c>
      <c r="M144" s="35" t="b">
        <v>0</v>
      </c>
      <c r="N144" s="35" t="b">
        <v>0</v>
      </c>
      <c r="O144" s="35" t="b">
        <v>0</v>
      </c>
      <c r="P144" s="35" t="b">
        <v>0</v>
      </c>
      <c r="Q144" s="35" t="b">
        <v>0</v>
      </c>
      <c r="R144" s="14"/>
      <c r="S144" s="14"/>
      <c r="T144" s="14"/>
      <c r="U144" s="14"/>
      <c r="V144" s="14"/>
      <c r="W144" s="14"/>
    </row>
    <row r="145" ht="15.75" customHeight="1">
      <c r="A145" s="24" t="s">
        <v>2954</v>
      </c>
      <c r="B145" s="27" t="s">
        <v>2955</v>
      </c>
      <c r="C145" s="28" t="s">
        <v>2956</v>
      </c>
      <c r="D145" s="29" t="s">
        <v>2957</v>
      </c>
      <c r="E145" s="32" t="str">
        <f>IFERROR(__xludf.DUMMYFUNCTION("GOOGLETRANSLATE(D145,""zh-CN"",""vi"")"),"Mẹ đang nghe điện thoại.")</f>
        <v>Mẹ đang nghe điện thoại.</v>
      </c>
      <c r="F145" s="30" t="s">
        <v>2954</v>
      </c>
      <c r="G145" s="34" t="b">
        <f t="shared" si="1"/>
        <v>1</v>
      </c>
      <c r="H145" s="35" t="b">
        <v>1</v>
      </c>
      <c r="I145" s="35" t="b">
        <v>0</v>
      </c>
      <c r="J145" s="35" t="b">
        <v>0</v>
      </c>
      <c r="K145" s="35" t="b">
        <v>0</v>
      </c>
      <c r="L145" s="35" t="b">
        <v>0</v>
      </c>
      <c r="M145" s="35" t="b">
        <v>0</v>
      </c>
      <c r="N145" s="35" t="b">
        <v>0</v>
      </c>
      <c r="O145" s="35" t="b">
        <v>0</v>
      </c>
      <c r="P145" s="35" t="b">
        <v>0</v>
      </c>
      <c r="Q145" s="35" t="b">
        <v>0</v>
      </c>
      <c r="R145" s="14"/>
      <c r="S145" s="14"/>
      <c r="T145" s="14"/>
      <c r="U145" s="14"/>
      <c r="V145" s="14"/>
      <c r="W145" s="14"/>
    </row>
    <row r="146" ht="15.75" customHeight="1">
      <c r="A146" s="24" t="s">
        <v>2969</v>
      </c>
      <c r="B146" s="27" t="s">
        <v>2970</v>
      </c>
      <c r="C146" s="28" t="s">
        <v>2971</v>
      </c>
      <c r="D146" s="29" t="s">
        <v>2972</v>
      </c>
      <c r="E146" s="32" t="str">
        <f>IFERROR(__xludf.DUMMYFUNCTION("GOOGLETRANSLATE(D146,""zh-CN"",""vi"")"),"Tôi biết anh ta là ai.")</f>
        <v>Tôi biết anh ta là ai.</v>
      </c>
      <c r="F146" s="30" t="s">
        <v>2969</v>
      </c>
      <c r="G146" s="34" t="b">
        <f t="shared" si="1"/>
        <v>1</v>
      </c>
      <c r="H146" s="35" t="b">
        <v>1</v>
      </c>
      <c r="I146" s="35" t="b">
        <v>0</v>
      </c>
      <c r="J146" s="35" t="b">
        <v>0</v>
      </c>
      <c r="K146" s="35" t="b">
        <v>0</v>
      </c>
      <c r="L146" s="35" t="b">
        <v>0</v>
      </c>
      <c r="M146" s="35" t="b">
        <v>0</v>
      </c>
      <c r="N146" s="35" t="b">
        <v>0</v>
      </c>
      <c r="O146" s="35" t="b">
        <v>0</v>
      </c>
      <c r="P146" s="35" t="b">
        <v>0</v>
      </c>
      <c r="Q146" s="35" t="b">
        <v>0</v>
      </c>
      <c r="R146" s="14"/>
      <c r="S146" s="14"/>
      <c r="T146" s="14"/>
      <c r="U146" s="14"/>
      <c r="V146" s="14"/>
      <c r="W146" s="14"/>
    </row>
    <row r="147" ht="15.75" customHeight="1">
      <c r="A147" s="24" t="s">
        <v>2982</v>
      </c>
      <c r="B147" s="27" t="s">
        <v>2984</v>
      </c>
      <c r="C147" s="28" t="s">
        <v>2986</v>
      </c>
      <c r="D147" s="29" t="s">
        <v>2987</v>
      </c>
      <c r="E147" s="32" t="str">
        <f>IFERROR(__xludf.DUMMYFUNCTION("GOOGLETRANSLATE(D147,""zh-CN"",""vi"")"),"Tôi đang chuẩn bị cho kỳ thi.")</f>
        <v>Tôi đang chuẩn bị cho kỳ thi.</v>
      </c>
      <c r="F147" s="30" t="s">
        <v>2982</v>
      </c>
      <c r="G147" s="34" t="b">
        <f t="shared" si="1"/>
        <v>1</v>
      </c>
      <c r="H147" s="35" t="b">
        <v>1</v>
      </c>
      <c r="I147" s="35" t="b">
        <v>0</v>
      </c>
      <c r="J147" s="35" t="b">
        <v>0</v>
      </c>
      <c r="K147" s="35" t="b">
        <v>0</v>
      </c>
      <c r="L147" s="35" t="b">
        <v>0</v>
      </c>
      <c r="M147" s="35" t="b">
        <v>0</v>
      </c>
      <c r="N147" s="35" t="b">
        <v>0</v>
      </c>
      <c r="O147" s="35" t="b">
        <v>0</v>
      </c>
      <c r="P147" s="35" t="b">
        <v>0</v>
      </c>
      <c r="Q147" s="35" t="b">
        <v>0</v>
      </c>
      <c r="R147" s="14"/>
      <c r="S147" s="14"/>
      <c r="T147" s="14"/>
      <c r="U147" s="14"/>
      <c r="V147" s="14"/>
      <c r="W147" s="14"/>
    </row>
    <row r="148" ht="15.75" customHeight="1">
      <c r="A148" s="24" t="s">
        <v>2999</v>
      </c>
      <c r="B148" s="27" t="s">
        <v>3001</v>
      </c>
      <c r="C148" s="28" t="s">
        <v>3002</v>
      </c>
      <c r="D148" s="29" t="s">
        <v>3003</v>
      </c>
      <c r="E148" s="32" t="str">
        <f>IFERROR(__xludf.DUMMYFUNCTION("GOOGLETRANSLATE(D148,""zh-CN"",""vi"")"),"Anh ấy đạp xe đi làm.")</f>
        <v>Anh ấy đạp xe đi làm.</v>
      </c>
      <c r="F148" s="30" t="s">
        <v>2999</v>
      </c>
      <c r="G148" s="34" t="b">
        <f t="shared" si="1"/>
        <v>1</v>
      </c>
      <c r="H148" s="35" t="b">
        <v>1</v>
      </c>
      <c r="I148" s="35" t="b">
        <v>0</v>
      </c>
      <c r="J148" s="35" t="b">
        <v>0</v>
      </c>
      <c r="K148" s="35" t="b">
        <v>0</v>
      </c>
      <c r="L148" s="35" t="b">
        <v>0</v>
      </c>
      <c r="M148" s="35" t="b">
        <v>0</v>
      </c>
      <c r="N148" s="35" t="b">
        <v>0</v>
      </c>
      <c r="O148" s="35" t="b">
        <v>0</v>
      </c>
      <c r="P148" s="35" t="b">
        <v>0</v>
      </c>
      <c r="Q148" s="35" t="b">
        <v>0</v>
      </c>
      <c r="R148" s="14"/>
      <c r="S148" s="14"/>
      <c r="T148" s="14"/>
      <c r="U148" s="14"/>
      <c r="V148" s="14"/>
      <c r="W148" s="14"/>
    </row>
    <row r="149" ht="15.75" customHeight="1">
      <c r="A149" s="24" t="s">
        <v>3012</v>
      </c>
      <c r="B149" s="27" t="s">
        <v>3013</v>
      </c>
      <c r="C149" s="28" t="s">
        <v>1202</v>
      </c>
      <c r="D149" s="29" t="s">
        <v>3014</v>
      </c>
      <c r="E149" s="32" t="str">
        <f>IFERROR(__xludf.DUMMYFUNCTION("GOOGLETRANSLATE(D149,""zh-CN"",""vi"")"),"Chúng ta cùng đi nhé.")</f>
        <v>Chúng ta cùng đi nhé.</v>
      </c>
      <c r="F149" s="30" t="s">
        <v>3012</v>
      </c>
      <c r="G149" s="34" t="b">
        <f t="shared" si="1"/>
        <v>1</v>
      </c>
      <c r="H149" s="35" t="b">
        <v>1</v>
      </c>
      <c r="I149" s="35" t="b">
        <v>0</v>
      </c>
      <c r="J149" s="35" t="b">
        <v>0</v>
      </c>
      <c r="K149" s="35" t="b">
        <v>0</v>
      </c>
      <c r="L149" s="35" t="b">
        <v>0</v>
      </c>
      <c r="M149" s="35" t="b">
        <v>0</v>
      </c>
      <c r="N149" s="35" t="b">
        <v>0</v>
      </c>
      <c r="O149" s="35" t="b">
        <v>0</v>
      </c>
      <c r="P149" s="35" t="b">
        <v>0</v>
      </c>
      <c r="Q149" s="35" t="b">
        <v>0</v>
      </c>
      <c r="R149" s="14"/>
      <c r="S149" s="14"/>
      <c r="T149" s="14"/>
      <c r="U149" s="14"/>
      <c r="V149" s="14"/>
      <c r="W149" s="14"/>
    </row>
    <row r="150" ht="15.75" customHeight="1">
      <c r="A150" s="24" t="s">
        <v>3025</v>
      </c>
      <c r="B150" s="27" t="s">
        <v>3027</v>
      </c>
      <c r="C150" s="28" t="s">
        <v>3028</v>
      </c>
      <c r="D150" s="29" t="s">
        <v>3033</v>
      </c>
      <c r="E150" s="32" t="str">
        <f>IFERROR(__xludf.DUMMYFUNCTION("GOOGLETRANSLATE(D150,""zh-CN"",""vi"")"),"Đây là cuốn sách tôi yêu thích nhất.")</f>
        <v>Đây là cuốn sách tôi yêu thích nhất.</v>
      </c>
      <c r="F150" s="30" t="s">
        <v>3025</v>
      </c>
      <c r="G150" s="34" t="b">
        <f t="shared" si="1"/>
        <v>1</v>
      </c>
      <c r="H150" s="35" t="b">
        <v>1</v>
      </c>
      <c r="I150" s="35" t="b">
        <v>0</v>
      </c>
      <c r="J150" s="35" t="b">
        <v>0</v>
      </c>
      <c r="K150" s="35" t="b">
        <v>0</v>
      </c>
      <c r="L150" s="35" t="b">
        <v>0</v>
      </c>
      <c r="M150" s="35" t="b">
        <v>0</v>
      </c>
      <c r="N150" s="35" t="b">
        <v>0</v>
      </c>
      <c r="O150" s="35" t="b">
        <v>0</v>
      </c>
      <c r="P150" s="35" t="b">
        <v>0</v>
      </c>
      <c r="Q150" s="35" t="b">
        <v>0</v>
      </c>
      <c r="R150" s="14"/>
      <c r="S150" s="14"/>
      <c r="T150" s="14"/>
      <c r="U150" s="14"/>
      <c r="V150" s="14"/>
      <c r="W150" s="14"/>
    </row>
    <row r="151" ht="15.75" customHeight="1">
      <c r="A151" s="24" t="s">
        <v>3045</v>
      </c>
      <c r="B151" s="27" t="s">
        <v>3046</v>
      </c>
      <c r="C151" s="28" t="s">
        <v>3047</v>
      </c>
      <c r="D151" s="29" t="s">
        <v>3048</v>
      </c>
      <c r="E151" s="32" t="str">
        <f>IFERROR(__xludf.DUMMYFUNCTION("GOOGLETRANSLATE(D151,""zh-CN"",""vi"")"),"Anh ấy ngồi bên trái tôi.")</f>
        <v>Anh ấy ngồi bên trái tôi.</v>
      </c>
      <c r="F151" s="30" t="s">
        <v>3045</v>
      </c>
      <c r="G151" s="34" t="b">
        <f t="shared" si="1"/>
        <v>1</v>
      </c>
      <c r="H151" s="35" t="b">
        <v>1</v>
      </c>
      <c r="I151" s="35" t="b">
        <v>0</v>
      </c>
      <c r="J151" s="35" t="b">
        <v>0</v>
      </c>
      <c r="K151" s="35" t="b">
        <v>0</v>
      </c>
      <c r="L151" s="35" t="b">
        <v>0</v>
      </c>
      <c r="M151" s="35" t="b">
        <v>0</v>
      </c>
      <c r="N151" s="35" t="b">
        <v>0</v>
      </c>
      <c r="O151" s="35" t="b">
        <v>0</v>
      </c>
      <c r="P151" s="35" t="b">
        <v>0</v>
      </c>
      <c r="Q151" s="35" t="b">
        <v>0</v>
      </c>
      <c r="R151" s="14"/>
      <c r="S151" s="14"/>
      <c r="T151" s="14"/>
      <c r="U151" s="14"/>
      <c r="V151" s="14"/>
      <c r="W151" s="14"/>
    </row>
    <row r="152" ht="15.75" customHeight="1">
      <c r="A152" s="62"/>
      <c r="B152" s="63"/>
      <c r="C152" s="14"/>
      <c r="D152" s="64"/>
      <c r="E152" s="65"/>
      <c r="F152" s="66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15.75" customHeight="1">
      <c r="A153" s="62"/>
      <c r="B153" s="63"/>
      <c r="C153" s="14"/>
      <c r="D153" s="64"/>
      <c r="E153" s="65"/>
      <c r="F153" s="66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ht="15.75" customHeight="1">
      <c r="A154" s="62"/>
      <c r="B154" s="63"/>
      <c r="C154" s="14"/>
      <c r="D154" s="64"/>
      <c r="E154" s="65"/>
      <c r="F154" s="66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ht="15.75" customHeight="1">
      <c r="A155" s="62"/>
      <c r="B155" s="63"/>
      <c r="C155" s="14"/>
      <c r="D155" s="64"/>
      <c r="E155" s="65"/>
      <c r="F155" s="66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ht="15.75" customHeight="1">
      <c r="A156" s="62"/>
      <c r="B156" s="63"/>
      <c r="C156" s="14"/>
      <c r="D156" s="64"/>
      <c r="E156" s="65"/>
      <c r="F156" s="6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ht="15.75" customHeight="1">
      <c r="A157" s="62"/>
      <c r="B157" s="63"/>
      <c r="C157" s="14"/>
      <c r="D157" s="64"/>
      <c r="E157" s="65"/>
      <c r="F157" s="66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ht="15.75" customHeight="1">
      <c r="A158" s="62"/>
      <c r="B158" s="63"/>
      <c r="C158" s="14"/>
      <c r="D158" s="64"/>
      <c r="E158" s="65"/>
      <c r="F158" s="66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ht="15.75" customHeight="1">
      <c r="A159" s="62"/>
      <c r="B159" s="63"/>
      <c r="C159" s="14"/>
      <c r="D159" s="64"/>
      <c r="E159" s="65"/>
      <c r="F159" s="66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ht="15.75" customHeight="1">
      <c r="A160" s="62"/>
      <c r="B160" s="63"/>
      <c r="C160" s="14"/>
      <c r="D160" s="64"/>
      <c r="E160" s="65"/>
      <c r="F160" s="66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ht="15.75" customHeight="1">
      <c r="A161" s="62"/>
      <c r="B161" s="63"/>
      <c r="C161" s="14"/>
      <c r="D161" s="64"/>
      <c r="E161" s="65"/>
      <c r="F161" s="6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ht="15.75" customHeight="1">
      <c r="A162" s="62"/>
      <c r="B162" s="63"/>
      <c r="C162" s="14"/>
      <c r="D162" s="64"/>
      <c r="E162" s="65"/>
      <c r="F162" s="66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ht="15.75" customHeight="1">
      <c r="A163" s="62"/>
      <c r="B163" s="63"/>
      <c r="C163" s="14"/>
      <c r="D163" s="64"/>
      <c r="E163" s="65"/>
      <c r="F163" s="66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ht="15.75" customHeight="1">
      <c r="A164" s="62"/>
      <c r="B164" s="63"/>
      <c r="C164" s="14"/>
      <c r="D164" s="64"/>
      <c r="E164" s="65"/>
      <c r="F164" s="6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ht="15.75" customHeight="1">
      <c r="A165" s="62"/>
      <c r="B165" s="63"/>
      <c r="C165" s="14"/>
      <c r="D165" s="64"/>
      <c r="E165" s="65"/>
      <c r="F165" s="66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ht="15.75" customHeight="1">
      <c r="A166" s="62"/>
      <c r="B166" s="63"/>
      <c r="C166" s="14"/>
      <c r="D166" s="64"/>
      <c r="E166" s="65"/>
      <c r="F166" s="6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ht="15.75" customHeight="1">
      <c r="A167" s="62"/>
      <c r="B167" s="63"/>
      <c r="C167" s="14"/>
      <c r="D167" s="64"/>
      <c r="E167" s="65"/>
      <c r="F167" s="6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ht="15.75" customHeight="1">
      <c r="A168" s="62"/>
      <c r="B168" s="63"/>
      <c r="C168" s="14"/>
      <c r="D168" s="64"/>
      <c r="E168" s="65"/>
      <c r="F168" s="66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ht="15.75" customHeight="1">
      <c r="A169" s="62"/>
      <c r="B169" s="63"/>
      <c r="C169" s="14"/>
      <c r="D169" s="64"/>
      <c r="E169" s="65"/>
      <c r="F169" s="66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ht="15.75" customHeight="1">
      <c r="A170" s="62"/>
      <c r="B170" s="63"/>
      <c r="C170" s="14"/>
      <c r="D170" s="64"/>
      <c r="E170" s="65"/>
      <c r="F170" s="6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ht="15.75" customHeight="1">
      <c r="A171" s="62"/>
      <c r="B171" s="63"/>
      <c r="C171" s="14"/>
      <c r="D171" s="64"/>
      <c r="E171" s="65"/>
      <c r="F171" s="66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ht="15.75" customHeight="1">
      <c r="A172" s="62"/>
      <c r="B172" s="63"/>
      <c r="C172" s="14"/>
      <c r="D172" s="64"/>
      <c r="E172" s="65"/>
      <c r="F172" s="66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ht="15.75" customHeight="1">
      <c r="A173" s="62"/>
      <c r="B173" s="63"/>
      <c r="C173" s="14"/>
      <c r="D173" s="64"/>
      <c r="E173" s="65"/>
      <c r="F173" s="66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15.75" customHeight="1">
      <c r="A174" s="62"/>
      <c r="B174" s="63"/>
      <c r="C174" s="14"/>
      <c r="D174" s="64"/>
      <c r="E174" s="65"/>
      <c r="F174" s="66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ht="15.75" customHeight="1">
      <c r="A175" s="62"/>
      <c r="B175" s="63"/>
      <c r="C175" s="14"/>
      <c r="D175" s="64"/>
      <c r="E175" s="65"/>
      <c r="F175" s="6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ht="15.75" customHeight="1">
      <c r="A176" s="62"/>
      <c r="B176" s="63"/>
      <c r="C176" s="14"/>
      <c r="D176" s="64"/>
      <c r="E176" s="65"/>
      <c r="F176" s="6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ht="15.75" customHeight="1">
      <c r="A177" s="62"/>
      <c r="B177" s="63"/>
      <c r="C177" s="14"/>
      <c r="D177" s="64"/>
      <c r="E177" s="65"/>
      <c r="F177" s="66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ht="15.75" customHeight="1">
      <c r="A178" s="62"/>
      <c r="B178" s="63"/>
      <c r="C178" s="14"/>
      <c r="D178" s="64"/>
      <c r="E178" s="65"/>
      <c r="F178" s="66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ht="15.75" customHeight="1">
      <c r="A179" s="62"/>
      <c r="B179" s="63"/>
      <c r="C179" s="14"/>
      <c r="D179" s="64"/>
      <c r="E179" s="65"/>
      <c r="F179" s="66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ht="15.75" customHeight="1">
      <c r="A180" s="62"/>
      <c r="B180" s="63"/>
      <c r="C180" s="14"/>
      <c r="D180" s="64"/>
      <c r="E180" s="65"/>
      <c r="F180" s="6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ht="15.75" customHeight="1">
      <c r="A181" s="62"/>
      <c r="B181" s="63"/>
      <c r="C181" s="14"/>
      <c r="D181" s="64"/>
      <c r="E181" s="65"/>
      <c r="F181" s="6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ht="15.75" customHeight="1">
      <c r="A182" s="62"/>
      <c r="B182" s="63"/>
      <c r="C182" s="14"/>
      <c r="D182" s="64"/>
      <c r="E182" s="65"/>
      <c r="F182" s="6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ht="15.75" customHeight="1">
      <c r="A183" s="62"/>
      <c r="B183" s="63"/>
      <c r="C183" s="14"/>
      <c r="D183" s="64"/>
      <c r="E183" s="65"/>
      <c r="F183" s="6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ht="15.75" customHeight="1">
      <c r="A184" s="62"/>
      <c r="B184" s="63"/>
      <c r="C184" s="14"/>
      <c r="D184" s="64"/>
      <c r="E184" s="65"/>
      <c r="F184" s="6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ht="15.75" customHeight="1">
      <c r="A185" s="62"/>
      <c r="B185" s="63"/>
      <c r="C185" s="14"/>
      <c r="D185" s="64"/>
      <c r="E185" s="65"/>
      <c r="F185" s="66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ht="15.75" customHeight="1">
      <c r="A186" s="62"/>
      <c r="B186" s="63"/>
      <c r="C186" s="14"/>
      <c r="D186" s="64"/>
      <c r="E186" s="65"/>
      <c r="F186" s="6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ht="15.75" customHeight="1">
      <c r="A187" s="62"/>
      <c r="B187" s="63"/>
      <c r="C187" s="14"/>
      <c r="D187" s="64"/>
      <c r="E187" s="65"/>
      <c r="F187" s="66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ht="15.75" customHeight="1">
      <c r="A188" s="62"/>
      <c r="B188" s="63"/>
      <c r="C188" s="14"/>
      <c r="D188" s="64"/>
      <c r="E188" s="65"/>
      <c r="F188" s="66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ht="15.75" customHeight="1">
      <c r="A189" s="62"/>
      <c r="B189" s="63"/>
      <c r="C189" s="14"/>
      <c r="D189" s="64"/>
      <c r="E189" s="65"/>
      <c r="F189" s="66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ht="15.75" customHeight="1">
      <c r="A190" s="62"/>
      <c r="B190" s="63"/>
      <c r="C190" s="14"/>
      <c r="D190" s="64"/>
      <c r="E190" s="65"/>
      <c r="F190" s="66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ht="15.75" customHeight="1">
      <c r="A191" s="62"/>
      <c r="B191" s="63"/>
      <c r="C191" s="14"/>
      <c r="D191" s="64"/>
      <c r="E191" s="65"/>
      <c r="F191" s="66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ht="15.75" customHeight="1">
      <c r="A192" s="62"/>
      <c r="B192" s="63"/>
      <c r="C192" s="14"/>
      <c r="D192" s="64"/>
      <c r="E192" s="65"/>
      <c r="F192" s="66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ht="15.75" customHeight="1">
      <c r="A193" s="62"/>
      <c r="B193" s="63"/>
      <c r="C193" s="14"/>
      <c r="D193" s="64"/>
      <c r="E193" s="65"/>
      <c r="F193" s="6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ht="15.75" customHeight="1">
      <c r="A194" s="62"/>
      <c r="B194" s="63"/>
      <c r="C194" s="14"/>
      <c r="D194" s="64"/>
      <c r="E194" s="65"/>
      <c r="F194" s="66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ht="15.75" customHeight="1">
      <c r="A195" s="62"/>
      <c r="B195" s="63"/>
      <c r="C195" s="14"/>
      <c r="D195" s="64"/>
      <c r="E195" s="65"/>
      <c r="F195" s="6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ht="15.75" customHeight="1">
      <c r="A196" s="62"/>
      <c r="B196" s="63"/>
      <c r="C196" s="14"/>
      <c r="D196" s="64"/>
      <c r="E196" s="65"/>
      <c r="F196" s="66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ht="15.75" customHeight="1">
      <c r="A197" s="62"/>
      <c r="B197" s="63"/>
      <c r="C197" s="14"/>
      <c r="D197" s="64"/>
      <c r="E197" s="65"/>
      <c r="F197" s="66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ht="15.75" customHeight="1">
      <c r="A198" s="62"/>
      <c r="B198" s="63"/>
      <c r="C198" s="14"/>
      <c r="D198" s="64"/>
      <c r="E198" s="65"/>
      <c r="F198" s="66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ht="15.75" customHeight="1">
      <c r="A199" s="62"/>
      <c r="B199" s="63"/>
      <c r="C199" s="14"/>
      <c r="D199" s="64"/>
      <c r="E199" s="65"/>
      <c r="F199" s="66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ht="15.75" customHeight="1">
      <c r="A200" s="62"/>
      <c r="B200" s="63"/>
      <c r="C200" s="14"/>
      <c r="D200" s="64"/>
      <c r="E200" s="65"/>
      <c r="F200" s="66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ht="15.75" customHeight="1">
      <c r="A201" s="62"/>
      <c r="B201" s="63"/>
      <c r="C201" s="14"/>
      <c r="D201" s="64"/>
      <c r="E201" s="65"/>
      <c r="F201" s="66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ht="15.75" customHeight="1">
      <c r="A202" s="62"/>
      <c r="B202" s="63"/>
      <c r="C202" s="14"/>
      <c r="D202" s="64"/>
      <c r="E202" s="65"/>
      <c r="F202" s="66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ht="15.75" customHeight="1">
      <c r="A203" s="62"/>
      <c r="B203" s="63"/>
      <c r="C203" s="14"/>
      <c r="D203" s="64"/>
      <c r="E203" s="65"/>
      <c r="F203" s="66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ht="15.75" customHeight="1">
      <c r="A204" s="62"/>
      <c r="B204" s="63"/>
      <c r="C204" s="14"/>
      <c r="D204" s="64"/>
      <c r="E204" s="65"/>
      <c r="F204" s="66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ht="15.75" customHeight="1">
      <c r="A205" s="62"/>
      <c r="B205" s="63"/>
      <c r="C205" s="14"/>
      <c r="D205" s="64"/>
      <c r="E205" s="65"/>
      <c r="F205" s="6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ht="15.75" customHeight="1">
      <c r="A206" s="62"/>
      <c r="B206" s="63"/>
      <c r="C206" s="14"/>
      <c r="D206" s="64"/>
      <c r="E206" s="65"/>
      <c r="F206" s="66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ht="15.75" customHeight="1">
      <c r="A207" s="62"/>
      <c r="B207" s="63"/>
      <c r="C207" s="14"/>
      <c r="D207" s="64"/>
      <c r="E207" s="65"/>
      <c r="F207" s="6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ht="15.75" customHeight="1">
      <c r="A208" s="62"/>
      <c r="B208" s="63"/>
      <c r="C208" s="14"/>
      <c r="D208" s="64"/>
      <c r="E208" s="65"/>
      <c r="F208" s="66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ht="15.75" customHeight="1">
      <c r="A209" s="62"/>
      <c r="B209" s="63"/>
      <c r="C209" s="14"/>
      <c r="D209" s="64"/>
      <c r="E209" s="65"/>
      <c r="F209" s="66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ht="15.75" customHeight="1">
      <c r="A210" s="62"/>
      <c r="B210" s="63"/>
      <c r="C210" s="14"/>
      <c r="D210" s="64"/>
      <c r="E210" s="65"/>
      <c r="F210" s="66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ht="15.75" customHeight="1">
      <c r="A211" s="62"/>
      <c r="B211" s="63"/>
      <c r="C211" s="14"/>
      <c r="D211" s="64"/>
      <c r="E211" s="65"/>
      <c r="F211" s="66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ht="15.75" customHeight="1">
      <c r="A212" s="62"/>
      <c r="B212" s="63"/>
      <c r="C212" s="14"/>
      <c r="D212" s="64"/>
      <c r="E212" s="65"/>
      <c r="F212" s="66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ht="15.75" customHeight="1">
      <c r="A213" s="62"/>
      <c r="B213" s="63"/>
      <c r="C213" s="14"/>
      <c r="D213" s="64"/>
      <c r="E213" s="65"/>
      <c r="F213" s="66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ht="15.75" customHeight="1">
      <c r="A214" s="62"/>
      <c r="B214" s="63"/>
      <c r="C214" s="14"/>
      <c r="D214" s="64"/>
      <c r="E214" s="65"/>
      <c r="F214" s="66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ht="15.75" customHeight="1">
      <c r="A215" s="62"/>
      <c r="B215" s="63"/>
      <c r="C215" s="14"/>
      <c r="D215" s="64"/>
      <c r="E215" s="65"/>
      <c r="F215" s="66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ht="15.75" customHeight="1">
      <c r="A216" s="62"/>
      <c r="B216" s="63"/>
      <c r="C216" s="14"/>
      <c r="D216" s="64"/>
      <c r="E216" s="65"/>
      <c r="F216" s="6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ht="15.75" customHeight="1">
      <c r="A217" s="62"/>
      <c r="B217" s="63"/>
      <c r="C217" s="14"/>
      <c r="D217" s="64"/>
      <c r="E217" s="65"/>
      <c r="F217" s="66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ht="15.75" customHeight="1">
      <c r="A218" s="62"/>
      <c r="B218" s="63"/>
      <c r="C218" s="14"/>
      <c r="D218" s="64"/>
      <c r="E218" s="65"/>
      <c r="F218" s="66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ht="15.75" customHeight="1">
      <c r="A219" s="62"/>
      <c r="B219" s="63"/>
      <c r="C219" s="14"/>
      <c r="D219" s="64"/>
      <c r="E219" s="65"/>
      <c r="F219" s="66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ht="15.75" customHeight="1">
      <c r="A220" s="62"/>
      <c r="B220" s="63"/>
      <c r="C220" s="14"/>
      <c r="D220" s="64"/>
      <c r="E220" s="65"/>
      <c r="F220" s="66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ht="15.75" customHeight="1">
      <c r="A221" s="62"/>
      <c r="B221" s="63"/>
      <c r="C221" s="14"/>
      <c r="D221" s="64"/>
      <c r="E221" s="65"/>
      <c r="F221" s="6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 ht="15.75" customHeight="1">
      <c r="A222" s="62"/>
      <c r="B222" s="63"/>
      <c r="C222" s="14"/>
      <c r="D222" s="64"/>
      <c r="E222" s="65"/>
      <c r="F222" s="66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 ht="15.75" customHeight="1">
      <c r="A223" s="62"/>
      <c r="B223" s="63"/>
      <c r="C223" s="14"/>
      <c r="D223" s="64"/>
      <c r="E223" s="65"/>
      <c r="F223" s="6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 ht="15.75" customHeight="1">
      <c r="A224" s="62"/>
      <c r="B224" s="63"/>
      <c r="C224" s="14"/>
      <c r="D224" s="64"/>
      <c r="E224" s="65"/>
      <c r="F224" s="66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 ht="15.75" customHeight="1">
      <c r="A225" s="62"/>
      <c r="B225" s="63"/>
      <c r="C225" s="14"/>
      <c r="D225" s="64"/>
      <c r="E225" s="65"/>
      <c r="F225" s="66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 ht="15.75" customHeight="1">
      <c r="A226" s="62"/>
      <c r="B226" s="63"/>
      <c r="C226" s="14"/>
      <c r="D226" s="64"/>
      <c r="E226" s="65"/>
      <c r="F226" s="6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 ht="15.75" customHeight="1">
      <c r="A227" s="62"/>
      <c r="B227" s="63"/>
      <c r="C227" s="14"/>
      <c r="D227" s="64"/>
      <c r="E227" s="65"/>
      <c r="F227" s="6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 ht="15.75" customHeight="1">
      <c r="A228" s="62"/>
      <c r="B228" s="63"/>
      <c r="C228" s="14"/>
      <c r="D228" s="64"/>
      <c r="E228" s="65"/>
      <c r="F228" s="66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ht="15.75" customHeight="1">
      <c r="A229" s="62"/>
      <c r="B229" s="63"/>
      <c r="C229" s="14"/>
      <c r="D229" s="64"/>
      <c r="E229" s="65"/>
      <c r="F229" s="66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ht="15.75" customHeight="1">
      <c r="A230" s="62"/>
      <c r="B230" s="63"/>
      <c r="C230" s="14"/>
      <c r="D230" s="64"/>
      <c r="E230" s="65"/>
      <c r="F230" s="66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ht="15.75" customHeight="1">
      <c r="A231" s="62"/>
      <c r="B231" s="63"/>
      <c r="C231" s="14"/>
      <c r="D231" s="64"/>
      <c r="E231" s="65"/>
      <c r="F231" s="66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 ht="15.75" customHeight="1">
      <c r="A232" s="62"/>
      <c r="B232" s="63"/>
      <c r="C232" s="14"/>
      <c r="D232" s="64"/>
      <c r="E232" s="65"/>
      <c r="F232" s="6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 ht="15.75" customHeight="1">
      <c r="A233" s="62"/>
      <c r="B233" s="63"/>
      <c r="C233" s="14"/>
      <c r="D233" s="64"/>
      <c r="E233" s="65"/>
      <c r="F233" s="66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 ht="15.75" customHeight="1">
      <c r="A234" s="62"/>
      <c r="B234" s="63"/>
      <c r="C234" s="14"/>
      <c r="D234" s="64"/>
      <c r="E234" s="65"/>
      <c r="F234" s="66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ht="15.75" customHeight="1">
      <c r="A235" s="62"/>
      <c r="B235" s="63"/>
      <c r="C235" s="14"/>
      <c r="D235" s="64"/>
      <c r="E235" s="65"/>
      <c r="F235" s="66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 ht="15.75" customHeight="1">
      <c r="A236" s="62"/>
      <c r="B236" s="63"/>
      <c r="C236" s="14"/>
      <c r="D236" s="64"/>
      <c r="E236" s="65"/>
      <c r="F236" s="66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 ht="15.75" customHeight="1">
      <c r="A237" s="62"/>
      <c r="B237" s="63"/>
      <c r="C237" s="14"/>
      <c r="D237" s="64"/>
      <c r="E237" s="65"/>
      <c r="F237" s="6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 ht="15.75" customHeight="1">
      <c r="A238" s="62"/>
      <c r="B238" s="63"/>
      <c r="C238" s="14"/>
      <c r="D238" s="64"/>
      <c r="E238" s="65"/>
      <c r="F238" s="66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 ht="15.75" customHeight="1">
      <c r="A239" s="62"/>
      <c r="B239" s="63"/>
      <c r="C239" s="14"/>
      <c r="D239" s="64"/>
      <c r="E239" s="65"/>
      <c r="F239" s="66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 ht="15.75" customHeight="1">
      <c r="A240" s="62"/>
      <c r="B240" s="63"/>
      <c r="C240" s="14"/>
      <c r="D240" s="64"/>
      <c r="E240" s="65"/>
      <c r="F240" s="6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ht="15.75" customHeight="1">
      <c r="A241" s="62"/>
      <c r="B241" s="63"/>
      <c r="C241" s="14"/>
      <c r="D241" s="64"/>
      <c r="E241" s="65"/>
      <c r="F241" s="6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 ht="15.75" customHeight="1">
      <c r="A242" s="62"/>
      <c r="B242" s="63"/>
      <c r="C242" s="14"/>
      <c r="D242" s="64"/>
      <c r="E242" s="65"/>
      <c r="F242" s="6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ht="15.75" customHeight="1">
      <c r="A243" s="62"/>
      <c r="B243" s="63"/>
      <c r="C243" s="14"/>
      <c r="D243" s="64"/>
      <c r="E243" s="65"/>
      <c r="F243" s="66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ht="15.75" customHeight="1">
      <c r="A244" s="62"/>
      <c r="B244" s="63"/>
      <c r="C244" s="14"/>
      <c r="D244" s="64"/>
      <c r="E244" s="65"/>
      <c r="F244" s="6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 ht="15.75" customHeight="1">
      <c r="A245" s="62"/>
      <c r="B245" s="63"/>
      <c r="C245" s="14"/>
      <c r="D245" s="64"/>
      <c r="E245" s="65"/>
      <c r="F245" s="66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ht="15.75" customHeight="1">
      <c r="A246" s="62"/>
      <c r="B246" s="63"/>
      <c r="C246" s="14"/>
      <c r="D246" s="64"/>
      <c r="E246" s="65"/>
      <c r="F246" s="66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 ht="15.75" customHeight="1">
      <c r="A247" s="62"/>
      <c r="B247" s="63"/>
      <c r="C247" s="14"/>
      <c r="D247" s="64"/>
      <c r="E247" s="65"/>
      <c r="F247" s="66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 ht="15.75" customHeight="1">
      <c r="A248" s="62"/>
      <c r="B248" s="63"/>
      <c r="C248" s="14"/>
      <c r="D248" s="64"/>
      <c r="E248" s="65"/>
      <c r="F248" s="66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 ht="15.75" customHeight="1">
      <c r="A249" s="62"/>
      <c r="B249" s="63"/>
      <c r="C249" s="14"/>
      <c r="D249" s="64"/>
      <c r="E249" s="65"/>
      <c r="F249" s="6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 ht="15.75" customHeight="1">
      <c r="A250" s="62"/>
      <c r="B250" s="63"/>
      <c r="C250" s="14"/>
      <c r="D250" s="64"/>
      <c r="E250" s="65"/>
      <c r="F250" s="6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 ht="15.75" customHeight="1">
      <c r="A251" s="62"/>
      <c r="B251" s="63"/>
      <c r="C251" s="14"/>
      <c r="D251" s="64"/>
      <c r="E251" s="65"/>
      <c r="F251" s="6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 ht="15.75" customHeight="1">
      <c r="A252" s="62"/>
      <c r="B252" s="63"/>
      <c r="C252" s="14"/>
      <c r="D252" s="64"/>
      <c r="E252" s="65"/>
      <c r="F252" s="66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 ht="15.75" customHeight="1">
      <c r="A253" s="62"/>
      <c r="B253" s="63"/>
      <c r="C253" s="14"/>
      <c r="D253" s="64"/>
      <c r="E253" s="65"/>
      <c r="F253" s="6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 ht="15.75" customHeight="1">
      <c r="A254" s="62"/>
      <c r="B254" s="63"/>
      <c r="C254" s="14"/>
      <c r="D254" s="64"/>
      <c r="E254" s="65"/>
      <c r="F254" s="6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 ht="15.75" customHeight="1">
      <c r="A255" s="62"/>
      <c r="B255" s="63"/>
      <c r="C255" s="14"/>
      <c r="D255" s="64"/>
      <c r="E255" s="65"/>
      <c r="F255" s="6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 ht="15.75" customHeight="1">
      <c r="A256" s="62"/>
      <c r="B256" s="63"/>
      <c r="C256" s="14"/>
      <c r="D256" s="64"/>
      <c r="E256" s="65"/>
      <c r="F256" s="66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 ht="15.75" customHeight="1">
      <c r="A257" s="62"/>
      <c r="B257" s="63"/>
      <c r="C257" s="14"/>
      <c r="D257" s="64"/>
      <c r="E257" s="65"/>
      <c r="F257" s="6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 ht="15.75" customHeight="1">
      <c r="A258" s="62"/>
      <c r="B258" s="63"/>
      <c r="C258" s="14"/>
      <c r="D258" s="64"/>
      <c r="E258" s="65"/>
      <c r="F258" s="66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 ht="15.75" customHeight="1">
      <c r="A259" s="62"/>
      <c r="B259" s="63"/>
      <c r="C259" s="14"/>
      <c r="D259" s="64"/>
      <c r="E259" s="65"/>
      <c r="F259" s="66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 ht="15.75" customHeight="1">
      <c r="A260" s="62"/>
      <c r="B260" s="63"/>
      <c r="C260" s="14"/>
      <c r="D260" s="64"/>
      <c r="E260" s="65"/>
      <c r="F260" s="6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 ht="15.75" customHeight="1">
      <c r="A261" s="62"/>
      <c r="B261" s="63"/>
      <c r="C261" s="14"/>
      <c r="D261" s="64"/>
      <c r="E261" s="65"/>
      <c r="F261" s="66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 ht="15.75" customHeight="1">
      <c r="A262" s="62"/>
      <c r="B262" s="63"/>
      <c r="C262" s="14"/>
      <c r="D262" s="64"/>
      <c r="E262" s="65"/>
      <c r="F262" s="6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 ht="15.75" customHeight="1">
      <c r="A263" s="62"/>
      <c r="B263" s="63"/>
      <c r="C263" s="14"/>
      <c r="D263" s="64"/>
      <c r="E263" s="65"/>
      <c r="F263" s="6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 ht="15.75" customHeight="1">
      <c r="A264" s="62"/>
      <c r="B264" s="63"/>
      <c r="C264" s="14"/>
      <c r="D264" s="64"/>
      <c r="E264" s="65"/>
      <c r="F264" s="6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ht="15.75" customHeight="1">
      <c r="A265" s="62"/>
      <c r="B265" s="63"/>
      <c r="C265" s="14"/>
      <c r="D265" s="64"/>
      <c r="E265" s="65"/>
      <c r="F265" s="6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 ht="15.75" customHeight="1">
      <c r="A266" s="62"/>
      <c r="B266" s="63"/>
      <c r="C266" s="14"/>
      <c r="D266" s="64"/>
      <c r="E266" s="65"/>
      <c r="F266" s="6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 ht="15.75" customHeight="1">
      <c r="A267" s="62"/>
      <c r="B267" s="63"/>
      <c r="C267" s="14"/>
      <c r="D267" s="64"/>
      <c r="E267" s="65"/>
      <c r="F267" s="6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 ht="15.75" customHeight="1">
      <c r="A268" s="62"/>
      <c r="B268" s="63"/>
      <c r="C268" s="14"/>
      <c r="D268" s="64"/>
      <c r="E268" s="65"/>
      <c r="F268" s="66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 ht="15.75" customHeight="1">
      <c r="A269" s="62"/>
      <c r="B269" s="63"/>
      <c r="C269" s="14"/>
      <c r="D269" s="64"/>
      <c r="E269" s="65"/>
      <c r="F269" s="6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 ht="15.75" customHeight="1">
      <c r="A270" s="62"/>
      <c r="B270" s="63"/>
      <c r="C270" s="14"/>
      <c r="D270" s="64"/>
      <c r="E270" s="65"/>
      <c r="F270" s="6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 ht="15.75" customHeight="1">
      <c r="A271" s="62"/>
      <c r="B271" s="63"/>
      <c r="C271" s="14"/>
      <c r="D271" s="64"/>
      <c r="E271" s="65"/>
      <c r="F271" s="6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 ht="15.75" customHeight="1">
      <c r="A272" s="62"/>
      <c r="B272" s="63"/>
      <c r="C272" s="14"/>
      <c r="D272" s="64"/>
      <c r="E272" s="65"/>
      <c r="F272" s="6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ht="15.75" customHeight="1">
      <c r="A273" s="62"/>
      <c r="B273" s="63"/>
      <c r="C273" s="14"/>
      <c r="D273" s="64"/>
      <c r="E273" s="65"/>
      <c r="F273" s="66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ht="15.75" customHeight="1">
      <c r="A274" s="62"/>
      <c r="B274" s="63"/>
      <c r="C274" s="14"/>
      <c r="D274" s="64"/>
      <c r="E274" s="65"/>
      <c r="F274" s="66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 ht="15.75" customHeight="1">
      <c r="A275" s="62"/>
      <c r="B275" s="63"/>
      <c r="C275" s="14"/>
      <c r="D275" s="64"/>
      <c r="E275" s="65"/>
      <c r="F275" s="6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 ht="15.75" customHeight="1">
      <c r="A276" s="62"/>
      <c r="B276" s="63"/>
      <c r="C276" s="14"/>
      <c r="D276" s="64"/>
      <c r="E276" s="65"/>
      <c r="F276" s="6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 ht="15.75" customHeight="1">
      <c r="A277" s="62"/>
      <c r="B277" s="63"/>
      <c r="C277" s="14"/>
      <c r="D277" s="64"/>
      <c r="E277" s="65"/>
      <c r="F277" s="6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ht="15.75" customHeight="1">
      <c r="A278" s="62"/>
      <c r="B278" s="63"/>
      <c r="C278" s="14"/>
      <c r="D278" s="64"/>
      <c r="E278" s="65"/>
      <c r="F278" s="6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 ht="15.75" customHeight="1">
      <c r="A279" s="62"/>
      <c r="B279" s="63"/>
      <c r="C279" s="14"/>
      <c r="D279" s="64"/>
      <c r="E279" s="65"/>
      <c r="F279" s="6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 ht="15.75" customHeight="1">
      <c r="A280" s="62"/>
      <c r="B280" s="63"/>
      <c r="C280" s="14"/>
      <c r="D280" s="64"/>
      <c r="E280" s="65"/>
      <c r="F280" s="6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 ht="15.75" customHeight="1">
      <c r="A281" s="62"/>
      <c r="B281" s="63"/>
      <c r="C281" s="14"/>
      <c r="D281" s="64"/>
      <c r="E281" s="65"/>
      <c r="F281" s="6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 ht="15.75" customHeight="1">
      <c r="A282" s="62"/>
      <c r="B282" s="63"/>
      <c r="C282" s="14"/>
      <c r="D282" s="64"/>
      <c r="E282" s="65"/>
      <c r="F282" s="6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 ht="15.75" customHeight="1">
      <c r="A283" s="62"/>
      <c r="B283" s="63"/>
      <c r="C283" s="14"/>
      <c r="D283" s="64"/>
      <c r="E283" s="65"/>
      <c r="F283" s="6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 ht="15.75" customHeight="1">
      <c r="A284" s="62"/>
      <c r="B284" s="63"/>
      <c r="C284" s="14"/>
      <c r="D284" s="64"/>
      <c r="E284" s="65"/>
      <c r="F284" s="6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 ht="15.75" customHeight="1">
      <c r="A285" s="62"/>
      <c r="B285" s="63"/>
      <c r="C285" s="14"/>
      <c r="D285" s="64"/>
      <c r="E285" s="65"/>
      <c r="F285" s="6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ht="15.75" customHeight="1">
      <c r="A286" s="62"/>
      <c r="B286" s="63"/>
      <c r="C286" s="14"/>
      <c r="D286" s="64"/>
      <c r="E286" s="65"/>
      <c r="F286" s="6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ht="15.75" customHeight="1">
      <c r="A287" s="62"/>
      <c r="B287" s="63"/>
      <c r="C287" s="14"/>
      <c r="D287" s="64"/>
      <c r="E287" s="65"/>
      <c r="F287" s="6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 ht="15.75" customHeight="1">
      <c r="A288" s="62"/>
      <c r="B288" s="63"/>
      <c r="C288" s="14"/>
      <c r="D288" s="64"/>
      <c r="E288" s="65"/>
      <c r="F288" s="6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 ht="15.75" customHeight="1">
      <c r="A289" s="62"/>
      <c r="B289" s="63"/>
      <c r="C289" s="14"/>
      <c r="D289" s="64"/>
      <c r="E289" s="65"/>
      <c r="F289" s="6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 ht="15.75" customHeight="1">
      <c r="A290" s="62"/>
      <c r="B290" s="63"/>
      <c r="C290" s="14"/>
      <c r="D290" s="64"/>
      <c r="E290" s="65"/>
      <c r="F290" s="6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 ht="15.75" customHeight="1">
      <c r="A291" s="62"/>
      <c r="B291" s="63"/>
      <c r="C291" s="14"/>
      <c r="D291" s="64"/>
      <c r="E291" s="65"/>
      <c r="F291" s="6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 ht="15.75" customHeight="1">
      <c r="A292" s="62"/>
      <c r="B292" s="63"/>
      <c r="C292" s="14"/>
      <c r="D292" s="64"/>
      <c r="E292" s="65"/>
      <c r="F292" s="6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 ht="15.75" customHeight="1">
      <c r="A293" s="62"/>
      <c r="B293" s="63"/>
      <c r="C293" s="14"/>
      <c r="D293" s="64"/>
      <c r="E293" s="65"/>
      <c r="F293" s="6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 ht="15.75" customHeight="1">
      <c r="A294" s="62"/>
      <c r="B294" s="63"/>
      <c r="C294" s="14"/>
      <c r="D294" s="64"/>
      <c r="E294" s="65"/>
      <c r="F294" s="6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 ht="15.75" customHeight="1">
      <c r="A295" s="62"/>
      <c r="B295" s="63"/>
      <c r="C295" s="14"/>
      <c r="D295" s="64"/>
      <c r="E295" s="65"/>
      <c r="F295" s="6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 ht="15.75" customHeight="1">
      <c r="A296" s="62"/>
      <c r="B296" s="63"/>
      <c r="C296" s="14"/>
      <c r="D296" s="64"/>
      <c r="E296" s="65"/>
      <c r="F296" s="6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 ht="15.75" customHeight="1">
      <c r="A297" s="62"/>
      <c r="B297" s="63"/>
      <c r="C297" s="14"/>
      <c r="D297" s="64"/>
      <c r="E297" s="65"/>
      <c r="F297" s="6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 ht="15.75" customHeight="1">
      <c r="A298" s="62"/>
      <c r="B298" s="63"/>
      <c r="C298" s="14"/>
      <c r="D298" s="64"/>
      <c r="E298" s="65"/>
      <c r="F298" s="66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 ht="15.75" customHeight="1">
      <c r="A299" s="62"/>
      <c r="B299" s="63"/>
      <c r="C299" s="14"/>
      <c r="D299" s="64"/>
      <c r="E299" s="65"/>
      <c r="F299" s="6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 ht="15.75" customHeight="1">
      <c r="A300" s="62"/>
      <c r="B300" s="63"/>
      <c r="C300" s="14"/>
      <c r="D300" s="64"/>
      <c r="E300" s="65"/>
      <c r="F300" s="66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ht="15.75" customHeight="1">
      <c r="A301" s="62"/>
      <c r="B301" s="63"/>
      <c r="C301" s="14"/>
      <c r="D301" s="64"/>
      <c r="E301" s="65"/>
      <c r="F301" s="6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ht="15.75" customHeight="1">
      <c r="A302" s="62"/>
      <c r="B302" s="63"/>
      <c r="C302" s="14"/>
      <c r="D302" s="64"/>
      <c r="E302" s="65"/>
      <c r="F302" s="66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 ht="15.75" customHeight="1">
      <c r="A303" s="62"/>
      <c r="B303" s="63"/>
      <c r="C303" s="14"/>
      <c r="D303" s="64"/>
      <c r="E303" s="65"/>
      <c r="F303" s="6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 ht="15.75" customHeight="1">
      <c r="A304" s="62"/>
      <c r="B304" s="63"/>
      <c r="C304" s="14"/>
      <c r="D304" s="64"/>
      <c r="E304" s="65"/>
      <c r="F304" s="6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 ht="15.75" customHeight="1">
      <c r="A305" s="62"/>
      <c r="B305" s="63"/>
      <c r="C305" s="14"/>
      <c r="D305" s="64"/>
      <c r="E305" s="65"/>
      <c r="F305" s="6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ht="15.75" customHeight="1">
      <c r="A306" s="62"/>
      <c r="B306" s="63"/>
      <c r="C306" s="14"/>
      <c r="D306" s="64"/>
      <c r="E306" s="65"/>
      <c r="F306" s="6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 ht="15.75" customHeight="1">
      <c r="A307" s="62"/>
      <c r="B307" s="63"/>
      <c r="C307" s="14"/>
      <c r="D307" s="64"/>
      <c r="E307" s="65"/>
      <c r="F307" s="6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 ht="15.75" customHeight="1">
      <c r="A308" s="62"/>
      <c r="B308" s="63"/>
      <c r="C308" s="14"/>
      <c r="D308" s="64"/>
      <c r="E308" s="65"/>
      <c r="F308" s="6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 ht="15.75" customHeight="1">
      <c r="A309" s="62"/>
      <c r="B309" s="63"/>
      <c r="C309" s="14"/>
      <c r="D309" s="64"/>
      <c r="E309" s="65"/>
      <c r="F309" s="6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 ht="15.75" customHeight="1">
      <c r="A310" s="62"/>
      <c r="B310" s="63"/>
      <c r="C310" s="14"/>
      <c r="D310" s="64"/>
      <c r="E310" s="65"/>
      <c r="F310" s="6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 ht="15.75" customHeight="1">
      <c r="A311" s="62"/>
      <c r="B311" s="63"/>
      <c r="C311" s="14"/>
      <c r="D311" s="64"/>
      <c r="E311" s="65"/>
      <c r="F311" s="6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ht="15.75" customHeight="1">
      <c r="A312" s="62"/>
      <c r="B312" s="63"/>
      <c r="C312" s="14"/>
      <c r="D312" s="64"/>
      <c r="E312" s="65"/>
      <c r="F312" s="6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 ht="15.75" customHeight="1">
      <c r="A313" s="62"/>
      <c r="B313" s="63"/>
      <c r="C313" s="14"/>
      <c r="D313" s="64"/>
      <c r="E313" s="65"/>
      <c r="F313" s="6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ht="15.75" customHeight="1">
      <c r="A314" s="62"/>
      <c r="B314" s="63"/>
      <c r="C314" s="14"/>
      <c r="D314" s="64"/>
      <c r="E314" s="65"/>
      <c r="F314" s="6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ht="15.75" customHeight="1">
      <c r="A315" s="62"/>
      <c r="B315" s="63"/>
      <c r="C315" s="14"/>
      <c r="D315" s="64"/>
      <c r="E315" s="65"/>
      <c r="F315" s="6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 ht="15.75" customHeight="1">
      <c r="A316" s="62"/>
      <c r="B316" s="63"/>
      <c r="C316" s="14"/>
      <c r="D316" s="64"/>
      <c r="E316" s="65"/>
      <c r="F316" s="6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 ht="15.75" customHeight="1">
      <c r="A317" s="62"/>
      <c r="B317" s="63"/>
      <c r="C317" s="14"/>
      <c r="D317" s="64"/>
      <c r="E317" s="65"/>
      <c r="F317" s="6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 ht="15.75" customHeight="1">
      <c r="A318" s="62"/>
      <c r="B318" s="63"/>
      <c r="C318" s="14"/>
      <c r="D318" s="64"/>
      <c r="E318" s="65"/>
      <c r="F318" s="6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ht="15.75" customHeight="1">
      <c r="A319" s="62"/>
      <c r="B319" s="63"/>
      <c r="C319" s="14"/>
      <c r="D319" s="64"/>
      <c r="E319" s="65"/>
      <c r="F319" s="6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 ht="15.75" customHeight="1">
      <c r="A320" s="62"/>
      <c r="B320" s="63"/>
      <c r="C320" s="14"/>
      <c r="D320" s="64"/>
      <c r="E320" s="65"/>
      <c r="F320" s="6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 ht="15.75" customHeight="1">
      <c r="A321" s="62"/>
      <c r="B321" s="63"/>
      <c r="C321" s="14"/>
      <c r="D321" s="64"/>
      <c r="E321" s="65"/>
      <c r="F321" s="6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 ht="15.75" customHeight="1">
      <c r="A322" s="62"/>
      <c r="B322" s="63"/>
      <c r="C322" s="14"/>
      <c r="D322" s="64"/>
      <c r="E322" s="65"/>
      <c r="F322" s="6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ht="15.75" customHeight="1">
      <c r="A323" s="62"/>
      <c r="B323" s="63"/>
      <c r="C323" s="14"/>
      <c r="D323" s="64"/>
      <c r="E323" s="65"/>
      <c r="F323" s="6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 ht="15.75" customHeight="1">
      <c r="A324" s="62"/>
      <c r="B324" s="63"/>
      <c r="C324" s="14"/>
      <c r="D324" s="64"/>
      <c r="E324" s="65"/>
      <c r="F324" s="6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ht="15.75" customHeight="1">
      <c r="A325" s="62"/>
      <c r="B325" s="63"/>
      <c r="C325" s="14"/>
      <c r="D325" s="64"/>
      <c r="E325" s="65"/>
      <c r="F325" s="6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 ht="15.75" customHeight="1">
      <c r="A326" s="62"/>
      <c r="B326" s="63"/>
      <c r="C326" s="14"/>
      <c r="D326" s="64"/>
      <c r="E326" s="65"/>
      <c r="F326" s="6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ht="15.75" customHeight="1">
      <c r="A327" s="62"/>
      <c r="B327" s="63"/>
      <c r="C327" s="14"/>
      <c r="D327" s="64"/>
      <c r="E327" s="65"/>
      <c r="F327" s="6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ht="15.75" customHeight="1">
      <c r="A328" s="62"/>
      <c r="B328" s="63"/>
      <c r="C328" s="14"/>
      <c r="D328" s="64"/>
      <c r="E328" s="65"/>
      <c r="F328" s="6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ht="15.75" customHeight="1">
      <c r="A329" s="62"/>
      <c r="B329" s="63"/>
      <c r="C329" s="14"/>
      <c r="D329" s="64"/>
      <c r="E329" s="65"/>
      <c r="F329" s="6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ht="15.75" customHeight="1">
      <c r="A330" s="62"/>
      <c r="B330" s="63"/>
      <c r="C330" s="14"/>
      <c r="D330" s="64"/>
      <c r="E330" s="65"/>
      <c r="F330" s="6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ht="15.75" customHeight="1">
      <c r="A331" s="62"/>
      <c r="B331" s="63"/>
      <c r="C331" s="14"/>
      <c r="D331" s="64"/>
      <c r="E331" s="65"/>
      <c r="F331" s="6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 ht="15.75" customHeight="1">
      <c r="A332" s="62"/>
      <c r="B332" s="63"/>
      <c r="C332" s="14"/>
      <c r="D332" s="64"/>
      <c r="E332" s="65"/>
      <c r="F332" s="6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 ht="15.75" customHeight="1">
      <c r="A333" s="62"/>
      <c r="B333" s="63"/>
      <c r="C333" s="14"/>
      <c r="D333" s="64"/>
      <c r="E333" s="65"/>
      <c r="F333" s="6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ht="15.75" customHeight="1">
      <c r="A334" s="62"/>
      <c r="B334" s="63"/>
      <c r="C334" s="14"/>
      <c r="D334" s="64"/>
      <c r="E334" s="65"/>
      <c r="F334" s="6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 ht="15.75" customHeight="1">
      <c r="A335" s="62"/>
      <c r="B335" s="63"/>
      <c r="C335" s="14"/>
      <c r="D335" s="64"/>
      <c r="E335" s="65"/>
      <c r="F335" s="6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 ht="15.75" customHeight="1">
      <c r="A336" s="62"/>
      <c r="B336" s="63"/>
      <c r="C336" s="14"/>
      <c r="D336" s="64"/>
      <c r="E336" s="65"/>
      <c r="F336" s="6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 ht="15.75" customHeight="1">
      <c r="A337" s="62"/>
      <c r="B337" s="63"/>
      <c r="C337" s="14"/>
      <c r="D337" s="64"/>
      <c r="E337" s="65"/>
      <c r="F337" s="6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 ht="15.75" customHeight="1">
      <c r="A338" s="62"/>
      <c r="B338" s="63"/>
      <c r="C338" s="14"/>
      <c r="D338" s="64"/>
      <c r="E338" s="65"/>
      <c r="F338" s="6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 ht="15.75" customHeight="1">
      <c r="A339" s="62"/>
      <c r="B339" s="63"/>
      <c r="C339" s="14"/>
      <c r="D339" s="64"/>
      <c r="E339" s="65"/>
      <c r="F339" s="6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 ht="15.75" customHeight="1">
      <c r="A340" s="62"/>
      <c r="B340" s="63"/>
      <c r="C340" s="14"/>
      <c r="D340" s="64"/>
      <c r="E340" s="65"/>
      <c r="F340" s="6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 ht="15.75" customHeight="1">
      <c r="A341" s="62"/>
      <c r="B341" s="63"/>
      <c r="C341" s="14"/>
      <c r="D341" s="64"/>
      <c r="E341" s="65"/>
      <c r="F341" s="6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ht="15.75" customHeight="1">
      <c r="A342" s="62"/>
      <c r="B342" s="63"/>
      <c r="C342" s="14"/>
      <c r="D342" s="64"/>
      <c r="E342" s="65"/>
      <c r="F342" s="6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ht="15.75" customHeight="1">
      <c r="A343" s="62"/>
      <c r="B343" s="63"/>
      <c r="C343" s="14"/>
      <c r="D343" s="64"/>
      <c r="E343" s="65"/>
      <c r="F343" s="6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 ht="15.75" customHeight="1">
      <c r="A344" s="62"/>
      <c r="B344" s="63"/>
      <c r="C344" s="14"/>
      <c r="D344" s="64"/>
      <c r="E344" s="65"/>
      <c r="F344" s="6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 ht="15.75" customHeight="1">
      <c r="A345" s="62"/>
      <c r="B345" s="63"/>
      <c r="C345" s="14"/>
      <c r="D345" s="64"/>
      <c r="E345" s="65"/>
      <c r="F345" s="6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 ht="15.75" customHeight="1">
      <c r="A346" s="62"/>
      <c r="B346" s="63"/>
      <c r="C346" s="14"/>
      <c r="D346" s="64"/>
      <c r="E346" s="65"/>
      <c r="F346" s="6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ht="15.75" customHeight="1">
      <c r="A347" s="62"/>
      <c r="B347" s="63"/>
      <c r="C347" s="14"/>
      <c r="D347" s="64"/>
      <c r="E347" s="65"/>
      <c r="F347" s="6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 ht="15.75" customHeight="1">
      <c r="A348" s="62"/>
      <c r="B348" s="63"/>
      <c r="C348" s="14"/>
      <c r="D348" s="64"/>
      <c r="E348" s="65"/>
      <c r="F348" s="6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 ht="15.75" customHeight="1">
      <c r="A349" s="62"/>
      <c r="B349" s="63"/>
      <c r="C349" s="14"/>
      <c r="D349" s="64"/>
      <c r="E349" s="65"/>
      <c r="F349" s="6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 ht="15.75" customHeight="1">
      <c r="A350" s="62"/>
      <c r="B350" s="63"/>
      <c r="C350" s="14"/>
      <c r="D350" s="64"/>
      <c r="E350" s="65"/>
      <c r="F350" s="6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 ht="15.75" customHeight="1">
      <c r="A351" s="62"/>
      <c r="B351" s="63"/>
      <c r="C351" s="14"/>
      <c r="D351" s="64"/>
      <c r="E351" s="65"/>
      <c r="F351" s="6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ht="15.75" customHeight="1">
      <c r="A352" s="77"/>
      <c r="B352" s="78"/>
      <c r="D352" s="79"/>
      <c r="E352" s="80"/>
      <c r="F352" s="81"/>
    </row>
    <row r="353" ht="15.75" customHeight="1">
      <c r="A353" s="77"/>
      <c r="B353" s="78"/>
      <c r="D353" s="79"/>
      <c r="E353" s="80"/>
      <c r="F353" s="81"/>
    </row>
    <row r="354" ht="15.75" customHeight="1">
      <c r="A354" s="77"/>
      <c r="B354" s="78"/>
      <c r="D354" s="79"/>
      <c r="E354" s="80"/>
      <c r="F354" s="81"/>
    </row>
    <row r="355" ht="15.75" customHeight="1">
      <c r="A355" s="77"/>
      <c r="B355" s="78"/>
      <c r="D355" s="79"/>
      <c r="E355" s="80"/>
      <c r="F355" s="81"/>
    </row>
    <row r="356" ht="15.75" customHeight="1">
      <c r="A356" s="77"/>
      <c r="B356" s="78"/>
      <c r="D356" s="79"/>
      <c r="E356" s="80"/>
      <c r="F356" s="81"/>
    </row>
    <row r="357" ht="15.75" customHeight="1">
      <c r="A357" s="77"/>
      <c r="B357" s="78"/>
      <c r="D357" s="79"/>
      <c r="E357" s="80"/>
      <c r="F357" s="81"/>
    </row>
    <row r="358" ht="15.75" customHeight="1">
      <c r="A358" s="77"/>
      <c r="B358" s="78"/>
      <c r="D358" s="79"/>
      <c r="E358" s="80"/>
      <c r="F358" s="81"/>
    </row>
    <row r="359" ht="15.75" customHeight="1">
      <c r="A359" s="77"/>
      <c r="B359" s="78"/>
      <c r="D359" s="79"/>
      <c r="E359" s="80"/>
      <c r="F359" s="81"/>
    </row>
    <row r="360" ht="15.75" customHeight="1">
      <c r="A360" s="77"/>
      <c r="B360" s="78"/>
      <c r="D360" s="79"/>
      <c r="E360" s="80"/>
      <c r="F360" s="81"/>
    </row>
    <row r="361" ht="15.75" customHeight="1">
      <c r="A361" s="77"/>
      <c r="B361" s="78"/>
      <c r="D361" s="79"/>
      <c r="E361" s="80"/>
      <c r="F361" s="81"/>
    </row>
    <row r="362" ht="15.75" customHeight="1">
      <c r="A362" s="77"/>
      <c r="B362" s="78"/>
      <c r="D362" s="79"/>
      <c r="E362" s="80"/>
      <c r="F362" s="81"/>
    </row>
    <row r="363" ht="15.75" customHeight="1">
      <c r="A363" s="77"/>
      <c r="B363" s="78"/>
      <c r="D363" s="79"/>
      <c r="E363" s="80"/>
      <c r="F363" s="81"/>
    </row>
    <row r="364" ht="15.75" customHeight="1">
      <c r="A364" s="77"/>
      <c r="B364" s="78"/>
      <c r="D364" s="79"/>
      <c r="E364" s="80"/>
      <c r="F364" s="81"/>
    </row>
    <row r="365" ht="15.75" customHeight="1">
      <c r="A365" s="77"/>
      <c r="B365" s="78"/>
      <c r="D365" s="79"/>
      <c r="E365" s="80"/>
      <c r="F365" s="81"/>
    </row>
    <row r="366" ht="15.75" customHeight="1">
      <c r="A366" s="77"/>
      <c r="B366" s="78"/>
      <c r="D366" s="79"/>
      <c r="E366" s="80"/>
      <c r="F366" s="81"/>
    </row>
    <row r="367" ht="15.75" customHeight="1">
      <c r="A367" s="77"/>
      <c r="B367" s="78"/>
      <c r="D367" s="79"/>
      <c r="E367" s="80"/>
      <c r="F367" s="81"/>
    </row>
    <row r="368" ht="15.75" customHeight="1">
      <c r="A368" s="77"/>
      <c r="B368" s="78"/>
      <c r="D368" s="79"/>
      <c r="E368" s="80"/>
      <c r="F368" s="81"/>
    </row>
    <row r="369" ht="15.75" customHeight="1">
      <c r="A369" s="77"/>
      <c r="B369" s="78"/>
      <c r="D369" s="79"/>
      <c r="E369" s="80"/>
      <c r="F369" s="81"/>
    </row>
    <row r="370" ht="15.75" customHeight="1">
      <c r="A370" s="77"/>
      <c r="B370" s="78"/>
      <c r="D370" s="79"/>
      <c r="E370" s="80"/>
      <c r="F370" s="81"/>
    </row>
    <row r="371" ht="15.75" customHeight="1">
      <c r="A371" s="77"/>
      <c r="B371" s="78"/>
      <c r="D371" s="79"/>
      <c r="E371" s="80"/>
      <c r="F371" s="81"/>
    </row>
    <row r="372" ht="15.75" customHeight="1">
      <c r="A372" s="77"/>
      <c r="B372" s="78"/>
      <c r="D372" s="79"/>
      <c r="E372" s="80"/>
      <c r="F372" s="81"/>
    </row>
    <row r="373" ht="15.75" customHeight="1">
      <c r="A373" s="77"/>
      <c r="B373" s="78"/>
      <c r="D373" s="79"/>
      <c r="E373" s="80"/>
      <c r="F373" s="81"/>
    </row>
    <row r="374" ht="15.75" customHeight="1">
      <c r="A374" s="77"/>
      <c r="B374" s="78"/>
      <c r="D374" s="79"/>
      <c r="E374" s="80"/>
      <c r="F374" s="81"/>
    </row>
    <row r="375" ht="15.75" customHeight="1">
      <c r="A375" s="77"/>
      <c r="B375" s="78"/>
      <c r="D375" s="79"/>
      <c r="E375" s="80"/>
      <c r="F375" s="81"/>
    </row>
    <row r="376" ht="15.75" customHeight="1">
      <c r="A376" s="77"/>
      <c r="B376" s="78"/>
      <c r="D376" s="79"/>
      <c r="E376" s="80"/>
      <c r="F376" s="81"/>
    </row>
    <row r="377" ht="15.75" customHeight="1">
      <c r="A377" s="77"/>
      <c r="B377" s="78"/>
      <c r="D377" s="79"/>
      <c r="E377" s="80"/>
      <c r="F377" s="81"/>
    </row>
    <row r="378" ht="15.75" customHeight="1">
      <c r="A378" s="77"/>
      <c r="B378" s="78"/>
      <c r="D378" s="79"/>
      <c r="E378" s="80"/>
      <c r="F378" s="81"/>
    </row>
    <row r="379" ht="15.75" customHeight="1">
      <c r="A379" s="77"/>
      <c r="B379" s="78"/>
      <c r="D379" s="79"/>
      <c r="E379" s="80"/>
      <c r="F379" s="81"/>
    </row>
    <row r="380" ht="15.75" customHeight="1">
      <c r="A380" s="77"/>
      <c r="B380" s="78"/>
      <c r="D380" s="79"/>
      <c r="E380" s="80"/>
      <c r="F380" s="81"/>
    </row>
    <row r="381" ht="15.75" customHeight="1">
      <c r="A381" s="77"/>
      <c r="B381" s="78"/>
      <c r="D381" s="79"/>
      <c r="E381" s="80"/>
      <c r="F381" s="81"/>
    </row>
    <row r="382" ht="15.75" customHeight="1">
      <c r="A382" s="77"/>
      <c r="B382" s="78"/>
      <c r="D382" s="79"/>
      <c r="E382" s="80"/>
      <c r="F382" s="81"/>
    </row>
    <row r="383" ht="15.75" customHeight="1">
      <c r="A383" s="77"/>
      <c r="B383" s="78"/>
      <c r="D383" s="79"/>
      <c r="E383" s="80"/>
      <c r="F383" s="81"/>
    </row>
    <row r="384" ht="15.75" customHeight="1">
      <c r="A384" s="77"/>
      <c r="B384" s="78"/>
      <c r="D384" s="79"/>
      <c r="E384" s="80"/>
      <c r="F384" s="81"/>
    </row>
    <row r="385" ht="15.75" customHeight="1">
      <c r="A385" s="77"/>
      <c r="B385" s="78"/>
      <c r="D385" s="79"/>
      <c r="E385" s="80"/>
      <c r="F385" s="81"/>
    </row>
    <row r="386" ht="15.75" customHeight="1">
      <c r="A386" s="77"/>
      <c r="B386" s="78"/>
      <c r="D386" s="79"/>
      <c r="E386" s="80"/>
      <c r="F386" s="81"/>
    </row>
    <row r="387" ht="15.75" customHeight="1">
      <c r="A387" s="77"/>
      <c r="B387" s="78"/>
      <c r="D387" s="79"/>
      <c r="E387" s="80"/>
      <c r="F387" s="81"/>
    </row>
    <row r="388" ht="15.75" customHeight="1">
      <c r="A388" s="77"/>
      <c r="B388" s="78"/>
      <c r="D388" s="79"/>
      <c r="E388" s="80"/>
      <c r="F388" s="81"/>
    </row>
    <row r="389" ht="15.75" customHeight="1">
      <c r="A389" s="77"/>
      <c r="B389" s="78"/>
      <c r="D389" s="79"/>
      <c r="E389" s="80"/>
      <c r="F389" s="81"/>
    </row>
    <row r="390" ht="15.75" customHeight="1">
      <c r="A390" s="77"/>
      <c r="B390" s="78"/>
      <c r="D390" s="79"/>
      <c r="E390" s="80"/>
      <c r="F390" s="81"/>
    </row>
    <row r="391" ht="15.75" customHeight="1">
      <c r="A391" s="77"/>
      <c r="B391" s="78"/>
      <c r="D391" s="79"/>
      <c r="E391" s="80"/>
      <c r="F391" s="81"/>
    </row>
    <row r="392" ht="15.75" customHeight="1">
      <c r="A392" s="77"/>
      <c r="B392" s="78"/>
      <c r="D392" s="79"/>
      <c r="E392" s="80"/>
      <c r="F392" s="81"/>
    </row>
    <row r="393" ht="15.75" customHeight="1">
      <c r="A393" s="77"/>
      <c r="B393" s="78"/>
      <c r="D393" s="79"/>
      <c r="E393" s="80"/>
      <c r="F393" s="81"/>
    </row>
    <row r="394" ht="15.75" customHeight="1">
      <c r="A394" s="77"/>
      <c r="B394" s="78"/>
      <c r="D394" s="79"/>
      <c r="E394" s="80"/>
      <c r="F394" s="81"/>
    </row>
    <row r="395" ht="15.75" customHeight="1">
      <c r="A395" s="77"/>
      <c r="B395" s="78"/>
      <c r="D395" s="79"/>
      <c r="E395" s="80"/>
      <c r="F395" s="81"/>
    </row>
    <row r="396" ht="15.75" customHeight="1">
      <c r="A396" s="77"/>
      <c r="B396" s="78"/>
      <c r="D396" s="79"/>
      <c r="E396" s="80"/>
      <c r="F396" s="81"/>
    </row>
    <row r="397" ht="15.75" customHeight="1">
      <c r="A397" s="77"/>
      <c r="B397" s="78"/>
      <c r="D397" s="79"/>
      <c r="E397" s="80"/>
      <c r="F397" s="81"/>
    </row>
    <row r="398" ht="15.75" customHeight="1">
      <c r="A398" s="77"/>
      <c r="B398" s="78"/>
      <c r="D398" s="79"/>
      <c r="E398" s="80"/>
      <c r="F398" s="81"/>
    </row>
    <row r="399" ht="15.75" customHeight="1">
      <c r="A399" s="77"/>
      <c r="B399" s="78"/>
      <c r="D399" s="79"/>
      <c r="E399" s="80"/>
      <c r="F399" s="81"/>
    </row>
    <row r="400" ht="15.75" customHeight="1">
      <c r="A400" s="77"/>
      <c r="B400" s="78"/>
      <c r="D400" s="79"/>
      <c r="E400" s="80"/>
      <c r="F400" s="81"/>
    </row>
    <row r="401" ht="15.75" customHeight="1">
      <c r="A401" s="77"/>
      <c r="B401" s="78"/>
      <c r="D401" s="79"/>
      <c r="E401" s="80"/>
      <c r="F401" s="81"/>
    </row>
    <row r="402" ht="15.75" customHeight="1">
      <c r="A402" s="77"/>
      <c r="B402" s="78"/>
      <c r="D402" s="79"/>
      <c r="E402" s="80"/>
      <c r="F402" s="81"/>
    </row>
    <row r="403" ht="15.75" customHeight="1">
      <c r="A403" s="77"/>
      <c r="B403" s="78"/>
      <c r="D403" s="79"/>
      <c r="E403" s="80"/>
      <c r="F403" s="81"/>
    </row>
    <row r="404" ht="15.75" customHeight="1">
      <c r="A404" s="77"/>
      <c r="B404" s="78"/>
      <c r="D404" s="79"/>
      <c r="E404" s="80"/>
      <c r="F404" s="81"/>
    </row>
    <row r="405" ht="15.75" customHeight="1">
      <c r="A405" s="77"/>
      <c r="B405" s="78"/>
      <c r="D405" s="79"/>
      <c r="E405" s="80"/>
      <c r="F405" s="81"/>
    </row>
    <row r="406" ht="15.75" customHeight="1">
      <c r="A406" s="77"/>
      <c r="B406" s="78"/>
      <c r="D406" s="79"/>
      <c r="E406" s="80"/>
      <c r="F406" s="81"/>
    </row>
    <row r="407" ht="15.75" customHeight="1">
      <c r="A407" s="77"/>
      <c r="B407" s="78"/>
      <c r="D407" s="79"/>
      <c r="E407" s="80"/>
      <c r="F407" s="81"/>
    </row>
    <row r="408" ht="15.75" customHeight="1">
      <c r="A408" s="77"/>
      <c r="B408" s="78"/>
      <c r="D408" s="79"/>
      <c r="E408" s="80"/>
      <c r="F408" s="81"/>
    </row>
    <row r="409" ht="15.75" customHeight="1">
      <c r="A409" s="77"/>
      <c r="B409" s="78"/>
      <c r="D409" s="79"/>
      <c r="E409" s="80"/>
      <c r="F409" s="81"/>
    </row>
    <row r="410" ht="15.75" customHeight="1">
      <c r="A410" s="77"/>
      <c r="B410" s="78"/>
      <c r="D410" s="79"/>
      <c r="E410" s="80"/>
      <c r="F410" s="81"/>
    </row>
    <row r="411" ht="15.75" customHeight="1">
      <c r="A411" s="77"/>
      <c r="B411" s="78"/>
      <c r="D411" s="79"/>
      <c r="E411" s="80"/>
      <c r="F411" s="81"/>
    </row>
    <row r="412" ht="15.75" customHeight="1">
      <c r="A412" s="77"/>
      <c r="B412" s="78"/>
      <c r="D412" s="79"/>
      <c r="E412" s="80"/>
      <c r="F412" s="81"/>
    </row>
    <row r="413" ht="15.75" customHeight="1">
      <c r="A413" s="77"/>
      <c r="B413" s="78"/>
      <c r="D413" s="79"/>
      <c r="E413" s="80"/>
      <c r="F413" s="81"/>
    </row>
    <row r="414" ht="15.75" customHeight="1">
      <c r="A414" s="77"/>
      <c r="B414" s="78"/>
      <c r="D414" s="79"/>
      <c r="E414" s="80"/>
      <c r="F414" s="81"/>
    </row>
    <row r="415" ht="15.75" customHeight="1">
      <c r="A415" s="77"/>
      <c r="B415" s="78"/>
      <c r="D415" s="79"/>
      <c r="E415" s="80"/>
      <c r="F415" s="81"/>
    </row>
    <row r="416" ht="15.75" customHeight="1">
      <c r="A416" s="77"/>
      <c r="B416" s="78"/>
      <c r="D416" s="79"/>
      <c r="E416" s="80"/>
      <c r="F416" s="81"/>
    </row>
    <row r="417" ht="15.75" customHeight="1">
      <c r="A417" s="77"/>
      <c r="B417" s="78"/>
      <c r="D417" s="79"/>
      <c r="E417" s="80"/>
      <c r="F417" s="81"/>
    </row>
    <row r="418" ht="15.75" customHeight="1">
      <c r="A418" s="77"/>
      <c r="B418" s="78"/>
      <c r="D418" s="79"/>
      <c r="E418" s="80"/>
      <c r="F418" s="81"/>
    </row>
    <row r="419" ht="15.75" customHeight="1">
      <c r="A419" s="77"/>
      <c r="B419" s="78"/>
      <c r="D419" s="79"/>
      <c r="E419" s="80"/>
      <c r="F419" s="81"/>
    </row>
    <row r="420" ht="15.75" customHeight="1">
      <c r="A420" s="77"/>
      <c r="B420" s="78"/>
      <c r="D420" s="79"/>
      <c r="E420" s="80"/>
      <c r="F420" s="81"/>
    </row>
    <row r="421" ht="15.75" customHeight="1">
      <c r="A421" s="77"/>
      <c r="B421" s="78"/>
      <c r="D421" s="79"/>
      <c r="E421" s="80"/>
      <c r="F421" s="81"/>
    </row>
    <row r="422" ht="15.75" customHeight="1">
      <c r="A422" s="77"/>
      <c r="B422" s="78"/>
      <c r="D422" s="79"/>
      <c r="E422" s="80"/>
      <c r="F422" s="81"/>
    </row>
    <row r="423" ht="15.75" customHeight="1">
      <c r="A423" s="77"/>
      <c r="B423" s="78"/>
      <c r="D423" s="79"/>
      <c r="E423" s="80"/>
      <c r="F423" s="81"/>
    </row>
    <row r="424" ht="15.75" customHeight="1">
      <c r="A424" s="77"/>
      <c r="B424" s="78"/>
      <c r="D424" s="79"/>
      <c r="E424" s="80"/>
      <c r="F424" s="81"/>
    </row>
    <row r="425" ht="15.75" customHeight="1">
      <c r="A425" s="77"/>
      <c r="B425" s="78"/>
      <c r="D425" s="79"/>
      <c r="E425" s="80"/>
      <c r="F425" s="81"/>
    </row>
    <row r="426" ht="15.75" customHeight="1">
      <c r="A426" s="77"/>
      <c r="B426" s="78"/>
      <c r="D426" s="79"/>
      <c r="E426" s="80"/>
      <c r="F426" s="81"/>
    </row>
    <row r="427" ht="15.75" customHeight="1">
      <c r="A427" s="77"/>
      <c r="B427" s="78"/>
      <c r="D427" s="79"/>
      <c r="E427" s="80"/>
      <c r="F427" s="81"/>
    </row>
    <row r="428" ht="15.75" customHeight="1">
      <c r="A428" s="77"/>
      <c r="B428" s="78"/>
      <c r="D428" s="79"/>
      <c r="E428" s="80"/>
      <c r="F428" s="81"/>
    </row>
    <row r="429" ht="15.75" customHeight="1">
      <c r="A429" s="77"/>
      <c r="B429" s="78"/>
      <c r="D429" s="79"/>
      <c r="E429" s="80"/>
      <c r="F429" s="81"/>
    </row>
    <row r="430" ht="15.75" customHeight="1">
      <c r="A430" s="77"/>
      <c r="B430" s="78"/>
      <c r="D430" s="79"/>
      <c r="E430" s="80"/>
      <c r="F430" s="81"/>
    </row>
    <row r="431" ht="15.75" customHeight="1">
      <c r="A431" s="77"/>
      <c r="B431" s="78"/>
      <c r="D431" s="79"/>
      <c r="E431" s="80"/>
      <c r="F431" s="81"/>
    </row>
    <row r="432" ht="15.75" customHeight="1">
      <c r="A432" s="77"/>
      <c r="B432" s="78"/>
      <c r="D432" s="79"/>
      <c r="E432" s="80"/>
      <c r="F432" s="81"/>
    </row>
    <row r="433" ht="15.75" customHeight="1">
      <c r="A433" s="77"/>
      <c r="B433" s="78"/>
      <c r="D433" s="79"/>
      <c r="E433" s="80"/>
      <c r="F433" s="81"/>
    </row>
    <row r="434" ht="15.75" customHeight="1">
      <c r="A434" s="77"/>
      <c r="B434" s="78"/>
      <c r="D434" s="79"/>
      <c r="E434" s="80"/>
      <c r="F434" s="81"/>
    </row>
    <row r="435" ht="15.75" customHeight="1">
      <c r="A435" s="77"/>
      <c r="B435" s="78"/>
      <c r="D435" s="79"/>
      <c r="E435" s="80"/>
      <c r="F435" s="81"/>
    </row>
    <row r="436" ht="15.75" customHeight="1">
      <c r="A436" s="77"/>
      <c r="B436" s="78"/>
      <c r="D436" s="79"/>
      <c r="E436" s="80"/>
      <c r="F436" s="81"/>
    </row>
    <row r="437" ht="15.75" customHeight="1">
      <c r="A437" s="77"/>
      <c r="B437" s="78"/>
      <c r="D437" s="79"/>
      <c r="E437" s="80"/>
      <c r="F437" s="81"/>
    </row>
    <row r="438" ht="15.75" customHeight="1">
      <c r="A438" s="77"/>
      <c r="B438" s="78"/>
      <c r="D438" s="79"/>
      <c r="E438" s="80"/>
      <c r="F438" s="81"/>
    </row>
    <row r="439" ht="15.75" customHeight="1">
      <c r="A439" s="77"/>
      <c r="B439" s="78"/>
      <c r="D439" s="79"/>
      <c r="E439" s="80"/>
      <c r="F439" s="81"/>
    </row>
    <row r="440" ht="15.75" customHeight="1">
      <c r="A440" s="77"/>
      <c r="B440" s="78"/>
      <c r="D440" s="79"/>
      <c r="E440" s="80"/>
      <c r="F440" s="81"/>
    </row>
    <row r="441" ht="15.75" customHeight="1">
      <c r="A441" s="77"/>
      <c r="B441" s="78"/>
      <c r="D441" s="79"/>
      <c r="E441" s="80"/>
      <c r="F441" s="81"/>
    </row>
    <row r="442" ht="15.75" customHeight="1">
      <c r="A442" s="77"/>
      <c r="B442" s="78"/>
      <c r="D442" s="79"/>
      <c r="E442" s="80"/>
      <c r="F442" s="81"/>
    </row>
    <row r="443" ht="15.75" customHeight="1">
      <c r="A443" s="77"/>
      <c r="B443" s="78"/>
      <c r="D443" s="79"/>
      <c r="E443" s="80"/>
      <c r="F443" s="81"/>
    </row>
    <row r="444" ht="15.75" customHeight="1">
      <c r="A444" s="77"/>
      <c r="B444" s="78"/>
      <c r="D444" s="79"/>
      <c r="E444" s="80"/>
      <c r="F444" s="81"/>
    </row>
    <row r="445" ht="15.75" customHeight="1">
      <c r="A445" s="77"/>
      <c r="B445" s="78"/>
      <c r="D445" s="79"/>
      <c r="E445" s="80"/>
      <c r="F445" s="81"/>
    </row>
    <row r="446" ht="15.75" customHeight="1">
      <c r="A446" s="77"/>
      <c r="B446" s="78"/>
      <c r="D446" s="79"/>
      <c r="E446" s="80"/>
      <c r="F446" s="81"/>
    </row>
    <row r="447" ht="15.75" customHeight="1">
      <c r="A447" s="77"/>
      <c r="B447" s="78"/>
      <c r="D447" s="79"/>
      <c r="E447" s="80"/>
      <c r="F447" s="81"/>
    </row>
    <row r="448" ht="15.75" customHeight="1">
      <c r="A448" s="77"/>
      <c r="B448" s="78"/>
      <c r="D448" s="79"/>
      <c r="E448" s="80"/>
      <c r="F448" s="81"/>
    </row>
    <row r="449" ht="15.75" customHeight="1">
      <c r="A449" s="77"/>
      <c r="B449" s="78"/>
      <c r="D449" s="79"/>
      <c r="E449" s="80"/>
      <c r="F449" s="81"/>
    </row>
    <row r="450" ht="15.75" customHeight="1">
      <c r="A450" s="77"/>
      <c r="B450" s="78"/>
      <c r="D450" s="79"/>
      <c r="E450" s="80"/>
      <c r="F450" s="81"/>
    </row>
    <row r="451" ht="15.75" customHeight="1">
      <c r="A451" s="77"/>
      <c r="B451" s="78"/>
      <c r="D451" s="79"/>
      <c r="E451" s="80"/>
      <c r="F451" s="81"/>
    </row>
    <row r="452" ht="15.75" customHeight="1">
      <c r="A452" s="77"/>
      <c r="B452" s="78"/>
      <c r="D452" s="79"/>
      <c r="E452" s="80"/>
      <c r="F452" s="81"/>
    </row>
    <row r="453" ht="15.75" customHeight="1">
      <c r="A453" s="77"/>
      <c r="B453" s="78"/>
      <c r="D453" s="79"/>
      <c r="E453" s="80"/>
      <c r="F453" s="81"/>
    </row>
    <row r="454" ht="15.75" customHeight="1">
      <c r="A454" s="77"/>
      <c r="B454" s="78"/>
      <c r="D454" s="79"/>
      <c r="E454" s="80"/>
      <c r="F454" s="81"/>
    </row>
    <row r="455" ht="15.75" customHeight="1">
      <c r="A455" s="77"/>
      <c r="B455" s="78"/>
      <c r="D455" s="79"/>
      <c r="E455" s="80"/>
      <c r="F455" s="81"/>
    </row>
    <row r="456" ht="15.75" customHeight="1">
      <c r="A456" s="77"/>
      <c r="B456" s="78"/>
      <c r="D456" s="79"/>
      <c r="E456" s="80"/>
      <c r="F456" s="81"/>
    </row>
    <row r="457" ht="15.75" customHeight="1">
      <c r="A457" s="77"/>
      <c r="B457" s="78"/>
      <c r="D457" s="79"/>
      <c r="E457" s="80"/>
      <c r="F457" s="81"/>
    </row>
    <row r="458" ht="15.75" customHeight="1">
      <c r="A458" s="77"/>
      <c r="B458" s="78"/>
      <c r="D458" s="79"/>
      <c r="E458" s="80"/>
      <c r="F458" s="81"/>
    </row>
    <row r="459" ht="15.75" customHeight="1">
      <c r="A459" s="77"/>
      <c r="B459" s="78"/>
      <c r="D459" s="79"/>
      <c r="E459" s="80"/>
      <c r="F459" s="81"/>
    </row>
    <row r="460" ht="15.75" customHeight="1">
      <c r="A460" s="77"/>
      <c r="B460" s="78"/>
      <c r="D460" s="79"/>
      <c r="E460" s="80"/>
      <c r="F460" s="81"/>
    </row>
    <row r="461" ht="15.75" customHeight="1">
      <c r="A461" s="77"/>
      <c r="B461" s="78"/>
      <c r="D461" s="79"/>
      <c r="E461" s="80"/>
      <c r="F461" s="81"/>
    </row>
    <row r="462" ht="15.75" customHeight="1">
      <c r="A462" s="77"/>
      <c r="B462" s="78"/>
      <c r="D462" s="79"/>
      <c r="E462" s="80"/>
      <c r="F462" s="81"/>
    </row>
    <row r="463" ht="15.75" customHeight="1">
      <c r="A463" s="77"/>
      <c r="B463" s="78"/>
      <c r="D463" s="79"/>
      <c r="E463" s="80"/>
      <c r="F463" s="81"/>
    </row>
    <row r="464" ht="15.75" customHeight="1">
      <c r="A464" s="77"/>
      <c r="B464" s="78"/>
      <c r="D464" s="79"/>
      <c r="E464" s="80"/>
      <c r="F464" s="81"/>
    </row>
    <row r="465" ht="15.75" customHeight="1">
      <c r="A465" s="77"/>
      <c r="B465" s="78"/>
      <c r="D465" s="79"/>
      <c r="E465" s="80"/>
      <c r="F465" s="81"/>
    </row>
    <row r="466" ht="15.75" customHeight="1">
      <c r="A466" s="77"/>
      <c r="B466" s="78"/>
      <c r="D466" s="79"/>
      <c r="E466" s="80"/>
      <c r="F466" s="81"/>
    </row>
    <row r="467" ht="15.75" customHeight="1">
      <c r="A467" s="77"/>
      <c r="B467" s="78"/>
      <c r="D467" s="79"/>
      <c r="E467" s="80"/>
      <c r="F467" s="81"/>
    </row>
    <row r="468" ht="15.75" customHeight="1">
      <c r="A468" s="77"/>
      <c r="B468" s="78"/>
      <c r="D468" s="79"/>
      <c r="E468" s="80"/>
      <c r="F468" s="81"/>
    </row>
    <row r="469" ht="15.75" customHeight="1">
      <c r="A469" s="77"/>
      <c r="B469" s="78"/>
      <c r="D469" s="79"/>
      <c r="E469" s="80"/>
      <c r="F469" s="81"/>
    </row>
    <row r="470" ht="15.75" customHeight="1">
      <c r="A470" s="77"/>
      <c r="B470" s="78"/>
      <c r="D470" s="79"/>
      <c r="E470" s="80"/>
      <c r="F470" s="81"/>
    </row>
    <row r="471" ht="15.75" customHeight="1">
      <c r="A471" s="77"/>
      <c r="B471" s="78"/>
      <c r="D471" s="79"/>
      <c r="E471" s="80"/>
      <c r="F471" s="81"/>
    </row>
    <row r="472" ht="15.75" customHeight="1">
      <c r="A472" s="77"/>
      <c r="B472" s="78"/>
      <c r="D472" s="79"/>
      <c r="E472" s="80"/>
      <c r="F472" s="81"/>
    </row>
    <row r="473" ht="15.75" customHeight="1">
      <c r="A473" s="77"/>
      <c r="B473" s="78"/>
      <c r="D473" s="79"/>
      <c r="E473" s="80"/>
      <c r="F473" s="81"/>
    </row>
    <row r="474" ht="15.75" customHeight="1">
      <c r="A474" s="77"/>
      <c r="B474" s="78"/>
      <c r="D474" s="79"/>
      <c r="E474" s="80"/>
      <c r="F474" s="81"/>
    </row>
    <row r="475" ht="15.75" customHeight="1">
      <c r="A475" s="77"/>
      <c r="B475" s="78"/>
      <c r="D475" s="79"/>
      <c r="E475" s="80"/>
      <c r="F475" s="81"/>
    </row>
    <row r="476" ht="15.75" customHeight="1">
      <c r="A476" s="77"/>
      <c r="B476" s="78"/>
      <c r="D476" s="79"/>
      <c r="E476" s="80"/>
      <c r="F476" s="81"/>
    </row>
    <row r="477" ht="15.75" customHeight="1">
      <c r="A477" s="77"/>
      <c r="B477" s="78"/>
      <c r="D477" s="79"/>
      <c r="E477" s="80"/>
      <c r="F477" s="81"/>
    </row>
    <row r="478" ht="15.75" customHeight="1">
      <c r="A478" s="77"/>
      <c r="B478" s="78"/>
      <c r="D478" s="79"/>
      <c r="E478" s="80"/>
      <c r="F478" s="81"/>
    </row>
    <row r="479" ht="15.75" customHeight="1">
      <c r="A479" s="77"/>
      <c r="B479" s="78"/>
      <c r="D479" s="79"/>
      <c r="E479" s="80"/>
      <c r="F479" s="81"/>
    </row>
    <row r="480" ht="15.75" customHeight="1">
      <c r="A480" s="77"/>
      <c r="B480" s="78"/>
      <c r="D480" s="79"/>
      <c r="E480" s="80"/>
      <c r="F480" s="81"/>
    </row>
    <row r="481" ht="15.75" customHeight="1">
      <c r="A481" s="77"/>
      <c r="B481" s="78"/>
      <c r="D481" s="79"/>
      <c r="E481" s="80"/>
      <c r="F481" s="81"/>
    </row>
    <row r="482" ht="15.75" customHeight="1">
      <c r="A482" s="77"/>
      <c r="B482" s="78"/>
      <c r="D482" s="79"/>
      <c r="E482" s="80"/>
      <c r="F482" s="81"/>
    </row>
    <row r="483" ht="15.75" customHeight="1">
      <c r="A483" s="77"/>
      <c r="B483" s="78"/>
      <c r="D483" s="79"/>
      <c r="E483" s="80"/>
      <c r="F483" s="81"/>
    </row>
    <row r="484" ht="15.75" customHeight="1">
      <c r="A484" s="77"/>
      <c r="B484" s="78"/>
      <c r="D484" s="79"/>
      <c r="E484" s="80"/>
      <c r="F484" s="81"/>
    </row>
    <row r="485" ht="15.75" customHeight="1">
      <c r="A485" s="77"/>
      <c r="B485" s="78"/>
      <c r="D485" s="79"/>
      <c r="E485" s="80"/>
      <c r="F485" s="81"/>
    </row>
    <row r="486" ht="15.75" customHeight="1">
      <c r="A486" s="77"/>
      <c r="B486" s="78"/>
      <c r="D486" s="79"/>
      <c r="E486" s="80"/>
      <c r="F486" s="81"/>
    </row>
    <row r="487" ht="15.75" customHeight="1">
      <c r="A487" s="77"/>
      <c r="B487" s="78"/>
      <c r="D487" s="79"/>
      <c r="E487" s="80"/>
      <c r="F487" s="81"/>
    </row>
    <row r="488" ht="15.75" customHeight="1">
      <c r="A488" s="77"/>
      <c r="B488" s="78"/>
      <c r="D488" s="79"/>
      <c r="E488" s="80"/>
      <c r="F488" s="81"/>
    </row>
    <row r="489" ht="15.75" customHeight="1">
      <c r="A489" s="77"/>
      <c r="B489" s="78"/>
      <c r="D489" s="79"/>
      <c r="E489" s="80"/>
      <c r="F489" s="81"/>
    </row>
    <row r="490" ht="15.75" customHeight="1">
      <c r="A490" s="77"/>
      <c r="B490" s="78"/>
      <c r="D490" s="79"/>
      <c r="E490" s="80"/>
      <c r="F490" s="81"/>
    </row>
    <row r="491" ht="15.75" customHeight="1">
      <c r="A491" s="77"/>
      <c r="B491" s="78"/>
      <c r="D491" s="79"/>
      <c r="E491" s="80"/>
      <c r="F491" s="81"/>
    </row>
    <row r="492" ht="15.75" customHeight="1">
      <c r="A492" s="77"/>
      <c r="B492" s="78"/>
      <c r="D492" s="79"/>
      <c r="E492" s="80"/>
      <c r="F492" s="81"/>
    </row>
    <row r="493" ht="15.75" customHeight="1">
      <c r="A493" s="77"/>
      <c r="B493" s="78"/>
      <c r="D493" s="79"/>
      <c r="E493" s="80"/>
      <c r="F493" s="81"/>
    </row>
    <row r="494" ht="15.75" customHeight="1">
      <c r="A494" s="77"/>
      <c r="B494" s="78"/>
      <c r="D494" s="79"/>
      <c r="E494" s="80"/>
      <c r="F494" s="81"/>
    </row>
    <row r="495" ht="15.75" customHeight="1">
      <c r="A495" s="77"/>
      <c r="B495" s="78"/>
      <c r="D495" s="79"/>
      <c r="E495" s="80"/>
      <c r="F495" s="81"/>
    </row>
    <row r="496" ht="15.75" customHeight="1">
      <c r="A496" s="77"/>
      <c r="B496" s="78"/>
      <c r="D496" s="79"/>
      <c r="E496" s="80"/>
      <c r="F496" s="81"/>
    </row>
    <row r="497" ht="15.75" customHeight="1">
      <c r="A497" s="77"/>
      <c r="B497" s="78"/>
      <c r="D497" s="79"/>
      <c r="E497" s="80"/>
      <c r="F497" s="81"/>
    </row>
    <row r="498" ht="15.75" customHeight="1">
      <c r="A498" s="77"/>
      <c r="B498" s="78"/>
      <c r="D498" s="79"/>
      <c r="E498" s="80"/>
      <c r="F498" s="81"/>
    </row>
    <row r="499" ht="15.75" customHeight="1">
      <c r="A499" s="77"/>
      <c r="B499" s="78"/>
      <c r="D499" s="79"/>
      <c r="E499" s="80"/>
      <c r="F499" s="81"/>
    </row>
    <row r="500" ht="15.75" customHeight="1">
      <c r="A500" s="77"/>
      <c r="B500" s="78"/>
      <c r="D500" s="79"/>
      <c r="E500" s="80"/>
      <c r="F500" s="81"/>
    </row>
    <row r="501" ht="15.75" customHeight="1">
      <c r="A501" s="77"/>
      <c r="B501" s="78"/>
      <c r="D501" s="79"/>
      <c r="E501" s="80"/>
      <c r="F501" s="81"/>
    </row>
    <row r="502" ht="15.75" customHeight="1">
      <c r="A502" s="77"/>
      <c r="B502" s="78"/>
      <c r="D502" s="79"/>
      <c r="E502" s="80"/>
      <c r="F502" s="81"/>
    </row>
    <row r="503" ht="15.75" customHeight="1">
      <c r="A503" s="77"/>
      <c r="B503" s="78"/>
      <c r="D503" s="79"/>
      <c r="E503" s="80"/>
      <c r="F503" s="81"/>
    </row>
    <row r="504" ht="15.75" customHeight="1">
      <c r="A504" s="77"/>
      <c r="B504" s="78"/>
      <c r="D504" s="79"/>
      <c r="E504" s="80"/>
      <c r="F504" s="81"/>
    </row>
    <row r="505" ht="15.75" customHeight="1">
      <c r="A505" s="77"/>
      <c r="B505" s="78"/>
      <c r="D505" s="79"/>
      <c r="E505" s="80"/>
      <c r="F505" s="81"/>
    </row>
    <row r="506" ht="15.75" customHeight="1">
      <c r="A506" s="77"/>
      <c r="B506" s="78"/>
      <c r="D506" s="79"/>
      <c r="E506" s="80"/>
      <c r="F506" s="81"/>
    </row>
    <row r="507" ht="15.75" customHeight="1">
      <c r="A507" s="77"/>
      <c r="B507" s="78"/>
      <c r="D507" s="79"/>
      <c r="E507" s="80"/>
      <c r="F507" s="81"/>
    </row>
    <row r="508" ht="15.75" customHeight="1">
      <c r="A508" s="77"/>
      <c r="B508" s="78"/>
      <c r="D508" s="79"/>
      <c r="E508" s="80"/>
      <c r="F508" s="81"/>
    </row>
    <row r="509" ht="15.75" customHeight="1">
      <c r="A509" s="77"/>
      <c r="B509" s="78"/>
      <c r="D509" s="79"/>
      <c r="E509" s="80"/>
      <c r="F509" s="81"/>
    </row>
    <row r="510" ht="15.75" customHeight="1">
      <c r="A510" s="77"/>
      <c r="B510" s="78"/>
      <c r="D510" s="79"/>
      <c r="E510" s="80"/>
      <c r="F510" s="81"/>
    </row>
    <row r="511" ht="15.75" customHeight="1">
      <c r="A511" s="77"/>
      <c r="B511" s="78"/>
      <c r="D511" s="79"/>
      <c r="E511" s="80"/>
      <c r="F511" s="81"/>
    </row>
    <row r="512" ht="15.75" customHeight="1">
      <c r="A512" s="77"/>
      <c r="B512" s="78"/>
      <c r="D512" s="79"/>
      <c r="E512" s="80"/>
      <c r="F512" s="81"/>
    </row>
    <row r="513" ht="15.75" customHeight="1">
      <c r="A513" s="77"/>
      <c r="B513" s="78"/>
      <c r="D513" s="79"/>
      <c r="E513" s="80"/>
      <c r="F513" s="81"/>
    </row>
    <row r="514" ht="15.75" customHeight="1">
      <c r="A514" s="77"/>
      <c r="B514" s="78"/>
      <c r="D514" s="79"/>
      <c r="E514" s="80"/>
      <c r="F514" s="81"/>
    </row>
    <row r="515" ht="15.75" customHeight="1">
      <c r="A515" s="77"/>
      <c r="B515" s="78"/>
      <c r="D515" s="79"/>
      <c r="E515" s="80"/>
      <c r="F515" s="81"/>
    </row>
    <row r="516" ht="15.75" customHeight="1">
      <c r="A516" s="77"/>
      <c r="B516" s="78"/>
      <c r="D516" s="79"/>
      <c r="E516" s="80"/>
      <c r="F516" s="81"/>
    </row>
    <row r="517" ht="15.75" customHeight="1">
      <c r="A517" s="77"/>
      <c r="B517" s="78"/>
      <c r="D517" s="79"/>
      <c r="E517" s="80"/>
      <c r="F517" s="81"/>
    </row>
    <row r="518" ht="15.75" customHeight="1">
      <c r="A518" s="77"/>
      <c r="B518" s="78"/>
      <c r="D518" s="79"/>
      <c r="E518" s="80"/>
      <c r="F518" s="81"/>
    </row>
    <row r="519" ht="15.75" customHeight="1">
      <c r="A519" s="77"/>
      <c r="B519" s="78"/>
      <c r="D519" s="79"/>
      <c r="E519" s="80"/>
      <c r="F519" s="81"/>
    </row>
    <row r="520" ht="15.75" customHeight="1">
      <c r="A520" s="77"/>
      <c r="B520" s="78"/>
      <c r="D520" s="79"/>
      <c r="E520" s="80"/>
      <c r="F520" s="81"/>
    </row>
    <row r="521" ht="15.75" customHeight="1">
      <c r="A521" s="77"/>
      <c r="B521" s="78"/>
      <c r="D521" s="79"/>
      <c r="E521" s="80"/>
      <c r="F521" s="81"/>
    </row>
    <row r="522" ht="15.75" customHeight="1">
      <c r="A522" s="77"/>
      <c r="B522" s="78"/>
      <c r="D522" s="79"/>
      <c r="E522" s="80"/>
      <c r="F522" s="81"/>
    </row>
    <row r="523" ht="15.75" customHeight="1">
      <c r="A523" s="77"/>
      <c r="B523" s="78"/>
      <c r="D523" s="79"/>
      <c r="E523" s="80"/>
      <c r="F523" s="81"/>
    </row>
    <row r="524" ht="15.75" customHeight="1">
      <c r="A524" s="77"/>
      <c r="B524" s="78"/>
      <c r="D524" s="79"/>
      <c r="E524" s="80"/>
      <c r="F524" s="81"/>
    </row>
    <row r="525" ht="15.75" customHeight="1">
      <c r="A525" s="77"/>
      <c r="B525" s="78"/>
      <c r="D525" s="79"/>
      <c r="E525" s="80"/>
      <c r="F525" s="81"/>
    </row>
    <row r="526" ht="15.75" customHeight="1">
      <c r="A526" s="77"/>
      <c r="B526" s="78"/>
      <c r="D526" s="79"/>
      <c r="E526" s="80"/>
      <c r="F526" s="81"/>
    </row>
    <row r="527" ht="15.75" customHeight="1">
      <c r="A527" s="77"/>
      <c r="B527" s="78"/>
      <c r="D527" s="79"/>
      <c r="E527" s="80"/>
      <c r="F527" s="81"/>
    </row>
    <row r="528" ht="15.75" customHeight="1">
      <c r="A528" s="77"/>
      <c r="B528" s="78"/>
      <c r="D528" s="79"/>
      <c r="E528" s="80"/>
      <c r="F528" s="81"/>
    </row>
    <row r="529" ht="15.75" customHeight="1">
      <c r="A529" s="77"/>
      <c r="B529" s="78"/>
      <c r="D529" s="79"/>
      <c r="E529" s="80"/>
      <c r="F529" s="81"/>
    </row>
    <row r="530" ht="15.75" customHeight="1">
      <c r="A530" s="77"/>
      <c r="B530" s="78"/>
      <c r="D530" s="79"/>
      <c r="E530" s="80"/>
      <c r="F530" s="81"/>
    </row>
    <row r="531" ht="15.75" customHeight="1">
      <c r="A531" s="77"/>
      <c r="B531" s="78"/>
      <c r="D531" s="79"/>
      <c r="E531" s="80"/>
      <c r="F531" s="81"/>
    </row>
    <row r="532" ht="15.75" customHeight="1">
      <c r="A532" s="77"/>
      <c r="B532" s="78"/>
      <c r="D532" s="79"/>
      <c r="E532" s="80"/>
      <c r="F532" s="81"/>
    </row>
    <row r="533" ht="15.75" customHeight="1">
      <c r="A533" s="77"/>
      <c r="B533" s="78"/>
      <c r="D533" s="79"/>
      <c r="E533" s="80"/>
      <c r="F533" s="81"/>
    </row>
    <row r="534" ht="15.75" customHeight="1">
      <c r="A534" s="77"/>
      <c r="B534" s="78"/>
      <c r="D534" s="79"/>
      <c r="E534" s="80"/>
      <c r="F534" s="81"/>
    </row>
    <row r="535" ht="15.75" customHeight="1">
      <c r="A535" s="77"/>
      <c r="B535" s="78"/>
      <c r="D535" s="79"/>
      <c r="E535" s="80"/>
      <c r="F535" s="81"/>
    </row>
    <row r="536" ht="15.75" customHeight="1">
      <c r="A536" s="77"/>
      <c r="B536" s="78"/>
      <c r="D536" s="79"/>
      <c r="E536" s="80"/>
      <c r="F536" s="81"/>
    </row>
    <row r="537" ht="15.75" customHeight="1">
      <c r="A537" s="77"/>
      <c r="B537" s="78"/>
      <c r="D537" s="79"/>
      <c r="E537" s="80"/>
      <c r="F537" s="81"/>
    </row>
    <row r="538" ht="15.75" customHeight="1">
      <c r="A538" s="77"/>
      <c r="B538" s="78"/>
      <c r="D538" s="79"/>
      <c r="E538" s="80"/>
      <c r="F538" s="81"/>
    </row>
    <row r="539" ht="15.75" customHeight="1">
      <c r="A539" s="77"/>
      <c r="B539" s="78"/>
      <c r="D539" s="79"/>
      <c r="E539" s="80"/>
      <c r="F539" s="81"/>
    </row>
    <row r="540" ht="15.75" customHeight="1">
      <c r="A540" s="77"/>
      <c r="B540" s="78"/>
      <c r="D540" s="79"/>
      <c r="E540" s="80"/>
      <c r="F540" s="81"/>
    </row>
    <row r="541" ht="15.75" customHeight="1">
      <c r="A541" s="77"/>
      <c r="B541" s="78"/>
      <c r="D541" s="79"/>
      <c r="E541" s="80"/>
      <c r="F541" s="81"/>
    </row>
    <row r="542" ht="15.75" customHeight="1">
      <c r="A542" s="77"/>
      <c r="B542" s="78"/>
      <c r="D542" s="79"/>
      <c r="E542" s="80"/>
      <c r="F542" s="81"/>
    </row>
    <row r="543" ht="15.75" customHeight="1">
      <c r="A543" s="77"/>
      <c r="B543" s="78"/>
      <c r="D543" s="79"/>
      <c r="E543" s="80"/>
      <c r="F543" s="81"/>
    </row>
    <row r="544" ht="15.75" customHeight="1">
      <c r="A544" s="77"/>
      <c r="B544" s="78"/>
      <c r="D544" s="79"/>
      <c r="E544" s="80"/>
      <c r="F544" s="81"/>
    </row>
    <row r="545" ht="15.75" customHeight="1">
      <c r="A545" s="77"/>
      <c r="B545" s="78"/>
      <c r="D545" s="79"/>
      <c r="E545" s="80"/>
      <c r="F545" s="81"/>
    </row>
    <row r="546" ht="15.75" customHeight="1">
      <c r="A546" s="77"/>
      <c r="B546" s="78"/>
      <c r="D546" s="79"/>
      <c r="E546" s="80"/>
      <c r="F546" s="81"/>
    </row>
    <row r="547" ht="15.75" customHeight="1">
      <c r="A547" s="77"/>
      <c r="B547" s="78"/>
      <c r="D547" s="79"/>
      <c r="E547" s="80"/>
      <c r="F547" s="81"/>
    </row>
    <row r="548" ht="15.75" customHeight="1">
      <c r="A548" s="77"/>
      <c r="B548" s="78"/>
      <c r="D548" s="79"/>
      <c r="E548" s="80"/>
      <c r="F548" s="81"/>
    </row>
    <row r="549" ht="15.75" customHeight="1">
      <c r="A549" s="77"/>
      <c r="B549" s="78"/>
      <c r="D549" s="79"/>
      <c r="E549" s="80"/>
      <c r="F549" s="81"/>
    </row>
    <row r="550" ht="15.75" customHeight="1">
      <c r="A550" s="77"/>
      <c r="B550" s="78"/>
      <c r="D550" s="79"/>
      <c r="E550" s="80"/>
      <c r="F550" s="81"/>
    </row>
    <row r="551" ht="15.75" customHeight="1">
      <c r="A551" s="77"/>
      <c r="B551" s="78"/>
      <c r="D551" s="79"/>
      <c r="E551" s="80"/>
      <c r="F551" s="81"/>
    </row>
    <row r="552" ht="15.75" customHeight="1">
      <c r="A552" s="77"/>
      <c r="B552" s="78"/>
      <c r="D552" s="79"/>
      <c r="E552" s="80"/>
      <c r="F552" s="81"/>
    </row>
    <row r="553" ht="15.75" customHeight="1">
      <c r="A553" s="77"/>
      <c r="B553" s="78"/>
      <c r="D553" s="79"/>
      <c r="E553" s="80"/>
      <c r="F553" s="81"/>
    </row>
    <row r="554" ht="15.75" customHeight="1">
      <c r="A554" s="77"/>
      <c r="B554" s="78"/>
      <c r="D554" s="79"/>
      <c r="E554" s="80"/>
      <c r="F554" s="81"/>
    </row>
    <row r="555" ht="15.75" customHeight="1">
      <c r="A555" s="77"/>
      <c r="B555" s="78"/>
      <c r="D555" s="79"/>
      <c r="E555" s="80"/>
      <c r="F555" s="81"/>
    </row>
    <row r="556" ht="15.75" customHeight="1">
      <c r="A556" s="77"/>
      <c r="B556" s="78"/>
      <c r="D556" s="79"/>
      <c r="E556" s="80"/>
      <c r="F556" s="81"/>
    </row>
    <row r="557" ht="15.75" customHeight="1">
      <c r="A557" s="77"/>
      <c r="B557" s="78"/>
      <c r="D557" s="79"/>
      <c r="E557" s="80"/>
      <c r="F557" s="81"/>
    </row>
    <row r="558" ht="15.75" customHeight="1">
      <c r="A558" s="77"/>
      <c r="B558" s="78"/>
      <c r="D558" s="79"/>
      <c r="E558" s="80"/>
      <c r="F558" s="81"/>
    </row>
    <row r="559" ht="15.75" customHeight="1">
      <c r="A559" s="77"/>
      <c r="B559" s="78"/>
      <c r="D559" s="79"/>
      <c r="E559" s="80"/>
      <c r="F559" s="81"/>
    </row>
    <row r="560" ht="15.75" customHeight="1">
      <c r="A560" s="77"/>
      <c r="B560" s="78"/>
      <c r="D560" s="79"/>
      <c r="E560" s="80"/>
      <c r="F560" s="81"/>
    </row>
    <row r="561" ht="15.75" customHeight="1">
      <c r="A561" s="77"/>
      <c r="B561" s="78"/>
      <c r="D561" s="79"/>
      <c r="E561" s="80"/>
      <c r="F561" s="81"/>
    </row>
    <row r="562" ht="15.75" customHeight="1">
      <c r="A562" s="77"/>
      <c r="B562" s="78"/>
      <c r="D562" s="79"/>
      <c r="E562" s="80"/>
      <c r="F562" s="81"/>
    </row>
    <row r="563" ht="15.75" customHeight="1">
      <c r="A563" s="77"/>
      <c r="B563" s="78"/>
      <c r="D563" s="79"/>
      <c r="E563" s="80"/>
      <c r="F563" s="81"/>
    </row>
    <row r="564" ht="15.75" customHeight="1">
      <c r="A564" s="77"/>
      <c r="B564" s="78"/>
      <c r="D564" s="79"/>
      <c r="E564" s="80"/>
      <c r="F564" s="81"/>
    </row>
    <row r="565" ht="15.75" customHeight="1">
      <c r="A565" s="77"/>
      <c r="B565" s="78"/>
      <c r="D565" s="79"/>
      <c r="E565" s="80"/>
      <c r="F565" s="81"/>
    </row>
    <row r="566" ht="15.75" customHeight="1">
      <c r="A566" s="77"/>
      <c r="B566" s="78"/>
      <c r="D566" s="79"/>
      <c r="E566" s="80"/>
      <c r="F566" s="81"/>
    </row>
    <row r="567" ht="15.75" customHeight="1">
      <c r="A567" s="77"/>
      <c r="B567" s="78"/>
      <c r="D567" s="79"/>
      <c r="E567" s="80"/>
      <c r="F567" s="81"/>
    </row>
    <row r="568" ht="15.75" customHeight="1">
      <c r="A568" s="77"/>
      <c r="B568" s="78"/>
      <c r="D568" s="79"/>
      <c r="E568" s="80"/>
      <c r="F568" s="81"/>
    </row>
    <row r="569" ht="15.75" customHeight="1">
      <c r="A569" s="77"/>
      <c r="B569" s="78"/>
      <c r="D569" s="79"/>
      <c r="E569" s="80"/>
      <c r="F569" s="81"/>
    </row>
    <row r="570" ht="15.75" customHeight="1">
      <c r="A570" s="77"/>
      <c r="B570" s="78"/>
      <c r="D570" s="79"/>
      <c r="E570" s="80"/>
      <c r="F570" s="81"/>
    </row>
    <row r="571" ht="15.75" customHeight="1">
      <c r="A571" s="77"/>
      <c r="B571" s="78"/>
      <c r="D571" s="79"/>
      <c r="E571" s="80"/>
      <c r="F571" s="81"/>
    </row>
    <row r="572" ht="15.75" customHeight="1">
      <c r="A572" s="77"/>
      <c r="B572" s="78"/>
      <c r="D572" s="79"/>
      <c r="E572" s="80"/>
      <c r="F572" s="81"/>
    </row>
    <row r="573" ht="15.75" customHeight="1">
      <c r="A573" s="77"/>
      <c r="B573" s="78"/>
      <c r="D573" s="79"/>
      <c r="E573" s="80"/>
      <c r="F573" s="81"/>
    </row>
    <row r="574" ht="15.75" customHeight="1">
      <c r="A574" s="77"/>
      <c r="B574" s="78"/>
      <c r="D574" s="79"/>
      <c r="E574" s="80"/>
      <c r="F574" s="81"/>
    </row>
    <row r="575" ht="15.75" customHeight="1">
      <c r="A575" s="77"/>
      <c r="B575" s="78"/>
      <c r="D575" s="79"/>
      <c r="E575" s="80"/>
      <c r="F575" s="81"/>
    </row>
    <row r="576" ht="15.75" customHeight="1">
      <c r="A576" s="77"/>
      <c r="B576" s="78"/>
      <c r="D576" s="79"/>
      <c r="E576" s="80"/>
      <c r="F576" s="81"/>
    </row>
    <row r="577" ht="15.75" customHeight="1">
      <c r="A577" s="77"/>
      <c r="B577" s="78"/>
      <c r="D577" s="79"/>
      <c r="E577" s="80"/>
      <c r="F577" s="81"/>
    </row>
    <row r="578" ht="15.75" customHeight="1">
      <c r="A578" s="77"/>
      <c r="B578" s="78"/>
      <c r="D578" s="79"/>
      <c r="E578" s="80"/>
      <c r="F578" s="81"/>
    </row>
    <row r="579" ht="15.75" customHeight="1">
      <c r="A579" s="77"/>
      <c r="B579" s="78"/>
      <c r="D579" s="79"/>
      <c r="E579" s="80"/>
      <c r="F579" s="81"/>
    </row>
    <row r="580" ht="15.75" customHeight="1">
      <c r="A580" s="77"/>
      <c r="B580" s="78"/>
      <c r="D580" s="79"/>
      <c r="E580" s="80"/>
      <c r="F580" s="81"/>
    </row>
    <row r="581" ht="15.75" customHeight="1">
      <c r="A581" s="77"/>
      <c r="B581" s="78"/>
      <c r="D581" s="79"/>
      <c r="E581" s="80"/>
      <c r="F581" s="81"/>
    </row>
    <row r="582" ht="15.75" customHeight="1">
      <c r="A582" s="77"/>
      <c r="B582" s="78"/>
      <c r="D582" s="79"/>
      <c r="E582" s="80"/>
      <c r="F582" s="81"/>
    </row>
    <row r="583" ht="15.75" customHeight="1">
      <c r="A583" s="77"/>
      <c r="B583" s="78"/>
      <c r="D583" s="79"/>
      <c r="E583" s="80"/>
      <c r="F583" s="81"/>
    </row>
    <row r="584" ht="15.75" customHeight="1">
      <c r="A584" s="77"/>
      <c r="B584" s="78"/>
      <c r="D584" s="79"/>
      <c r="E584" s="80"/>
      <c r="F584" s="81"/>
    </row>
    <row r="585" ht="15.75" customHeight="1">
      <c r="A585" s="77"/>
      <c r="B585" s="78"/>
      <c r="D585" s="79"/>
      <c r="E585" s="80"/>
      <c r="F585" s="81"/>
    </row>
    <row r="586" ht="15.75" customHeight="1">
      <c r="A586" s="77"/>
      <c r="B586" s="78"/>
      <c r="D586" s="79"/>
      <c r="E586" s="80"/>
      <c r="F586" s="81"/>
    </row>
    <row r="587" ht="15.75" customHeight="1">
      <c r="A587" s="77"/>
      <c r="B587" s="78"/>
      <c r="D587" s="79"/>
      <c r="E587" s="80"/>
      <c r="F587" s="81"/>
    </row>
    <row r="588" ht="15.75" customHeight="1">
      <c r="A588" s="77"/>
      <c r="B588" s="78"/>
      <c r="D588" s="79"/>
      <c r="E588" s="80"/>
      <c r="F588" s="81"/>
    </row>
    <row r="589" ht="15.75" customHeight="1">
      <c r="A589" s="77"/>
      <c r="B589" s="78"/>
      <c r="D589" s="79"/>
      <c r="E589" s="80"/>
      <c r="F589" s="81"/>
    </row>
    <row r="590" ht="15.75" customHeight="1">
      <c r="A590" s="77"/>
      <c r="B590" s="78"/>
      <c r="D590" s="79"/>
      <c r="E590" s="80"/>
      <c r="F590" s="81"/>
    </row>
    <row r="591" ht="15.75" customHeight="1">
      <c r="A591" s="77"/>
      <c r="B591" s="78"/>
      <c r="D591" s="79"/>
      <c r="E591" s="80"/>
      <c r="F591" s="81"/>
    </row>
    <row r="592" ht="15.75" customHeight="1">
      <c r="A592" s="77"/>
      <c r="B592" s="78"/>
      <c r="D592" s="79"/>
      <c r="E592" s="80"/>
      <c r="F592" s="81"/>
    </row>
    <row r="593" ht="15.75" customHeight="1">
      <c r="A593" s="77"/>
      <c r="B593" s="78"/>
      <c r="D593" s="79"/>
      <c r="E593" s="80"/>
      <c r="F593" s="81"/>
    </row>
    <row r="594" ht="15.75" customHeight="1">
      <c r="A594" s="77"/>
      <c r="B594" s="78"/>
      <c r="D594" s="79"/>
      <c r="E594" s="80"/>
      <c r="F594" s="81"/>
    </row>
    <row r="595" ht="15.75" customHeight="1">
      <c r="A595" s="77"/>
      <c r="B595" s="78"/>
      <c r="D595" s="79"/>
      <c r="E595" s="80"/>
      <c r="F595" s="81"/>
    </row>
    <row r="596" ht="15.75" customHeight="1">
      <c r="A596" s="77"/>
      <c r="B596" s="78"/>
      <c r="D596" s="79"/>
      <c r="E596" s="80"/>
      <c r="F596" s="81"/>
    </row>
    <row r="597" ht="15.75" customHeight="1">
      <c r="A597" s="77"/>
      <c r="B597" s="78"/>
      <c r="D597" s="79"/>
      <c r="E597" s="80"/>
      <c r="F597" s="81"/>
    </row>
    <row r="598" ht="15.75" customHeight="1">
      <c r="A598" s="77"/>
      <c r="B598" s="78"/>
      <c r="D598" s="79"/>
      <c r="E598" s="80"/>
      <c r="F598" s="81"/>
    </row>
    <row r="599" ht="15.75" customHeight="1">
      <c r="A599" s="77"/>
      <c r="B599" s="78"/>
      <c r="D599" s="79"/>
      <c r="E599" s="80"/>
      <c r="F599" s="81"/>
    </row>
    <row r="600" ht="15.75" customHeight="1">
      <c r="A600" s="77"/>
      <c r="B600" s="78"/>
      <c r="D600" s="79"/>
      <c r="E600" s="80"/>
      <c r="F600" s="81"/>
    </row>
    <row r="601" ht="15.75" customHeight="1">
      <c r="A601" s="77"/>
      <c r="B601" s="78"/>
      <c r="D601" s="79"/>
      <c r="E601" s="80"/>
      <c r="F601" s="81"/>
    </row>
    <row r="602" ht="15.75" customHeight="1">
      <c r="A602" s="77"/>
      <c r="B602" s="78"/>
      <c r="D602" s="79"/>
      <c r="E602" s="80"/>
      <c r="F602" s="81"/>
    </row>
    <row r="603" ht="15.75" customHeight="1">
      <c r="A603" s="77"/>
      <c r="B603" s="78"/>
      <c r="D603" s="79"/>
      <c r="E603" s="80"/>
      <c r="F603" s="81"/>
    </row>
    <row r="604" ht="15.75" customHeight="1">
      <c r="A604" s="77"/>
      <c r="B604" s="78"/>
      <c r="D604" s="79"/>
      <c r="E604" s="80"/>
      <c r="F604" s="81"/>
    </row>
    <row r="605" ht="15.75" customHeight="1">
      <c r="A605" s="77"/>
      <c r="B605" s="78"/>
      <c r="D605" s="79"/>
      <c r="E605" s="80"/>
      <c r="F605" s="81"/>
    </row>
    <row r="606" ht="15.75" customHeight="1">
      <c r="A606" s="77"/>
      <c r="B606" s="78"/>
      <c r="D606" s="79"/>
      <c r="E606" s="80"/>
      <c r="F606" s="81"/>
    </row>
    <row r="607" ht="15.75" customHeight="1">
      <c r="A607" s="77"/>
      <c r="B607" s="78"/>
      <c r="D607" s="79"/>
      <c r="E607" s="80"/>
      <c r="F607" s="81"/>
    </row>
    <row r="608" ht="15.75" customHeight="1">
      <c r="A608" s="77"/>
      <c r="B608" s="78"/>
      <c r="D608" s="79"/>
      <c r="E608" s="80"/>
      <c r="F608" s="81"/>
    </row>
    <row r="609" ht="15.75" customHeight="1">
      <c r="A609" s="77"/>
      <c r="B609" s="78"/>
      <c r="D609" s="79"/>
      <c r="E609" s="80"/>
      <c r="F609" s="81"/>
    </row>
    <row r="610" ht="15.75" customHeight="1">
      <c r="A610" s="77"/>
      <c r="B610" s="78"/>
      <c r="D610" s="79"/>
      <c r="E610" s="80"/>
      <c r="F610" s="81"/>
    </row>
    <row r="611" ht="15.75" customHeight="1">
      <c r="A611" s="77"/>
      <c r="B611" s="78"/>
      <c r="D611" s="79"/>
      <c r="E611" s="80"/>
      <c r="F611" s="81"/>
    </row>
    <row r="612" ht="15.75" customHeight="1">
      <c r="A612" s="77"/>
      <c r="B612" s="78"/>
      <c r="D612" s="79"/>
      <c r="E612" s="80"/>
      <c r="F612" s="81"/>
    </row>
    <row r="613" ht="15.75" customHeight="1">
      <c r="A613" s="77"/>
      <c r="B613" s="78"/>
      <c r="D613" s="79"/>
      <c r="E613" s="80"/>
      <c r="F613" s="81"/>
    </row>
    <row r="614" ht="15.75" customHeight="1">
      <c r="A614" s="77"/>
      <c r="B614" s="78"/>
      <c r="D614" s="79"/>
      <c r="E614" s="80"/>
      <c r="F614" s="81"/>
    </row>
    <row r="615" ht="15.75" customHeight="1">
      <c r="A615" s="77"/>
      <c r="B615" s="78"/>
      <c r="D615" s="79"/>
      <c r="E615" s="80"/>
      <c r="F615" s="81"/>
    </row>
    <row r="616" ht="15.75" customHeight="1">
      <c r="A616" s="77"/>
      <c r="B616" s="78"/>
      <c r="D616" s="79"/>
      <c r="E616" s="80"/>
      <c r="F616" s="81"/>
    </row>
    <row r="617" ht="15.75" customHeight="1">
      <c r="A617" s="77"/>
      <c r="B617" s="78"/>
      <c r="D617" s="79"/>
      <c r="E617" s="80"/>
      <c r="F617" s="81"/>
    </row>
    <row r="618" ht="15.75" customHeight="1">
      <c r="A618" s="77"/>
      <c r="B618" s="78"/>
      <c r="D618" s="79"/>
      <c r="E618" s="80"/>
      <c r="F618" s="81"/>
    </row>
    <row r="619" ht="15.75" customHeight="1">
      <c r="A619" s="77"/>
      <c r="B619" s="78"/>
      <c r="D619" s="79"/>
      <c r="E619" s="80"/>
      <c r="F619" s="81"/>
    </row>
    <row r="620" ht="15.75" customHeight="1">
      <c r="A620" s="77"/>
      <c r="B620" s="78"/>
      <c r="D620" s="79"/>
      <c r="E620" s="80"/>
      <c r="F620" s="81"/>
    </row>
    <row r="621" ht="15.75" customHeight="1">
      <c r="A621" s="77"/>
      <c r="B621" s="78"/>
      <c r="D621" s="79"/>
      <c r="E621" s="80"/>
      <c r="F621" s="81"/>
    </row>
    <row r="622" ht="15.75" customHeight="1">
      <c r="A622" s="77"/>
      <c r="B622" s="78"/>
      <c r="D622" s="79"/>
      <c r="E622" s="80"/>
      <c r="F622" s="81"/>
    </row>
    <row r="623" ht="15.75" customHeight="1">
      <c r="A623" s="77"/>
      <c r="B623" s="78"/>
      <c r="D623" s="79"/>
      <c r="E623" s="80"/>
      <c r="F623" s="81"/>
    </row>
    <row r="624" ht="15.75" customHeight="1">
      <c r="A624" s="77"/>
      <c r="B624" s="78"/>
      <c r="D624" s="79"/>
      <c r="E624" s="80"/>
      <c r="F624" s="81"/>
    </row>
    <row r="625" ht="15.75" customHeight="1">
      <c r="A625" s="77"/>
      <c r="B625" s="78"/>
      <c r="D625" s="79"/>
      <c r="E625" s="80"/>
      <c r="F625" s="81"/>
    </row>
    <row r="626" ht="15.75" customHeight="1">
      <c r="A626" s="77"/>
      <c r="B626" s="78"/>
      <c r="D626" s="79"/>
      <c r="E626" s="80"/>
      <c r="F626" s="81"/>
    </row>
    <row r="627" ht="15.75" customHeight="1">
      <c r="A627" s="77"/>
      <c r="B627" s="78"/>
      <c r="D627" s="79"/>
      <c r="E627" s="80"/>
      <c r="F627" s="81"/>
    </row>
    <row r="628" ht="15.75" customHeight="1">
      <c r="A628" s="77"/>
      <c r="B628" s="78"/>
      <c r="D628" s="79"/>
      <c r="E628" s="80"/>
      <c r="F628" s="81"/>
    </row>
    <row r="629" ht="15.75" customHeight="1">
      <c r="A629" s="77"/>
      <c r="B629" s="78"/>
      <c r="D629" s="79"/>
      <c r="E629" s="80"/>
      <c r="F629" s="81"/>
    </row>
    <row r="630" ht="15.75" customHeight="1">
      <c r="A630" s="77"/>
      <c r="B630" s="78"/>
      <c r="D630" s="79"/>
      <c r="E630" s="80"/>
      <c r="F630" s="81"/>
    </row>
    <row r="631" ht="15.75" customHeight="1">
      <c r="A631" s="77"/>
      <c r="B631" s="78"/>
      <c r="D631" s="79"/>
      <c r="E631" s="80"/>
      <c r="F631" s="81"/>
    </row>
    <row r="632" ht="15.75" customHeight="1">
      <c r="A632" s="77"/>
      <c r="B632" s="78"/>
      <c r="D632" s="79"/>
      <c r="E632" s="80"/>
      <c r="F632" s="81"/>
    </row>
    <row r="633" ht="15.75" customHeight="1">
      <c r="A633" s="77"/>
      <c r="B633" s="78"/>
      <c r="D633" s="79"/>
      <c r="E633" s="80"/>
      <c r="F633" s="81"/>
    </row>
    <row r="634" ht="15.75" customHeight="1">
      <c r="A634" s="77"/>
      <c r="B634" s="78"/>
      <c r="D634" s="79"/>
      <c r="E634" s="80"/>
      <c r="F634" s="81"/>
    </row>
    <row r="635" ht="15.75" customHeight="1">
      <c r="A635" s="77"/>
      <c r="B635" s="78"/>
      <c r="D635" s="79"/>
      <c r="E635" s="80"/>
      <c r="F635" s="81"/>
    </row>
    <row r="636" ht="15.75" customHeight="1">
      <c r="A636" s="77"/>
      <c r="B636" s="78"/>
      <c r="D636" s="79"/>
      <c r="E636" s="80"/>
      <c r="F636" s="81"/>
    </row>
    <row r="637" ht="15.75" customHeight="1">
      <c r="A637" s="77"/>
      <c r="B637" s="78"/>
      <c r="D637" s="79"/>
      <c r="E637" s="80"/>
      <c r="F637" s="81"/>
    </row>
    <row r="638" ht="15.75" customHeight="1">
      <c r="A638" s="77"/>
      <c r="B638" s="78"/>
      <c r="D638" s="79"/>
      <c r="E638" s="80"/>
      <c r="F638" s="81"/>
    </row>
    <row r="639" ht="15.75" customHeight="1">
      <c r="A639" s="77"/>
      <c r="B639" s="78"/>
      <c r="D639" s="79"/>
      <c r="E639" s="80"/>
      <c r="F639" s="81"/>
    </row>
    <row r="640" ht="15.75" customHeight="1">
      <c r="A640" s="77"/>
      <c r="B640" s="78"/>
      <c r="D640" s="79"/>
      <c r="E640" s="80"/>
      <c r="F640" s="81"/>
    </row>
    <row r="641" ht="15.75" customHeight="1">
      <c r="A641" s="77"/>
      <c r="B641" s="78"/>
      <c r="D641" s="79"/>
      <c r="E641" s="80"/>
      <c r="F641" s="81"/>
    </row>
    <row r="642" ht="15.75" customHeight="1">
      <c r="A642" s="77"/>
      <c r="B642" s="78"/>
      <c r="D642" s="79"/>
      <c r="E642" s="80"/>
      <c r="F642" s="81"/>
    </row>
    <row r="643" ht="15.75" customHeight="1">
      <c r="A643" s="77"/>
      <c r="B643" s="78"/>
      <c r="D643" s="79"/>
      <c r="E643" s="80"/>
      <c r="F643" s="81"/>
    </row>
    <row r="644" ht="15.75" customHeight="1">
      <c r="A644" s="77"/>
      <c r="B644" s="78"/>
      <c r="D644" s="79"/>
      <c r="E644" s="80"/>
      <c r="F644" s="81"/>
    </row>
    <row r="645" ht="15.75" customHeight="1">
      <c r="A645" s="77"/>
      <c r="B645" s="78"/>
      <c r="D645" s="79"/>
      <c r="E645" s="80"/>
      <c r="F645" s="81"/>
    </row>
    <row r="646" ht="15.75" customHeight="1">
      <c r="A646" s="77"/>
      <c r="B646" s="78"/>
      <c r="D646" s="79"/>
      <c r="E646" s="80"/>
      <c r="F646" s="81"/>
    </row>
    <row r="647" ht="15.75" customHeight="1">
      <c r="A647" s="77"/>
      <c r="B647" s="78"/>
      <c r="D647" s="79"/>
      <c r="E647" s="80"/>
      <c r="F647" s="81"/>
    </row>
    <row r="648" ht="15.75" customHeight="1">
      <c r="A648" s="77"/>
      <c r="B648" s="78"/>
      <c r="D648" s="79"/>
      <c r="E648" s="80"/>
      <c r="F648" s="81"/>
    </row>
    <row r="649" ht="15.75" customHeight="1">
      <c r="A649" s="77"/>
      <c r="B649" s="78"/>
      <c r="D649" s="79"/>
      <c r="E649" s="80"/>
      <c r="F649" s="81"/>
    </row>
    <row r="650" ht="15.75" customHeight="1">
      <c r="A650" s="77"/>
      <c r="B650" s="78"/>
      <c r="D650" s="79"/>
      <c r="E650" s="80"/>
      <c r="F650" s="81"/>
    </row>
    <row r="651" ht="15.75" customHeight="1">
      <c r="A651" s="77"/>
      <c r="B651" s="78"/>
      <c r="D651" s="79"/>
      <c r="E651" s="80"/>
      <c r="F651" s="81"/>
    </row>
    <row r="652" ht="15.75" customHeight="1">
      <c r="A652" s="77"/>
      <c r="B652" s="78"/>
      <c r="D652" s="79"/>
      <c r="E652" s="80"/>
      <c r="F652" s="81"/>
    </row>
    <row r="653" ht="15.75" customHeight="1">
      <c r="A653" s="77"/>
      <c r="B653" s="78"/>
      <c r="D653" s="79"/>
      <c r="E653" s="80"/>
      <c r="F653" s="81"/>
    </row>
    <row r="654" ht="15.75" customHeight="1">
      <c r="A654" s="77"/>
      <c r="B654" s="78"/>
      <c r="D654" s="79"/>
      <c r="E654" s="80"/>
      <c r="F654" s="81"/>
    </row>
    <row r="655" ht="15.75" customHeight="1">
      <c r="A655" s="77"/>
      <c r="B655" s="78"/>
      <c r="D655" s="79"/>
      <c r="E655" s="80"/>
      <c r="F655" s="81"/>
    </row>
    <row r="656" ht="15.75" customHeight="1">
      <c r="A656" s="77"/>
      <c r="B656" s="78"/>
      <c r="D656" s="79"/>
      <c r="E656" s="80"/>
      <c r="F656" s="81"/>
    </row>
    <row r="657" ht="15.75" customHeight="1">
      <c r="A657" s="77"/>
      <c r="B657" s="78"/>
      <c r="D657" s="79"/>
      <c r="E657" s="80"/>
      <c r="F657" s="81"/>
    </row>
    <row r="658" ht="15.75" customHeight="1">
      <c r="A658" s="77"/>
      <c r="B658" s="78"/>
      <c r="D658" s="79"/>
      <c r="E658" s="80"/>
      <c r="F658" s="81"/>
    </row>
    <row r="659" ht="15.75" customHeight="1">
      <c r="A659" s="77"/>
      <c r="B659" s="78"/>
      <c r="D659" s="79"/>
      <c r="E659" s="80"/>
      <c r="F659" s="81"/>
    </row>
    <row r="660" ht="15.75" customHeight="1">
      <c r="A660" s="77"/>
      <c r="B660" s="78"/>
      <c r="D660" s="79"/>
      <c r="E660" s="80"/>
      <c r="F660" s="81"/>
    </row>
    <row r="661" ht="15.75" customHeight="1">
      <c r="A661" s="77"/>
      <c r="B661" s="78"/>
      <c r="D661" s="79"/>
      <c r="E661" s="80"/>
      <c r="F661" s="81"/>
    </row>
    <row r="662" ht="15.75" customHeight="1">
      <c r="A662" s="77"/>
      <c r="B662" s="78"/>
      <c r="D662" s="79"/>
      <c r="E662" s="80"/>
      <c r="F662" s="81"/>
    </row>
    <row r="663" ht="15.75" customHeight="1">
      <c r="A663" s="77"/>
      <c r="B663" s="78"/>
      <c r="D663" s="79"/>
      <c r="E663" s="80"/>
      <c r="F663" s="81"/>
    </row>
    <row r="664" ht="15.75" customHeight="1">
      <c r="A664" s="77"/>
      <c r="B664" s="78"/>
      <c r="D664" s="79"/>
      <c r="E664" s="80"/>
      <c r="F664" s="81"/>
    </row>
    <row r="665" ht="15.75" customHeight="1">
      <c r="A665" s="77"/>
      <c r="B665" s="78"/>
      <c r="D665" s="79"/>
      <c r="E665" s="80"/>
      <c r="F665" s="81"/>
    </row>
    <row r="666" ht="15.75" customHeight="1">
      <c r="A666" s="77"/>
      <c r="B666" s="78"/>
      <c r="D666" s="79"/>
      <c r="E666" s="80"/>
      <c r="F666" s="81"/>
    </row>
    <row r="667" ht="15.75" customHeight="1">
      <c r="A667" s="77"/>
      <c r="B667" s="78"/>
      <c r="D667" s="79"/>
      <c r="E667" s="80"/>
      <c r="F667" s="81"/>
    </row>
    <row r="668" ht="15.75" customHeight="1">
      <c r="A668" s="77"/>
      <c r="B668" s="78"/>
      <c r="D668" s="79"/>
      <c r="E668" s="80"/>
      <c r="F668" s="81"/>
    </row>
    <row r="669" ht="15.75" customHeight="1">
      <c r="A669" s="77"/>
      <c r="B669" s="78"/>
      <c r="D669" s="79"/>
      <c r="E669" s="80"/>
      <c r="F669" s="81"/>
    </row>
    <row r="670" ht="15.75" customHeight="1">
      <c r="A670" s="77"/>
      <c r="B670" s="78"/>
      <c r="D670" s="79"/>
      <c r="E670" s="80"/>
      <c r="F670" s="81"/>
    </row>
    <row r="671" ht="15.75" customHeight="1">
      <c r="A671" s="77"/>
      <c r="B671" s="78"/>
      <c r="D671" s="79"/>
      <c r="E671" s="80"/>
      <c r="F671" s="81"/>
    </row>
    <row r="672" ht="15.75" customHeight="1">
      <c r="A672" s="77"/>
      <c r="B672" s="78"/>
      <c r="D672" s="79"/>
      <c r="E672" s="80"/>
      <c r="F672" s="81"/>
    </row>
    <row r="673" ht="15.75" customHeight="1">
      <c r="A673" s="77"/>
      <c r="B673" s="78"/>
      <c r="D673" s="79"/>
      <c r="E673" s="80"/>
      <c r="F673" s="81"/>
    </row>
    <row r="674" ht="15.75" customHeight="1">
      <c r="A674" s="77"/>
      <c r="B674" s="78"/>
      <c r="D674" s="79"/>
      <c r="E674" s="80"/>
      <c r="F674" s="81"/>
    </row>
    <row r="675" ht="15.75" customHeight="1">
      <c r="A675" s="77"/>
      <c r="B675" s="78"/>
      <c r="D675" s="79"/>
      <c r="E675" s="80"/>
      <c r="F675" s="81"/>
    </row>
    <row r="676" ht="15.75" customHeight="1">
      <c r="A676" s="77"/>
      <c r="B676" s="78"/>
      <c r="D676" s="79"/>
      <c r="E676" s="80"/>
      <c r="F676" s="81"/>
    </row>
    <row r="677" ht="15.75" customHeight="1">
      <c r="A677" s="77"/>
      <c r="B677" s="78"/>
      <c r="D677" s="79"/>
      <c r="E677" s="80"/>
      <c r="F677" s="81"/>
    </row>
    <row r="678" ht="15.75" customHeight="1">
      <c r="A678" s="77"/>
      <c r="B678" s="78"/>
      <c r="D678" s="79"/>
      <c r="E678" s="80"/>
      <c r="F678" s="81"/>
    </row>
    <row r="679" ht="15.75" customHeight="1">
      <c r="A679" s="77"/>
      <c r="B679" s="78"/>
      <c r="D679" s="79"/>
      <c r="E679" s="80"/>
      <c r="F679" s="81"/>
    </row>
    <row r="680" ht="15.75" customHeight="1">
      <c r="A680" s="77"/>
      <c r="B680" s="78"/>
      <c r="D680" s="79"/>
      <c r="E680" s="80"/>
      <c r="F680" s="81"/>
    </row>
    <row r="681" ht="15.75" customHeight="1">
      <c r="A681" s="77"/>
      <c r="B681" s="78"/>
      <c r="D681" s="79"/>
      <c r="E681" s="80"/>
      <c r="F681" s="81"/>
    </row>
    <row r="682" ht="15.75" customHeight="1">
      <c r="A682" s="77"/>
      <c r="B682" s="78"/>
      <c r="D682" s="79"/>
      <c r="E682" s="80"/>
      <c r="F682" s="81"/>
    </row>
    <row r="683" ht="15.75" customHeight="1">
      <c r="A683" s="77"/>
      <c r="B683" s="78"/>
      <c r="D683" s="79"/>
      <c r="E683" s="80"/>
      <c r="F683" s="81"/>
    </row>
    <row r="684" ht="15.75" customHeight="1">
      <c r="A684" s="77"/>
      <c r="B684" s="78"/>
      <c r="D684" s="79"/>
      <c r="E684" s="80"/>
      <c r="F684" s="81"/>
    </row>
    <row r="685" ht="15.75" customHeight="1">
      <c r="A685" s="77"/>
      <c r="B685" s="78"/>
      <c r="D685" s="79"/>
      <c r="E685" s="80"/>
      <c r="F685" s="81"/>
    </row>
    <row r="686" ht="15.75" customHeight="1">
      <c r="A686" s="77"/>
      <c r="B686" s="78"/>
      <c r="D686" s="79"/>
      <c r="E686" s="80"/>
      <c r="F686" s="81"/>
    </row>
    <row r="687" ht="15.75" customHeight="1">
      <c r="A687" s="77"/>
      <c r="B687" s="78"/>
      <c r="D687" s="79"/>
      <c r="E687" s="80"/>
      <c r="F687" s="81"/>
    </row>
    <row r="688" ht="15.75" customHeight="1">
      <c r="A688" s="77"/>
      <c r="B688" s="78"/>
      <c r="D688" s="79"/>
      <c r="E688" s="80"/>
      <c r="F688" s="81"/>
    </row>
    <row r="689" ht="15.75" customHeight="1">
      <c r="A689" s="77"/>
      <c r="B689" s="78"/>
      <c r="D689" s="79"/>
      <c r="E689" s="80"/>
      <c r="F689" s="81"/>
    </row>
    <row r="690" ht="15.75" customHeight="1">
      <c r="A690" s="77"/>
      <c r="B690" s="78"/>
      <c r="D690" s="79"/>
      <c r="E690" s="80"/>
      <c r="F690" s="81"/>
    </row>
    <row r="691" ht="15.75" customHeight="1">
      <c r="A691" s="77"/>
      <c r="B691" s="78"/>
      <c r="D691" s="79"/>
      <c r="E691" s="80"/>
      <c r="F691" s="81"/>
    </row>
    <row r="692" ht="15.75" customHeight="1">
      <c r="A692" s="77"/>
      <c r="B692" s="78"/>
      <c r="D692" s="79"/>
      <c r="E692" s="80"/>
      <c r="F692" s="81"/>
    </row>
    <row r="693" ht="15.75" customHeight="1">
      <c r="A693" s="77"/>
      <c r="B693" s="78"/>
      <c r="D693" s="79"/>
      <c r="E693" s="80"/>
      <c r="F693" s="81"/>
    </row>
    <row r="694" ht="15.75" customHeight="1">
      <c r="A694" s="77"/>
      <c r="B694" s="78"/>
      <c r="D694" s="79"/>
      <c r="E694" s="80"/>
      <c r="F694" s="81"/>
    </row>
    <row r="695" ht="15.75" customHeight="1">
      <c r="A695" s="77"/>
      <c r="B695" s="78"/>
      <c r="D695" s="79"/>
      <c r="E695" s="80"/>
      <c r="F695" s="81"/>
    </row>
    <row r="696" ht="15.75" customHeight="1">
      <c r="A696" s="77"/>
      <c r="B696" s="78"/>
      <c r="D696" s="79"/>
      <c r="E696" s="80"/>
      <c r="F696" s="81"/>
    </row>
    <row r="697" ht="15.75" customHeight="1">
      <c r="A697" s="77"/>
      <c r="B697" s="78"/>
      <c r="D697" s="79"/>
      <c r="E697" s="80"/>
      <c r="F697" s="81"/>
    </row>
    <row r="698" ht="15.75" customHeight="1">
      <c r="A698" s="77"/>
      <c r="B698" s="78"/>
      <c r="D698" s="79"/>
      <c r="E698" s="80"/>
      <c r="F698" s="81"/>
    </row>
    <row r="699" ht="15.75" customHeight="1">
      <c r="A699" s="77"/>
      <c r="B699" s="78"/>
      <c r="D699" s="79"/>
      <c r="E699" s="80"/>
      <c r="F699" s="81"/>
    </row>
    <row r="700" ht="15.75" customHeight="1">
      <c r="A700" s="77"/>
      <c r="B700" s="78"/>
      <c r="D700" s="79"/>
      <c r="E700" s="80"/>
      <c r="F700" s="81"/>
    </row>
    <row r="701" ht="15.75" customHeight="1">
      <c r="A701" s="77"/>
      <c r="B701" s="78"/>
      <c r="D701" s="79"/>
      <c r="E701" s="80"/>
      <c r="F701" s="81"/>
    </row>
    <row r="702" ht="15.75" customHeight="1">
      <c r="A702" s="77"/>
      <c r="B702" s="78"/>
      <c r="D702" s="79"/>
      <c r="E702" s="80"/>
      <c r="F702" s="81"/>
    </row>
    <row r="703" ht="15.75" customHeight="1">
      <c r="A703" s="77"/>
      <c r="B703" s="78"/>
      <c r="D703" s="79"/>
      <c r="E703" s="80"/>
      <c r="F703" s="81"/>
    </row>
    <row r="704" ht="15.75" customHeight="1">
      <c r="A704" s="77"/>
      <c r="B704" s="78"/>
      <c r="D704" s="79"/>
      <c r="E704" s="80"/>
      <c r="F704" s="81"/>
    </row>
    <row r="705" ht="15.75" customHeight="1">
      <c r="A705" s="77"/>
      <c r="B705" s="78"/>
      <c r="D705" s="79"/>
      <c r="E705" s="80"/>
      <c r="F705" s="81"/>
    </row>
    <row r="706" ht="15.75" customHeight="1">
      <c r="A706" s="77"/>
      <c r="B706" s="78"/>
      <c r="D706" s="79"/>
      <c r="E706" s="80"/>
      <c r="F706" s="81"/>
    </row>
    <row r="707" ht="15.75" customHeight="1">
      <c r="A707" s="77"/>
      <c r="B707" s="78"/>
      <c r="D707" s="79"/>
      <c r="E707" s="80"/>
      <c r="F707" s="81"/>
    </row>
    <row r="708" ht="15.75" customHeight="1">
      <c r="A708" s="77"/>
      <c r="B708" s="78"/>
      <c r="D708" s="79"/>
      <c r="E708" s="80"/>
      <c r="F708" s="81"/>
    </row>
    <row r="709" ht="15.75" customHeight="1">
      <c r="A709" s="77"/>
      <c r="B709" s="78"/>
      <c r="D709" s="79"/>
      <c r="E709" s="80"/>
      <c r="F709" s="81"/>
    </row>
    <row r="710" ht="15.75" customHeight="1">
      <c r="A710" s="77"/>
      <c r="B710" s="78"/>
      <c r="D710" s="79"/>
      <c r="E710" s="80"/>
      <c r="F710" s="81"/>
    </row>
    <row r="711" ht="15.75" customHeight="1">
      <c r="A711" s="77"/>
      <c r="B711" s="78"/>
      <c r="D711" s="79"/>
      <c r="E711" s="80"/>
      <c r="F711" s="81"/>
    </row>
    <row r="712" ht="15.75" customHeight="1">
      <c r="A712" s="77"/>
      <c r="B712" s="78"/>
      <c r="D712" s="79"/>
      <c r="E712" s="80"/>
      <c r="F712" s="81"/>
    </row>
    <row r="713" ht="15.75" customHeight="1">
      <c r="A713" s="77"/>
      <c r="B713" s="78"/>
      <c r="D713" s="79"/>
      <c r="E713" s="80"/>
      <c r="F713" s="81"/>
    </row>
    <row r="714" ht="15.75" customHeight="1">
      <c r="A714" s="77"/>
      <c r="B714" s="78"/>
      <c r="D714" s="79"/>
      <c r="E714" s="80"/>
      <c r="F714" s="81"/>
    </row>
    <row r="715" ht="15.75" customHeight="1">
      <c r="A715" s="77"/>
      <c r="B715" s="78"/>
      <c r="D715" s="79"/>
      <c r="E715" s="80"/>
      <c r="F715" s="81"/>
    </row>
    <row r="716" ht="15.75" customHeight="1">
      <c r="A716" s="77"/>
      <c r="B716" s="78"/>
      <c r="D716" s="79"/>
      <c r="E716" s="80"/>
      <c r="F716" s="81"/>
    </row>
    <row r="717" ht="15.75" customHeight="1">
      <c r="A717" s="77"/>
      <c r="B717" s="78"/>
      <c r="D717" s="79"/>
      <c r="E717" s="80"/>
      <c r="F717" s="81"/>
    </row>
    <row r="718" ht="15.75" customHeight="1">
      <c r="A718" s="77"/>
      <c r="B718" s="78"/>
      <c r="D718" s="79"/>
      <c r="E718" s="80"/>
      <c r="F718" s="81"/>
    </row>
    <row r="719" ht="15.75" customHeight="1">
      <c r="A719" s="77"/>
      <c r="B719" s="78"/>
      <c r="D719" s="79"/>
      <c r="E719" s="80"/>
      <c r="F719" s="81"/>
    </row>
    <row r="720" ht="15.75" customHeight="1">
      <c r="A720" s="77"/>
      <c r="B720" s="78"/>
      <c r="D720" s="79"/>
      <c r="E720" s="80"/>
      <c r="F720" s="81"/>
    </row>
    <row r="721" ht="15.75" customHeight="1">
      <c r="A721" s="77"/>
      <c r="B721" s="78"/>
      <c r="D721" s="79"/>
      <c r="E721" s="80"/>
      <c r="F721" s="81"/>
    </row>
    <row r="722" ht="15.75" customHeight="1">
      <c r="A722" s="77"/>
      <c r="B722" s="78"/>
      <c r="D722" s="79"/>
      <c r="E722" s="80"/>
      <c r="F722" s="81"/>
    </row>
    <row r="723" ht="15.75" customHeight="1">
      <c r="A723" s="77"/>
      <c r="B723" s="78"/>
      <c r="D723" s="79"/>
      <c r="E723" s="80"/>
      <c r="F723" s="81"/>
    </row>
    <row r="724" ht="15.75" customHeight="1">
      <c r="A724" s="77"/>
      <c r="B724" s="78"/>
      <c r="D724" s="79"/>
      <c r="E724" s="80"/>
      <c r="F724" s="81"/>
    </row>
    <row r="725" ht="15.75" customHeight="1">
      <c r="A725" s="77"/>
      <c r="B725" s="78"/>
      <c r="D725" s="79"/>
      <c r="E725" s="80"/>
      <c r="F725" s="81"/>
    </row>
    <row r="726" ht="15.75" customHeight="1">
      <c r="A726" s="77"/>
      <c r="B726" s="78"/>
      <c r="D726" s="79"/>
      <c r="E726" s="80"/>
      <c r="F726" s="81"/>
    </row>
    <row r="727" ht="15.75" customHeight="1">
      <c r="A727" s="77"/>
      <c r="B727" s="78"/>
      <c r="D727" s="79"/>
      <c r="E727" s="80"/>
      <c r="F727" s="81"/>
    </row>
    <row r="728" ht="15.75" customHeight="1">
      <c r="A728" s="77"/>
      <c r="B728" s="78"/>
      <c r="D728" s="79"/>
      <c r="E728" s="80"/>
      <c r="F728" s="81"/>
    </row>
    <row r="729" ht="15.75" customHeight="1">
      <c r="A729" s="77"/>
      <c r="B729" s="78"/>
      <c r="D729" s="79"/>
      <c r="E729" s="80"/>
      <c r="F729" s="81"/>
    </row>
    <row r="730" ht="15.75" customHeight="1">
      <c r="A730" s="77"/>
      <c r="B730" s="78"/>
      <c r="D730" s="79"/>
      <c r="E730" s="80"/>
      <c r="F730" s="81"/>
    </row>
    <row r="731" ht="15.75" customHeight="1">
      <c r="A731" s="77"/>
      <c r="B731" s="78"/>
      <c r="D731" s="79"/>
      <c r="E731" s="80"/>
      <c r="F731" s="81"/>
    </row>
    <row r="732" ht="15.75" customHeight="1">
      <c r="A732" s="77"/>
      <c r="B732" s="78"/>
      <c r="D732" s="79"/>
      <c r="E732" s="80"/>
      <c r="F732" s="81"/>
    </row>
    <row r="733" ht="15.75" customHeight="1">
      <c r="A733" s="77"/>
      <c r="B733" s="78"/>
      <c r="D733" s="79"/>
      <c r="E733" s="80"/>
      <c r="F733" s="81"/>
    </row>
    <row r="734" ht="15.75" customHeight="1">
      <c r="A734" s="77"/>
      <c r="B734" s="78"/>
      <c r="D734" s="79"/>
      <c r="E734" s="80"/>
      <c r="F734" s="81"/>
    </row>
    <row r="735" ht="15.75" customHeight="1">
      <c r="A735" s="77"/>
      <c r="B735" s="78"/>
      <c r="D735" s="79"/>
      <c r="E735" s="80"/>
      <c r="F735" s="81"/>
    </row>
    <row r="736" ht="15.75" customHeight="1">
      <c r="A736" s="77"/>
      <c r="B736" s="78"/>
      <c r="D736" s="79"/>
      <c r="E736" s="80"/>
      <c r="F736" s="81"/>
    </row>
    <row r="737" ht="15.75" customHeight="1">
      <c r="A737" s="77"/>
      <c r="B737" s="78"/>
      <c r="D737" s="79"/>
      <c r="E737" s="80"/>
      <c r="F737" s="81"/>
    </row>
    <row r="738" ht="15.75" customHeight="1">
      <c r="A738" s="77"/>
      <c r="B738" s="78"/>
      <c r="D738" s="79"/>
      <c r="E738" s="80"/>
      <c r="F738" s="81"/>
    </row>
    <row r="739" ht="15.75" customHeight="1">
      <c r="A739" s="77"/>
      <c r="B739" s="78"/>
      <c r="D739" s="79"/>
      <c r="E739" s="80"/>
      <c r="F739" s="81"/>
    </row>
    <row r="740" ht="15.75" customHeight="1">
      <c r="A740" s="77"/>
      <c r="B740" s="78"/>
      <c r="D740" s="79"/>
      <c r="E740" s="80"/>
      <c r="F740" s="81"/>
    </row>
    <row r="741" ht="15.75" customHeight="1">
      <c r="A741" s="77"/>
      <c r="B741" s="78"/>
      <c r="D741" s="79"/>
      <c r="E741" s="80"/>
      <c r="F741" s="81"/>
    </row>
    <row r="742" ht="15.75" customHeight="1">
      <c r="A742" s="77"/>
      <c r="B742" s="78"/>
      <c r="D742" s="79"/>
      <c r="E742" s="80"/>
      <c r="F742" s="81"/>
    </row>
    <row r="743" ht="15.75" customHeight="1">
      <c r="A743" s="77"/>
      <c r="B743" s="78"/>
      <c r="D743" s="79"/>
      <c r="E743" s="80"/>
      <c r="F743" s="81"/>
    </row>
    <row r="744" ht="15.75" customHeight="1">
      <c r="A744" s="77"/>
      <c r="B744" s="78"/>
      <c r="D744" s="79"/>
      <c r="E744" s="80"/>
      <c r="F744" s="81"/>
    </row>
    <row r="745" ht="15.75" customHeight="1">
      <c r="A745" s="77"/>
      <c r="B745" s="78"/>
      <c r="D745" s="79"/>
      <c r="E745" s="80"/>
      <c r="F745" s="81"/>
    </row>
    <row r="746" ht="15.75" customHeight="1">
      <c r="A746" s="77"/>
      <c r="B746" s="78"/>
      <c r="D746" s="79"/>
      <c r="E746" s="80"/>
      <c r="F746" s="81"/>
    </row>
    <row r="747" ht="15.75" customHeight="1">
      <c r="A747" s="77"/>
      <c r="B747" s="78"/>
      <c r="D747" s="79"/>
      <c r="E747" s="80"/>
      <c r="F747" s="81"/>
    </row>
    <row r="748" ht="15.75" customHeight="1">
      <c r="A748" s="77"/>
      <c r="B748" s="78"/>
      <c r="D748" s="79"/>
      <c r="E748" s="80"/>
      <c r="F748" s="81"/>
    </row>
    <row r="749" ht="15.75" customHeight="1">
      <c r="A749" s="77"/>
      <c r="B749" s="78"/>
      <c r="D749" s="79"/>
      <c r="E749" s="80"/>
      <c r="F749" s="81"/>
    </row>
    <row r="750" ht="15.75" customHeight="1">
      <c r="A750" s="77"/>
      <c r="B750" s="78"/>
      <c r="D750" s="79"/>
      <c r="E750" s="80"/>
      <c r="F750" s="81"/>
    </row>
    <row r="751" ht="15.75" customHeight="1">
      <c r="A751" s="77"/>
      <c r="B751" s="78"/>
      <c r="D751" s="79"/>
      <c r="E751" s="80"/>
      <c r="F751" s="81"/>
    </row>
    <row r="752" ht="15.75" customHeight="1">
      <c r="A752" s="77"/>
      <c r="B752" s="78"/>
      <c r="D752" s="79"/>
      <c r="E752" s="80"/>
      <c r="F752" s="81"/>
    </row>
    <row r="753" ht="15.75" customHeight="1">
      <c r="A753" s="77"/>
      <c r="B753" s="78"/>
      <c r="D753" s="79"/>
      <c r="E753" s="80"/>
      <c r="F753" s="81"/>
    </row>
    <row r="754" ht="15.75" customHeight="1">
      <c r="A754" s="77"/>
      <c r="B754" s="78"/>
      <c r="D754" s="79"/>
      <c r="E754" s="80"/>
      <c r="F754" s="81"/>
    </row>
    <row r="755" ht="15.75" customHeight="1">
      <c r="A755" s="77"/>
      <c r="B755" s="78"/>
      <c r="D755" s="79"/>
      <c r="E755" s="80"/>
      <c r="F755" s="81"/>
    </row>
    <row r="756" ht="15.75" customHeight="1">
      <c r="A756" s="77"/>
      <c r="B756" s="78"/>
      <c r="D756" s="79"/>
      <c r="E756" s="80"/>
      <c r="F756" s="81"/>
    </row>
    <row r="757" ht="15.75" customHeight="1">
      <c r="A757" s="77"/>
      <c r="B757" s="78"/>
      <c r="D757" s="79"/>
      <c r="E757" s="80"/>
      <c r="F757" s="81"/>
    </row>
    <row r="758" ht="15.75" customHeight="1">
      <c r="A758" s="77"/>
      <c r="B758" s="78"/>
      <c r="D758" s="79"/>
      <c r="E758" s="80"/>
      <c r="F758" s="81"/>
    </row>
    <row r="759" ht="15.75" customHeight="1">
      <c r="A759" s="77"/>
      <c r="B759" s="78"/>
      <c r="D759" s="79"/>
      <c r="E759" s="80"/>
      <c r="F759" s="81"/>
    </row>
    <row r="760" ht="15.75" customHeight="1">
      <c r="A760" s="77"/>
      <c r="B760" s="78"/>
      <c r="D760" s="79"/>
      <c r="E760" s="80"/>
      <c r="F760" s="81"/>
    </row>
    <row r="761" ht="15.75" customHeight="1">
      <c r="A761" s="77"/>
      <c r="B761" s="78"/>
      <c r="D761" s="79"/>
      <c r="E761" s="80"/>
      <c r="F761" s="81"/>
    </row>
    <row r="762" ht="15.75" customHeight="1">
      <c r="A762" s="77"/>
      <c r="B762" s="78"/>
      <c r="D762" s="79"/>
      <c r="E762" s="80"/>
      <c r="F762" s="81"/>
    </row>
    <row r="763" ht="15.75" customHeight="1">
      <c r="A763" s="77"/>
      <c r="B763" s="78"/>
      <c r="D763" s="79"/>
      <c r="E763" s="80"/>
      <c r="F763" s="81"/>
    </row>
    <row r="764" ht="15.75" customHeight="1">
      <c r="A764" s="77"/>
      <c r="B764" s="78"/>
      <c r="D764" s="79"/>
      <c r="E764" s="80"/>
      <c r="F764" s="81"/>
    </row>
    <row r="765" ht="15.75" customHeight="1">
      <c r="A765" s="77"/>
      <c r="B765" s="78"/>
      <c r="D765" s="79"/>
      <c r="E765" s="80"/>
      <c r="F765" s="81"/>
    </row>
    <row r="766" ht="15.75" customHeight="1">
      <c r="A766" s="77"/>
      <c r="B766" s="78"/>
      <c r="D766" s="79"/>
      <c r="E766" s="80"/>
      <c r="F766" s="81"/>
    </row>
    <row r="767" ht="15.75" customHeight="1">
      <c r="A767" s="77"/>
      <c r="B767" s="78"/>
      <c r="D767" s="79"/>
      <c r="E767" s="80"/>
      <c r="F767" s="81"/>
    </row>
    <row r="768" ht="15.75" customHeight="1">
      <c r="A768" s="77"/>
      <c r="B768" s="78"/>
      <c r="D768" s="79"/>
      <c r="E768" s="80"/>
      <c r="F768" s="81"/>
    </row>
    <row r="769" ht="15.75" customHeight="1">
      <c r="A769" s="77"/>
      <c r="B769" s="78"/>
      <c r="D769" s="79"/>
      <c r="E769" s="80"/>
      <c r="F769" s="81"/>
    </row>
    <row r="770" ht="15.75" customHeight="1">
      <c r="A770" s="77"/>
      <c r="B770" s="78"/>
      <c r="D770" s="79"/>
      <c r="E770" s="80"/>
      <c r="F770" s="81"/>
    </row>
    <row r="771" ht="15.75" customHeight="1">
      <c r="A771" s="77"/>
      <c r="B771" s="78"/>
      <c r="D771" s="79"/>
      <c r="E771" s="80"/>
      <c r="F771" s="81"/>
    </row>
    <row r="772" ht="15.75" customHeight="1">
      <c r="A772" s="77"/>
      <c r="B772" s="78"/>
      <c r="D772" s="79"/>
      <c r="E772" s="80"/>
      <c r="F772" s="81"/>
    </row>
    <row r="773" ht="15.75" customHeight="1">
      <c r="A773" s="77"/>
      <c r="B773" s="78"/>
      <c r="D773" s="79"/>
      <c r="E773" s="80"/>
      <c r="F773" s="81"/>
    </row>
    <row r="774" ht="15.75" customHeight="1">
      <c r="A774" s="77"/>
      <c r="B774" s="78"/>
      <c r="D774" s="79"/>
      <c r="E774" s="80"/>
      <c r="F774" s="81"/>
    </row>
    <row r="775" ht="15.75" customHeight="1">
      <c r="A775" s="77"/>
      <c r="B775" s="78"/>
      <c r="D775" s="79"/>
      <c r="E775" s="80"/>
      <c r="F775" s="81"/>
    </row>
    <row r="776" ht="15.75" customHeight="1">
      <c r="A776" s="77"/>
      <c r="B776" s="78"/>
      <c r="D776" s="79"/>
      <c r="E776" s="80"/>
      <c r="F776" s="81"/>
    </row>
    <row r="777" ht="15.75" customHeight="1">
      <c r="A777" s="77"/>
      <c r="B777" s="78"/>
      <c r="D777" s="79"/>
      <c r="E777" s="80"/>
      <c r="F777" s="81"/>
    </row>
    <row r="778" ht="15.75" customHeight="1">
      <c r="A778" s="77"/>
      <c r="B778" s="78"/>
      <c r="D778" s="79"/>
      <c r="E778" s="80"/>
      <c r="F778" s="81"/>
    </row>
    <row r="779" ht="15.75" customHeight="1">
      <c r="A779" s="77"/>
      <c r="B779" s="78"/>
      <c r="D779" s="79"/>
      <c r="E779" s="80"/>
      <c r="F779" s="81"/>
    </row>
    <row r="780" ht="15.75" customHeight="1">
      <c r="A780" s="77"/>
      <c r="B780" s="78"/>
      <c r="D780" s="79"/>
      <c r="E780" s="80"/>
      <c r="F780" s="81"/>
    </row>
    <row r="781" ht="15.75" customHeight="1">
      <c r="A781" s="77"/>
      <c r="B781" s="78"/>
      <c r="D781" s="79"/>
      <c r="E781" s="80"/>
      <c r="F781" s="81"/>
    </row>
    <row r="782" ht="15.75" customHeight="1">
      <c r="A782" s="77"/>
      <c r="B782" s="78"/>
      <c r="D782" s="79"/>
      <c r="E782" s="80"/>
      <c r="F782" s="81"/>
    </row>
    <row r="783" ht="15.75" customHeight="1">
      <c r="A783" s="77"/>
      <c r="B783" s="78"/>
      <c r="D783" s="79"/>
      <c r="E783" s="80"/>
      <c r="F783" s="81"/>
    </row>
    <row r="784" ht="15.75" customHeight="1">
      <c r="A784" s="77"/>
      <c r="B784" s="78"/>
      <c r="D784" s="79"/>
      <c r="E784" s="80"/>
      <c r="F784" s="81"/>
    </row>
    <row r="785" ht="15.75" customHeight="1">
      <c r="A785" s="77"/>
      <c r="B785" s="78"/>
      <c r="D785" s="79"/>
      <c r="E785" s="80"/>
      <c r="F785" s="81"/>
    </row>
    <row r="786" ht="15.75" customHeight="1">
      <c r="A786" s="77"/>
      <c r="B786" s="78"/>
      <c r="D786" s="79"/>
      <c r="E786" s="80"/>
      <c r="F786" s="81"/>
    </row>
    <row r="787" ht="15.75" customHeight="1">
      <c r="A787" s="77"/>
      <c r="B787" s="78"/>
      <c r="D787" s="79"/>
      <c r="E787" s="80"/>
      <c r="F787" s="81"/>
    </row>
    <row r="788" ht="15.75" customHeight="1">
      <c r="A788" s="77"/>
      <c r="B788" s="78"/>
      <c r="D788" s="79"/>
      <c r="E788" s="80"/>
      <c r="F788" s="81"/>
    </row>
    <row r="789" ht="15.75" customHeight="1">
      <c r="A789" s="77"/>
      <c r="B789" s="78"/>
      <c r="D789" s="79"/>
      <c r="E789" s="80"/>
      <c r="F789" s="81"/>
    </row>
    <row r="790" ht="15.75" customHeight="1">
      <c r="A790" s="77"/>
      <c r="B790" s="78"/>
      <c r="D790" s="79"/>
      <c r="E790" s="80"/>
      <c r="F790" s="81"/>
    </row>
    <row r="791" ht="15.75" customHeight="1">
      <c r="A791" s="77"/>
      <c r="B791" s="78"/>
      <c r="D791" s="79"/>
      <c r="E791" s="80"/>
      <c r="F791" s="81"/>
    </row>
    <row r="792" ht="15.75" customHeight="1">
      <c r="A792" s="77"/>
      <c r="B792" s="78"/>
      <c r="D792" s="79"/>
      <c r="E792" s="80"/>
      <c r="F792" s="81"/>
    </row>
    <row r="793" ht="15.75" customHeight="1">
      <c r="A793" s="77"/>
      <c r="B793" s="78"/>
      <c r="D793" s="79"/>
      <c r="E793" s="80"/>
      <c r="F793" s="81"/>
    </row>
    <row r="794" ht="15.75" customHeight="1">
      <c r="A794" s="77"/>
      <c r="B794" s="78"/>
      <c r="D794" s="79"/>
      <c r="E794" s="80"/>
      <c r="F794" s="81"/>
    </row>
    <row r="795" ht="15.75" customHeight="1">
      <c r="A795" s="77"/>
      <c r="B795" s="78"/>
      <c r="D795" s="79"/>
      <c r="E795" s="80"/>
      <c r="F795" s="81"/>
    </row>
    <row r="796" ht="15.75" customHeight="1">
      <c r="A796" s="77"/>
      <c r="B796" s="78"/>
      <c r="D796" s="79"/>
      <c r="E796" s="80"/>
      <c r="F796" s="81"/>
    </row>
    <row r="797" ht="15.75" customHeight="1">
      <c r="A797" s="77"/>
      <c r="B797" s="78"/>
      <c r="D797" s="79"/>
      <c r="E797" s="80"/>
      <c r="F797" s="81"/>
    </row>
    <row r="798" ht="15.75" customHeight="1">
      <c r="A798" s="77"/>
      <c r="B798" s="78"/>
      <c r="D798" s="79"/>
      <c r="E798" s="80"/>
      <c r="F798" s="81"/>
    </row>
    <row r="799" ht="15.75" customHeight="1">
      <c r="A799" s="77"/>
      <c r="B799" s="78"/>
      <c r="D799" s="79"/>
      <c r="E799" s="80"/>
      <c r="F799" s="81"/>
    </row>
    <row r="800" ht="15.75" customHeight="1">
      <c r="A800" s="77"/>
      <c r="B800" s="78"/>
      <c r="D800" s="79"/>
      <c r="E800" s="80"/>
      <c r="F800" s="81"/>
    </row>
    <row r="801" ht="15.75" customHeight="1">
      <c r="A801" s="77"/>
      <c r="B801" s="78"/>
      <c r="D801" s="79"/>
      <c r="E801" s="80"/>
      <c r="F801" s="81"/>
    </row>
    <row r="802" ht="15.75" customHeight="1">
      <c r="A802" s="77"/>
      <c r="B802" s="78"/>
      <c r="D802" s="79"/>
      <c r="E802" s="80"/>
      <c r="F802" s="81"/>
    </row>
    <row r="803" ht="15.75" customHeight="1">
      <c r="A803" s="77"/>
      <c r="B803" s="78"/>
      <c r="D803" s="79"/>
      <c r="E803" s="80"/>
      <c r="F803" s="81"/>
    </row>
    <row r="804" ht="15.75" customHeight="1">
      <c r="A804" s="77"/>
      <c r="B804" s="78"/>
      <c r="D804" s="79"/>
      <c r="E804" s="80"/>
      <c r="F804" s="81"/>
    </row>
    <row r="805" ht="15.75" customHeight="1">
      <c r="A805" s="77"/>
      <c r="B805" s="78"/>
      <c r="D805" s="79"/>
      <c r="E805" s="80"/>
      <c r="F805" s="81"/>
    </row>
    <row r="806" ht="15.75" customHeight="1">
      <c r="A806" s="77"/>
      <c r="B806" s="78"/>
      <c r="D806" s="79"/>
      <c r="E806" s="80"/>
      <c r="F806" s="81"/>
    </row>
    <row r="807" ht="15.75" customHeight="1">
      <c r="A807" s="77"/>
      <c r="B807" s="78"/>
      <c r="D807" s="79"/>
      <c r="E807" s="80"/>
      <c r="F807" s="81"/>
    </row>
    <row r="808" ht="15.75" customHeight="1">
      <c r="A808" s="77"/>
      <c r="B808" s="78"/>
      <c r="D808" s="79"/>
      <c r="E808" s="80"/>
      <c r="F808" s="81"/>
    </row>
    <row r="809" ht="15.75" customHeight="1">
      <c r="A809" s="77"/>
      <c r="B809" s="78"/>
      <c r="D809" s="79"/>
      <c r="E809" s="80"/>
      <c r="F809" s="81"/>
    </row>
    <row r="810" ht="15.75" customHeight="1">
      <c r="A810" s="77"/>
      <c r="B810" s="78"/>
      <c r="D810" s="79"/>
      <c r="E810" s="80"/>
      <c r="F810" s="81"/>
    </row>
    <row r="811" ht="15.75" customHeight="1">
      <c r="A811" s="77"/>
      <c r="B811" s="78"/>
      <c r="D811" s="79"/>
      <c r="E811" s="80"/>
      <c r="F811" s="81"/>
    </row>
    <row r="812" ht="15.75" customHeight="1">
      <c r="A812" s="77"/>
      <c r="B812" s="78"/>
      <c r="D812" s="79"/>
      <c r="E812" s="80"/>
      <c r="F812" s="81"/>
    </row>
    <row r="813" ht="15.75" customHeight="1">
      <c r="A813" s="77"/>
      <c r="B813" s="78"/>
      <c r="D813" s="79"/>
      <c r="E813" s="80"/>
      <c r="F813" s="81"/>
    </row>
    <row r="814" ht="15.75" customHeight="1">
      <c r="A814" s="77"/>
      <c r="B814" s="78"/>
      <c r="D814" s="79"/>
      <c r="E814" s="80"/>
      <c r="F814" s="81"/>
    </row>
    <row r="815" ht="15.75" customHeight="1">
      <c r="A815" s="77"/>
      <c r="B815" s="78"/>
      <c r="D815" s="79"/>
      <c r="E815" s="80"/>
      <c r="F815" s="81"/>
    </row>
    <row r="816" ht="15.75" customHeight="1">
      <c r="A816" s="77"/>
      <c r="B816" s="78"/>
      <c r="D816" s="79"/>
      <c r="E816" s="80"/>
      <c r="F816" s="81"/>
    </row>
    <row r="817" ht="15.75" customHeight="1">
      <c r="A817" s="77"/>
      <c r="B817" s="78"/>
      <c r="D817" s="79"/>
      <c r="E817" s="80"/>
      <c r="F817" s="81"/>
    </row>
    <row r="818" ht="15.75" customHeight="1">
      <c r="A818" s="77"/>
      <c r="B818" s="78"/>
      <c r="D818" s="79"/>
      <c r="E818" s="80"/>
      <c r="F818" s="81"/>
    </row>
    <row r="819" ht="15.75" customHeight="1">
      <c r="A819" s="77"/>
      <c r="B819" s="78"/>
      <c r="D819" s="79"/>
      <c r="E819" s="80"/>
      <c r="F819" s="81"/>
    </row>
    <row r="820" ht="15.75" customHeight="1">
      <c r="A820" s="77"/>
      <c r="B820" s="78"/>
      <c r="D820" s="79"/>
      <c r="E820" s="80"/>
      <c r="F820" s="81"/>
    </row>
    <row r="821" ht="15.75" customHeight="1">
      <c r="A821" s="77"/>
      <c r="B821" s="78"/>
      <c r="D821" s="79"/>
      <c r="E821" s="80"/>
      <c r="F821" s="81"/>
    </row>
    <row r="822" ht="15.75" customHeight="1">
      <c r="A822" s="77"/>
      <c r="B822" s="78"/>
      <c r="D822" s="79"/>
      <c r="E822" s="80"/>
      <c r="F822" s="81"/>
    </row>
    <row r="823" ht="15.75" customHeight="1">
      <c r="A823" s="77"/>
      <c r="B823" s="78"/>
      <c r="D823" s="79"/>
      <c r="E823" s="80"/>
      <c r="F823" s="81"/>
    </row>
    <row r="824" ht="15.75" customHeight="1">
      <c r="A824" s="77"/>
      <c r="B824" s="78"/>
      <c r="D824" s="79"/>
      <c r="E824" s="80"/>
      <c r="F824" s="81"/>
    </row>
    <row r="825" ht="15.75" customHeight="1">
      <c r="A825" s="77"/>
      <c r="B825" s="78"/>
      <c r="D825" s="79"/>
      <c r="E825" s="80"/>
      <c r="F825" s="81"/>
    </row>
    <row r="826" ht="15.75" customHeight="1">
      <c r="A826" s="77"/>
      <c r="B826" s="78"/>
      <c r="D826" s="79"/>
      <c r="E826" s="80"/>
      <c r="F826" s="81"/>
    </row>
    <row r="827" ht="15.75" customHeight="1">
      <c r="A827" s="77"/>
      <c r="B827" s="78"/>
      <c r="D827" s="79"/>
      <c r="E827" s="80"/>
      <c r="F827" s="81"/>
    </row>
    <row r="828" ht="15.75" customHeight="1">
      <c r="A828" s="77"/>
      <c r="B828" s="78"/>
      <c r="D828" s="79"/>
      <c r="E828" s="80"/>
      <c r="F828" s="81"/>
    </row>
    <row r="829" ht="15.75" customHeight="1">
      <c r="A829" s="77"/>
      <c r="B829" s="78"/>
      <c r="D829" s="79"/>
      <c r="E829" s="80"/>
      <c r="F829" s="81"/>
    </row>
    <row r="830" ht="15.75" customHeight="1">
      <c r="A830" s="77"/>
      <c r="B830" s="78"/>
      <c r="D830" s="79"/>
      <c r="E830" s="80"/>
      <c r="F830" s="81"/>
    </row>
    <row r="831" ht="15.75" customHeight="1">
      <c r="A831" s="77"/>
      <c r="B831" s="78"/>
      <c r="D831" s="79"/>
      <c r="E831" s="80"/>
      <c r="F831" s="81"/>
    </row>
    <row r="832" ht="15.75" customHeight="1">
      <c r="A832" s="77"/>
      <c r="B832" s="78"/>
      <c r="D832" s="79"/>
      <c r="E832" s="80"/>
      <c r="F832" s="81"/>
    </row>
    <row r="833" ht="15.75" customHeight="1">
      <c r="A833" s="77"/>
      <c r="B833" s="78"/>
      <c r="D833" s="79"/>
      <c r="E833" s="80"/>
      <c r="F833" s="81"/>
    </row>
    <row r="834" ht="15.75" customHeight="1">
      <c r="A834" s="77"/>
      <c r="B834" s="78"/>
      <c r="D834" s="79"/>
      <c r="E834" s="80"/>
      <c r="F834" s="81"/>
    </row>
    <row r="835" ht="15.75" customHeight="1">
      <c r="A835" s="77"/>
      <c r="B835" s="78"/>
      <c r="D835" s="79"/>
      <c r="E835" s="80"/>
      <c r="F835" s="81"/>
    </row>
    <row r="836" ht="15.75" customHeight="1">
      <c r="A836" s="77"/>
      <c r="B836" s="78"/>
      <c r="D836" s="79"/>
      <c r="E836" s="80"/>
      <c r="F836" s="81"/>
    </row>
    <row r="837" ht="15.75" customHeight="1">
      <c r="A837" s="77"/>
      <c r="B837" s="78"/>
      <c r="D837" s="79"/>
      <c r="E837" s="80"/>
      <c r="F837" s="81"/>
    </row>
    <row r="838" ht="15.75" customHeight="1">
      <c r="A838" s="77"/>
      <c r="B838" s="78"/>
      <c r="D838" s="79"/>
      <c r="E838" s="80"/>
      <c r="F838" s="81"/>
    </row>
    <row r="839" ht="15.75" customHeight="1">
      <c r="A839" s="77"/>
      <c r="B839" s="78"/>
      <c r="D839" s="79"/>
      <c r="E839" s="80"/>
      <c r="F839" s="81"/>
    </row>
    <row r="840" ht="15.75" customHeight="1">
      <c r="A840" s="77"/>
      <c r="B840" s="78"/>
      <c r="D840" s="79"/>
      <c r="E840" s="80"/>
      <c r="F840" s="81"/>
    </row>
    <row r="841" ht="15.75" customHeight="1">
      <c r="A841" s="77"/>
      <c r="B841" s="78"/>
      <c r="D841" s="79"/>
      <c r="E841" s="80"/>
      <c r="F841" s="81"/>
    </row>
    <row r="842" ht="15.75" customHeight="1">
      <c r="A842" s="77"/>
      <c r="B842" s="78"/>
      <c r="D842" s="79"/>
      <c r="E842" s="80"/>
      <c r="F842" s="81"/>
    </row>
    <row r="843" ht="15.75" customHeight="1">
      <c r="A843" s="77"/>
      <c r="B843" s="78"/>
      <c r="D843" s="79"/>
      <c r="E843" s="80"/>
      <c r="F843" s="81"/>
    </row>
    <row r="844" ht="15.75" customHeight="1">
      <c r="A844" s="77"/>
      <c r="B844" s="78"/>
      <c r="D844" s="79"/>
      <c r="E844" s="80"/>
      <c r="F844" s="81"/>
    </row>
    <row r="845" ht="15.75" customHeight="1">
      <c r="A845" s="77"/>
      <c r="B845" s="78"/>
      <c r="D845" s="79"/>
      <c r="E845" s="80"/>
      <c r="F845" s="81"/>
    </row>
    <row r="846" ht="15.75" customHeight="1">
      <c r="A846" s="77"/>
      <c r="B846" s="78"/>
      <c r="D846" s="79"/>
      <c r="E846" s="80"/>
      <c r="F846" s="81"/>
    </row>
    <row r="847" ht="15.75" customHeight="1">
      <c r="A847" s="77"/>
      <c r="B847" s="78"/>
      <c r="D847" s="79"/>
      <c r="E847" s="80"/>
      <c r="F847" s="81"/>
    </row>
    <row r="848" ht="15.75" customHeight="1">
      <c r="A848" s="77"/>
      <c r="B848" s="78"/>
      <c r="D848" s="79"/>
      <c r="E848" s="80"/>
      <c r="F848" s="81"/>
    </row>
    <row r="849" ht="15.75" customHeight="1">
      <c r="A849" s="77"/>
      <c r="B849" s="78"/>
      <c r="D849" s="79"/>
      <c r="E849" s="80"/>
      <c r="F849" s="81"/>
    </row>
    <row r="850" ht="15.75" customHeight="1">
      <c r="A850" s="77"/>
      <c r="B850" s="78"/>
      <c r="D850" s="79"/>
      <c r="E850" s="80"/>
      <c r="F850" s="81"/>
    </row>
    <row r="851" ht="15.75" customHeight="1">
      <c r="A851" s="77"/>
      <c r="B851" s="78"/>
      <c r="D851" s="79"/>
      <c r="E851" s="80"/>
      <c r="F851" s="81"/>
    </row>
    <row r="852" ht="15.75" customHeight="1">
      <c r="A852" s="77"/>
      <c r="B852" s="78"/>
      <c r="D852" s="79"/>
      <c r="E852" s="80"/>
      <c r="F852" s="81"/>
    </row>
    <row r="853" ht="15.75" customHeight="1">
      <c r="A853" s="77"/>
      <c r="B853" s="78"/>
      <c r="D853" s="79"/>
      <c r="E853" s="80"/>
      <c r="F853" s="81"/>
    </row>
    <row r="854" ht="15.75" customHeight="1">
      <c r="A854" s="77"/>
      <c r="B854" s="78"/>
      <c r="D854" s="79"/>
      <c r="E854" s="80"/>
      <c r="F854" s="81"/>
    </row>
    <row r="855" ht="15.75" customHeight="1">
      <c r="A855" s="77"/>
      <c r="B855" s="78"/>
      <c r="D855" s="79"/>
      <c r="E855" s="80"/>
      <c r="F855" s="81"/>
    </row>
    <row r="856" ht="15.75" customHeight="1">
      <c r="A856" s="77"/>
      <c r="B856" s="78"/>
      <c r="D856" s="79"/>
      <c r="E856" s="80"/>
      <c r="F856" s="81"/>
    </row>
    <row r="857" ht="15.75" customHeight="1">
      <c r="A857" s="77"/>
      <c r="B857" s="78"/>
      <c r="D857" s="79"/>
      <c r="E857" s="80"/>
      <c r="F857" s="81"/>
    </row>
    <row r="858" ht="15.75" customHeight="1">
      <c r="A858" s="77"/>
      <c r="B858" s="78"/>
      <c r="D858" s="79"/>
      <c r="E858" s="80"/>
      <c r="F858" s="81"/>
    </row>
    <row r="859" ht="15.75" customHeight="1">
      <c r="A859" s="77"/>
      <c r="B859" s="78"/>
      <c r="D859" s="79"/>
      <c r="E859" s="80"/>
      <c r="F859" s="81"/>
    </row>
    <row r="860" ht="15.75" customHeight="1">
      <c r="A860" s="77"/>
      <c r="B860" s="78"/>
      <c r="D860" s="79"/>
      <c r="E860" s="80"/>
      <c r="F860" s="81"/>
    </row>
    <row r="861" ht="15.75" customHeight="1">
      <c r="A861" s="77"/>
      <c r="B861" s="78"/>
      <c r="D861" s="79"/>
      <c r="E861" s="80"/>
      <c r="F861" s="81"/>
    </row>
    <row r="862" ht="15.75" customHeight="1">
      <c r="A862" s="77"/>
      <c r="B862" s="78"/>
      <c r="D862" s="79"/>
      <c r="E862" s="80"/>
      <c r="F862" s="81"/>
    </row>
    <row r="863" ht="15.75" customHeight="1">
      <c r="A863" s="77"/>
      <c r="B863" s="78"/>
      <c r="D863" s="79"/>
      <c r="E863" s="80"/>
      <c r="F863" s="81"/>
    </row>
    <row r="864" ht="15.75" customHeight="1">
      <c r="A864" s="77"/>
      <c r="B864" s="78"/>
      <c r="D864" s="79"/>
      <c r="E864" s="80"/>
      <c r="F864" s="81"/>
    </row>
    <row r="865" ht="15.75" customHeight="1">
      <c r="A865" s="77"/>
      <c r="B865" s="78"/>
      <c r="D865" s="79"/>
      <c r="E865" s="80"/>
      <c r="F865" s="81"/>
    </row>
    <row r="866" ht="15.75" customHeight="1">
      <c r="A866" s="77"/>
      <c r="B866" s="78"/>
      <c r="D866" s="79"/>
      <c r="E866" s="80"/>
      <c r="F866" s="81"/>
    </row>
    <row r="867" ht="15.75" customHeight="1">
      <c r="A867" s="77"/>
      <c r="B867" s="78"/>
      <c r="D867" s="79"/>
      <c r="E867" s="80"/>
      <c r="F867" s="81"/>
    </row>
    <row r="868" ht="15.75" customHeight="1">
      <c r="A868" s="77"/>
      <c r="B868" s="78"/>
      <c r="D868" s="79"/>
      <c r="E868" s="80"/>
      <c r="F868" s="81"/>
    </row>
    <row r="869" ht="15.75" customHeight="1">
      <c r="A869" s="77"/>
      <c r="B869" s="78"/>
      <c r="D869" s="79"/>
      <c r="E869" s="80"/>
      <c r="F869" s="81"/>
    </row>
    <row r="870" ht="15.75" customHeight="1">
      <c r="A870" s="77"/>
      <c r="B870" s="78"/>
      <c r="D870" s="79"/>
      <c r="E870" s="80"/>
      <c r="F870" s="81"/>
    </row>
    <row r="871" ht="15.75" customHeight="1">
      <c r="A871" s="77"/>
      <c r="B871" s="78"/>
      <c r="D871" s="79"/>
      <c r="E871" s="80"/>
      <c r="F871" s="81"/>
    </row>
    <row r="872" ht="15.75" customHeight="1">
      <c r="A872" s="77"/>
      <c r="B872" s="78"/>
      <c r="D872" s="79"/>
      <c r="E872" s="80"/>
      <c r="F872" s="81"/>
    </row>
    <row r="873" ht="15.75" customHeight="1">
      <c r="A873" s="77"/>
      <c r="B873" s="78"/>
      <c r="D873" s="79"/>
      <c r="E873" s="80"/>
      <c r="F873" s="81"/>
    </row>
    <row r="874" ht="15.75" customHeight="1">
      <c r="A874" s="77"/>
      <c r="B874" s="78"/>
      <c r="D874" s="79"/>
      <c r="E874" s="80"/>
      <c r="F874" s="81"/>
    </row>
    <row r="875" ht="15.75" customHeight="1">
      <c r="A875" s="77"/>
      <c r="B875" s="78"/>
      <c r="D875" s="79"/>
      <c r="E875" s="80"/>
      <c r="F875" s="81"/>
    </row>
    <row r="876" ht="15.75" customHeight="1">
      <c r="A876" s="77"/>
      <c r="B876" s="78"/>
      <c r="D876" s="79"/>
      <c r="E876" s="80"/>
      <c r="F876" s="81"/>
    </row>
    <row r="877" ht="15.75" customHeight="1">
      <c r="A877" s="77"/>
      <c r="B877" s="78"/>
      <c r="D877" s="79"/>
      <c r="E877" s="80"/>
      <c r="F877" s="81"/>
    </row>
    <row r="878" ht="15.75" customHeight="1">
      <c r="A878" s="77"/>
      <c r="B878" s="78"/>
      <c r="D878" s="79"/>
      <c r="E878" s="80"/>
      <c r="F878" s="81"/>
    </row>
    <row r="879" ht="15.75" customHeight="1">
      <c r="A879" s="77"/>
      <c r="B879" s="78"/>
      <c r="D879" s="79"/>
      <c r="E879" s="80"/>
      <c r="F879" s="81"/>
    </row>
    <row r="880" ht="15.75" customHeight="1">
      <c r="A880" s="77"/>
      <c r="B880" s="78"/>
      <c r="D880" s="79"/>
      <c r="E880" s="80"/>
      <c r="F880" s="81"/>
    </row>
    <row r="881" ht="15.75" customHeight="1">
      <c r="A881" s="77"/>
      <c r="B881" s="78"/>
      <c r="D881" s="79"/>
      <c r="E881" s="80"/>
      <c r="F881" s="81"/>
    </row>
    <row r="882" ht="15.75" customHeight="1">
      <c r="A882" s="77"/>
      <c r="B882" s="78"/>
      <c r="D882" s="79"/>
      <c r="E882" s="80"/>
      <c r="F882" s="81"/>
    </row>
    <row r="883" ht="15.75" customHeight="1">
      <c r="A883" s="77"/>
      <c r="B883" s="78"/>
      <c r="D883" s="79"/>
      <c r="E883" s="80"/>
      <c r="F883" s="81"/>
    </row>
    <row r="884" ht="15.75" customHeight="1">
      <c r="A884" s="77"/>
      <c r="B884" s="78"/>
      <c r="D884" s="79"/>
      <c r="E884" s="80"/>
      <c r="F884" s="81"/>
    </row>
    <row r="885" ht="15.75" customHeight="1">
      <c r="A885" s="77"/>
      <c r="B885" s="78"/>
      <c r="D885" s="79"/>
      <c r="E885" s="80"/>
      <c r="F885" s="81"/>
    </row>
    <row r="886" ht="15.75" customHeight="1">
      <c r="A886" s="77"/>
      <c r="B886" s="78"/>
      <c r="D886" s="79"/>
      <c r="E886" s="80"/>
      <c r="F886" s="81"/>
    </row>
    <row r="887" ht="15.75" customHeight="1">
      <c r="A887" s="77"/>
      <c r="B887" s="78"/>
      <c r="D887" s="79"/>
      <c r="E887" s="80"/>
      <c r="F887" s="81"/>
    </row>
    <row r="888" ht="15.75" customHeight="1">
      <c r="A888" s="77"/>
      <c r="B888" s="78"/>
      <c r="D888" s="79"/>
      <c r="E888" s="80"/>
      <c r="F888" s="81"/>
    </row>
    <row r="889" ht="15.75" customHeight="1">
      <c r="A889" s="77"/>
      <c r="B889" s="78"/>
      <c r="D889" s="79"/>
      <c r="E889" s="80"/>
      <c r="F889" s="81"/>
    </row>
    <row r="890" ht="15.75" customHeight="1">
      <c r="A890" s="77"/>
      <c r="B890" s="78"/>
      <c r="D890" s="79"/>
      <c r="E890" s="80"/>
      <c r="F890" s="81"/>
    </row>
    <row r="891" ht="15.75" customHeight="1">
      <c r="A891" s="77"/>
      <c r="B891" s="78"/>
      <c r="D891" s="79"/>
      <c r="E891" s="80"/>
      <c r="F891" s="81"/>
    </row>
    <row r="892" ht="15.75" customHeight="1">
      <c r="A892" s="77"/>
      <c r="B892" s="78"/>
      <c r="D892" s="79"/>
      <c r="E892" s="80"/>
      <c r="F892" s="81"/>
    </row>
    <row r="893" ht="15.75" customHeight="1">
      <c r="A893" s="77"/>
      <c r="B893" s="78"/>
      <c r="D893" s="79"/>
      <c r="E893" s="80"/>
      <c r="F893" s="81"/>
    </row>
    <row r="894" ht="15.75" customHeight="1">
      <c r="A894" s="77"/>
      <c r="B894" s="78"/>
      <c r="D894" s="79"/>
      <c r="E894" s="80"/>
      <c r="F894" s="81"/>
    </row>
    <row r="895" ht="15.75" customHeight="1">
      <c r="A895" s="77"/>
      <c r="B895" s="78"/>
      <c r="D895" s="79"/>
      <c r="E895" s="80"/>
      <c r="F895" s="81"/>
    </row>
    <row r="896" ht="15.75" customHeight="1">
      <c r="A896" s="77"/>
      <c r="B896" s="78"/>
      <c r="D896" s="79"/>
      <c r="E896" s="80"/>
      <c r="F896" s="81"/>
    </row>
    <row r="897" ht="15.75" customHeight="1">
      <c r="A897" s="77"/>
      <c r="B897" s="78"/>
      <c r="D897" s="79"/>
      <c r="E897" s="80"/>
      <c r="F897" s="81"/>
    </row>
    <row r="898" ht="15.75" customHeight="1">
      <c r="A898" s="77"/>
      <c r="B898" s="78"/>
      <c r="D898" s="79"/>
      <c r="E898" s="80"/>
      <c r="F898" s="81"/>
    </row>
    <row r="899" ht="15.75" customHeight="1">
      <c r="A899" s="77"/>
      <c r="B899" s="78"/>
      <c r="D899" s="79"/>
      <c r="E899" s="80"/>
      <c r="F899" s="81"/>
    </row>
    <row r="900" ht="15.75" customHeight="1">
      <c r="A900" s="77"/>
      <c r="B900" s="78"/>
      <c r="D900" s="79"/>
      <c r="E900" s="80"/>
      <c r="F900" s="81"/>
    </row>
    <row r="901" ht="15.75" customHeight="1">
      <c r="A901" s="77"/>
      <c r="B901" s="78"/>
      <c r="D901" s="79"/>
      <c r="E901" s="80"/>
      <c r="F901" s="81"/>
    </row>
    <row r="902" ht="15.75" customHeight="1">
      <c r="A902" s="77"/>
      <c r="B902" s="78"/>
      <c r="D902" s="79"/>
      <c r="E902" s="80"/>
      <c r="F902" s="81"/>
    </row>
    <row r="903" ht="15.75" customHeight="1">
      <c r="A903" s="77"/>
      <c r="B903" s="78"/>
      <c r="D903" s="79"/>
      <c r="E903" s="80"/>
      <c r="F903" s="81"/>
    </row>
    <row r="904" ht="15.75" customHeight="1">
      <c r="A904" s="77"/>
      <c r="B904" s="78"/>
      <c r="D904" s="79"/>
      <c r="E904" s="80"/>
      <c r="F904" s="81"/>
    </row>
    <row r="905" ht="15.75" customHeight="1">
      <c r="A905" s="77"/>
      <c r="B905" s="78"/>
      <c r="D905" s="79"/>
      <c r="E905" s="80"/>
      <c r="F905" s="81"/>
    </row>
    <row r="906" ht="15.75" customHeight="1">
      <c r="A906" s="77"/>
      <c r="B906" s="78"/>
      <c r="D906" s="79"/>
      <c r="E906" s="80"/>
      <c r="F906" s="81"/>
    </row>
    <row r="907" ht="15.75" customHeight="1">
      <c r="A907" s="77"/>
      <c r="B907" s="78"/>
      <c r="D907" s="79"/>
      <c r="E907" s="80"/>
      <c r="F907" s="81"/>
    </row>
    <row r="908" ht="15.75" customHeight="1">
      <c r="A908" s="77"/>
      <c r="B908" s="78"/>
      <c r="D908" s="79"/>
      <c r="E908" s="80"/>
      <c r="F908" s="81"/>
    </row>
    <row r="909" ht="15.75" customHeight="1">
      <c r="A909" s="77"/>
      <c r="B909" s="78"/>
      <c r="D909" s="79"/>
      <c r="E909" s="80"/>
      <c r="F909" s="81"/>
    </row>
    <row r="910" ht="15.75" customHeight="1">
      <c r="A910" s="77"/>
      <c r="B910" s="78"/>
      <c r="D910" s="79"/>
      <c r="E910" s="80"/>
      <c r="F910" s="81"/>
    </row>
    <row r="911" ht="15.75" customHeight="1">
      <c r="A911" s="77"/>
      <c r="B911" s="78"/>
      <c r="D911" s="79"/>
      <c r="E911" s="80"/>
      <c r="F911" s="81"/>
    </row>
    <row r="912" ht="15.75" customHeight="1">
      <c r="A912" s="77"/>
      <c r="B912" s="78"/>
      <c r="D912" s="79"/>
      <c r="E912" s="80"/>
      <c r="F912" s="81"/>
    </row>
    <row r="913" ht="15.75" customHeight="1">
      <c r="A913" s="77"/>
      <c r="B913" s="78"/>
      <c r="D913" s="79"/>
      <c r="E913" s="80"/>
      <c r="F913" s="81"/>
    </row>
    <row r="914" ht="15.75" customHeight="1">
      <c r="A914" s="77"/>
      <c r="B914" s="78"/>
      <c r="D914" s="79"/>
      <c r="E914" s="80"/>
      <c r="F914" s="81"/>
    </row>
    <row r="915" ht="15.75" customHeight="1">
      <c r="A915" s="77"/>
      <c r="B915" s="78"/>
      <c r="D915" s="79"/>
      <c r="E915" s="80"/>
      <c r="F915" s="81"/>
    </row>
    <row r="916" ht="15.75" customHeight="1">
      <c r="A916" s="77"/>
      <c r="B916" s="78"/>
      <c r="D916" s="79"/>
      <c r="E916" s="80"/>
      <c r="F916" s="81"/>
    </row>
    <row r="917" ht="15.75" customHeight="1">
      <c r="A917" s="77"/>
      <c r="B917" s="78"/>
      <c r="D917" s="79"/>
      <c r="E917" s="80"/>
      <c r="F917" s="81"/>
    </row>
    <row r="918" ht="15.75" customHeight="1">
      <c r="A918" s="77"/>
      <c r="B918" s="78"/>
      <c r="D918" s="79"/>
      <c r="E918" s="80"/>
      <c r="F918" s="81"/>
    </row>
    <row r="919" ht="15.75" customHeight="1">
      <c r="A919" s="77"/>
      <c r="B919" s="78"/>
      <c r="D919" s="79"/>
      <c r="E919" s="80"/>
      <c r="F919" s="81"/>
    </row>
    <row r="920" ht="15.75" customHeight="1">
      <c r="A920" s="77"/>
      <c r="B920" s="78"/>
      <c r="D920" s="79"/>
      <c r="E920" s="80"/>
      <c r="F920" s="81"/>
    </row>
    <row r="921" ht="15.75" customHeight="1">
      <c r="A921" s="77"/>
      <c r="B921" s="78"/>
      <c r="D921" s="79"/>
      <c r="E921" s="80"/>
      <c r="F921" s="81"/>
    </row>
    <row r="922" ht="15.75" customHeight="1">
      <c r="A922" s="77"/>
      <c r="B922" s="78"/>
      <c r="D922" s="79"/>
      <c r="E922" s="80"/>
      <c r="F922" s="81"/>
    </row>
    <row r="923" ht="15.75" customHeight="1">
      <c r="A923" s="77"/>
      <c r="B923" s="78"/>
      <c r="D923" s="79"/>
      <c r="E923" s="80"/>
      <c r="F923" s="81"/>
    </row>
    <row r="924" ht="15.75" customHeight="1">
      <c r="A924" s="77"/>
      <c r="B924" s="78"/>
      <c r="D924" s="79"/>
      <c r="E924" s="80"/>
      <c r="F924" s="81"/>
    </row>
    <row r="925" ht="15.75" customHeight="1">
      <c r="A925" s="77"/>
      <c r="B925" s="78"/>
      <c r="D925" s="79"/>
      <c r="E925" s="80"/>
      <c r="F925" s="81"/>
    </row>
    <row r="926" ht="15.75" customHeight="1">
      <c r="A926" s="77"/>
      <c r="B926" s="78"/>
      <c r="D926" s="79"/>
      <c r="E926" s="80"/>
      <c r="F926" s="81"/>
    </row>
    <row r="927" ht="15.75" customHeight="1">
      <c r="A927" s="77"/>
      <c r="B927" s="78"/>
      <c r="D927" s="79"/>
      <c r="E927" s="80"/>
      <c r="F927" s="81"/>
    </row>
    <row r="928" ht="15.75" customHeight="1">
      <c r="A928" s="77"/>
      <c r="B928" s="78"/>
      <c r="D928" s="79"/>
      <c r="E928" s="80"/>
      <c r="F928" s="81"/>
    </row>
    <row r="929" ht="15.75" customHeight="1">
      <c r="A929" s="77"/>
      <c r="B929" s="78"/>
      <c r="D929" s="79"/>
      <c r="E929" s="80"/>
      <c r="F929" s="81"/>
    </row>
    <row r="930" ht="15.75" customHeight="1">
      <c r="A930" s="77"/>
      <c r="B930" s="78"/>
      <c r="D930" s="79"/>
      <c r="E930" s="80"/>
      <c r="F930" s="81"/>
    </row>
    <row r="931" ht="15.75" customHeight="1">
      <c r="A931" s="77"/>
      <c r="B931" s="78"/>
      <c r="D931" s="79"/>
      <c r="E931" s="80"/>
      <c r="F931" s="81"/>
    </row>
    <row r="932" ht="15.75" customHeight="1">
      <c r="A932" s="77"/>
      <c r="B932" s="78"/>
      <c r="D932" s="79"/>
      <c r="E932" s="80"/>
      <c r="F932" s="81"/>
    </row>
    <row r="933" ht="15.75" customHeight="1">
      <c r="A933" s="77"/>
      <c r="B933" s="78"/>
      <c r="D933" s="79"/>
      <c r="E933" s="80"/>
      <c r="F933" s="81"/>
    </row>
    <row r="934" ht="15.75" customHeight="1">
      <c r="A934" s="77"/>
      <c r="B934" s="78"/>
      <c r="D934" s="79"/>
      <c r="E934" s="80"/>
      <c r="F934" s="81"/>
    </row>
    <row r="935" ht="15.75" customHeight="1">
      <c r="A935" s="77"/>
      <c r="B935" s="78"/>
      <c r="D935" s="79"/>
      <c r="E935" s="80"/>
      <c r="F935" s="81"/>
    </row>
    <row r="936" ht="15.75" customHeight="1">
      <c r="A936" s="77"/>
      <c r="B936" s="78"/>
      <c r="D936" s="79"/>
      <c r="E936" s="80"/>
      <c r="F936" s="81"/>
    </row>
    <row r="937" ht="15.75" customHeight="1">
      <c r="A937" s="77"/>
      <c r="B937" s="78"/>
      <c r="D937" s="79"/>
      <c r="E937" s="80"/>
      <c r="F937" s="81"/>
    </row>
    <row r="938" ht="15.75" customHeight="1">
      <c r="A938" s="77"/>
      <c r="B938" s="78"/>
      <c r="D938" s="79"/>
      <c r="E938" s="80"/>
      <c r="F938" s="81"/>
    </row>
    <row r="939" ht="15.75" customHeight="1">
      <c r="A939" s="77"/>
      <c r="B939" s="78"/>
      <c r="D939" s="79"/>
      <c r="E939" s="80"/>
      <c r="F939" s="81"/>
    </row>
    <row r="940" ht="15.75" customHeight="1">
      <c r="A940" s="77"/>
      <c r="B940" s="78"/>
      <c r="D940" s="79"/>
      <c r="E940" s="80"/>
      <c r="F940" s="81"/>
    </row>
    <row r="941" ht="15.75" customHeight="1">
      <c r="A941" s="77"/>
      <c r="B941" s="78"/>
      <c r="D941" s="79"/>
      <c r="E941" s="80"/>
      <c r="F941" s="81"/>
    </row>
    <row r="942" ht="15.75" customHeight="1">
      <c r="A942" s="77"/>
      <c r="B942" s="78"/>
      <c r="D942" s="79"/>
      <c r="E942" s="80"/>
      <c r="F942" s="81"/>
    </row>
    <row r="943" ht="15.75" customHeight="1">
      <c r="A943" s="77"/>
      <c r="B943" s="78"/>
      <c r="D943" s="79"/>
      <c r="E943" s="80"/>
      <c r="F943" s="81"/>
    </row>
    <row r="944" ht="15.75" customHeight="1">
      <c r="A944" s="77"/>
      <c r="B944" s="78"/>
      <c r="D944" s="79"/>
      <c r="E944" s="80"/>
      <c r="F944" s="81"/>
    </row>
    <row r="945" ht="15.75" customHeight="1">
      <c r="A945" s="77"/>
      <c r="B945" s="78"/>
      <c r="D945" s="79"/>
      <c r="E945" s="80"/>
      <c r="F945" s="81"/>
    </row>
    <row r="946" ht="15.75" customHeight="1">
      <c r="A946" s="77"/>
      <c r="B946" s="78"/>
      <c r="D946" s="79"/>
      <c r="E946" s="80"/>
      <c r="F946" s="81"/>
    </row>
    <row r="947" ht="15.75" customHeight="1">
      <c r="A947" s="77"/>
      <c r="B947" s="78"/>
      <c r="D947" s="79"/>
      <c r="E947" s="80"/>
      <c r="F947" s="81"/>
    </row>
    <row r="948" ht="15.75" customHeight="1">
      <c r="A948" s="77"/>
      <c r="B948" s="78"/>
      <c r="D948" s="79"/>
      <c r="E948" s="80"/>
      <c r="F948" s="81"/>
    </row>
    <row r="949" ht="15.75" customHeight="1">
      <c r="A949" s="77"/>
      <c r="B949" s="78"/>
      <c r="D949" s="79"/>
      <c r="E949" s="80"/>
      <c r="F949" s="81"/>
    </row>
    <row r="950" ht="15.75" customHeight="1">
      <c r="A950" s="77"/>
      <c r="B950" s="78"/>
      <c r="D950" s="79"/>
      <c r="E950" s="80"/>
      <c r="F950" s="81"/>
    </row>
    <row r="951" ht="15.75" customHeight="1">
      <c r="A951" s="77"/>
      <c r="B951" s="78"/>
      <c r="D951" s="79"/>
      <c r="E951" s="80"/>
      <c r="F951" s="81"/>
    </row>
    <row r="952" ht="15.75" customHeight="1">
      <c r="A952" s="77"/>
      <c r="B952" s="78"/>
      <c r="D952" s="79"/>
      <c r="E952" s="80"/>
      <c r="F952" s="81"/>
    </row>
    <row r="953" ht="15.75" customHeight="1">
      <c r="A953" s="77"/>
      <c r="B953" s="78"/>
      <c r="D953" s="79"/>
      <c r="E953" s="80"/>
      <c r="F953" s="81"/>
    </row>
    <row r="954" ht="15.75" customHeight="1">
      <c r="A954" s="77"/>
      <c r="B954" s="78"/>
      <c r="D954" s="79"/>
      <c r="E954" s="80"/>
      <c r="F954" s="81"/>
    </row>
    <row r="955" ht="15.75" customHeight="1">
      <c r="A955" s="77"/>
      <c r="B955" s="78"/>
      <c r="D955" s="79"/>
      <c r="E955" s="80"/>
      <c r="F955" s="81"/>
    </row>
    <row r="956" ht="15.75" customHeight="1">
      <c r="A956" s="77"/>
      <c r="B956" s="78"/>
      <c r="D956" s="79"/>
      <c r="E956" s="80"/>
      <c r="F956" s="81"/>
    </row>
    <row r="957" ht="15.75" customHeight="1">
      <c r="A957" s="77"/>
      <c r="B957" s="78"/>
      <c r="D957" s="79"/>
      <c r="E957" s="80"/>
      <c r="F957" s="81"/>
    </row>
    <row r="958" ht="15.75" customHeight="1">
      <c r="A958" s="77"/>
      <c r="B958" s="78"/>
      <c r="D958" s="79"/>
      <c r="E958" s="80"/>
      <c r="F958" s="81"/>
    </row>
    <row r="959" ht="15.75" customHeight="1">
      <c r="A959" s="77"/>
      <c r="B959" s="78"/>
      <c r="D959" s="79"/>
      <c r="E959" s="80"/>
      <c r="F959" s="81"/>
    </row>
    <row r="960" ht="15.75" customHeight="1">
      <c r="A960" s="77"/>
      <c r="B960" s="78"/>
      <c r="D960" s="79"/>
      <c r="E960" s="80"/>
      <c r="F960" s="81"/>
    </row>
    <row r="961" ht="15.75" customHeight="1">
      <c r="A961" s="77"/>
      <c r="B961" s="78"/>
      <c r="D961" s="79"/>
      <c r="E961" s="80"/>
      <c r="F961" s="81"/>
    </row>
    <row r="962" ht="15.75" customHeight="1">
      <c r="A962" s="77"/>
      <c r="B962" s="78"/>
      <c r="D962" s="79"/>
      <c r="E962" s="80"/>
      <c r="F962" s="81"/>
    </row>
    <row r="963" ht="15.75" customHeight="1">
      <c r="A963" s="77"/>
      <c r="B963" s="78"/>
      <c r="D963" s="79"/>
      <c r="E963" s="80"/>
      <c r="F963" s="81"/>
    </row>
    <row r="964" ht="15.75" customHeight="1">
      <c r="A964" s="77"/>
      <c r="B964" s="78"/>
      <c r="D964" s="79"/>
      <c r="E964" s="80"/>
      <c r="F964" s="81"/>
    </row>
    <row r="965" ht="15.75" customHeight="1">
      <c r="A965" s="77"/>
      <c r="B965" s="78"/>
      <c r="D965" s="79"/>
      <c r="E965" s="80"/>
      <c r="F965" s="81"/>
    </row>
    <row r="966" ht="15.75" customHeight="1">
      <c r="A966" s="77"/>
      <c r="B966" s="78"/>
      <c r="D966" s="79"/>
      <c r="E966" s="80"/>
      <c r="F966" s="81"/>
    </row>
    <row r="967" ht="15.75" customHeight="1">
      <c r="A967" s="77"/>
      <c r="B967" s="78"/>
      <c r="D967" s="79"/>
      <c r="E967" s="80"/>
      <c r="F967" s="81"/>
    </row>
    <row r="968" ht="15.75" customHeight="1">
      <c r="A968" s="77"/>
      <c r="B968" s="78"/>
      <c r="D968" s="79"/>
      <c r="E968" s="80"/>
      <c r="F968" s="81"/>
    </row>
    <row r="969" ht="15.75" customHeight="1">
      <c r="A969" s="77"/>
      <c r="B969" s="78"/>
      <c r="D969" s="79"/>
      <c r="E969" s="80"/>
      <c r="F969" s="81"/>
    </row>
    <row r="970" ht="15.75" customHeight="1">
      <c r="A970" s="77"/>
      <c r="B970" s="78"/>
      <c r="D970" s="79"/>
      <c r="E970" s="80"/>
      <c r="F970" s="81"/>
    </row>
    <row r="971" ht="15.75" customHeight="1">
      <c r="A971" s="77"/>
      <c r="B971" s="78"/>
      <c r="D971" s="79"/>
      <c r="E971" s="80"/>
      <c r="F971" s="81"/>
    </row>
    <row r="972" ht="15.75" customHeight="1">
      <c r="A972" s="77"/>
      <c r="B972" s="78"/>
      <c r="D972" s="79"/>
      <c r="E972" s="80"/>
      <c r="F972" s="81"/>
    </row>
    <row r="973" ht="15.75" customHeight="1">
      <c r="A973" s="77"/>
      <c r="B973" s="78"/>
      <c r="D973" s="79"/>
      <c r="E973" s="80"/>
      <c r="F973" s="81"/>
    </row>
    <row r="974" ht="15.75" customHeight="1">
      <c r="A974" s="77"/>
      <c r="B974" s="78"/>
      <c r="D974" s="79"/>
      <c r="E974" s="80"/>
      <c r="F974" s="81"/>
    </row>
    <row r="975" ht="15.75" customHeight="1">
      <c r="A975" s="77"/>
      <c r="B975" s="78"/>
      <c r="D975" s="79"/>
      <c r="E975" s="80"/>
      <c r="F975" s="81"/>
    </row>
    <row r="976" ht="15.75" customHeight="1">
      <c r="A976" s="77"/>
      <c r="B976" s="78"/>
      <c r="D976" s="79"/>
      <c r="E976" s="80"/>
      <c r="F976" s="81"/>
    </row>
    <row r="977" ht="15.75" customHeight="1">
      <c r="A977" s="77"/>
      <c r="B977" s="78"/>
      <c r="D977" s="79"/>
      <c r="E977" s="80"/>
      <c r="F977" s="81"/>
    </row>
    <row r="978" ht="15.75" customHeight="1">
      <c r="A978" s="77"/>
      <c r="B978" s="78"/>
      <c r="D978" s="79"/>
      <c r="E978" s="80"/>
      <c r="F978" s="81"/>
    </row>
    <row r="979" ht="15.75" customHeight="1">
      <c r="A979" s="77"/>
      <c r="B979" s="78"/>
      <c r="D979" s="79"/>
      <c r="E979" s="80"/>
      <c r="F979" s="81"/>
    </row>
    <row r="980" ht="15.75" customHeight="1">
      <c r="A980" s="77"/>
      <c r="B980" s="78"/>
      <c r="D980" s="79"/>
      <c r="E980" s="80"/>
      <c r="F980" s="81"/>
    </row>
    <row r="981" ht="15.75" customHeight="1">
      <c r="A981" s="77"/>
      <c r="B981" s="78"/>
      <c r="D981" s="79"/>
      <c r="E981" s="80"/>
      <c r="F981" s="81"/>
    </row>
    <row r="982" ht="15.75" customHeight="1">
      <c r="A982" s="77"/>
      <c r="B982" s="78"/>
      <c r="D982" s="79"/>
      <c r="E982" s="80"/>
      <c r="F982" s="81"/>
    </row>
    <row r="983" ht="15.75" customHeight="1">
      <c r="A983" s="77"/>
      <c r="B983" s="78"/>
      <c r="D983" s="79"/>
      <c r="E983" s="80"/>
      <c r="F983" s="81"/>
    </row>
    <row r="984" ht="15.75" customHeight="1">
      <c r="A984" s="77"/>
      <c r="B984" s="78"/>
      <c r="D984" s="79"/>
      <c r="E984" s="80"/>
      <c r="F984" s="81"/>
    </row>
    <row r="985" ht="15.75" customHeight="1">
      <c r="A985" s="77"/>
      <c r="B985" s="78"/>
      <c r="D985" s="79"/>
      <c r="E985" s="80"/>
      <c r="F985" s="81"/>
    </row>
    <row r="986" ht="15.75" customHeight="1">
      <c r="A986" s="77"/>
      <c r="B986" s="78"/>
      <c r="D986" s="79"/>
      <c r="E986" s="80"/>
      <c r="F986" s="81"/>
    </row>
    <row r="987" ht="15.75" customHeight="1">
      <c r="A987" s="77"/>
      <c r="B987" s="78"/>
      <c r="D987" s="79"/>
      <c r="E987" s="80"/>
      <c r="F987" s="81"/>
    </row>
    <row r="988" ht="15.75" customHeight="1">
      <c r="A988" s="77"/>
      <c r="B988" s="78"/>
      <c r="D988" s="79"/>
      <c r="E988" s="80"/>
      <c r="F988" s="81"/>
    </row>
    <row r="989" ht="15.75" customHeight="1">
      <c r="A989" s="77"/>
      <c r="B989" s="78"/>
      <c r="D989" s="79"/>
      <c r="E989" s="80"/>
      <c r="F989" s="81"/>
    </row>
    <row r="990" ht="15.75" customHeight="1">
      <c r="A990" s="77"/>
      <c r="B990" s="78"/>
      <c r="D990" s="79"/>
      <c r="E990" s="80"/>
      <c r="F990" s="81"/>
    </row>
    <row r="991" ht="15.75" customHeight="1">
      <c r="A991" s="77"/>
      <c r="B991" s="78"/>
      <c r="D991" s="79"/>
      <c r="E991" s="80"/>
      <c r="F991" s="81"/>
    </row>
    <row r="992" ht="15.75" customHeight="1">
      <c r="A992" s="77"/>
      <c r="B992" s="78"/>
      <c r="D992" s="79"/>
      <c r="E992" s="80"/>
      <c r="F992" s="81"/>
    </row>
    <row r="993" ht="15.75" customHeight="1">
      <c r="A993" s="77"/>
      <c r="B993" s="78"/>
      <c r="D993" s="79"/>
      <c r="E993" s="80"/>
      <c r="F993" s="81"/>
    </row>
    <row r="994" ht="15.75" customHeight="1">
      <c r="A994" s="77"/>
      <c r="B994" s="78"/>
      <c r="D994" s="79"/>
      <c r="E994" s="80"/>
      <c r="F994" s="81"/>
    </row>
    <row r="995" ht="15.75" customHeight="1">
      <c r="A995" s="77"/>
      <c r="B995" s="78"/>
      <c r="D995" s="79"/>
      <c r="E995" s="80"/>
      <c r="F995" s="81"/>
    </row>
    <row r="996" ht="15.75" customHeight="1">
      <c r="A996" s="77"/>
      <c r="B996" s="78"/>
      <c r="D996" s="79"/>
      <c r="E996" s="80"/>
      <c r="F996" s="81"/>
    </row>
    <row r="997" ht="15.75" customHeight="1">
      <c r="A997" s="77"/>
      <c r="B997" s="78"/>
      <c r="D997" s="79"/>
      <c r="E997" s="80"/>
      <c r="F997" s="81"/>
    </row>
    <row r="998" ht="15.75" customHeight="1">
      <c r="A998" s="77"/>
      <c r="B998" s="78"/>
      <c r="D998" s="79"/>
      <c r="E998" s="80"/>
      <c r="F998" s="81"/>
    </row>
    <row r="999" ht="15.75" customHeight="1">
      <c r="A999" s="77"/>
      <c r="B999" s="78"/>
      <c r="D999" s="79"/>
      <c r="E999" s="80"/>
      <c r="F999" s="81"/>
    </row>
    <row r="1000" ht="15.75" customHeight="1">
      <c r="A1000" s="77"/>
      <c r="B1000" s="78"/>
      <c r="D1000" s="79"/>
      <c r="E1000" s="80"/>
      <c r="F1000" s="81"/>
    </row>
  </sheetData>
  <autoFilter ref="$A$1:$G$998"/>
  <mergeCells count="1">
    <mergeCell ref="H1:Q1"/>
  </mergeCells>
  <conditionalFormatting sqref="G2:G151">
    <cfRule type="expression" dxfId="0" priority="1">
      <formula>$G2=TRUE</formula>
    </cfRule>
  </conditionalFormatting>
  <conditionalFormatting sqref="G2:G151">
    <cfRule type="expression" dxfId="1" priority="2">
      <formula>$G2=FALSE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13"/>
    <col customWidth="1" min="3" max="3" width="21.38"/>
    <col customWidth="1" min="4" max="4" width="24.5"/>
    <col customWidth="1" min="5" max="5" width="30.75"/>
    <col customWidth="1" min="6" max="7" width="24.5"/>
    <col customWidth="1" min="8" max="17" width="7.0"/>
    <col customWidth="1" min="18" max="27" width="11.0"/>
  </cols>
  <sheetData>
    <row r="1" ht="27.75" customHeight="1">
      <c r="A1" s="1" t="s">
        <v>0</v>
      </c>
      <c r="B1" s="2" t="s">
        <v>2</v>
      </c>
      <c r="C1" s="2" t="s">
        <v>3</v>
      </c>
      <c r="D1" s="2" t="s">
        <v>4</v>
      </c>
      <c r="E1" s="4" t="s">
        <v>9</v>
      </c>
      <c r="F1" s="5" t="s">
        <v>6</v>
      </c>
      <c r="G1" s="2" t="s">
        <v>7</v>
      </c>
      <c r="H1" s="6" t="s">
        <v>8</v>
      </c>
      <c r="I1" s="8"/>
      <c r="J1" s="8"/>
      <c r="K1" s="8"/>
      <c r="L1" s="8"/>
      <c r="M1" s="8"/>
      <c r="N1" s="8"/>
      <c r="O1" s="8"/>
      <c r="P1" s="8"/>
      <c r="Q1" s="11"/>
      <c r="R1" s="14"/>
      <c r="S1" s="14"/>
      <c r="T1" s="14"/>
      <c r="U1" s="14"/>
      <c r="V1" s="14"/>
      <c r="W1" s="14"/>
    </row>
    <row r="2" ht="32.25" customHeight="1">
      <c r="A2" s="18" t="s">
        <v>12</v>
      </c>
      <c r="B2" s="22" t="s">
        <v>13</v>
      </c>
      <c r="C2" s="22" t="s">
        <v>15</v>
      </c>
      <c r="D2" s="22" t="s">
        <v>17</v>
      </c>
      <c r="E2" s="31" t="str">
        <f>IFERROR(__xludf.DUMMYFUNCTION("GOOGLETRANSLATE(D2,""zh-CN"",""vi"")"),"Dì rất quý chúng ta.")</f>
        <v>Dì rất quý chúng ta.</v>
      </c>
      <c r="F2" s="30" t="s">
        <v>12</v>
      </c>
      <c r="G2" s="36" t="b">
        <f t="shared" ref="G2:G296" si="1">EXACT(A2,F2)</f>
        <v>1</v>
      </c>
      <c r="H2" s="35" t="b">
        <v>0</v>
      </c>
      <c r="I2" s="35" t="b">
        <v>0</v>
      </c>
      <c r="J2" s="35" t="b">
        <v>0</v>
      </c>
      <c r="K2" s="35" t="b">
        <v>0</v>
      </c>
      <c r="L2" s="35" t="b">
        <v>0</v>
      </c>
      <c r="M2" s="35" t="b">
        <v>0</v>
      </c>
      <c r="N2" s="35" t="b">
        <v>0</v>
      </c>
      <c r="O2" s="35" t="b">
        <v>0</v>
      </c>
      <c r="P2" s="35" t="b">
        <v>0</v>
      </c>
      <c r="Q2" s="35" t="b">
        <v>0</v>
      </c>
      <c r="R2" s="14"/>
      <c r="S2" s="14"/>
      <c r="T2" s="14"/>
      <c r="U2" s="14"/>
      <c r="V2" s="14"/>
      <c r="W2" s="14"/>
    </row>
    <row r="3" ht="32.25" customHeight="1">
      <c r="A3" s="18" t="s">
        <v>26</v>
      </c>
      <c r="B3" s="22" t="s">
        <v>28</v>
      </c>
      <c r="C3" s="22" t="s">
        <v>30</v>
      </c>
      <c r="D3" s="22" t="s">
        <v>32</v>
      </c>
      <c r="E3" s="31" t="str">
        <f>IFERROR(__xludf.DUMMYFUNCTION("GOOGLETRANSLATE(D3,""zh-CN"",""vi"")"),"Ồ, tôi quên mất!")</f>
        <v>Ồ, tôi quên mất!</v>
      </c>
      <c r="F3" s="30" t="s">
        <v>26</v>
      </c>
      <c r="G3" s="36" t="b">
        <f t="shared" si="1"/>
        <v>1</v>
      </c>
      <c r="H3" s="35" t="b">
        <v>0</v>
      </c>
      <c r="I3" s="35" t="b">
        <v>0</v>
      </c>
      <c r="J3" s="35" t="b">
        <v>0</v>
      </c>
      <c r="K3" s="35" t="b">
        <v>0</v>
      </c>
      <c r="L3" s="35" t="b">
        <v>0</v>
      </c>
      <c r="M3" s="35" t="b">
        <v>0</v>
      </c>
      <c r="N3" s="35" t="b">
        <v>0</v>
      </c>
      <c r="O3" s="35" t="b">
        <v>0</v>
      </c>
      <c r="P3" s="35" t="b">
        <v>0</v>
      </c>
      <c r="Q3" s="35" t="b">
        <v>0</v>
      </c>
      <c r="R3" s="14"/>
      <c r="S3" s="14"/>
      <c r="T3" s="14"/>
      <c r="U3" s="14"/>
      <c r="V3" s="14"/>
      <c r="W3" s="14"/>
    </row>
    <row r="4" ht="32.25" customHeight="1">
      <c r="A4" s="18" t="s">
        <v>38</v>
      </c>
      <c r="B4" s="22" t="s">
        <v>39</v>
      </c>
      <c r="C4" s="22" t="s">
        <v>40</v>
      </c>
      <c r="D4" s="22" t="s">
        <v>42</v>
      </c>
      <c r="E4" s="31" t="str">
        <f>IFERROR(__xludf.DUMMYFUNCTION("GOOGLETRANSLATE(D4,""zh-CN"",""vi"")"),"Anh ấy thấp hơn tôi.")</f>
        <v>Anh ấy thấp hơn tôi.</v>
      </c>
      <c r="F4" s="30" t="s">
        <v>38</v>
      </c>
      <c r="G4" s="36" t="b">
        <f t="shared" si="1"/>
        <v>1</v>
      </c>
      <c r="H4" s="35" t="b">
        <v>0</v>
      </c>
      <c r="I4" s="35" t="b">
        <v>0</v>
      </c>
      <c r="J4" s="35" t="b">
        <v>0</v>
      </c>
      <c r="K4" s="35" t="b">
        <v>0</v>
      </c>
      <c r="L4" s="35" t="b">
        <v>0</v>
      </c>
      <c r="M4" s="35" t="b">
        <v>0</v>
      </c>
      <c r="N4" s="35" t="b">
        <v>0</v>
      </c>
      <c r="O4" s="35" t="b">
        <v>0</v>
      </c>
      <c r="P4" s="35" t="b">
        <v>0</v>
      </c>
      <c r="Q4" s="35" t="b">
        <v>0</v>
      </c>
      <c r="R4" s="14"/>
      <c r="S4" s="14"/>
      <c r="T4" s="14"/>
      <c r="U4" s="14"/>
      <c r="V4" s="14"/>
      <c r="W4" s="14"/>
    </row>
    <row r="5" ht="39.0" customHeight="1">
      <c r="A5" s="18" t="s">
        <v>53</v>
      </c>
      <c r="B5" s="22" t="s">
        <v>55</v>
      </c>
      <c r="C5" s="22" t="s">
        <v>56</v>
      </c>
      <c r="D5" s="22" t="s">
        <v>57</v>
      </c>
      <c r="E5" s="31" t="str">
        <f>IFERROR(__xludf.DUMMYFUNCTION("GOOGLETRANSLATE(D5,""zh-CN"",""vi"")"),"Sở thích của tôi là vẽ.")</f>
        <v>Sở thích của tôi là vẽ.</v>
      </c>
      <c r="F5" s="30" t="s">
        <v>53</v>
      </c>
      <c r="G5" s="36" t="b">
        <f t="shared" si="1"/>
        <v>1</v>
      </c>
      <c r="H5" s="35" t="b">
        <v>0</v>
      </c>
      <c r="I5" s="35" t="b">
        <v>0</v>
      </c>
      <c r="J5" s="35" t="b">
        <v>0</v>
      </c>
      <c r="K5" s="35" t="b">
        <v>0</v>
      </c>
      <c r="L5" s="35" t="b">
        <v>0</v>
      </c>
      <c r="M5" s="35" t="b">
        <v>0</v>
      </c>
      <c r="N5" s="35" t="b">
        <v>0</v>
      </c>
      <c r="O5" s="35" t="b">
        <v>0</v>
      </c>
      <c r="P5" s="35" t="b">
        <v>0</v>
      </c>
      <c r="Q5" s="35" t="b">
        <v>0</v>
      </c>
      <c r="R5" s="14"/>
      <c r="S5" s="14"/>
      <c r="T5" s="14"/>
      <c r="U5" s="14"/>
      <c r="V5" s="14"/>
      <c r="W5" s="14"/>
    </row>
    <row r="6" ht="39.0" customHeight="1">
      <c r="A6" s="18" t="s">
        <v>62</v>
      </c>
      <c r="B6" s="22" t="s">
        <v>63</v>
      </c>
      <c r="C6" s="22" t="s">
        <v>64</v>
      </c>
      <c r="D6" s="22" t="s">
        <v>66</v>
      </c>
      <c r="E6" s="31" t="str">
        <f>IFERROR(__xludf.DUMMYFUNCTION("GOOGLETRANSLATE(D6,""zh-CN"",""vi"")"),"Hãy giữ im lặng.")</f>
        <v>Hãy giữ im lặng.</v>
      </c>
      <c r="F6" s="30" t="s">
        <v>62</v>
      </c>
      <c r="G6" s="36" t="b">
        <f t="shared" si="1"/>
        <v>1</v>
      </c>
      <c r="H6" s="35" t="b">
        <v>0</v>
      </c>
      <c r="I6" s="35" t="b">
        <v>0</v>
      </c>
      <c r="J6" s="35" t="b">
        <v>0</v>
      </c>
      <c r="K6" s="35" t="b">
        <v>0</v>
      </c>
      <c r="L6" s="35" t="b">
        <v>0</v>
      </c>
      <c r="M6" s="35" t="b">
        <v>0</v>
      </c>
      <c r="N6" s="35" t="b">
        <v>0</v>
      </c>
      <c r="O6" s="35" t="b">
        <v>0</v>
      </c>
      <c r="P6" s="35" t="b">
        <v>0</v>
      </c>
      <c r="Q6" s="35" t="b">
        <v>0</v>
      </c>
      <c r="R6" s="14"/>
      <c r="S6" s="14"/>
      <c r="T6" s="14"/>
      <c r="U6" s="14"/>
      <c r="V6" s="14"/>
      <c r="W6" s="14"/>
    </row>
    <row r="7" ht="39.0" customHeight="1">
      <c r="A7" s="18" t="s">
        <v>74</v>
      </c>
      <c r="B7" s="22" t="s">
        <v>75</v>
      </c>
      <c r="C7" s="22" t="s">
        <v>76</v>
      </c>
      <c r="D7" s="22" t="s">
        <v>77</v>
      </c>
      <c r="E7" s="31" t="str">
        <f>IFERROR(__xludf.DUMMYFUNCTION("GOOGLETRANSLATE(D7,""zh-CN"",""vi"")"),"Đưa cuốn sách cho tôi.")</f>
        <v>Đưa cuốn sách cho tôi.</v>
      </c>
      <c r="F7" s="30" t="s">
        <v>74</v>
      </c>
      <c r="G7" s="36" t="b">
        <f t="shared" si="1"/>
        <v>1</v>
      </c>
      <c r="H7" s="35" t="b">
        <v>0</v>
      </c>
      <c r="I7" s="35" t="b">
        <v>0</v>
      </c>
      <c r="J7" s="35" t="b">
        <v>0</v>
      </c>
      <c r="K7" s="35" t="b">
        <v>0</v>
      </c>
      <c r="L7" s="35" t="b">
        <v>0</v>
      </c>
      <c r="M7" s="35" t="b">
        <v>0</v>
      </c>
      <c r="N7" s="35" t="b">
        <v>0</v>
      </c>
      <c r="O7" s="35" t="b">
        <v>0</v>
      </c>
      <c r="P7" s="35" t="b">
        <v>0</v>
      </c>
      <c r="Q7" s="35" t="b">
        <v>0</v>
      </c>
      <c r="R7" s="14"/>
      <c r="S7" s="14"/>
      <c r="T7" s="14"/>
      <c r="U7" s="14"/>
      <c r="V7" s="14"/>
      <c r="W7" s="14"/>
    </row>
    <row r="8" ht="39.0" customHeight="1">
      <c r="A8" s="18" t="s">
        <v>86</v>
      </c>
      <c r="B8" s="22" t="s">
        <v>87</v>
      </c>
      <c r="C8" s="22" t="s">
        <v>88</v>
      </c>
      <c r="D8" s="22" t="s">
        <v>89</v>
      </c>
      <c r="E8" s="31" t="str">
        <f>IFERROR(__xludf.DUMMYFUNCTION("GOOGLETRANSLATE(D8,""zh-CN"",""vi"")"),"Lớp chúng tôi có hai mươi học sinh.")</f>
        <v>Lớp chúng tôi có hai mươi học sinh.</v>
      </c>
      <c r="F8" s="30" t="s">
        <v>86</v>
      </c>
      <c r="G8" s="36" t="b">
        <f t="shared" si="1"/>
        <v>1</v>
      </c>
      <c r="H8" s="35" t="b">
        <v>0</v>
      </c>
      <c r="I8" s="35" t="b">
        <v>0</v>
      </c>
      <c r="J8" s="35" t="b">
        <v>0</v>
      </c>
      <c r="K8" s="35" t="b">
        <v>0</v>
      </c>
      <c r="L8" s="35" t="b">
        <v>0</v>
      </c>
      <c r="M8" s="35" t="b">
        <v>0</v>
      </c>
      <c r="N8" s="35" t="b">
        <v>0</v>
      </c>
      <c r="O8" s="35" t="b">
        <v>0</v>
      </c>
      <c r="P8" s="35" t="b">
        <v>0</v>
      </c>
      <c r="Q8" s="35" t="b">
        <v>0</v>
      </c>
      <c r="R8" s="14"/>
      <c r="S8" s="14"/>
      <c r="T8" s="14"/>
      <c r="U8" s="14"/>
      <c r="V8" s="14"/>
      <c r="W8" s="14"/>
    </row>
    <row r="9" ht="39.0" customHeight="1">
      <c r="A9" s="18" t="s">
        <v>94</v>
      </c>
      <c r="B9" s="22" t="s">
        <v>87</v>
      </c>
      <c r="C9" s="22" t="s">
        <v>102</v>
      </c>
      <c r="D9" s="22" t="s">
        <v>104</v>
      </c>
      <c r="E9" s="31" t="str">
        <f>IFERROR(__xludf.DUMMYFUNCTION("GOOGLETRANSLATE(D9,""zh-CN"",""vi"")"),"Ông ấy chuyển đến Bắc Kinh.")</f>
        <v>Ông ấy chuyển đến Bắc Kinh.</v>
      </c>
      <c r="F9" s="30" t="s">
        <v>94</v>
      </c>
      <c r="G9" s="36" t="b">
        <f t="shared" si="1"/>
        <v>1</v>
      </c>
      <c r="H9" s="35" t="b">
        <v>0</v>
      </c>
      <c r="I9" s="35" t="b">
        <v>0</v>
      </c>
      <c r="J9" s="35" t="b">
        <v>0</v>
      </c>
      <c r="K9" s="35" t="b">
        <v>0</v>
      </c>
      <c r="L9" s="35" t="b">
        <v>0</v>
      </c>
      <c r="M9" s="35" t="b">
        <v>0</v>
      </c>
      <c r="N9" s="35" t="b">
        <v>0</v>
      </c>
      <c r="O9" s="35" t="b">
        <v>0</v>
      </c>
      <c r="P9" s="35" t="b">
        <v>0</v>
      </c>
      <c r="Q9" s="35" t="b">
        <v>0</v>
      </c>
      <c r="R9" s="14"/>
      <c r="S9" s="14"/>
      <c r="T9" s="14"/>
      <c r="U9" s="14"/>
      <c r="V9" s="14"/>
      <c r="W9" s="14"/>
    </row>
    <row r="10" ht="39.0" customHeight="1">
      <c r="A10" s="18" t="s">
        <v>114</v>
      </c>
      <c r="B10" s="22" t="s">
        <v>116</v>
      </c>
      <c r="C10" s="22" t="s">
        <v>118</v>
      </c>
      <c r="D10" s="22" t="s">
        <v>120</v>
      </c>
      <c r="E10" s="31" t="str">
        <f>IFERROR(__xludf.DUMMYFUNCTION("GOOGLETRANSLATE(D10,""zh-CN"",""vi"")"),"Hẹn gặp lại sau nửa tiếng nữa.")</f>
        <v>Hẹn gặp lại sau nửa tiếng nữa.</v>
      </c>
      <c r="F10" s="30" t="s">
        <v>114</v>
      </c>
      <c r="G10" s="36" t="b">
        <f t="shared" si="1"/>
        <v>1</v>
      </c>
      <c r="H10" s="35" t="b">
        <v>0</v>
      </c>
      <c r="I10" s="35" t="b">
        <v>0</v>
      </c>
      <c r="J10" s="35" t="b">
        <v>0</v>
      </c>
      <c r="K10" s="35" t="b">
        <v>0</v>
      </c>
      <c r="L10" s="35" t="b">
        <v>0</v>
      </c>
      <c r="M10" s="35" t="b">
        <v>0</v>
      </c>
      <c r="N10" s="35" t="b">
        <v>0</v>
      </c>
      <c r="O10" s="35" t="b">
        <v>0</v>
      </c>
      <c r="P10" s="35" t="b">
        <v>0</v>
      </c>
      <c r="Q10" s="35" t="b">
        <v>0</v>
      </c>
      <c r="R10" s="14"/>
      <c r="S10" s="14"/>
      <c r="T10" s="14"/>
      <c r="U10" s="14"/>
      <c r="V10" s="14"/>
      <c r="W10" s="14"/>
    </row>
    <row r="11" ht="39.0" customHeight="1">
      <c r="A11" s="18" t="s">
        <v>129</v>
      </c>
      <c r="B11" s="22" t="s">
        <v>130</v>
      </c>
      <c r="C11" s="22" t="s">
        <v>131</v>
      </c>
      <c r="D11" s="22" t="s">
        <v>132</v>
      </c>
      <c r="E11" s="31" t="str">
        <f>IFERROR(__xludf.DUMMYFUNCTION("GOOGLETRANSLATE(D11,""zh-CN"",""vi"")"),"Tôi có một ý tưởng hay.")</f>
        <v>Tôi có một ý tưởng hay.</v>
      </c>
      <c r="F11" s="30" t="s">
        <v>129</v>
      </c>
      <c r="G11" s="36" t="b">
        <f t="shared" si="1"/>
        <v>1</v>
      </c>
      <c r="H11" s="35" t="b">
        <v>0</v>
      </c>
      <c r="I11" s="35" t="b">
        <v>0</v>
      </c>
      <c r="J11" s="35" t="b">
        <v>0</v>
      </c>
      <c r="K11" s="35" t="b">
        <v>0</v>
      </c>
      <c r="L11" s="35" t="b">
        <v>0</v>
      </c>
      <c r="M11" s="35" t="b">
        <v>0</v>
      </c>
      <c r="N11" s="35" t="b">
        <v>0</v>
      </c>
      <c r="O11" s="35" t="b">
        <v>0</v>
      </c>
      <c r="P11" s="35" t="b">
        <v>0</v>
      </c>
      <c r="Q11" s="35" t="b">
        <v>0</v>
      </c>
      <c r="R11" s="14"/>
      <c r="S11" s="14"/>
      <c r="T11" s="14"/>
      <c r="U11" s="14"/>
      <c r="V11" s="14"/>
      <c r="W11" s="14"/>
    </row>
    <row r="12" ht="39.0" customHeight="1">
      <c r="A12" s="18" t="s">
        <v>141</v>
      </c>
      <c r="B12" s="22" t="s">
        <v>142</v>
      </c>
      <c r="C12" s="22" t="s">
        <v>143</v>
      </c>
      <c r="D12" s="22" t="s">
        <v>144</v>
      </c>
      <c r="E12" s="31" t="str">
        <f>IFERROR(__xludf.DUMMYFUNCTION("GOOGLETRANSLATE(D12,""zh-CN"",""vi"")"),"Anh ấy làm việc trong văn phòng.")</f>
        <v>Anh ấy làm việc trong văn phòng.</v>
      </c>
      <c r="F12" s="30" t="s">
        <v>141</v>
      </c>
      <c r="G12" s="36" t="b">
        <f t="shared" si="1"/>
        <v>1</v>
      </c>
      <c r="H12" s="35" t="b">
        <v>0</v>
      </c>
      <c r="I12" s="35" t="b">
        <v>0</v>
      </c>
      <c r="J12" s="35" t="b">
        <v>0</v>
      </c>
      <c r="K12" s="35" t="b">
        <v>0</v>
      </c>
      <c r="L12" s="35" t="b">
        <v>0</v>
      </c>
      <c r="M12" s="35" t="b">
        <v>0</v>
      </c>
      <c r="N12" s="35" t="b">
        <v>0</v>
      </c>
      <c r="O12" s="35" t="b">
        <v>0</v>
      </c>
      <c r="P12" s="35" t="b">
        <v>0</v>
      </c>
      <c r="Q12" s="35" t="b">
        <v>0</v>
      </c>
      <c r="R12" s="14"/>
      <c r="S12" s="14"/>
      <c r="T12" s="14"/>
      <c r="U12" s="14"/>
      <c r="V12" s="14"/>
      <c r="W12" s="14"/>
    </row>
    <row r="13" ht="39.0" customHeight="1">
      <c r="A13" s="18" t="s">
        <v>157</v>
      </c>
      <c r="B13" s="22" t="s">
        <v>158</v>
      </c>
      <c r="C13" s="22" t="s">
        <v>159</v>
      </c>
      <c r="D13" s="22" t="s">
        <v>160</v>
      </c>
      <c r="E13" s="31" t="str">
        <f>IFERROR(__xludf.DUMMYFUNCTION("GOOGLETRANSLATE(D13,""zh-CN"",""vi"")"),"Tôi cảm thấy nhẹ nhõm hơn nhờ sự giúp đỡ của bạn.")</f>
        <v>Tôi cảm thấy nhẹ nhõm hơn nhờ sự giúp đỡ của bạn.</v>
      </c>
      <c r="F13" s="30" t="s">
        <v>157</v>
      </c>
      <c r="G13" s="36" t="b">
        <f t="shared" si="1"/>
        <v>1</v>
      </c>
      <c r="H13" s="35" t="b">
        <v>0</v>
      </c>
      <c r="I13" s="35" t="b">
        <v>0</v>
      </c>
      <c r="J13" s="35" t="b">
        <v>0</v>
      </c>
      <c r="K13" s="35" t="b">
        <v>0</v>
      </c>
      <c r="L13" s="35" t="b">
        <v>0</v>
      </c>
      <c r="M13" s="35" t="b">
        <v>0</v>
      </c>
      <c r="N13" s="35" t="b">
        <v>0</v>
      </c>
      <c r="O13" s="35" t="b">
        <v>0</v>
      </c>
      <c r="P13" s="35" t="b">
        <v>0</v>
      </c>
      <c r="Q13" s="35" t="b">
        <v>0</v>
      </c>
      <c r="R13" s="14"/>
      <c r="S13" s="14"/>
      <c r="T13" s="14"/>
      <c r="U13" s="14"/>
      <c r="V13" s="14"/>
      <c r="W13" s="14"/>
    </row>
    <row r="14" ht="39.0" customHeight="1">
      <c r="A14" s="18" t="s">
        <v>165</v>
      </c>
      <c r="B14" s="22" t="s">
        <v>166</v>
      </c>
      <c r="C14" s="22" t="s">
        <v>168</v>
      </c>
      <c r="D14" s="22" t="s">
        <v>170</v>
      </c>
      <c r="E14" s="31" t="str">
        <f>IFERROR(__xludf.DUMMYFUNCTION("GOOGLETRANSLATE(D14,""zh-CN"",""vi"")"),"Tôi bị mất túi.")</f>
        <v>Tôi bị mất túi.</v>
      </c>
      <c r="F14" s="30" t="s">
        <v>165</v>
      </c>
      <c r="G14" s="36" t="b">
        <f t="shared" si="1"/>
        <v>1</v>
      </c>
      <c r="H14" s="35" t="b">
        <v>0</v>
      </c>
      <c r="I14" s="35" t="b">
        <v>0</v>
      </c>
      <c r="J14" s="35" t="b">
        <v>0</v>
      </c>
      <c r="K14" s="35" t="b">
        <v>0</v>
      </c>
      <c r="L14" s="35" t="b">
        <v>0</v>
      </c>
      <c r="M14" s="35" t="b">
        <v>0</v>
      </c>
      <c r="N14" s="35" t="b">
        <v>0</v>
      </c>
      <c r="O14" s="35" t="b">
        <v>0</v>
      </c>
      <c r="P14" s="35" t="b">
        <v>0</v>
      </c>
      <c r="Q14" s="35" t="b">
        <v>0</v>
      </c>
      <c r="R14" s="14"/>
      <c r="S14" s="14"/>
      <c r="T14" s="14"/>
      <c r="U14" s="14"/>
      <c r="V14" s="14"/>
      <c r="W14" s="14"/>
    </row>
    <row r="15" ht="39.0" customHeight="1">
      <c r="A15" s="18" t="s">
        <v>177</v>
      </c>
      <c r="B15" s="22" t="s">
        <v>178</v>
      </c>
      <c r="C15" s="22" t="s">
        <v>179</v>
      </c>
      <c r="D15" s="22" t="s">
        <v>180</v>
      </c>
      <c r="E15" s="31" t="str">
        <f>IFERROR(__xludf.DUMMYFUNCTION("GOOGLETRANSLATE(D15,""zh-CN"",""vi"")"),"Tôi no căng bụng rồi.")</f>
        <v>Tôi no căng bụng rồi.</v>
      </c>
      <c r="F15" s="30" t="s">
        <v>177</v>
      </c>
      <c r="G15" s="36" t="b">
        <f t="shared" si="1"/>
        <v>1</v>
      </c>
      <c r="H15" s="35" t="b">
        <v>0</v>
      </c>
      <c r="I15" s="35" t="b">
        <v>0</v>
      </c>
      <c r="J15" s="35" t="b">
        <v>0</v>
      </c>
      <c r="K15" s="35" t="b">
        <v>0</v>
      </c>
      <c r="L15" s="35" t="b">
        <v>0</v>
      </c>
      <c r="M15" s="35" t="b">
        <v>0</v>
      </c>
      <c r="N15" s="35" t="b">
        <v>0</v>
      </c>
      <c r="O15" s="35" t="b">
        <v>0</v>
      </c>
      <c r="P15" s="35" t="b">
        <v>0</v>
      </c>
      <c r="Q15" s="35" t="b">
        <v>0</v>
      </c>
      <c r="R15" s="14"/>
      <c r="S15" s="14"/>
      <c r="T15" s="14"/>
      <c r="U15" s="14"/>
      <c r="V15" s="14"/>
      <c r="W15" s="14"/>
    </row>
    <row r="16" ht="39.0" customHeight="1">
      <c r="A16" s="18" t="s">
        <v>185</v>
      </c>
      <c r="B16" s="22" t="s">
        <v>186</v>
      </c>
      <c r="C16" s="22" t="s">
        <v>187</v>
      </c>
      <c r="D16" s="22" t="s">
        <v>188</v>
      </c>
      <c r="E16" s="31" t="str">
        <f>IFERROR(__xludf.DUMMYFUNCTION("GOOGLETRANSLATE(D16,""zh-CN"",""vi"")"),"Mùa đông ở phía bắc rất lạnh.")</f>
        <v>Mùa đông ở phía bắc rất lạnh.</v>
      </c>
      <c r="F16" s="30" t="s">
        <v>185</v>
      </c>
      <c r="G16" s="36" t="b">
        <f t="shared" si="1"/>
        <v>1</v>
      </c>
      <c r="H16" s="35" t="b">
        <v>0</v>
      </c>
      <c r="I16" s="35" t="b">
        <v>0</v>
      </c>
      <c r="J16" s="35" t="b">
        <v>0</v>
      </c>
      <c r="K16" s="35" t="b">
        <v>0</v>
      </c>
      <c r="L16" s="35" t="b">
        <v>0</v>
      </c>
      <c r="M16" s="35" t="b">
        <v>0</v>
      </c>
      <c r="N16" s="35" t="b">
        <v>0</v>
      </c>
      <c r="O16" s="35" t="b">
        <v>0</v>
      </c>
      <c r="P16" s="35" t="b">
        <v>0</v>
      </c>
      <c r="Q16" s="35" t="b">
        <v>0</v>
      </c>
      <c r="R16" s="14"/>
      <c r="S16" s="14"/>
      <c r="T16" s="14"/>
      <c r="U16" s="14"/>
      <c r="V16" s="14"/>
      <c r="W16" s="14"/>
    </row>
    <row r="17" ht="39.0" customHeight="1">
      <c r="A17" s="18" t="s">
        <v>195</v>
      </c>
      <c r="B17" s="22" t="s">
        <v>197</v>
      </c>
      <c r="C17" s="22" t="s">
        <v>199</v>
      </c>
      <c r="D17" s="22" t="s">
        <v>200</v>
      </c>
      <c r="E17" s="31" t="str">
        <f>IFERROR(__xludf.DUMMYFUNCTION("GOOGLETRANSLATE(D17,""zh-CN"",""vi"")"),"Cậu ấy được thầy giáo khen ngợi.")</f>
        <v>Cậu ấy được thầy giáo khen ngợi.</v>
      </c>
      <c r="F17" s="30" t="s">
        <v>195</v>
      </c>
      <c r="G17" s="36" t="b">
        <f t="shared" si="1"/>
        <v>1</v>
      </c>
      <c r="H17" s="35" t="b">
        <v>0</v>
      </c>
      <c r="I17" s="35" t="b">
        <v>0</v>
      </c>
      <c r="J17" s="35" t="b">
        <v>0</v>
      </c>
      <c r="K17" s="35" t="b">
        <v>0</v>
      </c>
      <c r="L17" s="35" t="b">
        <v>0</v>
      </c>
      <c r="M17" s="35" t="b">
        <v>0</v>
      </c>
      <c r="N17" s="35" t="b">
        <v>0</v>
      </c>
      <c r="O17" s="35" t="b">
        <v>0</v>
      </c>
      <c r="P17" s="35" t="b">
        <v>0</v>
      </c>
      <c r="Q17" s="35" t="b">
        <v>0</v>
      </c>
      <c r="R17" s="14"/>
      <c r="S17" s="14"/>
      <c r="T17" s="14"/>
      <c r="U17" s="14"/>
      <c r="V17" s="14"/>
      <c r="W17" s="14"/>
    </row>
    <row r="18" ht="39.0" customHeight="1">
      <c r="A18" s="18" t="s">
        <v>205</v>
      </c>
      <c r="B18" s="22" t="s">
        <v>206</v>
      </c>
      <c r="C18" s="22" t="s">
        <v>207</v>
      </c>
      <c r="D18" s="22" t="s">
        <v>208</v>
      </c>
      <c r="E18" s="31" t="str">
        <f>IFERROR(__xludf.DUMMYFUNCTION("GOOGLETRANSLATE(D18,""zh-CN"",""vi"")"),"Cô ấy khá cao.")</f>
        <v>Cô ấy khá cao.</v>
      </c>
      <c r="F18" s="30" t="s">
        <v>205</v>
      </c>
      <c r="G18" s="36" t="b">
        <f t="shared" si="1"/>
        <v>1</v>
      </c>
      <c r="H18" s="35" t="b">
        <v>0</v>
      </c>
      <c r="I18" s="35" t="b">
        <v>0</v>
      </c>
      <c r="J18" s="35" t="b">
        <v>0</v>
      </c>
      <c r="K18" s="35" t="b">
        <v>0</v>
      </c>
      <c r="L18" s="35" t="b">
        <v>0</v>
      </c>
      <c r="M18" s="35" t="b">
        <v>0</v>
      </c>
      <c r="N18" s="35" t="b">
        <v>0</v>
      </c>
      <c r="O18" s="35" t="b">
        <v>0</v>
      </c>
      <c r="P18" s="35" t="b">
        <v>0</v>
      </c>
      <c r="Q18" s="35" t="b">
        <v>0</v>
      </c>
      <c r="R18" s="14"/>
      <c r="S18" s="14"/>
      <c r="T18" s="14"/>
      <c r="U18" s="14"/>
      <c r="V18" s="14"/>
      <c r="W18" s="14"/>
    </row>
    <row r="19" ht="39.0" customHeight="1">
      <c r="A19" s="18" t="s">
        <v>217</v>
      </c>
      <c r="B19" s="22" t="s">
        <v>218</v>
      </c>
      <c r="C19" s="22" t="s">
        <v>219</v>
      </c>
      <c r="D19" s="22" t="s">
        <v>220</v>
      </c>
      <c r="E19" s="31" t="str">
        <f>IFERROR(__xludf.DUMMYFUNCTION("GOOGLETRANSLATE(D19,""zh-CN"",""vi"")"),"Họ đang tham gia một cuộc thi.")</f>
        <v>Họ đang tham gia một cuộc thi.</v>
      </c>
      <c r="F19" s="30" t="s">
        <v>217</v>
      </c>
      <c r="G19" s="36" t="b">
        <f t="shared" si="1"/>
        <v>1</v>
      </c>
      <c r="H19" s="35" t="b">
        <v>0</v>
      </c>
      <c r="I19" s="35" t="b">
        <v>0</v>
      </c>
      <c r="J19" s="35" t="b">
        <v>0</v>
      </c>
      <c r="K19" s="35" t="b">
        <v>0</v>
      </c>
      <c r="L19" s="35" t="b">
        <v>0</v>
      </c>
      <c r="M19" s="35" t="b">
        <v>0</v>
      </c>
      <c r="N19" s="35" t="b">
        <v>0</v>
      </c>
      <c r="O19" s="35" t="b">
        <v>0</v>
      </c>
      <c r="P19" s="35" t="b">
        <v>0</v>
      </c>
      <c r="Q19" s="35" t="b">
        <v>0</v>
      </c>
      <c r="R19" s="14"/>
      <c r="S19" s="14"/>
      <c r="T19" s="14"/>
      <c r="U19" s="14"/>
      <c r="V19" s="14"/>
      <c r="W19" s="14"/>
    </row>
    <row r="20" ht="39.0" customHeight="1">
      <c r="A20" s="18" t="s">
        <v>225</v>
      </c>
      <c r="B20" s="22" t="s">
        <v>226</v>
      </c>
      <c r="C20" s="22" t="s">
        <v>227</v>
      </c>
      <c r="D20" s="22" t="s">
        <v>228</v>
      </c>
      <c r="E20" s="31" t="str">
        <f>IFERROR(__xludf.DUMMYFUNCTION("GOOGLETRANSLATE(D20,""zh-CN"",""vi"")"),"Bạn phải đến đúng giờ.")</f>
        <v>Bạn phải đến đúng giờ.</v>
      </c>
      <c r="F20" s="30" t="s">
        <v>225</v>
      </c>
      <c r="G20" s="36" t="b">
        <f t="shared" si="1"/>
        <v>1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14"/>
      <c r="S20" s="14"/>
      <c r="T20" s="14"/>
      <c r="U20" s="14"/>
      <c r="V20" s="14"/>
      <c r="W20" s="14"/>
    </row>
    <row r="21" ht="35.25" customHeight="1">
      <c r="A21" s="18" t="s">
        <v>238</v>
      </c>
      <c r="B21" s="22" t="s">
        <v>240</v>
      </c>
      <c r="C21" s="22" t="s">
        <v>241</v>
      </c>
      <c r="D21" s="22" t="s">
        <v>243</v>
      </c>
      <c r="E21" s="31" t="str">
        <f>IFERROR(__xludf.DUMMYFUNCTION("GOOGLETRANSLATE(D21,""zh-CN"",""vi"")"),"Thời tiết ở đây rất hay thay đổi.")</f>
        <v>Thời tiết ở đây rất hay thay đổi.</v>
      </c>
      <c r="F21" s="30" t="s">
        <v>238</v>
      </c>
      <c r="G21" s="36" t="b">
        <f t="shared" si="1"/>
        <v>1</v>
      </c>
      <c r="H21" s="35" t="b">
        <v>0</v>
      </c>
      <c r="I21" s="35" t="b">
        <v>0</v>
      </c>
      <c r="J21" s="35" t="b">
        <v>0</v>
      </c>
      <c r="K21" s="35" t="b">
        <v>0</v>
      </c>
      <c r="L21" s="35" t="b">
        <v>0</v>
      </c>
      <c r="M21" s="35" t="b">
        <v>0</v>
      </c>
      <c r="N21" s="35" t="b">
        <v>0</v>
      </c>
      <c r="O21" s="35" t="b">
        <v>0</v>
      </c>
      <c r="P21" s="35" t="b">
        <v>0</v>
      </c>
      <c r="Q21" s="35" t="b">
        <v>0</v>
      </c>
      <c r="R21" s="14"/>
      <c r="S21" s="14"/>
      <c r="T21" s="14"/>
      <c r="U21" s="14"/>
      <c r="V21" s="14"/>
      <c r="W21" s="14"/>
    </row>
    <row r="22" ht="35.25" customHeight="1">
      <c r="A22" s="18" t="s">
        <v>249</v>
      </c>
      <c r="B22" s="22" t="s">
        <v>252</v>
      </c>
      <c r="C22" s="22" t="s">
        <v>254</v>
      </c>
      <c r="D22" s="22" t="s">
        <v>256</v>
      </c>
      <c r="E22" s="31" t="str">
        <f>IFERROR(__xludf.DUMMYFUNCTION("GOOGLETRANSLATE(D22,""zh-CN"",""vi"")"),"Ông ấy bày tỏ sự đồng tình với kế hoạch đó.")</f>
        <v>Ông ấy bày tỏ sự đồng tình với kế hoạch đó.</v>
      </c>
      <c r="F22" s="30" t="s">
        <v>249</v>
      </c>
      <c r="G22" s="36" t="b">
        <f t="shared" si="1"/>
        <v>1</v>
      </c>
      <c r="H22" s="35" t="b">
        <v>0</v>
      </c>
      <c r="I22" s="35" t="b">
        <v>0</v>
      </c>
      <c r="J22" s="35" t="b">
        <v>0</v>
      </c>
      <c r="K22" s="35" t="b">
        <v>0</v>
      </c>
      <c r="L22" s="35" t="b">
        <v>0</v>
      </c>
      <c r="M22" s="35" t="b">
        <v>0</v>
      </c>
      <c r="N22" s="35" t="b">
        <v>0</v>
      </c>
      <c r="O22" s="35" t="b">
        <v>0</v>
      </c>
      <c r="P22" s="35" t="b">
        <v>0</v>
      </c>
      <c r="Q22" s="35" t="b">
        <v>0</v>
      </c>
      <c r="R22" s="14"/>
      <c r="S22" s="14"/>
      <c r="T22" s="14"/>
      <c r="U22" s="14"/>
      <c r="V22" s="14"/>
      <c r="W22" s="14"/>
    </row>
    <row r="23" ht="35.25" customHeight="1">
      <c r="A23" s="18" t="s">
        <v>264</v>
      </c>
      <c r="B23" s="22" t="s">
        <v>266</v>
      </c>
      <c r="C23" s="22" t="s">
        <v>267</v>
      </c>
      <c r="D23" s="22" t="s">
        <v>268</v>
      </c>
      <c r="E23" s="31" t="str">
        <f>IFERROR(__xludf.DUMMYFUNCTION("GOOGLETRANSLATE(D23,""zh-CN"",""vi"")"),"Cô ấy đang biểu diễn.")</f>
        <v>Cô ấy đang biểu diễn.</v>
      </c>
      <c r="F23" s="30" t="s">
        <v>264</v>
      </c>
      <c r="G23" s="36" t="b">
        <f t="shared" si="1"/>
        <v>1</v>
      </c>
      <c r="H23" s="35" t="b">
        <v>0</v>
      </c>
      <c r="I23" s="35" t="b">
        <v>0</v>
      </c>
      <c r="J23" s="35" t="b">
        <v>0</v>
      </c>
      <c r="K23" s="35" t="b">
        <v>0</v>
      </c>
      <c r="L23" s="35" t="b">
        <v>0</v>
      </c>
      <c r="M23" s="35" t="b">
        <v>0</v>
      </c>
      <c r="N23" s="35" t="b">
        <v>0</v>
      </c>
      <c r="O23" s="35" t="b">
        <v>0</v>
      </c>
      <c r="P23" s="35" t="b">
        <v>0</v>
      </c>
      <c r="Q23" s="35" t="b">
        <v>0</v>
      </c>
      <c r="R23" s="14"/>
      <c r="S23" s="14"/>
      <c r="T23" s="14"/>
      <c r="U23" s="14"/>
      <c r="V23" s="14"/>
      <c r="W23" s="14"/>
    </row>
    <row r="24" ht="35.25" customHeight="1">
      <c r="A24" s="18" t="s">
        <v>271</v>
      </c>
      <c r="B24" s="22" t="s">
        <v>273</v>
      </c>
      <c r="C24" s="22" t="s">
        <v>275</v>
      </c>
      <c r="D24" s="22" t="s">
        <v>277</v>
      </c>
      <c r="E24" s="31" t="str">
        <f>IFERROR(__xludf.DUMMYFUNCTION("GOOGLETRANSLATE(D24,""zh-CN"",""vi"")"),"Ý kiến ​​của người khác rất quan trọng.")</f>
        <v>Ý kiến ​​của người khác rất quan trọng.</v>
      </c>
      <c r="F24" s="30" t="s">
        <v>271</v>
      </c>
      <c r="G24" s="36" t="b">
        <f t="shared" si="1"/>
        <v>1</v>
      </c>
      <c r="H24" s="35" t="b">
        <v>0</v>
      </c>
      <c r="I24" s="35" t="b">
        <v>0</v>
      </c>
      <c r="J24" s="35" t="b">
        <v>0</v>
      </c>
      <c r="K24" s="35" t="b">
        <v>0</v>
      </c>
      <c r="L24" s="35" t="b">
        <v>0</v>
      </c>
      <c r="M24" s="35" t="b">
        <v>0</v>
      </c>
      <c r="N24" s="35" t="b">
        <v>0</v>
      </c>
      <c r="O24" s="35" t="b">
        <v>0</v>
      </c>
      <c r="P24" s="35" t="b">
        <v>0</v>
      </c>
      <c r="Q24" s="35" t="b">
        <v>0</v>
      </c>
      <c r="R24" s="14"/>
      <c r="S24" s="14"/>
      <c r="T24" s="14"/>
      <c r="U24" s="14"/>
      <c r="V24" s="14"/>
      <c r="W24" s="14"/>
    </row>
    <row r="25" ht="35.25" customHeight="1">
      <c r="A25" s="18" t="s">
        <v>285</v>
      </c>
      <c r="B25" s="22" t="s">
        <v>286</v>
      </c>
      <c r="C25" s="22" t="s">
        <v>288</v>
      </c>
      <c r="D25" s="22" t="s">
        <v>293</v>
      </c>
      <c r="E25" s="31" t="str">
        <f>IFERROR(__xludf.DUMMYFUNCTION("GOOGLETRANSLATE(D25,""zh-CN"",""vi"")"),"Phòng khách sạn rất sạch sẽ.")</f>
        <v>Phòng khách sạn rất sạch sẽ.</v>
      </c>
      <c r="F25" s="30" t="s">
        <v>285</v>
      </c>
      <c r="G25" s="36" t="b">
        <f t="shared" si="1"/>
        <v>1</v>
      </c>
      <c r="H25" s="35" t="b">
        <v>0</v>
      </c>
      <c r="I25" s="35" t="b">
        <v>0</v>
      </c>
      <c r="J25" s="35" t="b">
        <v>0</v>
      </c>
      <c r="K25" s="35" t="b">
        <v>0</v>
      </c>
      <c r="L25" s="35" t="b">
        <v>0</v>
      </c>
      <c r="M25" s="35" t="b">
        <v>0</v>
      </c>
      <c r="N25" s="35" t="b">
        <v>0</v>
      </c>
      <c r="O25" s="35" t="b">
        <v>0</v>
      </c>
      <c r="P25" s="35" t="b">
        <v>0</v>
      </c>
      <c r="Q25" s="35" t="b">
        <v>0</v>
      </c>
      <c r="R25" s="14"/>
      <c r="S25" s="14"/>
      <c r="T25" s="14"/>
      <c r="U25" s="14"/>
      <c r="V25" s="14"/>
      <c r="W25" s="14"/>
    </row>
    <row r="26" ht="35.25" customHeight="1">
      <c r="A26" s="18" t="s">
        <v>309</v>
      </c>
      <c r="B26" s="22" t="s">
        <v>310</v>
      </c>
      <c r="C26" s="22" t="s">
        <v>311</v>
      </c>
      <c r="D26" s="22" t="s">
        <v>313</v>
      </c>
      <c r="E26" s="31" t="str">
        <f>IFERROR(__xludf.DUMMYFUNCTION("GOOGLETRANSLATE(D26,""zh-CN"",""vi"")"),"Trong tủ lạnh có rất nhiều thức ăn.")</f>
        <v>Trong tủ lạnh có rất nhiều thức ăn.</v>
      </c>
      <c r="F26" s="30" t="s">
        <v>309</v>
      </c>
      <c r="G26" s="36" t="b">
        <f t="shared" si="1"/>
        <v>1</v>
      </c>
      <c r="H26" s="35" t="b">
        <v>0</v>
      </c>
      <c r="I26" s="35" t="b">
        <v>0</v>
      </c>
      <c r="J26" s="35" t="b">
        <v>0</v>
      </c>
      <c r="K26" s="35" t="b">
        <v>0</v>
      </c>
      <c r="L26" s="35" t="b">
        <v>0</v>
      </c>
      <c r="M26" s="35" t="b">
        <v>0</v>
      </c>
      <c r="N26" s="35" t="b">
        <v>0</v>
      </c>
      <c r="O26" s="35" t="b">
        <v>0</v>
      </c>
      <c r="P26" s="35" t="b">
        <v>0</v>
      </c>
      <c r="Q26" s="35" t="b">
        <v>0</v>
      </c>
      <c r="R26" s="14"/>
      <c r="S26" s="14"/>
      <c r="T26" s="14"/>
      <c r="U26" s="14"/>
      <c r="V26" s="14"/>
      <c r="W26" s="14"/>
    </row>
    <row r="27" ht="35.25" customHeight="1">
      <c r="A27" s="18" t="s">
        <v>322</v>
      </c>
      <c r="B27" s="22" t="s">
        <v>324</v>
      </c>
      <c r="C27" s="22" t="s">
        <v>326</v>
      </c>
      <c r="D27" s="22" t="s">
        <v>328</v>
      </c>
      <c r="E27" s="31" t="str">
        <f>IFERROR(__xludf.DUMMYFUNCTION("GOOGLETRANSLATE(D27,""zh-CN"",""vi"")"),"Sao giờ bạn mới đến?")</f>
        <v>Sao giờ bạn mới đến?</v>
      </c>
      <c r="F27" s="30" t="s">
        <v>322</v>
      </c>
      <c r="G27" s="36" t="b">
        <f t="shared" si="1"/>
        <v>1</v>
      </c>
      <c r="H27" s="35" t="b">
        <v>0</v>
      </c>
      <c r="I27" s="35" t="b">
        <v>0</v>
      </c>
      <c r="J27" s="35" t="b">
        <v>0</v>
      </c>
      <c r="K27" s="35" t="b">
        <v>0</v>
      </c>
      <c r="L27" s="35" t="b">
        <v>0</v>
      </c>
      <c r="M27" s="35" t="b">
        <v>0</v>
      </c>
      <c r="N27" s="35" t="b">
        <v>0</v>
      </c>
      <c r="O27" s="35" t="b">
        <v>0</v>
      </c>
      <c r="P27" s="35" t="b">
        <v>0</v>
      </c>
      <c r="Q27" s="35" t="b">
        <v>0</v>
      </c>
      <c r="R27" s="14"/>
      <c r="S27" s="14"/>
      <c r="T27" s="14"/>
      <c r="U27" s="14"/>
      <c r="V27" s="14"/>
      <c r="W27" s="14"/>
    </row>
    <row r="28" ht="35.25" customHeight="1">
      <c r="A28" s="18" t="s">
        <v>338</v>
      </c>
      <c r="B28" s="22" t="s">
        <v>341</v>
      </c>
      <c r="C28" s="22" t="s">
        <v>344</v>
      </c>
      <c r="D28" s="22" t="s">
        <v>347</v>
      </c>
      <c r="E28" s="31" t="str">
        <f>IFERROR(__xludf.DUMMYFUNCTION("GOOGLETRANSLATE(D28,""zh-CN"",""vi"")"),"Thực đơn có rất nhiều món.")</f>
        <v>Thực đơn có rất nhiều món.</v>
      </c>
      <c r="F28" s="30" t="s">
        <v>338</v>
      </c>
      <c r="G28" s="36" t="b">
        <f t="shared" si="1"/>
        <v>1</v>
      </c>
      <c r="H28" s="35" t="b">
        <v>0</v>
      </c>
      <c r="I28" s="35" t="b">
        <v>0</v>
      </c>
      <c r="J28" s="35" t="b">
        <v>0</v>
      </c>
      <c r="K28" s="35" t="b">
        <v>0</v>
      </c>
      <c r="L28" s="35" t="b">
        <v>0</v>
      </c>
      <c r="M28" s="35" t="b">
        <v>0</v>
      </c>
      <c r="N28" s="35" t="b">
        <v>0</v>
      </c>
      <c r="O28" s="35" t="b">
        <v>0</v>
      </c>
      <c r="P28" s="35" t="b">
        <v>0</v>
      </c>
      <c r="Q28" s="35" t="b">
        <v>0</v>
      </c>
      <c r="R28" s="14"/>
      <c r="S28" s="14"/>
      <c r="T28" s="14"/>
      <c r="U28" s="14"/>
      <c r="V28" s="14"/>
      <c r="W28" s="14"/>
    </row>
    <row r="29" ht="35.25" customHeight="1">
      <c r="A29" s="18" t="s">
        <v>357</v>
      </c>
      <c r="B29" s="22" t="s">
        <v>359</v>
      </c>
      <c r="C29" s="22" t="s">
        <v>361</v>
      </c>
      <c r="D29" s="22" t="s">
        <v>362</v>
      </c>
      <c r="E29" s="31" t="str">
        <f>IFERROR(__xludf.DUMMYFUNCTION("GOOGLETRANSLATE(D29,""zh-CN"",""vi"")"),"Tôi đã tham gia sự kiện này.")</f>
        <v>Tôi đã tham gia sự kiện này.</v>
      </c>
      <c r="F29" s="30" t="s">
        <v>357</v>
      </c>
      <c r="G29" s="36" t="b">
        <f t="shared" si="1"/>
        <v>1</v>
      </c>
      <c r="H29" s="35" t="b">
        <v>0</v>
      </c>
      <c r="I29" s="35" t="b">
        <v>0</v>
      </c>
      <c r="J29" s="35" t="b">
        <v>0</v>
      </c>
      <c r="K29" s="35" t="b">
        <v>0</v>
      </c>
      <c r="L29" s="35" t="b">
        <v>0</v>
      </c>
      <c r="M29" s="35" t="b">
        <v>0</v>
      </c>
      <c r="N29" s="35" t="b">
        <v>0</v>
      </c>
      <c r="O29" s="35" t="b">
        <v>0</v>
      </c>
      <c r="P29" s="35" t="b">
        <v>0</v>
      </c>
      <c r="Q29" s="35" t="b">
        <v>0</v>
      </c>
      <c r="R29" s="14"/>
      <c r="S29" s="14"/>
      <c r="T29" s="14"/>
      <c r="U29" s="14"/>
      <c r="V29" s="14"/>
      <c r="W29" s="14"/>
    </row>
    <row r="30" ht="15.75" customHeight="1">
      <c r="A30" s="18" t="s">
        <v>397</v>
      </c>
      <c r="B30" s="22" t="s">
        <v>399</v>
      </c>
      <c r="C30" s="22" t="s">
        <v>401</v>
      </c>
      <c r="D30" s="22" t="s">
        <v>403</v>
      </c>
      <c r="E30" s="31" t="str">
        <f>IFERROR(__xludf.DUMMYFUNCTION("GOOGLETRANSLATE(D30,""zh-CN"",""vi"")"),"Trên bãi cỏ có rất nhiều hoa.")</f>
        <v>Trên bãi cỏ có rất nhiều hoa.</v>
      </c>
      <c r="F30" s="30" t="s">
        <v>397</v>
      </c>
      <c r="G30" s="36" t="b">
        <f t="shared" si="1"/>
        <v>1</v>
      </c>
      <c r="H30" s="35" t="b">
        <v>0</v>
      </c>
      <c r="I30" s="35" t="b">
        <v>0</v>
      </c>
      <c r="J30" s="35" t="b">
        <v>0</v>
      </c>
      <c r="K30" s="35" t="b">
        <v>0</v>
      </c>
      <c r="L30" s="35" t="b">
        <v>0</v>
      </c>
      <c r="M30" s="35" t="b">
        <v>0</v>
      </c>
      <c r="N30" s="35" t="b">
        <v>0</v>
      </c>
      <c r="O30" s="35" t="b">
        <v>0</v>
      </c>
      <c r="P30" s="35" t="b">
        <v>0</v>
      </c>
      <c r="Q30" s="35" t="b">
        <v>0</v>
      </c>
      <c r="R30" s="14"/>
      <c r="S30" s="14"/>
      <c r="T30" s="14"/>
      <c r="U30" s="14"/>
      <c r="V30" s="14"/>
      <c r="W30" s="14"/>
    </row>
    <row r="31" ht="15.75" customHeight="1">
      <c r="A31" s="18" t="s">
        <v>414</v>
      </c>
      <c r="B31" s="22" t="s">
        <v>416</v>
      </c>
      <c r="C31" s="22" t="s">
        <v>418</v>
      </c>
      <c r="D31" s="22" t="s">
        <v>419</v>
      </c>
      <c r="E31" s="31" t="str">
        <f>IFERROR(__xludf.DUMMYFUNCTION("GOOGLETRANSLATE(D31,""zh-CN"",""vi"")"),"Tôi sống ở tầng ba.")</f>
        <v>Tôi sống ở tầng ba.</v>
      </c>
      <c r="F31" s="30" t="s">
        <v>414</v>
      </c>
      <c r="G31" s="36" t="b">
        <f t="shared" si="1"/>
        <v>1</v>
      </c>
      <c r="H31" s="35" t="b">
        <v>0</v>
      </c>
      <c r="I31" s="35" t="b">
        <v>0</v>
      </c>
      <c r="J31" s="35" t="b">
        <v>0</v>
      </c>
      <c r="K31" s="35" t="b">
        <v>0</v>
      </c>
      <c r="L31" s="35" t="b">
        <v>0</v>
      </c>
      <c r="M31" s="35" t="b">
        <v>0</v>
      </c>
      <c r="N31" s="35" t="b">
        <v>0</v>
      </c>
      <c r="O31" s="35" t="b">
        <v>0</v>
      </c>
      <c r="P31" s="35" t="b">
        <v>0</v>
      </c>
      <c r="Q31" s="35" t="b">
        <v>0</v>
      </c>
      <c r="R31" s="14"/>
      <c r="S31" s="14"/>
      <c r="T31" s="14"/>
      <c r="U31" s="14"/>
      <c r="V31" s="14"/>
      <c r="W31" s="14"/>
    </row>
    <row r="32" ht="15.75" customHeight="1">
      <c r="A32" s="18" t="s">
        <v>428</v>
      </c>
      <c r="B32" s="22" t="s">
        <v>431</v>
      </c>
      <c r="C32" s="22" t="s">
        <v>432</v>
      </c>
      <c r="D32" s="22" t="s">
        <v>433</v>
      </c>
      <c r="E32" s="31" t="str">
        <f>IFERROR(__xludf.DUMMYFUNCTION("GOOGLETRANSLATE(D32,""zh-CN"",""vi"")"),"Thời tiết hôm nay thật tệ.")</f>
        <v>Thời tiết hôm nay thật tệ.</v>
      </c>
      <c r="F32" s="30" t="s">
        <v>428</v>
      </c>
      <c r="G32" s="36" t="b">
        <f t="shared" si="1"/>
        <v>1</v>
      </c>
      <c r="H32" s="35" t="b">
        <v>0</v>
      </c>
      <c r="I32" s="35" t="b">
        <v>0</v>
      </c>
      <c r="J32" s="35" t="b">
        <v>0</v>
      </c>
      <c r="K32" s="35" t="b">
        <v>0</v>
      </c>
      <c r="L32" s="35" t="b">
        <v>0</v>
      </c>
      <c r="M32" s="35" t="b">
        <v>0</v>
      </c>
      <c r="N32" s="35" t="b">
        <v>0</v>
      </c>
      <c r="O32" s="35" t="b">
        <v>0</v>
      </c>
      <c r="P32" s="35" t="b">
        <v>0</v>
      </c>
      <c r="Q32" s="35" t="b">
        <v>0</v>
      </c>
      <c r="R32" s="14"/>
      <c r="S32" s="14"/>
      <c r="T32" s="14"/>
      <c r="U32" s="14"/>
      <c r="V32" s="14"/>
      <c r="W32" s="14"/>
    </row>
    <row r="33" ht="15.75" customHeight="1">
      <c r="A33" s="18" t="s">
        <v>446</v>
      </c>
      <c r="B33" s="22" t="s">
        <v>448</v>
      </c>
      <c r="C33" s="22" t="s">
        <v>450</v>
      </c>
      <c r="D33" s="22" t="s">
        <v>453</v>
      </c>
      <c r="E33" s="31" t="str">
        <f>IFERROR(__xludf.DUMMYFUNCTION("GOOGLETRANSLATE(D33,""zh-CN"",""vi"")"),"Tôi đã đến siêu thị để mua đồ.")</f>
        <v>Tôi đã đến siêu thị để mua đồ.</v>
      </c>
      <c r="F33" s="30" t="s">
        <v>446</v>
      </c>
      <c r="G33" s="36" t="b">
        <f t="shared" si="1"/>
        <v>1</v>
      </c>
      <c r="H33" s="35" t="b">
        <v>0</v>
      </c>
      <c r="I33" s="35" t="b">
        <v>0</v>
      </c>
      <c r="J33" s="35" t="b">
        <v>0</v>
      </c>
      <c r="K33" s="35" t="b">
        <v>0</v>
      </c>
      <c r="L33" s="35" t="b">
        <v>0</v>
      </c>
      <c r="M33" s="35" t="b">
        <v>0</v>
      </c>
      <c r="N33" s="35" t="b">
        <v>0</v>
      </c>
      <c r="O33" s="35" t="b">
        <v>0</v>
      </c>
      <c r="P33" s="35" t="b">
        <v>0</v>
      </c>
      <c r="Q33" s="35" t="b">
        <v>0</v>
      </c>
      <c r="R33" s="14"/>
      <c r="S33" s="14"/>
      <c r="T33" s="14"/>
      <c r="U33" s="14"/>
      <c r="V33" s="14"/>
      <c r="W33" s="14"/>
    </row>
    <row r="34" ht="15.75" customHeight="1">
      <c r="A34" s="18" t="s">
        <v>462</v>
      </c>
      <c r="B34" s="22" t="s">
        <v>463</v>
      </c>
      <c r="C34" s="22" t="s">
        <v>464</v>
      </c>
      <c r="D34" s="22" t="s">
        <v>466</v>
      </c>
      <c r="E34" s="31" t="str">
        <f>IFERROR(__xludf.DUMMYFUNCTION("GOOGLETRANSLATE(D34,""zh-CN"",""vi"")"),"Anh ấy mặc một chiếc áo sơ mi trắng.")</f>
        <v>Anh ấy mặc một chiếc áo sơ mi trắng.</v>
      </c>
      <c r="F34" s="30" t="s">
        <v>462</v>
      </c>
      <c r="G34" s="36" t="b">
        <f t="shared" si="1"/>
        <v>1</v>
      </c>
      <c r="H34" s="35" t="b">
        <v>0</v>
      </c>
      <c r="I34" s="35" t="b">
        <v>0</v>
      </c>
      <c r="J34" s="35" t="b">
        <v>0</v>
      </c>
      <c r="K34" s="35" t="b">
        <v>0</v>
      </c>
      <c r="L34" s="35" t="b">
        <v>0</v>
      </c>
      <c r="M34" s="35" t="b">
        <v>0</v>
      </c>
      <c r="N34" s="35" t="b">
        <v>0</v>
      </c>
      <c r="O34" s="35" t="b">
        <v>0</v>
      </c>
      <c r="P34" s="35" t="b">
        <v>0</v>
      </c>
      <c r="Q34" s="35" t="b">
        <v>0</v>
      </c>
      <c r="R34" s="14"/>
      <c r="S34" s="14"/>
      <c r="T34" s="14"/>
      <c r="U34" s="14"/>
      <c r="V34" s="14"/>
      <c r="W34" s="14"/>
    </row>
    <row r="35" ht="15.75" customHeight="1">
      <c r="A35" s="18" t="s">
        <v>481</v>
      </c>
      <c r="B35" s="22" t="s">
        <v>484</v>
      </c>
      <c r="C35" s="22" t="s">
        <v>486</v>
      </c>
      <c r="D35" s="22" t="s">
        <v>488</v>
      </c>
      <c r="E35" s="31" t="str">
        <f>IFERROR(__xludf.DUMMYFUNCTION("GOOGLETRANSLATE(D35,""zh-CN"",""vi"")"),"Điểm số của cậu ấy rất tốt.")</f>
        <v>Điểm số của cậu ấy rất tốt.</v>
      </c>
      <c r="F35" s="30" t="s">
        <v>481</v>
      </c>
      <c r="G35" s="36" t="b">
        <f t="shared" si="1"/>
        <v>1</v>
      </c>
      <c r="H35" s="35" t="b">
        <v>0</v>
      </c>
      <c r="I35" s="35" t="b">
        <v>0</v>
      </c>
      <c r="J35" s="35" t="b">
        <v>0</v>
      </c>
      <c r="K35" s="35" t="b">
        <v>0</v>
      </c>
      <c r="L35" s="35" t="b">
        <v>0</v>
      </c>
      <c r="M35" s="35" t="b">
        <v>0</v>
      </c>
      <c r="N35" s="35" t="b">
        <v>0</v>
      </c>
      <c r="O35" s="35" t="b">
        <v>0</v>
      </c>
      <c r="P35" s="35" t="b">
        <v>0</v>
      </c>
      <c r="Q35" s="35" t="b">
        <v>0</v>
      </c>
      <c r="R35" s="14"/>
      <c r="S35" s="14"/>
      <c r="T35" s="14"/>
      <c r="U35" s="14"/>
      <c r="V35" s="14"/>
      <c r="W35" s="14"/>
    </row>
    <row r="36" ht="15.75" customHeight="1">
      <c r="A36" s="18" t="s">
        <v>502</v>
      </c>
      <c r="B36" s="22" t="s">
        <v>503</v>
      </c>
      <c r="C36" s="22" t="s">
        <v>505</v>
      </c>
      <c r="D36" s="22" t="s">
        <v>507</v>
      </c>
      <c r="E36" s="31" t="str">
        <f>IFERROR(__xludf.DUMMYFUNCTION("GOOGLETRANSLATE(D36,""zh-CN"",""vi"")"),"Thành phố này rất lớn.")</f>
        <v>Thành phố này rất lớn.</v>
      </c>
      <c r="F36" s="30" t="s">
        <v>502</v>
      </c>
      <c r="G36" s="36" t="b">
        <f t="shared" si="1"/>
        <v>1</v>
      </c>
      <c r="H36" s="35" t="b">
        <v>0</v>
      </c>
      <c r="I36" s="35" t="b">
        <v>0</v>
      </c>
      <c r="J36" s="35" t="b">
        <v>0</v>
      </c>
      <c r="K36" s="35" t="b">
        <v>0</v>
      </c>
      <c r="L36" s="35" t="b">
        <v>0</v>
      </c>
      <c r="M36" s="35" t="b">
        <v>0</v>
      </c>
      <c r="N36" s="35" t="b">
        <v>0</v>
      </c>
      <c r="O36" s="35" t="b">
        <v>0</v>
      </c>
      <c r="P36" s="35" t="b">
        <v>0</v>
      </c>
      <c r="Q36" s="35" t="b">
        <v>0</v>
      </c>
      <c r="R36" s="14"/>
      <c r="S36" s="14"/>
      <c r="T36" s="14"/>
      <c r="U36" s="14"/>
      <c r="V36" s="14"/>
      <c r="W36" s="14"/>
    </row>
    <row r="37" ht="15.75" customHeight="1">
      <c r="A37" s="18" t="s">
        <v>519</v>
      </c>
      <c r="B37" s="22" t="s">
        <v>520</v>
      </c>
      <c r="C37" s="22" t="s">
        <v>521</v>
      </c>
      <c r="D37" s="22" t="s">
        <v>522</v>
      </c>
      <c r="E37" s="31" t="str">
        <f>IFERROR(__xludf.DUMMYFUNCTION("GOOGLETRANSLATE(D37,""zh-CN"",""vi"")"),"Hôm nay anh ấy đến muộn.")</f>
        <v>Hôm nay anh ấy đến muộn.</v>
      </c>
      <c r="F37" s="30" t="s">
        <v>519</v>
      </c>
      <c r="G37" s="36" t="b">
        <f t="shared" si="1"/>
        <v>1</v>
      </c>
      <c r="H37" s="35" t="b">
        <v>0</v>
      </c>
      <c r="I37" s="35" t="b">
        <v>0</v>
      </c>
      <c r="J37" s="35" t="b">
        <v>0</v>
      </c>
      <c r="K37" s="35" t="b">
        <v>0</v>
      </c>
      <c r="L37" s="35" t="b">
        <v>0</v>
      </c>
      <c r="M37" s="35" t="b">
        <v>0</v>
      </c>
      <c r="N37" s="35" t="b">
        <v>0</v>
      </c>
      <c r="O37" s="35" t="b">
        <v>0</v>
      </c>
      <c r="P37" s="35" t="b">
        <v>0</v>
      </c>
      <c r="Q37" s="35" t="b">
        <v>0</v>
      </c>
      <c r="R37" s="14"/>
      <c r="S37" s="14"/>
      <c r="T37" s="14"/>
      <c r="U37" s="14"/>
      <c r="V37" s="14"/>
      <c r="W37" s="14"/>
    </row>
    <row r="38" ht="15.75" customHeight="1">
      <c r="A38" s="18" t="s">
        <v>531</v>
      </c>
      <c r="B38" s="22" t="s">
        <v>532</v>
      </c>
      <c r="C38" s="22" t="s">
        <v>533</v>
      </c>
      <c r="D38" s="22" t="s">
        <v>535</v>
      </c>
      <c r="E38" s="31" t="str">
        <f>IFERROR(__xludf.DUMMYFUNCTION("GOOGLETRANSLATE(D38,""zh-CN"",""vi"")"),"Chúng tôi đã gặp phải một vấn đề.")</f>
        <v>Chúng tôi đã gặp phải một vấn đề.</v>
      </c>
      <c r="F38" s="30" t="s">
        <v>531</v>
      </c>
      <c r="G38" s="36" t="b">
        <f t="shared" si="1"/>
        <v>1</v>
      </c>
      <c r="H38" s="35" t="b">
        <v>0</v>
      </c>
      <c r="I38" s="35" t="b">
        <v>0</v>
      </c>
      <c r="J38" s="35" t="b">
        <v>0</v>
      </c>
      <c r="K38" s="35" t="b">
        <v>0</v>
      </c>
      <c r="L38" s="35" t="b">
        <v>0</v>
      </c>
      <c r="M38" s="35" t="b">
        <v>0</v>
      </c>
      <c r="N38" s="35" t="b">
        <v>0</v>
      </c>
      <c r="O38" s="35" t="b">
        <v>0</v>
      </c>
      <c r="P38" s="35" t="b">
        <v>0</v>
      </c>
      <c r="Q38" s="35" t="b">
        <v>0</v>
      </c>
      <c r="R38" s="14"/>
      <c r="S38" s="14"/>
      <c r="T38" s="14"/>
      <c r="U38" s="14"/>
      <c r="V38" s="14"/>
      <c r="W38" s="14"/>
    </row>
    <row r="39" ht="15.75" customHeight="1">
      <c r="A39" s="18" t="s">
        <v>543</v>
      </c>
      <c r="B39" s="22" t="s">
        <v>544</v>
      </c>
      <c r="C39" s="22" t="s">
        <v>545</v>
      </c>
      <c r="D39" s="22" t="s">
        <v>546</v>
      </c>
      <c r="E39" s="31" t="str">
        <f>IFERROR(__xludf.DUMMYFUNCTION("GOOGLETRANSLATE(D39,""zh-CN"",""vi"")"),"Nhà bếp rất sạch sẽ.")</f>
        <v>Nhà bếp rất sạch sẽ.</v>
      </c>
      <c r="F39" s="30" t="s">
        <v>543</v>
      </c>
      <c r="G39" s="36" t="b">
        <f t="shared" si="1"/>
        <v>1</v>
      </c>
      <c r="H39" s="35" t="b">
        <v>0</v>
      </c>
      <c r="I39" s="35" t="b">
        <v>0</v>
      </c>
      <c r="J39" s="35" t="b">
        <v>0</v>
      </c>
      <c r="K39" s="35" t="b">
        <v>0</v>
      </c>
      <c r="L39" s="35" t="b">
        <v>0</v>
      </c>
      <c r="M39" s="35" t="b">
        <v>0</v>
      </c>
      <c r="N39" s="35" t="b">
        <v>0</v>
      </c>
      <c r="O39" s="35" t="b">
        <v>0</v>
      </c>
      <c r="P39" s="35" t="b">
        <v>0</v>
      </c>
      <c r="Q39" s="35" t="b">
        <v>0</v>
      </c>
      <c r="R39" s="14"/>
      <c r="S39" s="14"/>
      <c r="T39" s="14"/>
      <c r="U39" s="14"/>
      <c r="V39" s="14"/>
      <c r="W39" s="14"/>
    </row>
    <row r="40" ht="15.75" customHeight="1">
      <c r="A40" s="18" t="s">
        <v>561</v>
      </c>
      <c r="B40" s="22" t="s">
        <v>564</v>
      </c>
      <c r="C40" s="22" t="s">
        <v>565</v>
      </c>
      <c r="D40" s="22" t="s">
        <v>566</v>
      </c>
      <c r="E40" s="31" t="str">
        <f>IFERROR(__xludf.DUMMYFUNCTION("GOOGLETRANSLATE(D40,""zh-CN"",""vi"")"),"Mọi người khác đều đến trừ anh ấy.")</f>
        <v>Mọi người khác đều đến trừ anh ấy.</v>
      </c>
      <c r="F40" s="30" t="s">
        <v>561</v>
      </c>
      <c r="G40" s="36" t="b">
        <f t="shared" si="1"/>
        <v>1</v>
      </c>
      <c r="H40" s="35" t="b">
        <v>0</v>
      </c>
      <c r="I40" s="35" t="b">
        <v>0</v>
      </c>
      <c r="J40" s="35" t="b">
        <v>0</v>
      </c>
      <c r="K40" s="35" t="b">
        <v>0</v>
      </c>
      <c r="L40" s="35" t="b">
        <v>0</v>
      </c>
      <c r="M40" s="35" t="b">
        <v>0</v>
      </c>
      <c r="N40" s="35" t="b">
        <v>0</v>
      </c>
      <c r="O40" s="35" t="b">
        <v>0</v>
      </c>
      <c r="P40" s="35" t="b">
        <v>0</v>
      </c>
      <c r="Q40" s="35" t="b">
        <v>0</v>
      </c>
      <c r="R40" s="14"/>
      <c r="S40" s="14"/>
      <c r="T40" s="14"/>
      <c r="U40" s="14"/>
      <c r="V40" s="14"/>
      <c r="W40" s="14"/>
    </row>
    <row r="41" ht="15.75" customHeight="1">
      <c r="A41" s="18" t="s">
        <v>571</v>
      </c>
      <c r="B41" s="22" t="s">
        <v>572</v>
      </c>
      <c r="C41" s="22" t="s">
        <v>573</v>
      </c>
      <c r="D41" s="22" t="s">
        <v>574</v>
      </c>
      <c r="E41" s="31" t="str">
        <f>IFERROR(__xludf.DUMMYFUNCTION("GOOGLETRANSLATE(D41,""zh-CN"",""vi"")"),"Mùa xuân đã đến, và hoa đang nở rộ.")</f>
        <v>Mùa xuân đã đến, và hoa đang nở rộ.</v>
      </c>
      <c r="F41" s="30" t="s">
        <v>571</v>
      </c>
      <c r="G41" s="36" t="b">
        <f t="shared" si="1"/>
        <v>1</v>
      </c>
      <c r="H41" s="35" t="b">
        <v>0</v>
      </c>
      <c r="I41" s="35" t="b">
        <v>0</v>
      </c>
      <c r="J41" s="35" t="b">
        <v>0</v>
      </c>
      <c r="K41" s="35" t="b">
        <v>0</v>
      </c>
      <c r="L41" s="35" t="b">
        <v>0</v>
      </c>
      <c r="M41" s="35" t="b">
        <v>0</v>
      </c>
      <c r="N41" s="35" t="b">
        <v>0</v>
      </c>
      <c r="O41" s="35" t="b">
        <v>0</v>
      </c>
      <c r="P41" s="35" t="b">
        <v>0</v>
      </c>
      <c r="Q41" s="35" t="b">
        <v>0</v>
      </c>
      <c r="R41" s="14"/>
      <c r="S41" s="14"/>
      <c r="T41" s="14"/>
      <c r="U41" s="14"/>
      <c r="V41" s="14"/>
      <c r="W41" s="14"/>
    </row>
    <row r="42" ht="15.75" customHeight="1">
      <c r="A42" s="18" t="s">
        <v>583</v>
      </c>
      <c r="B42" s="22" t="s">
        <v>586</v>
      </c>
      <c r="C42" s="22" t="s">
        <v>588</v>
      </c>
      <c r="D42" s="22" t="s">
        <v>592</v>
      </c>
      <c r="E42" s="31" t="str">
        <f>IFERROR(__xludf.DUMMYFUNCTION("GOOGLETRANSLATE(D42,""zh-CN"",""vi"")"),"Tôi thích học từ mới.")</f>
        <v>Tôi thích học từ mới.</v>
      </c>
      <c r="F42" s="30" t="s">
        <v>583</v>
      </c>
      <c r="G42" s="36" t="b">
        <f t="shared" si="1"/>
        <v>1</v>
      </c>
      <c r="H42" s="35" t="b">
        <v>0</v>
      </c>
      <c r="I42" s="35" t="b">
        <v>0</v>
      </c>
      <c r="J42" s="35" t="b">
        <v>0</v>
      </c>
      <c r="K42" s="35" t="b">
        <v>0</v>
      </c>
      <c r="L42" s="35" t="b">
        <v>0</v>
      </c>
      <c r="M42" s="35" t="b">
        <v>0</v>
      </c>
      <c r="N42" s="35" t="b">
        <v>0</v>
      </c>
      <c r="O42" s="35" t="b">
        <v>0</v>
      </c>
      <c r="P42" s="35" t="b">
        <v>0</v>
      </c>
      <c r="Q42" s="35" t="b">
        <v>0</v>
      </c>
      <c r="R42" s="14"/>
      <c r="S42" s="14"/>
      <c r="T42" s="14"/>
      <c r="U42" s="14"/>
      <c r="V42" s="14"/>
      <c r="W42" s="14"/>
    </row>
    <row r="43" ht="15.75" customHeight="1">
      <c r="A43" s="18" t="s">
        <v>601</v>
      </c>
      <c r="B43" s="22" t="s">
        <v>604</v>
      </c>
      <c r="C43" s="22" t="s">
        <v>605</v>
      </c>
      <c r="D43" s="22" t="s">
        <v>606</v>
      </c>
      <c r="E43" s="31" t="str">
        <f>IFERROR(__xludf.DUMMYFUNCTION("GOOGLETRANSLATE(D43,""zh-CN"",""vi"")"),"Cô ấy rất thông minh và luôn biết câu trả lời.")</f>
        <v>Cô ấy rất thông minh và luôn biết câu trả lời.</v>
      </c>
      <c r="F43" s="30" t="s">
        <v>601</v>
      </c>
      <c r="G43" s="36" t="b">
        <f t="shared" si="1"/>
        <v>1</v>
      </c>
      <c r="H43" s="35" t="b">
        <v>0</v>
      </c>
      <c r="I43" s="35" t="b">
        <v>0</v>
      </c>
      <c r="J43" s="35" t="b">
        <v>0</v>
      </c>
      <c r="K43" s="35" t="b">
        <v>0</v>
      </c>
      <c r="L43" s="35" t="b">
        <v>0</v>
      </c>
      <c r="M43" s="35" t="b">
        <v>0</v>
      </c>
      <c r="N43" s="35" t="b">
        <v>0</v>
      </c>
      <c r="O43" s="35" t="b">
        <v>0</v>
      </c>
      <c r="P43" s="35" t="b">
        <v>0</v>
      </c>
      <c r="Q43" s="35" t="b">
        <v>0</v>
      </c>
      <c r="R43" s="14"/>
      <c r="S43" s="14"/>
      <c r="T43" s="14"/>
      <c r="U43" s="14"/>
      <c r="V43" s="14"/>
      <c r="W43" s="14"/>
    </row>
    <row r="44" ht="15.75" customHeight="1">
      <c r="A44" s="18" t="s">
        <v>615</v>
      </c>
      <c r="B44" s="22" t="s">
        <v>616</v>
      </c>
      <c r="C44" s="22" t="s">
        <v>617</v>
      </c>
      <c r="D44" s="22" t="s">
        <v>618</v>
      </c>
      <c r="E44" s="31" t="str">
        <f>IFERROR(__xludf.DUMMYFUNCTION("GOOGLETRANSLATE(D44,""zh-CN"",""vi"")"),"Chúng ta cùng nhau dọn dẹp phòng nhé.")</f>
        <v>Chúng ta cùng nhau dọn dẹp phòng nhé.</v>
      </c>
      <c r="F44" s="30" t="s">
        <v>615</v>
      </c>
      <c r="G44" s="36" t="b">
        <f t="shared" si="1"/>
        <v>1</v>
      </c>
      <c r="H44" s="35" t="b">
        <v>0</v>
      </c>
      <c r="I44" s="35" t="b">
        <v>0</v>
      </c>
      <c r="J44" s="35" t="b">
        <v>0</v>
      </c>
      <c r="K44" s="35" t="b">
        <v>0</v>
      </c>
      <c r="L44" s="35" t="b">
        <v>0</v>
      </c>
      <c r="M44" s="35" t="b">
        <v>0</v>
      </c>
      <c r="N44" s="35" t="b">
        <v>0</v>
      </c>
      <c r="O44" s="35" t="b">
        <v>0</v>
      </c>
      <c r="P44" s="35" t="b">
        <v>0</v>
      </c>
      <c r="Q44" s="35" t="b">
        <v>0</v>
      </c>
      <c r="R44" s="14"/>
      <c r="S44" s="14"/>
      <c r="T44" s="14"/>
      <c r="U44" s="14"/>
      <c r="V44" s="14"/>
      <c r="W44" s="14"/>
    </row>
    <row r="45" ht="15.75" customHeight="1">
      <c r="A45" s="18" t="s">
        <v>630</v>
      </c>
      <c r="B45" s="22" t="s">
        <v>631</v>
      </c>
      <c r="C45" s="22" t="s">
        <v>632</v>
      </c>
      <c r="D45" s="22" t="s">
        <v>633</v>
      </c>
      <c r="E45" s="31" t="str">
        <f>IFERROR(__xludf.DUMMYFUNCTION("GOOGLETRANSLATE(D45,""zh-CN"",""vi"")"),"Tôi đang lên kế hoạch đi du lịch.")</f>
        <v>Tôi đang lên kế hoạch đi du lịch.</v>
      </c>
      <c r="F45" s="30" t="s">
        <v>630</v>
      </c>
      <c r="G45" s="36" t="b">
        <f t="shared" si="1"/>
        <v>1</v>
      </c>
      <c r="H45" s="35" t="b">
        <v>0</v>
      </c>
      <c r="I45" s="35" t="b">
        <v>0</v>
      </c>
      <c r="J45" s="35" t="b">
        <v>0</v>
      </c>
      <c r="K45" s="35" t="b">
        <v>0</v>
      </c>
      <c r="L45" s="35" t="b">
        <v>0</v>
      </c>
      <c r="M45" s="35" t="b">
        <v>0</v>
      </c>
      <c r="N45" s="35" t="b">
        <v>0</v>
      </c>
      <c r="O45" s="35" t="b">
        <v>0</v>
      </c>
      <c r="P45" s="35" t="b">
        <v>0</v>
      </c>
      <c r="Q45" s="35" t="b">
        <v>0</v>
      </c>
      <c r="R45" s="14"/>
      <c r="S45" s="14"/>
      <c r="T45" s="14"/>
      <c r="U45" s="14"/>
      <c r="V45" s="14"/>
      <c r="W45" s="14"/>
    </row>
    <row r="46" ht="15.75" customHeight="1">
      <c r="A46" s="18" t="s">
        <v>646</v>
      </c>
      <c r="B46" s="22" t="s">
        <v>123</v>
      </c>
      <c r="C46" s="22" t="s">
        <v>649</v>
      </c>
      <c r="D46" s="22" t="s">
        <v>651</v>
      </c>
      <c r="E46" s="31" t="str">
        <f>IFERROR(__xludf.DUMMYFUNCTION("GOOGLETRANSLATE(D46,""zh-CN"",""vi"")"),"Đừng quên mang theo ô.")</f>
        <v>Đừng quên mang theo ô.</v>
      </c>
      <c r="F46" s="30" t="s">
        <v>646</v>
      </c>
      <c r="G46" s="36" t="b">
        <f t="shared" si="1"/>
        <v>1</v>
      </c>
      <c r="H46" s="35" t="b">
        <v>0</v>
      </c>
      <c r="I46" s="35" t="b">
        <v>0</v>
      </c>
      <c r="J46" s="35" t="b">
        <v>0</v>
      </c>
      <c r="K46" s="35" t="b">
        <v>0</v>
      </c>
      <c r="L46" s="35" t="b">
        <v>0</v>
      </c>
      <c r="M46" s="35" t="b">
        <v>0</v>
      </c>
      <c r="N46" s="35" t="b">
        <v>0</v>
      </c>
      <c r="O46" s="35" t="b">
        <v>0</v>
      </c>
      <c r="P46" s="35" t="b">
        <v>0</v>
      </c>
      <c r="Q46" s="35" t="b">
        <v>0</v>
      </c>
      <c r="R46" s="14"/>
      <c r="S46" s="14"/>
      <c r="T46" s="14"/>
      <c r="U46" s="14"/>
      <c r="V46" s="14"/>
      <c r="W46" s="14"/>
    </row>
    <row r="47" ht="15.75" customHeight="1">
      <c r="A47" s="18" t="s">
        <v>661</v>
      </c>
      <c r="B47" s="22" t="s">
        <v>663</v>
      </c>
      <c r="C47" s="22" t="s">
        <v>665</v>
      </c>
      <c r="D47" s="22" t="s">
        <v>666</v>
      </c>
      <c r="E47" s="31" t="str">
        <f>IFERROR(__xludf.DUMMYFUNCTION("GOOGLETRANSLATE(D47,""zh-CN"",""vi"")"),"Tôi lo lắng cho sức khỏe của anh ấy.")</f>
        <v>Tôi lo lắng cho sức khỏe của anh ấy.</v>
      </c>
      <c r="F47" s="30" t="s">
        <v>661</v>
      </c>
      <c r="G47" s="36" t="b">
        <f t="shared" si="1"/>
        <v>1</v>
      </c>
      <c r="H47" s="35" t="b">
        <v>0</v>
      </c>
      <c r="I47" s="35" t="b">
        <v>0</v>
      </c>
      <c r="J47" s="35" t="b">
        <v>0</v>
      </c>
      <c r="K47" s="35" t="b">
        <v>0</v>
      </c>
      <c r="L47" s="35" t="b">
        <v>0</v>
      </c>
      <c r="M47" s="35" t="b">
        <v>0</v>
      </c>
      <c r="N47" s="35" t="b">
        <v>0</v>
      </c>
      <c r="O47" s="35" t="b">
        <v>0</v>
      </c>
      <c r="P47" s="35" t="b">
        <v>0</v>
      </c>
      <c r="Q47" s="35" t="b">
        <v>0</v>
      </c>
      <c r="R47" s="14"/>
      <c r="S47" s="14"/>
      <c r="T47" s="14"/>
      <c r="U47" s="14"/>
      <c r="V47" s="14"/>
      <c r="W47" s="14"/>
    </row>
    <row r="48" ht="15.75" customHeight="1">
      <c r="A48" s="18" t="s">
        <v>675</v>
      </c>
      <c r="B48" s="22" t="s">
        <v>676</v>
      </c>
      <c r="C48" s="22" t="s">
        <v>677</v>
      </c>
      <c r="D48" s="22" t="s">
        <v>678</v>
      </c>
      <c r="E48" s="31" t="str">
        <f>IFERROR(__xludf.DUMMYFUNCTION("GOOGLETRANSLATE(D48,""zh-CN"",""vi"")"),"Chúc mừng sinh nhật, đây là bánh kem dành cho bạn.")</f>
        <v>Chúc mừng sinh nhật, đây là bánh kem dành cho bạn.</v>
      </c>
      <c r="F48" s="30" t="s">
        <v>675</v>
      </c>
      <c r="G48" s="36" t="b">
        <f t="shared" si="1"/>
        <v>1</v>
      </c>
      <c r="H48" s="35" t="b">
        <v>0</v>
      </c>
      <c r="I48" s="35" t="b">
        <v>0</v>
      </c>
      <c r="J48" s="35" t="b">
        <v>0</v>
      </c>
      <c r="K48" s="35" t="b">
        <v>0</v>
      </c>
      <c r="L48" s="35" t="b">
        <v>0</v>
      </c>
      <c r="M48" s="35" t="b">
        <v>0</v>
      </c>
      <c r="N48" s="35" t="b">
        <v>0</v>
      </c>
      <c r="O48" s="35" t="b">
        <v>0</v>
      </c>
      <c r="P48" s="35" t="b">
        <v>0</v>
      </c>
      <c r="Q48" s="35" t="b">
        <v>0</v>
      </c>
      <c r="R48" s="14"/>
      <c r="S48" s="14"/>
      <c r="T48" s="14"/>
      <c r="U48" s="14"/>
      <c r="V48" s="14"/>
      <c r="W48" s="14"/>
    </row>
    <row r="49" ht="15.75" customHeight="1">
      <c r="A49" s="18" t="s">
        <v>688</v>
      </c>
      <c r="B49" s="22" t="s">
        <v>690</v>
      </c>
      <c r="C49" s="22" t="s">
        <v>693</v>
      </c>
      <c r="D49" s="22" t="s">
        <v>695</v>
      </c>
      <c r="E49" s="31" t="str">
        <f>IFERROR(__xludf.DUMMYFUNCTION("GOOGLETRANSLATE(D49,""zh-CN"",""vi"")"),"Dĩ nhiên bạn có thể đi.")</f>
        <v>Dĩ nhiên bạn có thể đi.</v>
      </c>
      <c r="F49" s="30" t="s">
        <v>688</v>
      </c>
      <c r="G49" s="36" t="b">
        <f t="shared" si="1"/>
        <v>1</v>
      </c>
      <c r="H49" s="35" t="b">
        <v>0</v>
      </c>
      <c r="I49" s="35" t="b">
        <v>0</v>
      </c>
      <c r="J49" s="35" t="b">
        <v>0</v>
      </c>
      <c r="K49" s="35" t="b">
        <v>0</v>
      </c>
      <c r="L49" s="35" t="b">
        <v>0</v>
      </c>
      <c r="M49" s="35" t="b">
        <v>0</v>
      </c>
      <c r="N49" s="35" t="b">
        <v>0</v>
      </c>
      <c r="O49" s="35" t="b">
        <v>0</v>
      </c>
      <c r="P49" s="35" t="b">
        <v>0</v>
      </c>
      <c r="Q49" s="35" t="b">
        <v>0</v>
      </c>
      <c r="R49" s="14"/>
      <c r="S49" s="14"/>
      <c r="T49" s="14"/>
      <c r="U49" s="14"/>
      <c r="V49" s="14"/>
      <c r="W49" s="14"/>
    </row>
    <row r="50" ht="15.75" customHeight="1">
      <c r="A50" s="18" t="s">
        <v>708</v>
      </c>
      <c r="B50" s="22" t="s">
        <v>146</v>
      </c>
      <c r="C50" s="22" t="s">
        <v>709</v>
      </c>
      <c r="D50" s="22" t="s">
        <v>710</v>
      </c>
      <c r="E50" s="31" t="str">
        <f>IFERROR(__xludf.DUMMYFUNCTION("GOOGLETRANSLATE(D50,""zh-CN"",""vi"")"),"Hãy nói chậm rãi.")</f>
        <v>Hãy nói chậm rãi.</v>
      </c>
      <c r="F50" s="30" t="s">
        <v>708</v>
      </c>
      <c r="G50" s="36" t="b">
        <f t="shared" si="1"/>
        <v>1</v>
      </c>
      <c r="H50" s="35" t="b">
        <v>0</v>
      </c>
      <c r="I50" s="35" t="b">
        <v>0</v>
      </c>
      <c r="J50" s="35" t="b">
        <v>0</v>
      </c>
      <c r="K50" s="35" t="b">
        <v>0</v>
      </c>
      <c r="L50" s="35" t="b">
        <v>0</v>
      </c>
      <c r="M50" s="35" t="b">
        <v>0</v>
      </c>
      <c r="N50" s="35" t="b">
        <v>0</v>
      </c>
      <c r="O50" s="35" t="b">
        <v>0</v>
      </c>
      <c r="P50" s="35" t="b">
        <v>0</v>
      </c>
      <c r="Q50" s="35" t="b">
        <v>0</v>
      </c>
      <c r="R50" s="14"/>
      <c r="S50" s="14"/>
      <c r="T50" s="14"/>
      <c r="U50" s="14"/>
      <c r="V50" s="14"/>
      <c r="W50" s="14"/>
    </row>
    <row r="51" ht="15.75" customHeight="1">
      <c r="A51" s="18" t="s">
        <v>722</v>
      </c>
      <c r="B51" s="22" t="s">
        <v>723</v>
      </c>
      <c r="C51" s="22" t="s">
        <v>724</v>
      </c>
      <c r="D51" s="22" t="s">
        <v>727</v>
      </c>
      <c r="E51" s="31" t="str">
        <f>IFERROR(__xludf.DUMMYFUNCTION("GOOGLETRANSLATE(D51,""zh-CN"",""vi"")"),"Vui lòng bật đèn lên.")</f>
        <v>Vui lòng bật đèn lên.</v>
      </c>
      <c r="F51" s="30" t="s">
        <v>722</v>
      </c>
      <c r="G51" s="36" t="b">
        <f t="shared" si="1"/>
        <v>1</v>
      </c>
      <c r="H51" s="35" t="b">
        <v>0</v>
      </c>
      <c r="I51" s="35" t="b">
        <v>0</v>
      </c>
      <c r="J51" s="35" t="b">
        <v>0</v>
      </c>
      <c r="K51" s="35" t="b">
        <v>0</v>
      </c>
      <c r="L51" s="35" t="b">
        <v>0</v>
      </c>
      <c r="M51" s="35" t="b">
        <v>0</v>
      </c>
      <c r="N51" s="35" t="b">
        <v>0</v>
      </c>
      <c r="O51" s="35" t="b">
        <v>0</v>
      </c>
      <c r="P51" s="35" t="b">
        <v>0</v>
      </c>
      <c r="Q51" s="35" t="b">
        <v>0</v>
      </c>
      <c r="R51" s="14"/>
      <c r="S51" s="14"/>
      <c r="T51" s="14"/>
      <c r="U51" s="14"/>
      <c r="V51" s="14"/>
      <c r="W51" s="14"/>
    </row>
    <row r="52" ht="15.75" customHeight="1">
      <c r="A52" s="18" t="s">
        <v>739</v>
      </c>
      <c r="B52" s="22" t="s">
        <v>741</v>
      </c>
      <c r="C52" s="22" t="s">
        <v>743</v>
      </c>
      <c r="D52" s="22" t="s">
        <v>745</v>
      </c>
      <c r="E52" s="31" t="str">
        <f>IFERROR(__xludf.DUMMYFUNCTION("GOOGLETRANSLATE(D52,""zh-CN"",""vi"")"),"Giọng anh ấy rất nhỏ.")</f>
        <v>Giọng anh ấy rất nhỏ.</v>
      </c>
      <c r="F52" s="30" t="s">
        <v>739</v>
      </c>
      <c r="G52" s="36" t="b">
        <f t="shared" si="1"/>
        <v>1</v>
      </c>
      <c r="H52" s="35" t="b">
        <v>0</v>
      </c>
      <c r="I52" s="35" t="b">
        <v>0</v>
      </c>
      <c r="J52" s="35" t="b">
        <v>0</v>
      </c>
      <c r="K52" s="35" t="b">
        <v>0</v>
      </c>
      <c r="L52" s="35" t="b">
        <v>0</v>
      </c>
      <c r="M52" s="35" t="b">
        <v>0</v>
      </c>
      <c r="N52" s="35" t="b">
        <v>0</v>
      </c>
      <c r="O52" s="35" t="b">
        <v>0</v>
      </c>
      <c r="P52" s="35" t="b">
        <v>0</v>
      </c>
      <c r="Q52" s="35" t="b">
        <v>0</v>
      </c>
      <c r="R52" s="14"/>
      <c r="S52" s="14"/>
      <c r="T52" s="14"/>
      <c r="U52" s="14"/>
      <c r="V52" s="14"/>
      <c r="W52" s="14"/>
    </row>
    <row r="53" ht="15.75" customHeight="1">
      <c r="A53" s="18" t="s">
        <v>754</v>
      </c>
      <c r="B53" s="22" t="s">
        <v>756</v>
      </c>
      <c r="C53" s="22" t="s">
        <v>759</v>
      </c>
      <c r="D53" s="22" t="s">
        <v>763</v>
      </c>
      <c r="E53" s="31" t="str">
        <f>IFERROR(__xludf.DUMMYFUNCTION("GOOGLETRANSLATE(D53,""zh-CN"",""vi"")"),"Nơi này rất thú vị.")</f>
        <v>Nơi này rất thú vị.</v>
      </c>
      <c r="F53" s="30" t="s">
        <v>754</v>
      </c>
      <c r="G53" s="36" t="b">
        <f t="shared" si="1"/>
        <v>1</v>
      </c>
      <c r="H53" s="35" t="b">
        <v>0</v>
      </c>
      <c r="I53" s="35" t="b">
        <v>0</v>
      </c>
      <c r="J53" s="35" t="b">
        <v>0</v>
      </c>
      <c r="K53" s="35" t="b">
        <v>0</v>
      </c>
      <c r="L53" s="35" t="b">
        <v>0</v>
      </c>
      <c r="M53" s="35" t="b">
        <v>0</v>
      </c>
      <c r="N53" s="35" t="b">
        <v>0</v>
      </c>
      <c r="O53" s="35" t="b">
        <v>0</v>
      </c>
      <c r="P53" s="35" t="b">
        <v>0</v>
      </c>
      <c r="Q53" s="35" t="b">
        <v>0</v>
      </c>
      <c r="R53" s="14"/>
      <c r="S53" s="14"/>
      <c r="T53" s="14"/>
      <c r="U53" s="14"/>
      <c r="V53" s="14"/>
      <c r="W53" s="14"/>
    </row>
    <row r="54" ht="15.75" customHeight="1">
      <c r="A54" s="18" t="s">
        <v>798</v>
      </c>
      <c r="B54" s="22" t="s">
        <v>799</v>
      </c>
      <c r="C54" s="22" t="s">
        <v>800</v>
      </c>
      <c r="D54" s="22" t="s">
        <v>802</v>
      </c>
      <c r="E54" s="31" t="str">
        <f>IFERROR(__xludf.DUMMYFUNCTION("GOOGLETRANSLATE(D54,""zh-CN"",""vi"")"),"Tôi đi tàu điện ngầm đến chỗ làm.")</f>
        <v>Tôi đi tàu điện ngầm đến chỗ làm.</v>
      </c>
      <c r="F54" s="30" t="s">
        <v>798</v>
      </c>
      <c r="G54" s="36" t="b">
        <f t="shared" si="1"/>
        <v>1</v>
      </c>
      <c r="H54" s="35" t="b">
        <v>0</v>
      </c>
      <c r="I54" s="35" t="b">
        <v>0</v>
      </c>
      <c r="J54" s="35" t="b">
        <v>0</v>
      </c>
      <c r="K54" s="35" t="b">
        <v>0</v>
      </c>
      <c r="L54" s="35" t="b">
        <v>0</v>
      </c>
      <c r="M54" s="35" t="b">
        <v>0</v>
      </c>
      <c r="N54" s="35" t="b">
        <v>0</v>
      </c>
      <c r="O54" s="35" t="b">
        <v>0</v>
      </c>
      <c r="P54" s="35" t="b">
        <v>0</v>
      </c>
      <c r="Q54" s="35" t="b">
        <v>0</v>
      </c>
      <c r="R54" s="14"/>
      <c r="S54" s="14"/>
      <c r="T54" s="14"/>
      <c r="U54" s="14"/>
      <c r="V54" s="14"/>
      <c r="W54" s="14"/>
    </row>
    <row r="55" ht="15.75" customHeight="1">
      <c r="A55" s="18" t="s">
        <v>820</v>
      </c>
      <c r="B55" s="22" t="s">
        <v>821</v>
      </c>
      <c r="C55" s="22" t="s">
        <v>822</v>
      </c>
      <c r="D55" s="22" t="s">
        <v>826</v>
      </c>
      <c r="E55" s="31" t="str">
        <f>IFERROR(__xludf.DUMMYFUNCTION("GOOGLETRANSLATE(D55,""zh-CN"",""vi"")"),"Bạn có bản đồ thành phố này không?")</f>
        <v>Bạn có bản đồ thành phố này không?</v>
      </c>
      <c r="F55" s="30" t="s">
        <v>820</v>
      </c>
      <c r="G55" s="36" t="b">
        <f t="shared" si="1"/>
        <v>1</v>
      </c>
      <c r="H55" s="35" t="b">
        <v>0</v>
      </c>
      <c r="I55" s="35" t="b">
        <v>0</v>
      </c>
      <c r="J55" s="35" t="b">
        <v>0</v>
      </c>
      <c r="K55" s="35" t="b">
        <v>0</v>
      </c>
      <c r="L55" s="35" t="b">
        <v>0</v>
      </c>
      <c r="M55" s="35" t="b">
        <v>0</v>
      </c>
      <c r="N55" s="35" t="b">
        <v>0</v>
      </c>
      <c r="O55" s="35" t="b">
        <v>0</v>
      </c>
      <c r="P55" s="35" t="b">
        <v>0</v>
      </c>
      <c r="Q55" s="35" t="b">
        <v>0</v>
      </c>
      <c r="R55" s="14"/>
      <c r="S55" s="14"/>
      <c r="T55" s="14"/>
      <c r="U55" s="14"/>
      <c r="V55" s="14"/>
      <c r="W55" s="14"/>
    </row>
    <row r="56" ht="15.75" customHeight="1">
      <c r="A56" s="18" t="s">
        <v>835</v>
      </c>
      <c r="B56" s="22" t="s">
        <v>836</v>
      </c>
      <c r="C56" s="22" t="s">
        <v>838</v>
      </c>
      <c r="D56" s="22" t="s">
        <v>840</v>
      </c>
      <c r="E56" s="31" t="str">
        <f>IFERROR(__xludf.DUMMYFUNCTION("GOOGLETRANSLATE(D56,""zh-CN"",""vi"")"),"Chúng tôi đi thang máy lên tầng trên.")</f>
        <v>Chúng tôi đi thang máy lên tầng trên.</v>
      </c>
      <c r="F56" s="30" t="s">
        <v>835</v>
      </c>
      <c r="G56" s="36" t="b">
        <f t="shared" si="1"/>
        <v>1</v>
      </c>
      <c r="H56" s="35" t="b">
        <v>0</v>
      </c>
      <c r="I56" s="35" t="b">
        <v>0</v>
      </c>
      <c r="J56" s="35" t="b">
        <v>0</v>
      </c>
      <c r="K56" s="35" t="b">
        <v>0</v>
      </c>
      <c r="L56" s="35" t="b">
        <v>0</v>
      </c>
      <c r="M56" s="35" t="b">
        <v>0</v>
      </c>
      <c r="N56" s="35" t="b">
        <v>0</v>
      </c>
      <c r="O56" s="35" t="b">
        <v>0</v>
      </c>
      <c r="P56" s="35" t="b">
        <v>0</v>
      </c>
      <c r="Q56" s="35" t="b">
        <v>0</v>
      </c>
      <c r="R56" s="14"/>
      <c r="S56" s="14"/>
      <c r="T56" s="14"/>
      <c r="U56" s="14"/>
      <c r="V56" s="14"/>
      <c r="W56" s="14"/>
    </row>
    <row r="57" ht="15.75" customHeight="1">
      <c r="A57" s="18" t="s">
        <v>849</v>
      </c>
      <c r="B57" s="22" t="s">
        <v>850</v>
      </c>
      <c r="C57" s="22" t="s">
        <v>851</v>
      </c>
      <c r="D57" s="22" t="s">
        <v>853</v>
      </c>
      <c r="E57" s="31" t="str">
        <f>IFERROR(__xludf.DUMMYFUNCTION("GOOGLETRANSLATE(D57,""zh-CN"",""vi"")"),"Vui lòng gửi email cho tôi.")</f>
        <v>Vui lòng gửi email cho tôi.</v>
      </c>
      <c r="F57" s="30" t="s">
        <v>849</v>
      </c>
      <c r="G57" s="36" t="b">
        <f t="shared" si="1"/>
        <v>1</v>
      </c>
      <c r="H57" s="35" t="b">
        <v>0</v>
      </c>
      <c r="I57" s="35" t="b">
        <v>0</v>
      </c>
      <c r="J57" s="35" t="b">
        <v>0</v>
      </c>
      <c r="K57" s="35" t="b">
        <v>0</v>
      </c>
      <c r="L57" s="35" t="b">
        <v>0</v>
      </c>
      <c r="M57" s="35" t="b">
        <v>0</v>
      </c>
      <c r="N57" s="35" t="b">
        <v>0</v>
      </c>
      <c r="O57" s="35" t="b">
        <v>0</v>
      </c>
      <c r="P57" s="35" t="b">
        <v>0</v>
      </c>
      <c r="Q57" s="35" t="b">
        <v>0</v>
      </c>
      <c r="R57" s="14"/>
      <c r="S57" s="14"/>
      <c r="T57" s="14"/>
      <c r="U57" s="14"/>
      <c r="V57" s="14"/>
      <c r="W57" s="14"/>
    </row>
    <row r="58" ht="15.75" customHeight="1">
      <c r="A58" s="18" t="s">
        <v>865</v>
      </c>
      <c r="B58" s="22" t="s">
        <v>868</v>
      </c>
      <c r="C58" s="22" t="s">
        <v>870</v>
      </c>
      <c r="D58" s="22" t="s">
        <v>872</v>
      </c>
      <c r="E58" s="31" t="str">
        <f>IFERROR(__xludf.DUMMYFUNCTION("GOOGLETRANSLATE(D58,""zh-CN"",""vi"")"),"Có một ngọn núi ở phía đông.")</f>
        <v>Có một ngọn núi ở phía đông.</v>
      </c>
      <c r="F58" s="30" t="s">
        <v>865</v>
      </c>
      <c r="G58" s="36" t="b">
        <f t="shared" si="1"/>
        <v>1</v>
      </c>
      <c r="H58" s="35" t="b">
        <v>0</v>
      </c>
      <c r="I58" s="35" t="b">
        <v>0</v>
      </c>
      <c r="J58" s="35" t="b">
        <v>0</v>
      </c>
      <c r="K58" s="35" t="b">
        <v>0</v>
      </c>
      <c r="L58" s="35" t="b">
        <v>0</v>
      </c>
      <c r="M58" s="35" t="b">
        <v>0</v>
      </c>
      <c r="N58" s="35" t="b">
        <v>0</v>
      </c>
      <c r="O58" s="35" t="b">
        <v>0</v>
      </c>
      <c r="P58" s="35" t="b">
        <v>0</v>
      </c>
      <c r="Q58" s="35" t="b">
        <v>0</v>
      </c>
      <c r="R58" s="14"/>
      <c r="S58" s="14"/>
      <c r="T58" s="14"/>
      <c r="U58" s="14"/>
      <c r="V58" s="14"/>
      <c r="W58" s="14"/>
    </row>
    <row r="59" ht="15.75" customHeight="1">
      <c r="A59" s="18" t="s">
        <v>885</v>
      </c>
      <c r="B59" s="22" t="s">
        <v>868</v>
      </c>
      <c r="C59" s="22" t="s">
        <v>886</v>
      </c>
      <c r="D59" s="22" t="s">
        <v>887</v>
      </c>
      <c r="E59" s="31" t="str">
        <f>IFERROR(__xludf.DUMMYFUNCTION("GOOGLETRANSLATE(D59,""zh-CN"",""vi"")"),"Mùa đông rất lạnh.")</f>
        <v>Mùa đông rất lạnh.</v>
      </c>
      <c r="F59" s="30" t="s">
        <v>885</v>
      </c>
      <c r="G59" s="36" t="b">
        <f t="shared" si="1"/>
        <v>1</v>
      </c>
      <c r="H59" s="35" t="b">
        <v>0</v>
      </c>
      <c r="I59" s="35" t="b">
        <v>0</v>
      </c>
      <c r="J59" s="35" t="b">
        <v>0</v>
      </c>
      <c r="K59" s="35" t="b">
        <v>0</v>
      </c>
      <c r="L59" s="35" t="b">
        <v>0</v>
      </c>
      <c r="M59" s="35" t="b">
        <v>0</v>
      </c>
      <c r="N59" s="35" t="b">
        <v>0</v>
      </c>
      <c r="O59" s="35" t="b">
        <v>0</v>
      </c>
      <c r="P59" s="35" t="b">
        <v>0</v>
      </c>
      <c r="Q59" s="35" t="b">
        <v>0</v>
      </c>
      <c r="R59" s="14"/>
      <c r="S59" s="14"/>
      <c r="T59" s="14"/>
      <c r="U59" s="14"/>
      <c r="V59" s="14"/>
      <c r="W59" s="14"/>
    </row>
    <row r="60" ht="15.75" customHeight="1">
      <c r="A60" s="18" t="s">
        <v>900</v>
      </c>
      <c r="B60" s="22" t="s">
        <v>902</v>
      </c>
      <c r="C60" s="22" t="s">
        <v>905</v>
      </c>
      <c r="D60" s="22" t="s">
        <v>907</v>
      </c>
      <c r="E60" s="31" t="str">
        <f>IFERROR(__xludf.DUMMYFUNCTION("GOOGLETRANSLATE(D60,""zh-CN"",""vi"")"),"Tôi thích động vật.")</f>
        <v>Tôi thích động vật.</v>
      </c>
      <c r="F60" s="30" t="s">
        <v>900</v>
      </c>
      <c r="G60" s="36" t="b">
        <f t="shared" si="1"/>
        <v>1</v>
      </c>
      <c r="H60" s="35" t="b">
        <v>0</v>
      </c>
      <c r="I60" s="35" t="b">
        <v>0</v>
      </c>
      <c r="J60" s="35" t="b">
        <v>0</v>
      </c>
      <c r="K60" s="35" t="b">
        <v>0</v>
      </c>
      <c r="L60" s="35" t="b">
        <v>0</v>
      </c>
      <c r="M60" s="35" t="b">
        <v>0</v>
      </c>
      <c r="N60" s="35" t="b">
        <v>0</v>
      </c>
      <c r="O60" s="35" t="b">
        <v>0</v>
      </c>
      <c r="P60" s="35" t="b">
        <v>0</v>
      </c>
      <c r="Q60" s="35" t="b">
        <v>0</v>
      </c>
      <c r="R60" s="14"/>
      <c r="S60" s="14"/>
      <c r="T60" s="14"/>
      <c r="U60" s="14"/>
      <c r="V60" s="14"/>
      <c r="W60" s="14"/>
    </row>
    <row r="61" ht="15.75" customHeight="1">
      <c r="A61" s="18" t="s">
        <v>920</v>
      </c>
      <c r="B61" s="22" t="s">
        <v>921</v>
      </c>
      <c r="C61" s="22" t="s">
        <v>922</v>
      </c>
      <c r="D61" s="22" t="s">
        <v>923</v>
      </c>
      <c r="E61" s="31" t="str">
        <f>IFERROR(__xludf.DUMMYFUNCTION("GOOGLETRANSLATE(D61,""zh-CN"",""vi"")"),"Chiếc váy này quá ngắn.")</f>
        <v>Chiếc váy này quá ngắn.</v>
      </c>
      <c r="F61" s="30" t="s">
        <v>920</v>
      </c>
      <c r="G61" s="36" t="b">
        <f t="shared" si="1"/>
        <v>1</v>
      </c>
      <c r="H61" s="35" t="b">
        <v>0</v>
      </c>
      <c r="I61" s="35" t="b">
        <v>0</v>
      </c>
      <c r="J61" s="35" t="b">
        <v>0</v>
      </c>
      <c r="K61" s="35" t="b">
        <v>0</v>
      </c>
      <c r="L61" s="35" t="b">
        <v>0</v>
      </c>
      <c r="M61" s="35" t="b">
        <v>0</v>
      </c>
      <c r="N61" s="35" t="b">
        <v>0</v>
      </c>
      <c r="O61" s="35" t="b">
        <v>0</v>
      </c>
      <c r="P61" s="35" t="b">
        <v>0</v>
      </c>
      <c r="Q61" s="35" t="b">
        <v>0</v>
      </c>
      <c r="R61" s="14"/>
      <c r="S61" s="14"/>
      <c r="T61" s="14"/>
      <c r="U61" s="14"/>
      <c r="V61" s="14"/>
      <c r="W61" s="14"/>
    </row>
    <row r="62" ht="15.75" customHeight="1">
      <c r="A62" s="18" t="s">
        <v>933</v>
      </c>
      <c r="B62" s="22" t="s">
        <v>935</v>
      </c>
      <c r="C62" s="22" t="s">
        <v>938</v>
      </c>
      <c r="D62" s="22" t="s">
        <v>941</v>
      </c>
      <c r="E62" s="31" t="str">
        <f>IFERROR(__xludf.DUMMYFUNCTION("GOOGLETRANSLATE(D62,""zh-CN"",""vi"")"),"Anh ấy kể một câu chuyện.")</f>
        <v>Anh ấy kể một câu chuyện.</v>
      </c>
      <c r="F62" s="30" t="s">
        <v>933</v>
      </c>
      <c r="G62" s="36" t="b">
        <f t="shared" si="1"/>
        <v>1</v>
      </c>
      <c r="H62" s="35" t="b">
        <v>0</v>
      </c>
      <c r="I62" s="35" t="b">
        <v>0</v>
      </c>
      <c r="J62" s="35" t="b">
        <v>0</v>
      </c>
      <c r="K62" s="35" t="b">
        <v>0</v>
      </c>
      <c r="L62" s="35" t="b">
        <v>0</v>
      </c>
      <c r="M62" s="35" t="b">
        <v>0</v>
      </c>
      <c r="N62" s="35" t="b">
        <v>0</v>
      </c>
      <c r="O62" s="35" t="b">
        <v>0</v>
      </c>
      <c r="P62" s="35" t="b">
        <v>0</v>
      </c>
      <c r="Q62" s="35" t="b">
        <v>0</v>
      </c>
      <c r="R62" s="14"/>
      <c r="S62" s="14"/>
      <c r="T62" s="14"/>
      <c r="U62" s="14"/>
      <c r="V62" s="14"/>
      <c r="W62" s="14"/>
    </row>
    <row r="63" ht="15.75" customHeight="1">
      <c r="A63" s="18" t="s">
        <v>952</v>
      </c>
      <c r="B63" s="22" t="s">
        <v>953</v>
      </c>
      <c r="C63" s="22" t="s">
        <v>954</v>
      </c>
      <c r="D63" s="22" t="s">
        <v>956</v>
      </c>
      <c r="E63" s="31" t="str">
        <f>IFERROR(__xludf.DUMMYFUNCTION("GOOGLETRANSLATE(D63,""zh-CN"",""vi"")"),"Tôi tập thể dục mỗi ngày.")</f>
        <v>Tôi tập thể dục mỗi ngày.</v>
      </c>
      <c r="F63" s="30" t="s">
        <v>952</v>
      </c>
      <c r="G63" s="36" t="b">
        <f t="shared" si="1"/>
        <v>1</v>
      </c>
      <c r="H63" s="35" t="b">
        <v>0</v>
      </c>
      <c r="I63" s="35" t="b">
        <v>0</v>
      </c>
      <c r="J63" s="35" t="b">
        <v>0</v>
      </c>
      <c r="K63" s="35" t="b">
        <v>0</v>
      </c>
      <c r="L63" s="35" t="b">
        <v>0</v>
      </c>
      <c r="M63" s="35" t="b">
        <v>0</v>
      </c>
      <c r="N63" s="35" t="b">
        <v>0</v>
      </c>
      <c r="O63" s="35" t="b">
        <v>0</v>
      </c>
      <c r="P63" s="35" t="b">
        <v>0</v>
      </c>
      <c r="Q63" s="35" t="b">
        <v>0</v>
      </c>
      <c r="R63" s="14"/>
      <c r="S63" s="14"/>
      <c r="T63" s="14"/>
      <c r="U63" s="14"/>
      <c r="V63" s="14"/>
      <c r="W63" s="14"/>
    </row>
    <row r="64" ht="15.75" customHeight="1">
      <c r="A64" s="18" t="s">
        <v>969</v>
      </c>
      <c r="B64" s="22" t="s">
        <v>970</v>
      </c>
      <c r="C64" s="22" t="s">
        <v>971</v>
      </c>
      <c r="D64" s="22" t="s">
        <v>973</v>
      </c>
      <c r="E64" s="31" t="str">
        <f>IFERROR(__xludf.DUMMYFUNCTION("GOOGLETRANSLATE(D64,""zh-CN"",""vi"")"),"Cảnh vật ở đây đẹp quá!")</f>
        <v>Cảnh vật ở đây đẹp quá!</v>
      </c>
      <c r="F64" s="30" t="s">
        <v>969</v>
      </c>
      <c r="G64" s="36" t="b">
        <f t="shared" si="1"/>
        <v>1</v>
      </c>
      <c r="H64" s="35" t="b">
        <v>0</v>
      </c>
      <c r="I64" s="35" t="b">
        <v>0</v>
      </c>
      <c r="J64" s="35" t="b">
        <v>0</v>
      </c>
      <c r="K64" s="35" t="b">
        <v>0</v>
      </c>
      <c r="L64" s="35" t="b">
        <v>0</v>
      </c>
      <c r="M64" s="35" t="b">
        <v>0</v>
      </c>
      <c r="N64" s="35" t="b">
        <v>0</v>
      </c>
      <c r="O64" s="35" t="b">
        <v>0</v>
      </c>
      <c r="P64" s="35" t="b">
        <v>0</v>
      </c>
      <c r="Q64" s="35" t="b">
        <v>0</v>
      </c>
      <c r="R64" s="14"/>
      <c r="S64" s="14"/>
      <c r="T64" s="14"/>
      <c r="U64" s="14"/>
      <c r="V64" s="14"/>
      <c r="W64" s="14"/>
    </row>
    <row r="65" ht="15.75" customHeight="1">
      <c r="A65" s="18" t="s">
        <v>989</v>
      </c>
      <c r="B65" s="22" t="s">
        <v>990</v>
      </c>
      <c r="C65" s="22" t="s">
        <v>991</v>
      </c>
      <c r="D65" s="22" t="s">
        <v>992</v>
      </c>
      <c r="E65" s="31" t="str">
        <f>IFERROR(__xludf.DUMMYFUNCTION("GOOGLETRANSLATE(D65,""zh-CN"",""vi"")"),"Tôi đói bụng và muốn ăn.")</f>
        <v>Tôi đói bụng và muốn ăn.</v>
      </c>
      <c r="F65" s="30" t="s">
        <v>989</v>
      </c>
      <c r="G65" s="36" t="b">
        <f t="shared" si="1"/>
        <v>1</v>
      </c>
      <c r="H65" s="35" t="b">
        <v>0</v>
      </c>
      <c r="I65" s="35" t="b">
        <v>0</v>
      </c>
      <c r="J65" s="35" t="b">
        <v>0</v>
      </c>
      <c r="K65" s="35" t="b">
        <v>0</v>
      </c>
      <c r="L65" s="35" t="b">
        <v>0</v>
      </c>
      <c r="M65" s="35" t="b">
        <v>0</v>
      </c>
      <c r="N65" s="35" t="b">
        <v>0</v>
      </c>
      <c r="O65" s="35" t="b">
        <v>0</v>
      </c>
      <c r="P65" s="35" t="b">
        <v>0</v>
      </c>
      <c r="Q65" s="35" t="b">
        <v>0</v>
      </c>
      <c r="R65" s="14"/>
      <c r="S65" s="14"/>
      <c r="T65" s="14"/>
      <c r="U65" s="14"/>
      <c r="V65" s="14"/>
      <c r="W65" s="14"/>
    </row>
    <row r="66" ht="15.75" customHeight="1">
      <c r="A66" s="18" t="s">
        <v>1003</v>
      </c>
      <c r="B66" s="22" t="s">
        <v>1005</v>
      </c>
      <c r="C66" s="22" t="s">
        <v>1006</v>
      </c>
      <c r="D66" s="22" t="s">
        <v>1007</v>
      </c>
      <c r="E66" s="31" t="str">
        <f>IFERROR(__xludf.DUMMYFUNCTION("GOOGLETRANSLATE(D66,""zh-CN"",""vi"")"),"Anh ấy thông minh và chăm chỉ.")</f>
        <v>Anh ấy thông minh và chăm chỉ.</v>
      </c>
      <c r="F66" s="30" t="s">
        <v>1003</v>
      </c>
      <c r="G66" s="36" t="b">
        <f t="shared" si="1"/>
        <v>1</v>
      </c>
      <c r="H66" s="35" t="b">
        <v>0</v>
      </c>
      <c r="I66" s="35" t="b">
        <v>0</v>
      </c>
      <c r="J66" s="35" t="b">
        <v>0</v>
      </c>
      <c r="K66" s="35" t="b">
        <v>0</v>
      </c>
      <c r="L66" s="35" t="b">
        <v>0</v>
      </c>
      <c r="M66" s="35" t="b">
        <v>0</v>
      </c>
      <c r="N66" s="35" t="b">
        <v>0</v>
      </c>
      <c r="O66" s="35" t="b">
        <v>0</v>
      </c>
      <c r="P66" s="35" t="b">
        <v>0</v>
      </c>
      <c r="Q66" s="35" t="b">
        <v>0</v>
      </c>
      <c r="R66" s="14"/>
      <c r="S66" s="14"/>
      <c r="T66" s="14"/>
      <c r="U66" s="14"/>
      <c r="V66" s="14"/>
      <c r="W66" s="14"/>
    </row>
    <row r="67" ht="15.75" customHeight="1">
      <c r="A67" s="18" t="s">
        <v>1020</v>
      </c>
      <c r="B67" s="22" t="s">
        <v>1021</v>
      </c>
      <c r="C67" s="22" t="s">
        <v>1022</v>
      </c>
      <c r="D67" s="22" t="s">
        <v>1023</v>
      </c>
      <c r="E67" s="31" t="str">
        <f>IFERROR(__xludf.DUMMYFUNCTION("GOOGLETRANSLATE(D67,""zh-CN"",""vi"")"),"Tai tôi rất nhạy cảm.")</f>
        <v>Tai tôi rất nhạy cảm.</v>
      </c>
      <c r="F67" s="30" t="s">
        <v>1020</v>
      </c>
      <c r="G67" s="36" t="b">
        <f t="shared" si="1"/>
        <v>1</v>
      </c>
      <c r="H67" s="35" t="b">
        <v>0</v>
      </c>
      <c r="I67" s="35" t="b">
        <v>0</v>
      </c>
      <c r="J67" s="35" t="b">
        <v>0</v>
      </c>
      <c r="K67" s="35" t="b">
        <v>0</v>
      </c>
      <c r="L67" s="35" t="b">
        <v>0</v>
      </c>
      <c r="M67" s="35" t="b">
        <v>0</v>
      </c>
      <c r="N67" s="35" t="b">
        <v>0</v>
      </c>
      <c r="O67" s="35" t="b">
        <v>0</v>
      </c>
      <c r="P67" s="35" t="b">
        <v>0</v>
      </c>
      <c r="Q67" s="35" t="b">
        <v>0</v>
      </c>
      <c r="R67" s="14"/>
      <c r="S67" s="14"/>
      <c r="T67" s="14"/>
      <c r="U67" s="14"/>
      <c r="V67" s="14"/>
      <c r="W67" s="14"/>
    </row>
    <row r="68" ht="15.75" customHeight="1">
      <c r="A68" s="18" t="s">
        <v>1038</v>
      </c>
      <c r="B68" s="22" t="s">
        <v>1040</v>
      </c>
      <c r="C68" s="22" t="s">
        <v>1041</v>
      </c>
      <c r="D68" s="22" t="s">
        <v>1042</v>
      </c>
      <c r="E68" s="31" t="str">
        <f>IFERROR(__xludf.DUMMYFUNCTION("GOOGLETRANSLATE(D68,""zh-CN"",""vi"")"),"Anh ấy bị sốt và cần nghỉ ngơi.")</f>
        <v>Anh ấy bị sốt và cần nghỉ ngơi.</v>
      </c>
      <c r="F68" s="30" t="s">
        <v>1038</v>
      </c>
      <c r="G68" s="36" t="b">
        <f t="shared" si="1"/>
        <v>1</v>
      </c>
      <c r="H68" s="35" t="b">
        <v>0</v>
      </c>
      <c r="I68" s="35" t="b">
        <v>0</v>
      </c>
      <c r="J68" s="35" t="b">
        <v>0</v>
      </c>
      <c r="K68" s="35" t="b">
        <v>0</v>
      </c>
      <c r="L68" s="35" t="b">
        <v>0</v>
      </c>
      <c r="M68" s="35" t="b">
        <v>0</v>
      </c>
      <c r="N68" s="35" t="b">
        <v>0</v>
      </c>
      <c r="O68" s="35" t="b">
        <v>0</v>
      </c>
      <c r="P68" s="35" t="b">
        <v>0</v>
      </c>
      <c r="Q68" s="35" t="b">
        <v>0</v>
      </c>
      <c r="R68" s="14"/>
      <c r="S68" s="14"/>
      <c r="T68" s="14"/>
      <c r="U68" s="14"/>
      <c r="V68" s="14"/>
      <c r="W68" s="14"/>
    </row>
    <row r="69" ht="15.75" customHeight="1">
      <c r="A69" s="18" t="s">
        <v>1052</v>
      </c>
      <c r="B69" s="22" t="s">
        <v>1054</v>
      </c>
      <c r="C69" s="22" t="s">
        <v>1057</v>
      </c>
      <c r="D69" s="22" t="s">
        <v>1059</v>
      </c>
      <c r="E69" s="31" t="str">
        <f>IFERROR(__xludf.DUMMYFUNCTION("GOOGLETRANSLATE(D69,""zh-CN"",""vi"")"),"Tôi đã phát hiện ra một bí mật.")</f>
        <v>Tôi đã phát hiện ra một bí mật.</v>
      </c>
      <c r="F69" s="30" t="s">
        <v>1052</v>
      </c>
      <c r="G69" s="36" t="b">
        <f t="shared" si="1"/>
        <v>1</v>
      </c>
      <c r="H69" s="35" t="b">
        <v>0</v>
      </c>
      <c r="I69" s="35" t="b">
        <v>0</v>
      </c>
      <c r="J69" s="35" t="b">
        <v>0</v>
      </c>
      <c r="K69" s="35" t="b">
        <v>0</v>
      </c>
      <c r="L69" s="35" t="b">
        <v>0</v>
      </c>
      <c r="M69" s="35" t="b">
        <v>0</v>
      </c>
      <c r="N69" s="35" t="b">
        <v>0</v>
      </c>
      <c r="O69" s="35" t="b">
        <v>0</v>
      </c>
      <c r="P69" s="35" t="b">
        <v>0</v>
      </c>
      <c r="Q69" s="35" t="b">
        <v>0</v>
      </c>
      <c r="R69" s="14"/>
      <c r="S69" s="14"/>
      <c r="T69" s="14"/>
      <c r="U69" s="14"/>
      <c r="V69" s="14"/>
      <c r="W69" s="14"/>
    </row>
    <row r="70" ht="15.75" customHeight="1">
      <c r="A70" s="18" t="s">
        <v>1072</v>
      </c>
      <c r="B70" s="22" t="s">
        <v>1074</v>
      </c>
      <c r="C70" s="22" t="s">
        <v>1076</v>
      </c>
      <c r="D70" s="22" t="s">
        <v>1078</v>
      </c>
      <c r="E70" s="31" t="str">
        <f>IFERROR(__xludf.DUMMYFUNCTION("GOOGLETRANSLATE(D70,""zh-CN"",""vi"")"),"Nơi này rất thuận tiện.")</f>
        <v>Nơi này rất thuận tiện.</v>
      </c>
      <c r="F70" s="30" t="s">
        <v>1072</v>
      </c>
      <c r="G70" s="36" t="b">
        <f t="shared" si="1"/>
        <v>1</v>
      </c>
      <c r="H70" s="35" t="b">
        <v>0</v>
      </c>
      <c r="I70" s="35" t="b">
        <v>0</v>
      </c>
      <c r="J70" s="35" t="b">
        <v>0</v>
      </c>
      <c r="K70" s="35" t="b">
        <v>0</v>
      </c>
      <c r="L70" s="35" t="b">
        <v>0</v>
      </c>
      <c r="M70" s="35" t="b">
        <v>0</v>
      </c>
      <c r="N70" s="35" t="b">
        <v>0</v>
      </c>
      <c r="O70" s="35" t="b">
        <v>0</v>
      </c>
      <c r="P70" s="35" t="b">
        <v>0</v>
      </c>
      <c r="Q70" s="35" t="b">
        <v>0</v>
      </c>
      <c r="R70" s="14"/>
      <c r="S70" s="14"/>
      <c r="T70" s="14"/>
      <c r="U70" s="14"/>
      <c r="V70" s="14"/>
      <c r="W70" s="14"/>
    </row>
    <row r="71" ht="15.75" customHeight="1">
      <c r="A71" s="18" t="s">
        <v>1086</v>
      </c>
      <c r="B71" s="22" t="s">
        <v>1087</v>
      </c>
      <c r="C71" s="22" t="s">
        <v>1088</v>
      </c>
      <c r="D71" s="22" t="s">
        <v>1089</v>
      </c>
      <c r="E71" s="31" t="str">
        <f>IFERROR(__xludf.DUMMYFUNCTION("GOOGLETRANSLATE(D71,""zh-CN"",""vi"")"),"Hãy đặt cuốn sách lên bàn.")</f>
        <v>Hãy đặt cuốn sách lên bàn.</v>
      </c>
      <c r="F71" s="30" t="s">
        <v>1086</v>
      </c>
      <c r="G71" s="36" t="b">
        <f t="shared" si="1"/>
        <v>1</v>
      </c>
      <c r="H71" s="35" t="b">
        <v>0</v>
      </c>
      <c r="I71" s="35" t="b">
        <v>0</v>
      </c>
      <c r="J71" s="35" t="b">
        <v>0</v>
      </c>
      <c r="K71" s="35" t="b">
        <v>0</v>
      </c>
      <c r="L71" s="35" t="b">
        <v>0</v>
      </c>
      <c r="M71" s="35" t="b">
        <v>0</v>
      </c>
      <c r="N71" s="35" t="b">
        <v>0</v>
      </c>
      <c r="O71" s="35" t="b">
        <v>0</v>
      </c>
      <c r="P71" s="35" t="b">
        <v>0</v>
      </c>
      <c r="Q71" s="35" t="b">
        <v>0</v>
      </c>
      <c r="R71" s="14"/>
      <c r="S71" s="14"/>
      <c r="T71" s="14"/>
      <c r="U71" s="14"/>
      <c r="V71" s="14"/>
      <c r="W71" s="14"/>
    </row>
    <row r="72" ht="15.75" customHeight="1">
      <c r="A72" s="18" t="s">
        <v>1104</v>
      </c>
      <c r="B72" s="22" t="s">
        <v>1107</v>
      </c>
      <c r="C72" s="22" t="s">
        <v>1108</v>
      </c>
      <c r="D72" s="22" t="s">
        <v>1109</v>
      </c>
      <c r="E72" s="31" t="str">
        <f>IFERROR(__xludf.DUMMYFUNCTION("GOOGLETRANSLATE(D72,""zh-CN"",""vi"")"),"Hãy yên tâm.")</f>
        <v>Hãy yên tâm.</v>
      </c>
      <c r="F72" s="30" t="s">
        <v>1104</v>
      </c>
      <c r="G72" s="36" t="b">
        <f t="shared" si="1"/>
        <v>1</v>
      </c>
      <c r="H72" s="35" t="b">
        <v>0</v>
      </c>
      <c r="I72" s="35" t="b">
        <v>0</v>
      </c>
      <c r="J72" s="35" t="b">
        <v>0</v>
      </c>
      <c r="K72" s="35" t="b">
        <v>0</v>
      </c>
      <c r="L72" s="35" t="b">
        <v>0</v>
      </c>
      <c r="M72" s="35" t="b">
        <v>0</v>
      </c>
      <c r="N72" s="35" t="b">
        <v>0</v>
      </c>
      <c r="O72" s="35" t="b">
        <v>0</v>
      </c>
      <c r="P72" s="35" t="b">
        <v>0</v>
      </c>
      <c r="Q72" s="35" t="b">
        <v>0</v>
      </c>
      <c r="R72" s="14"/>
      <c r="S72" s="14"/>
      <c r="T72" s="14"/>
      <c r="U72" s="14"/>
      <c r="V72" s="14"/>
      <c r="W72" s="14"/>
    </row>
    <row r="73" ht="15.75" customHeight="1">
      <c r="A73" s="18" t="s">
        <v>1121</v>
      </c>
      <c r="B73" s="22" t="s">
        <v>1122</v>
      </c>
      <c r="C73" s="22" t="s">
        <v>1123</v>
      </c>
      <c r="D73" s="22" t="s">
        <v>1124</v>
      </c>
      <c r="E73" s="31" t="str">
        <f>IFERROR(__xludf.DUMMYFUNCTION("GOOGLETRANSLATE(D73,""zh-CN"",""vi"")"),"Chúng tôi khởi hành lúc 8:10.")</f>
        <v>Chúng tôi khởi hành lúc 8:10.</v>
      </c>
      <c r="F73" s="30" t="s">
        <v>1121</v>
      </c>
      <c r="G73" s="36" t="b">
        <f t="shared" si="1"/>
        <v>1</v>
      </c>
      <c r="H73" s="35" t="b">
        <v>0</v>
      </c>
      <c r="I73" s="35" t="b">
        <v>0</v>
      </c>
      <c r="J73" s="35" t="b">
        <v>0</v>
      </c>
      <c r="K73" s="35" t="b">
        <v>0</v>
      </c>
      <c r="L73" s="35" t="b">
        <v>0</v>
      </c>
      <c r="M73" s="35" t="b">
        <v>0</v>
      </c>
      <c r="N73" s="35" t="b">
        <v>0</v>
      </c>
      <c r="O73" s="35" t="b">
        <v>0</v>
      </c>
      <c r="P73" s="35" t="b">
        <v>0</v>
      </c>
      <c r="Q73" s="35" t="b">
        <v>0</v>
      </c>
      <c r="R73" s="14"/>
      <c r="S73" s="14"/>
      <c r="T73" s="14"/>
      <c r="U73" s="14"/>
      <c r="V73" s="14"/>
      <c r="W73" s="14"/>
    </row>
    <row r="74" ht="15.75" customHeight="1">
      <c r="A74" s="18" t="s">
        <v>1141</v>
      </c>
      <c r="B74" s="22" t="s">
        <v>1142</v>
      </c>
      <c r="C74" s="22" t="s">
        <v>1143</v>
      </c>
      <c r="D74" s="22" t="s">
        <v>1144</v>
      </c>
      <c r="E74" s="31" t="str">
        <f>IFERROR(__xludf.DUMMYFUNCTION("GOOGLETRANSLATE(D74,""zh-CN"",""vi"")"),"Gần nhà tôi có một công viên.")</f>
        <v>Gần nhà tôi có một công viên.</v>
      </c>
      <c r="F74" s="30" t="s">
        <v>1141</v>
      </c>
      <c r="G74" s="36" t="b">
        <f t="shared" si="1"/>
        <v>1</v>
      </c>
      <c r="H74" s="35" t="b">
        <v>0</v>
      </c>
      <c r="I74" s="35" t="b">
        <v>0</v>
      </c>
      <c r="J74" s="35" t="b">
        <v>0</v>
      </c>
      <c r="K74" s="35" t="b">
        <v>0</v>
      </c>
      <c r="L74" s="35" t="b">
        <v>0</v>
      </c>
      <c r="M74" s="35" t="b">
        <v>0</v>
      </c>
      <c r="N74" s="35" t="b">
        <v>0</v>
      </c>
      <c r="O74" s="35" t="b">
        <v>0</v>
      </c>
      <c r="P74" s="35" t="b">
        <v>0</v>
      </c>
      <c r="Q74" s="35" t="b">
        <v>0</v>
      </c>
      <c r="R74" s="14"/>
      <c r="S74" s="14"/>
      <c r="T74" s="14"/>
      <c r="U74" s="14"/>
      <c r="V74" s="14"/>
      <c r="W74" s="14"/>
    </row>
    <row r="75" ht="15.75" customHeight="1">
      <c r="A75" s="18" t="s">
        <v>1153</v>
      </c>
      <c r="B75" s="22" t="s">
        <v>1154</v>
      </c>
      <c r="C75" s="22" t="s">
        <v>1156</v>
      </c>
      <c r="D75" s="22" t="s">
        <v>1158</v>
      </c>
      <c r="E75" s="31" t="str">
        <f>IFERROR(__xludf.DUMMYFUNCTION("GOOGLETRANSLATE(D75,""zh-CN"",""vi"")"),"Tôi cần ôn lại bài học.")</f>
        <v>Tôi cần ôn lại bài học.</v>
      </c>
      <c r="F75" s="30" t="s">
        <v>1153</v>
      </c>
      <c r="G75" s="36" t="b">
        <f t="shared" si="1"/>
        <v>1</v>
      </c>
      <c r="H75" s="35" t="b">
        <v>0</v>
      </c>
      <c r="I75" s="35" t="b">
        <v>0</v>
      </c>
      <c r="J75" s="35" t="b">
        <v>0</v>
      </c>
      <c r="K75" s="35" t="b">
        <v>0</v>
      </c>
      <c r="L75" s="35" t="b">
        <v>0</v>
      </c>
      <c r="M75" s="35" t="b">
        <v>0</v>
      </c>
      <c r="N75" s="35" t="b">
        <v>0</v>
      </c>
      <c r="O75" s="35" t="b">
        <v>0</v>
      </c>
      <c r="P75" s="35" t="b">
        <v>0</v>
      </c>
      <c r="Q75" s="35" t="b">
        <v>0</v>
      </c>
      <c r="R75" s="14"/>
      <c r="S75" s="14"/>
      <c r="T75" s="14"/>
      <c r="U75" s="14"/>
      <c r="V75" s="14"/>
      <c r="W75" s="14"/>
    </row>
    <row r="76" ht="15.75" customHeight="1">
      <c r="A76" s="18" t="s">
        <v>1165</v>
      </c>
      <c r="B76" s="22" t="s">
        <v>1167</v>
      </c>
      <c r="C76" s="22" t="s">
        <v>1168</v>
      </c>
      <c r="D76" s="22" t="s">
        <v>1170</v>
      </c>
      <c r="E76" s="31" t="str">
        <f>IFERROR(__xludf.DUMMYFUNCTION("GOOGLETRANSLATE(D76,""zh-CN"",""vi"")"),"Phòng rất sạch sẽ.")</f>
        <v>Phòng rất sạch sẽ.</v>
      </c>
      <c r="F76" s="30" t="s">
        <v>1165</v>
      </c>
      <c r="G76" s="36" t="b">
        <f t="shared" si="1"/>
        <v>1</v>
      </c>
      <c r="H76" s="35" t="b">
        <v>0</v>
      </c>
      <c r="I76" s="35" t="b">
        <v>0</v>
      </c>
      <c r="J76" s="35" t="b">
        <v>0</v>
      </c>
      <c r="K76" s="35" t="b">
        <v>0</v>
      </c>
      <c r="L76" s="35" t="b">
        <v>0</v>
      </c>
      <c r="M76" s="35" t="b">
        <v>0</v>
      </c>
      <c r="N76" s="35" t="b">
        <v>0</v>
      </c>
      <c r="O76" s="35" t="b">
        <v>0</v>
      </c>
      <c r="P76" s="35" t="b">
        <v>0</v>
      </c>
      <c r="Q76" s="35" t="b">
        <v>0</v>
      </c>
      <c r="R76" s="14"/>
      <c r="S76" s="14"/>
      <c r="T76" s="14"/>
      <c r="U76" s="14"/>
      <c r="V76" s="14"/>
      <c r="W76" s="14"/>
    </row>
    <row r="77" ht="15.75" customHeight="1">
      <c r="A77" s="18" t="s">
        <v>1181</v>
      </c>
      <c r="B77" s="22" t="s">
        <v>1183</v>
      </c>
      <c r="C77" s="22" t="s">
        <v>1184</v>
      </c>
      <c r="D77" s="22" t="s">
        <v>1186</v>
      </c>
      <c r="E77" s="31" t="str">
        <f>IFERROR(__xludf.DUMMYFUNCTION("GOOGLETRANSLATE(D77,""zh-CN"",""vi"")"),"Tôi dám chắc là bạn nói đúng.")</f>
        <v>Tôi dám chắc là bạn nói đúng.</v>
      </c>
      <c r="F77" s="30" t="s">
        <v>1181</v>
      </c>
      <c r="G77" s="36" t="b">
        <f t="shared" si="1"/>
        <v>1</v>
      </c>
      <c r="H77" s="35" t="b">
        <v>0</v>
      </c>
      <c r="I77" s="35" t="b">
        <v>0</v>
      </c>
      <c r="J77" s="35" t="b">
        <v>0</v>
      </c>
      <c r="K77" s="35" t="b">
        <v>0</v>
      </c>
      <c r="L77" s="35" t="b">
        <v>0</v>
      </c>
      <c r="M77" s="35" t="b">
        <v>0</v>
      </c>
      <c r="N77" s="35" t="b">
        <v>0</v>
      </c>
      <c r="O77" s="35" t="b">
        <v>0</v>
      </c>
      <c r="P77" s="35" t="b">
        <v>0</v>
      </c>
      <c r="Q77" s="35" t="b">
        <v>0</v>
      </c>
      <c r="R77" s="14"/>
      <c r="S77" s="14"/>
      <c r="T77" s="14"/>
      <c r="U77" s="14"/>
      <c r="V77" s="14"/>
      <c r="W77" s="14"/>
    </row>
    <row r="78" ht="15.75" customHeight="1">
      <c r="A78" s="18" t="s">
        <v>1196</v>
      </c>
      <c r="B78" s="22" t="s">
        <v>1197</v>
      </c>
      <c r="C78" s="22" t="s">
        <v>1198</v>
      </c>
      <c r="D78" s="22" t="s">
        <v>1200</v>
      </c>
      <c r="E78" s="31" t="str">
        <f>IFERROR(__xludf.DUMMYFUNCTION("GOOGLETRANSLATE(D78,""zh-CN"",""vi"")"),"Anh ấy bị cảm lạnh và không thể đến.")</f>
        <v>Anh ấy bị cảm lạnh và không thể đến.</v>
      </c>
      <c r="F78" s="30" t="s">
        <v>1196</v>
      </c>
      <c r="G78" s="36" t="b">
        <f t="shared" si="1"/>
        <v>1</v>
      </c>
      <c r="H78" s="35" t="b">
        <v>0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14"/>
      <c r="S78" s="14"/>
      <c r="T78" s="14"/>
      <c r="U78" s="14"/>
      <c r="V78" s="14"/>
      <c r="W78" s="14"/>
    </row>
    <row r="79" ht="15.75" customHeight="1">
      <c r="A79" s="18" t="s">
        <v>1210</v>
      </c>
      <c r="B79" s="22" t="s">
        <v>1212</v>
      </c>
      <c r="C79" s="22" t="s">
        <v>1214</v>
      </c>
      <c r="D79" s="22" t="s">
        <v>1215</v>
      </c>
      <c r="E79" s="31" t="str">
        <f>IFERROR(__xludf.DUMMYFUNCTION("GOOGLETRANSLATE(D79,""zh-CN"",""vi"")"),"Tôi vừa mới gặp anh ấy.")</f>
        <v>Tôi vừa mới gặp anh ấy.</v>
      </c>
      <c r="F79" s="30" t="s">
        <v>1210</v>
      </c>
      <c r="G79" s="36" t="b">
        <f t="shared" si="1"/>
        <v>1</v>
      </c>
      <c r="H79" s="35" t="b">
        <v>0</v>
      </c>
      <c r="I79" s="35" t="b">
        <v>0</v>
      </c>
      <c r="J79" s="35" t="b">
        <v>0</v>
      </c>
      <c r="K79" s="35" t="b">
        <v>0</v>
      </c>
      <c r="L79" s="35" t="b">
        <v>0</v>
      </c>
      <c r="M79" s="35" t="b">
        <v>0</v>
      </c>
      <c r="N79" s="35" t="b">
        <v>0</v>
      </c>
      <c r="O79" s="35" t="b">
        <v>0</v>
      </c>
      <c r="P79" s="35" t="b">
        <v>0</v>
      </c>
      <c r="Q79" s="35" t="b">
        <v>0</v>
      </c>
      <c r="R79" s="14"/>
      <c r="S79" s="14"/>
      <c r="T79" s="14"/>
      <c r="U79" s="14"/>
      <c r="V79" s="14"/>
      <c r="W79" s="14"/>
    </row>
    <row r="80" ht="15.75" customHeight="1">
      <c r="A80" s="18" t="s">
        <v>1224</v>
      </c>
      <c r="B80" s="22" t="s">
        <v>1225</v>
      </c>
      <c r="C80" s="22" t="s">
        <v>1226</v>
      </c>
      <c r="D80" s="22" t="s">
        <v>1227</v>
      </c>
      <c r="E80" s="31" t="str">
        <f>IFERROR(__xludf.DUMMYFUNCTION("GOOGLETRANSLATE(D80,""zh-CN"",""vi"")"),"Tôi đã đi cùng anh ấy.")</f>
        <v>Tôi đã đi cùng anh ấy.</v>
      </c>
      <c r="F80" s="30" t="s">
        <v>1224</v>
      </c>
      <c r="G80" s="36" t="b">
        <f t="shared" si="1"/>
        <v>1</v>
      </c>
      <c r="H80" s="35" t="b">
        <v>0</v>
      </c>
      <c r="I80" s="35" t="b">
        <v>0</v>
      </c>
      <c r="J80" s="35" t="b">
        <v>0</v>
      </c>
      <c r="K80" s="35" t="b">
        <v>0</v>
      </c>
      <c r="L80" s="35" t="b">
        <v>0</v>
      </c>
      <c r="M80" s="35" t="b">
        <v>0</v>
      </c>
      <c r="N80" s="35" t="b">
        <v>0</v>
      </c>
      <c r="O80" s="35" t="b">
        <v>0</v>
      </c>
      <c r="P80" s="35" t="b">
        <v>0</v>
      </c>
      <c r="Q80" s="35" t="b">
        <v>0</v>
      </c>
      <c r="R80" s="14"/>
      <c r="S80" s="14"/>
      <c r="T80" s="14"/>
      <c r="U80" s="14"/>
      <c r="V80" s="14"/>
      <c r="W80" s="14"/>
    </row>
    <row r="81" ht="15.75" customHeight="1">
      <c r="A81" s="18" t="s">
        <v>1237</v>
      </c>
      <c r="B81" s="22" t="s">
        <v>1239</v>
      </c>
      <c r="C81" s="22" t="s">
        <v>1240</v>
      </c>
      <c r="D81" s="22" t="s">
        <v>1242</v>
      </c>
      <c r="E81" s="31" t="str">
        <f>IFERROR(__xludf.DUMMYFUNCTION("GOOGLETRANSLATE(D81,""zh-CN"",""vi"")"),"Theo dự báo thời tiết, hôm nay trời sẽ mưa.")</f>
        <v>Theo dự báo thời tiết, hôm nay trời sẽ mưa.</v>
      </c>
      <c r="F81" s="30" t="s">
        <v>1237</v>
      </c>
      <c r="G81" s="36" t="b">
        <f t="shared" si="1"/>
        <v>1</v>
      </c>
      <c r="H81" s="35" t="b">
        <v>0</v>
      </c>
      <c r="I81" s="35" t="b">
        <v>0</v>
      </c>
      <c r="J81" s="35" t="b">
        <v>0</v>
      </c>
      <c r="K81" s="35" t="b">
        <v>0</v>
      </c>
      <c r="L81" s="35" t="b">
        <v>0</v>
      </c>
      <c r="M81" s="35" t="b">
        <v>0</v>
      </c>
      <c r="N81" s="35" t="b">
        <v>0</v>
      </c>
      <c r="O81" s="35" t="b">
        <v>0</v>
      </c>
      <c r="P81" s="35" t="b">
        <v>0</v>
      </c>
      <c r="Q81" s="35" t="b">
        <v>0</v>
      </c>
      <c r="R81" s="14"/>
      <c r="S81" s="14"/>
      <c r="T81" s="14"/>
      <c r="U81" s="14"/>
      <c r="V81" s="14"/>
      <c r="W81" s="14"/>
    </row>
    <row r="82" ht="15.75" customHeight="1">
      <c r="A82" s="18" t="s">
        <v>1250</v>
      </c>
      <c r="B82" s="22" t="s">
        <v>1252</v>
      </c>
      <c r="C82" s="22" t="s">
        <v>1254</v>
      </c>
      <c r="D82" s="22" t="s">
        <v>1255</v>
      </c>
      <c r="E82" s="31" t="str">
        <f>IFERROR(__xludf.DUMMYFUNCTION("GOOGLETRANSLATE(D82,""zh-CN"",""vi"")"),"Cô ấy cao hơn tôi.")</f>
        <v>Cô ấy cao hơn tôi.</v>
      </c>
      <c r="F82" s="30" t="s">
        <v>1250</v>
      </c>
      <c r="G82" s="36" t="b">
        <f t="shared" si="1"/>
        <v>1</v>
      </c>
      <c r="H82" s="35" t="b">
        <v>0</v>
      </c>
      <c r="I82" s="35" t="b">
        <v>0</v>
      </c>
      <c r="J82" s="35" t="b">
        <v>0</v>
      </c>
      <c r="K82" s="35" t="b">
        <v>0</v>
      </c>
      <c r="L82" s="35" t="b">
        <v>0</v>
      </c>
      <c r="M82" s="35" t="b">
        <v>0</v>
      </c>
      <c r="N82" s="35" t="b">
        <v>0</v>
      </c>
      <c r="O82" s="35" t="b">
        <v>0</v>
      </c>
      <c r="P82" s="35" t="b">
        <v>0</v>
      </c>
      <c r="Q82" s="35" t="b">
        <v>0</v>
      </c>
      <c r="R82" s="14"/>
      <c r="S82" s="14"/>
      <c r="T82" s="14"/>
      <c r="U82" s="14"/>
      <c r="V82" s="14"/>
      <c r="W82" s="14"/>
    </row>
    <row r="83" ht="15.75" customHeight="1">
      <c r="A83" s="18" t="s">
        <v>1264</v>
      </c>
      <c r="B83" s="22" t="s">
        <v>1265</v>
      </c>
      <c r="C83" s="22" t="s">
        <v>1266</v>
      </c>
      <c r="D83" s="22" t="s">
        <v>1268</v>
      </c>
      <c r="E83" s="31" t="str">
        <f>IFERROR(__xludf.DUMMYFUNCTION("GOOGLETRANSLATE(D83,""zh-CN"",""vi"")"),"Tôi thích đi dạo trong công viên.")</f>
        <v>Tôi thích đi dạo trong công viên.</v>
      </c>
      <c r="F83" s="30" t="s">
        <v>1264</v>
      </c>
      <c r="G83" s="36" t="b">
        <f t="shared" si="1"/>
        <v>1</v>
      </c>
      <c r="H83" s="35" t="b">
        <v>0</v>
      </c>
      <c r="I83" s="35" t="b">
        <v>0</v>
      </c>
      <c r="J83" s="35" t="b">
        <v>0</v>
      </c>
      <c r="K83" s="35" t="b">
        <v>0</v>
      </c>
      <c r="L83" s="35" t="b">
        <v>0</v>
      </c>
      <c r="M83" s="35" t="b">
        <v>0</v>
      </c>
      <c r="N83" s="35" t="b">
        <v>0</v>
      </c>
      <c r="O83" s="35" t="b">
        <v>0</v>
      </c>
      <c r="P83" s="35" t="b">
        <v>0</v>
      </c>
      <c r="Q83" s="35" t="b">
        <v>0</v>
      </c>
      <c r="R83" s="14"/>
      <c r="S83" s="14"/>
      <c r="T83" s="14"/>
      <c r="U83" s="14"/>
      <c r="V83" s="14"/>
      <c r="W83" s="14"/>
    </row>
    <row r="84" ht="15.75" customHeight="1">
      <c r="A84" s="18" t="s">
        <v>1281</v>
      </c>
      <c r="B84" s="22" t="s">
        <v>1283</v>
      </c>
      <c r="C84" s="22" t="s">
        <v>1285</v>
      </c>
      <c r="D84" s="22" t="s">
        <v>1286</v>
      </c>
      <c r="E84" s="31" t="str">
        <f>IFERROR(__xludf.DUMMYFUNCTION("GOOGLETRANSLATE(D84,""zh-CN"",""vi"")"),"Câu chuyện này rất thú vị.")</f>
        <v>Câu chuyện này rất thú vị.</v>
      </c>
      <c r="F84" s="30" t="s">
        <v>1281</v>
      </c>
      <c r="G84" s="36" t="b">
        <f t="shared" si="1"/>
        <v>1</v>
      </c>
      <c r="H84" s="35" t="b">
        <v>0</v>
      </c>
      <c r="I84" s="35" t="b">
        <v>0</v>
      </c>
      <c r="J84" s="35" t="b">
        <v>0</v>
      </c>
      <c r="K84" s="35" t="b">
        <v>0</v>
      </c>
      <c r="L84" s="35" t="b">
        <v>0</v>
      </c>
      <c r="M84" s="35" t="b">
        <v>0</v>
      </c>
      <c r="N84" s="35" t="b">
        <v>0</v>
      </c>
      <c r="O84" s="35" t="b">
        <v>0</v>
      </c>
      <c r="P84" s="35" t="b">
        <v>0</v>
      </c>
      <c r="Q84" s="35" t="b">
        <v>0</v>
      </c>
      <c r="R84" s="14"/>
      <c r="S84" s="14"/>
      <c r="T84" s="14"/>
      <c r="U84" s="14"/>
      <c r="V84" s="14"/>
      <c r="W84" s="14"/>
    </row>
    <row r="85" ht="15.75" customHeight="1">
      <c r="A85" s="18" t="s">
        <v>1292</v>
      </c>
      <c r="B85" s="22" t="s">
        <v>1295</v>
      </c>
      <c r="C85" s="22" t="s">
        <v>1298</v>
      </c>
      <c r="D85" s="22" t="s">
        <v>1300</v>
      </c>
      <c r="E85" s="31" t="str">
        <f>IFERROR(__xludf.DUMMYFUNCTION("GOOGLETRANSLATE(D85,""zh-CN"",""vi"")"),"Hôm nay trời nhiều gió.")</f>
        <v>Hôm nay trời nhiều gió.</v>
      </c>
      <c r="F85" s="30" t="s">
        <v>1292</v>
      </c>
      <c r="G85" s="36" t="b">
        <f t="shared" si="1"/>
        <v>1</v>
      </c>
      <c r="H85" s="35" t="b">
        <v>0</v>
      </c>
      <c r="I85" s="35" t="b">
        <v>0</v>
      </c>
      <c r="J85" s="35" t="b">
        <v>0</v>
      </c>
      <c r="K85" s="35" t="b">
        <v>0</v>
      </c>
      <c r="L85" s="35" t="b">
        <v>0</v>
      </c>
      <c r="M85" s="35" t="b">
        <v>0</v>
      </c>
      <c r="N85" s="35" t="b">
        <v>0</v>
      </c>
      <c r="O85" s="35" t="b">
        <v>0</v>
      </c>
      <c r="P85" s="35" t="b">
        <v>0</v>
      </c>
      <c r="Q85" s="35" t="b">
        <v>0</v>
      </c>
      <c r="R85" s="14"/>
      <c r="S85" s="14"/>
      <c r="T85" s="14"/>
      <c r="U85" s="14"/>
      <c r="V85" s="14"/>
      <c r="W85" s="14"/>
    </row>
    <row r="86" ht="15.75" customHeight="1">
      <c r="A86" s="18" t="s">
        <v>1306</v>
      </c>
      <c r="B86" s="22" t="s">
        <v>1310</v>
      </c>
      <c r="C86" s="22" t="s">
        <v>1311</v>
      </c>
      <c r="D86" s="22" t="s">
        <v>1312</v>
      </c>
      <c r="E86" s="31" t="str">
        <f>IFERROR(__xludf.DUMMYFUNCTION("GOOGLETRANSLATE(D86,""zh-CN"",""vi"")"),"Hãy đóng cửa lại.")</f>
        <v>Hãy đóng cửa lại.</v>
      </c>
      <c r="F86" s="30" t="s">
        <v>1306</v>
      </c>
      <c r="G86" s="36" t="b">
        <f t="shared" si="1"/>
        <v>1</v>
      </c>
      <c r="H86" s="35" t="b">
        <v>0</v>
      </c>
      <c r="I86" s="35" t="b">
        <v>0</v>
      </c>
      <c r="J86" s="35" t="b">
        <v>0</v>
      </c>
      <c r="K86" s="35" t="b">
        <v>0</v>
      </c>
      <c r="L86" s="35" t="b">
        <v>0</v>
      </c>
      <c r="M86" s="35" t="b">
        <v>0</v>
      </c>
      <c r="N86" s="35" t="b">
        <v>0</v>
      </c>
      <c r="O86" s="35" t="b">
        <v>0</v>
      </c>
      <c r="P86" s="35" t="b">
        <v>0</v>
      </c>
      <c r="Q86" s="35" t="b">
        <v>0</v>
      </c>
      <c r="R86" s="14"/>
      <c r="S86" s="14"/>
      <c r="T86" s="14"/>
      <c r="U86" s="14"/>
      <c r="V86" s="14"/>
      <c r="W86" s="14"/>
    </row>
    <row r="87" ht="15.75" customHeight="1">
      <c r="A87" s="18" t="s">
        <v>1323</v>
      </c>
      <c r="B87" s="22" t="s">
        <v>1325</v>
      </c>
      <c r="C87" s="22" t="s">
        <v>1327</v>
      </c>
      <c r="D87" s="22" t="s">
        <v>1328</v>
      </c>
      <c r="E87" s="31" t="str">
        <f>IFERROR(__xludf.DUMMYFUNCTION("GOOGLETRANSLATE(D87,""zh-CN"",""vi"")"),"Chúng tôi là bạn tốt và có mối quan hệ rất tốt.")</f>
        <v>Chúng tôi là bạn tốt và có mối quan hệ rất tốt.</v>
      </c>
      <c r="F87" s="30" t="s">
        <v>1323</v>
      </c>
      <c r="G87" s="36" t="b">
        <f t="shared" si="1"/>
        <v>1</v>
      </c>
      <c r="H87" s="35" t="b">
        <v>0</v>
      </c>
      <c r="I87" s="35" t="b">
        <v>0</v>
      </c>
      <c r="J87" s="35" t="b">
        <v>0</v>
      </c>
      <c r="K87" s="35" t="b">
        <v>0</v>
      </c>
      <c r="L87" s="35" t="b">
        <v>0</v>
      </c>
      <c r="M87" s="35" t="b">
        <v>0</v>
      </c>
      <c r="N87" s="35" t="b">
        <v>0</v>
      </c>
      <c r="O87" s="35" t="b">
        <v>0</v>
      </c>
      <c r="P87" s="35" t="b">
        <v>0</v>
      </c>
      <c r="Q87" s="35" t="b">
        <v>0</v>
      </c>
      <c r="R87" s="14"/>
      <c r="S87" s="14"/>
      <c r="T87" s="14"/>
      <c r="U87" s="14"/>
      <c r="V87" s="14"/>
      <c r="W87" s="14"/>
    </row>
    <row r="88" ht="15.75" customHeight="1">
      <c r="A88" s="18" t="s">
        <v>1336</v>
      </c>
      <c r="B88" s="22" t="s">
        <v>1338</v>
      </c>
      <c r="C88" s="22" t="s">
        <v>1339</v>
      </c>
      <c r="D88" s="22" t="s">
        <v>1341</v>
      </c>
      <c r="E88" s="31" t="str">
        <f>IFERROR(__xludf.DUMMYFUNCTION("GOOGLETRANSLATE(D88,""zh-CN"",""vi"")"),"Cô ấy rất quan tâm đến tôi.")</f>
        <v>Cô ấy rất quan tâm đến tôi.</v>
      </c>
      <c r="F88" s="30" t="s">
        <v>1336</v>
      </c>
      <c r="G88" s="36" t="b">
        <f t="shared" si="1"/>
        <v>1</v>
      </c>
      <c r="H88" s="35" t="b">
        <v>0</v>
      </c>
      <c r="I88" s="35" t="b">
        <v>0</v>
      </c>
      <c r="J88" s="35" t="b">
        <v>0</v>
      </c>
      <c r="K88" s="35" t="b">
        <v>0</v>
      </c>
      <c r="L88" s="35" t="b">
        <v>0</v>
      </c>
      <c r="M88" s="35" t="b">
        <v>0</v>
      </c>
      <c r="N88" s="35" t="b">
        <v>0</v>
      </c>
      <c r="O88" s="35" t="b">
        <v>0</v>
      </c>
      <c r="P88" s="35" t="b">
        <v>0</v>
      </c>
      <c r="Q88" s="35" t="b">
        <v>0</v>
      </c>
      <c r="R88" s="14"/>
      <c r="S88" s="14"/>
      <c r="T88" s="14"/>
      <c r="U88" s="14"/>
      <c r="V88" s="14"/>
      <c r="W88" s="14"/>
    </row>
    <row r="89" ht="15.75" customHeight="1">
      <c r="A89" s="18" t="s">
        <v>1351</v>
      </c>
      <c r="B89" s="22" t="s">
        <v>1353</v>
      </c>
      <c r="C89" s="22" t="s">
        <v>1354</v>
      </c>
      <c r="D89" s="22" t="s">
        <v>1356</v>
      </c>
      <c r="E89" s="31" t="str">
        <f>IFERROR(__xludf.DUMMYFUNCTION("GOOGLETRANSLATE(D89,""zh-CN"",""vi"")"),"Đây là một cuốn sách về du lịch.")</f>
        <v>Đây là một cuốn sách về du lịch.</v>
      </c>
      <c r="F89" s="30" t="s">
        <v>1351</v>
      </c>
      <c r="G89" s="36" t="b">
        <f t="shared" si="1"/>
        <v>1</v>
      </c>
      <c r="H89" s="35" t="b">
        <v>0</v>
      </c>
      <c r="I89" s="35" t="b">
        <v>0</v>
      </c>
      <c r="J89" s="35" t="b">
        <v>0</v>
      </c>
      <c r="K89" s="35" t="b">
        <v>0</v>
      </c>
      <c r="L89" s="35" t="b">
        <v>0</v>
      </c>
      <c r="M89" s="35" t="b">
        <v>0</v>
      </c>
      <c r="N89" s="35" t="b">
        <v>0</v>
      </c>
      <c r="O89" s="35" t="b">
        <v>0</v>
      </c>
      <c r="P89" s="35" t="b">
        <v>0</v>
      </c>
      <c r="Q89" s="35" t="b">
        <v>0</v>
      </c>
      <c r="R89" s="14"/>
      <c r="S89" s="14"/>
      <c r="T89" s="14"/>
      <c r="U89" s="14"/>
      <c r="V89" s="14"/>
      <c r="W89" s="14"/>
    </row>
    <row r="90" ht="15.75" customHeight="1">
      <c r="A90" s="18" t="s">
        <v>1367</v>
      </c>
      <c r="B90" s="22" t="s">
        <v>1368</v>
      </c>
      <c r="C90" s="22" t="s">
        <v>1370</v>
      </c>
      <c r="D90" s="22" t="s">
        <v>1371</v>
      </c>
      <c r="E90" s="31" t="str">
        <f>IFERROR(__xludf.DUMMYFUNCTION("GOOGLETRANSLATE(D90,""zh-CN"",""vi"")"),"Tôi yêu đất nước mình.")</f>
        <v>Tôi yêu đất nước mình.</v>
      </c>
      <c r="F90" s="30" t="s">
        <v>1367</v>
      </c>
      <c r="G90" s="36" t="b">
        <f t="shared" si="1"/>
        <v>1</v>
      </c>
      <c r="H90" s="35" t="b">
        <v>0</v>
      </c>
      <c r="I90" s="35" t="b">
        <v>0</v>
      </c>
      <c r="J90" s="35" t="b">
        <v>0</v>
      </c>
      <c r="K90" s="35" t="b">
        <v>0</v>
      </c>
      <c r="L90" s="35" t="b">
        <v>0</v>
      </c>
      <c r="M90" s="35" t="b">
        <v>0</v>
      </c>
      <c r="N90" s="35" t="b">
        <v>0</v>
      </c>
      <c r="O90" s="35" t="b">
        <v>0</v>
      </c>
      <c r="P90" s="35" t="b">
        <v>0</v>
      </c>
      <c r="Q90" s="35" t="b">
        <v>0</v>
      </c>
      <c r="R90" s="14"/>
      <c r="S90" s="14"/>
      <c r="T90" s="14"/>
      <c r="U90" s="14"/>
      <c r="V90" s="14"/>
      <c r="W90" s="14"/>
    </row>
    <row r="91" ht="15.75" customHeight="1">
      <c r="A91" s="18" t="s">
        <v>1387</v>
      </c>
      <c r="B91" s="22" t="s">
        <v>1388</v>
      </c>
      <c r="C91" s="22" t="s">
        <v>1389</v>
      </c>
      <c r="D91" s="22" t="s">
        <v>1390</v>
      </c>
      <c r="E91" s="31" t="str">
        <f>IFERROR(__xludf.DUMMYFUNCTION("GOOGLETRANSLATE(D91,""zh-CN"",""vi"")"),"Làm ơn cho tôi một ly nước ép.")</f>
        <v>Làm ơn cho tôi một ly nước ép.</v>
      </c>
      <c r="F91" s="30" t="s">
        <v>1387</v>
      </c>
      <c r="G91" s="36" t="b">
        <f t="shared" si="1"/>
        <v>1</v>
      </c>
      <c r="H91" s="35" t="b">
        <v>0</v>
      </c>
      <c r="I91" s="35" t="b">
        <v>0</v>
      </c>
      <c r="J91" s="35" t="b">
        <v>0</v>
      </c>
      <c r="K91" s="35" t="b">
        <v>0</v>
      </c>
      <c r="L91" s="35" t="b">
        <v>0</v>
      </c>
      <c r="M91" s="35" t="b">
        <v>0</v>
      </c>
      <c r="N91" s="35" t="b">
        <v>0</v>
      </c>
      <c r="O91" s="35" t="b">
        <v>0</v>
      </c>
      <c r="P91" s="35" t="b">
        <v>0</v>
      </c>
      <c r="Q91" s="35" t="b">
        <v>0</v>
      </c>
      <c r="R91" s="14"/>
      <c r="S91" s="14"/>
      <c r="T91" s="14"/>
      <c r="U91" s="14"/>
      <c r="V91" s="14"/>
      <c r="W91" s="14"/>
    </row>
    <row r="92" ht="15.75" customHeight="1">
      <c r="A92" s="18" t="s">
        <v>1403</v>
      </c>
      <c r="B92" s="22" t="s">
        <v>1405</v>
      </c>
      <c r="C92" s="22" t="s">
        <v>1408</v>
      </c>
      <c r="D92" s="22" t="s">
        <v>1410</v>
      </c>
      <c r="E92" s="31" t="str">
        <f>IFERROR(__xludf.DUMMYFUNCTION("GOOGLETRANSLATE(D92,""zh-CN"",""vi"")"),"Chúng tôi từng là bạn cùng lớp.")</f>
        <v>Chúng tôi từng là bạn cùng lớp.</v>
      </c>
      <c r="F92" s="30" t="s">
        <v>1403</v>
      </c>
      <c r="G92" s="36" t="b">
        <f t="shared" si="1"/>
        <v>1</v>
      </c>
      <c r="H92" s="35" t="b">
        <v>0</v>
      </c>
      <c r="I92" s="35" t="b">
        <v>0</v>
      </c>
      <c r="J92" s="35" t="b">
        <v>0</v>
      </c>
      <c r="K92" s="35" t="b">
        <v>0</v>
      </c>
      <c r="L92" s="35" t="b">
        <v>0</v>
      </c>
      <c r="M92" s="35" t="b">
        <v>0</v>
      </c>
      <c r="N92" s="35" t="b">
        <v>0</v>
      </c>
      <c r="O92" s="35" t="b">
        <v>0</v>
      </c>
      <c r="P92" s="35" t="b">
        <v>0</v>
      </c>
      <c r="Q92" s="35" t="b">
        <v>0</v>
      </c>
      <c r="R92" s="14"/>
      <c r="S92" s="14"/>
      <c r="T92" s="14"/>
      <c r="U92" s="14"/>
      <c r="V92" s="14"/>
      <c r="W92" s="14"/>
    </row>
    <row r="93" ht="15.75" customHeight="1">
      <c r="A93" s="18" t="s">
        <v>1423</v>
      </c>
      <c r="B93" s="22" t="s">
        <v>1424</v>
      </c>
      <c r="C93" s="22" t="s">
        <v>1425</v>
      </c>
      <c r="D93" s="22" t="s">
        <v>1426</v>
      </c>
      <c r="E93" s="31" t="str">
        <f>IFERROR(__xludf.DUMMYFUNCTION("GOOGLETRANSLATE(D93,""zh-CN"",""vi"")"),"Bạn vẫn còn là sinh viên chứ?")</f>
        <v>Bạn vẫn còn là sinh viên chứ?</v>
      </c>
      <c r="F93" s="30" t="s">
        <v>1423</v>
      </c>
      <c r="G93" s="36" t="b">
        <f t="shared" si="1"/>
        <v>1</v>
      </c>
      <c r="H93" s="35" t="b">
        <v>0</v>
      </c>
      <c r="I93" s="35" t="b">
        <v>0</v>
      </c>
      <c r="J93" s="35" t="b">
        <v>0</v>
      </c>
      <c r="K93" s="35" t="b">
        <v>0</v>
      </c>
      <c r="L93" s="35" t="b">
        <v>0</v>
      </c>
      <c r="M93" s="35" t="b">
        <v>0</v>
      </c>
      <c r="N93" s="35" t="b">
        <v>0</v>
      </c>
      <c r="O93" s="35" t="b">
        <v>0</v>
      </c>
      <c r="P93" s="35" t="b">
        <v>0</v>
      </c>
      <c r="Q93" s="35" t="b">
        <v>0</v>
      </c>
      <c r="R93" s="14"/>
      <c r="S93" s="14"/>
      <c r="T93" s="14"/>
      <c r="U93" s="14"/>
      <c r="V93" s="14"/>
      <c r="W93" s="14"/>
    </row>
    <row r="94" ht="15.75" customHeight="1">
      <c r="A94" s="18" t="s">
        <v>1436</v>
      </c>
      <c r="B94" s="22" t="s">
        <v>1443</v>
      </c>
      <c r="C94" s="22" t="s">
        <v>1445</v>
      </c>
      <c r="D94" s="22" t="s">
        <v>1446</v>
      </c>
      <c r="E94" s="31" t="str">
        <f>IFERROR(__xludf.DUMMYFUNCTION("GOOGLETRANSLATE(D94,""zh-CN"",""vi"")"),"Tôi sợ bóng tối.")</f>
        <v>Tôi sợ bóng tối.</v>
      </c>
      <c r="F94" s="30" t="s">
        <v>1436</v>
      </c>
      <c r="G94" s="36" t="b">
        <f t="shared" si="1"/>
        <v>1</v>
      </c>
      <c r="H94" s="35" t="b">
        <v>0</v>
      </c>
      <c r="I94" s="35" t="b">
        <v>0</v>
      </c>
      <c r="J94" s="35" t="b">
        <v>0</v>
      </c>
      <c r="K94" s="35" t="b">
        <v>0</v>
      </c>
      <c r="L94" s="35" t="b">
        <v>0</v>
      </c>
      <c r="M94" s="35" t="b">
        <v>0</v>
      </c>
      <c r="N94" s="35" t="b">
        <v>0</v>
      </c>
      <c r="O94" s="35" t="b">
        <v>0</v>
      </c>
      <c r="P94" s="35" t="b">
        <v>0</v>
      </c>
      <c r="Q94" s="35" t="b">
        <v>0</v>
      </c>
      <c r="R94" s="14"/>
      <c r="S94" s="14"/>
      <c r="T94" s="14"/>
      <c r="U94" s="14"/>
      <c r="V94" s="14"/>
      <c r="W94" s="14"/>
    </row>
    <row r="95" ht="15.75" customHeight="1">
      <c r="A95" s="18" t="s">
        <v>1453</v>
      </c>
      <c r="B95" s="22" t="s">
        <v>410</v>
      </c>
      <c r="C95" s="22" t="s">
        <v>1457</v>
      </c>
      <c r="D95" s="22" t="s">
        <v>1459</v>
      </c>
      <c r="E95" s="31" t="str">
        <f>IFERROR(__xludf.DUMMYFUNCTION("GOOGLETRANSLATE(D95,""zh-CN"",""vi"")"),"Dọc bờ sông có rất nhiều hoa.")</f>
        <v>Dọc bờ sông có rất nhiều hoa.</v>
      </c>
      <c r="F95" s="30" t="s">
        <v>1453</v>
      </c>
      <c r="G95" s="36" t="b">
        <f t="shared" si="1"/>
        <v>1</v>
      </c>
      <c r="H95" s="35" t="b">
        <v>0</v>
      </c>
      <c r="I95" s="35" t="b">
        <v>0</v>
      </c>
      <c r="J95" s="35" t="b">
        <v>0</v>
      </c>
      <c r="K95" s="35" t="b">
        <v>0</v>
      </c>
      <c r="L95" s="35" t="b">
        <v>0</v>
      </c>
      <c r="M95" s="35" t="b">
        <v>0</v>
      </c>
      <c r="N95" s="35" t="b">
        <v>0</v>
      </c>
      <c r="O95" s="35" t="b">
        <v>0</v>
      </c>
      <c r="P95" s="35" t="b">
        <v>0</v>
      </c>
      <c r="Q95" s="35" t="b">
        <v>0</v>
      </c>
      <c r="R95" s="14"/>
      <c r="S95" s="14"/>
      <c r="T95" s="14"/>
      <c r="U95" s="14"/>
      <c r="V95" s="14"/>
      <c r="W95" s="14"/>
    </row>
    <row r="96" ht="15.75" customHeight="1">
      <c r="A96" s="18" t="s">
        <v>1471</v>
      </c>
      <c r="B96" s="22" t="s">
        <v>1473</v>
      </c>
      <c r="C96" s="22" t="s">
        <v>1475</v>
      </c>
      <c r="D96" s="22" t="s">
        <v>1477</v>
      </c>
      <c r="E96" s="31" t="str">
        <f>IFERROR(__xludf.DUMMYFUNCTION("GOOGLETRANSLATE(D96,""zh-CN"",""vi"")"),"Hãy viết lên bảng.")</f>
        <v>Hãy viết lên bảng.</v>
      </c>
      <c r="F96" s="30" t="s">
        <v>1471</v>
      </c>
      <c r="G96" s="36" t="b">
        <f t="shared" si="1"/>
        <v>1</v>
      </c>
      <c r="H96" s="35" t="b">
        <v>0</v>
      </c>
      <c r="I96" s="35" t="b">
        <v>0</v>
      </c>
      <c r="J96" s="35" t="b">
        <v>0</v>
      </c>
      <c r="K96" s="35" t="b">
        <v>0</v>
      </c>
      <c r="L96" s="35" t="b">
        <v>0</v>
      </c>
      <c r="M96" s="35" t="b">
        <v>0</v>
      </c>
      <c r="N96" s="35" t="b">
        <v>0</v>
      </c>
      <c r="O96" s="35" t="b">
        <v>0</v>
      </c>
      <c r="P96" s="35" t="b">
        <v>0</v>
      </c>
      <c r="Q96" s="35" t="b">
        <v>0</v>
      </c>
      <c r="R96" s="14"/>
      <c r="S96" s="14"/>
      <c r="T96" s="14"/>
      <c r="U96" s="14"/>
      <c r="V96" s="14"/>
      <c r="W96" s="14"/>
    </row>
    <row r="97" ht="15.75" customHeight="1">
      <c r="A97" s="18" t="s">
        <v>1486</v>
      </c>
      <c r="B97" s="22" t="s">
        <v>1487</v>
      </c>
      <c r="C97" s="22" t="s">
        <v>1489</v>
      </c>
      <c r="D97" s="22" t="s">
        <v>1491</v>
      </c>
      <c r="E97" s="31" t="str">
        <f>IFERROR(__xludf.DUMMYFUNCTION("GOOGLETRANSLATE(D97,""zh-CN"",""vi"")"),"Tôi cần hộ chiếu để đi du lịch.")</f>
        <v>Tôi cần hộ chiếu để đi du lịch.</v>
      </c>
      <c r="F97" s="30" t="s">
        <v>1486</v>
      </c>
      <c r="G97" s="36" t="b">
        <f t="shared" si="1"/>
        <v>1</v>
      </c>
      <c r="H97" s="35" t="b">
        <v>0</v>
      </c>
      <c r="I97" s="35" t="b">
        <v>0</v>
      </c>
      <c r="J97" s="35" t="b">
        <v>0</v>
      </c>
      <c r="K97" s="35" t="b">
        <v>0</v>
      </c>
      <c r="L97" s="35" t="b">
        <v>0</v>
      </c>
      <c r="M97" s="35" t="b">
        <v>0</v>
      </c>
      <c r="N97" s="35" t="b">
        <v>0</v>
      </c>
      <c r="O97" s="35" t="b">
        <v>0</v>
      </c>
      <c r="P97" s="35" t="b">
        <v>0</v>
      </c>
      <c r="Q97" s="35" t="b">
        <v>0</v>
      </c>
      <c r="R97" s="14"/>
      <c r="S97" s="14"/>
      <c r="T97" s="14"/>
      <c r="U97" s="14"/>
      <c r="V97" s="14"/>
      <c r="W97" s="14"/>
    </row>
    <row r="98" ht="15.75" customHeight="1">
      <c r="A98" s="18" t="s">
        <v>1504</v>
      </c>
      <c r="B98" s="22" t="s">
        <v>1506</v>
      </c>
      <c r="C98" s="22" t="s">
        <v>1507</v>
      </c>
      <c r="D98" s="22" t="s">
        <v>1508</v>
      </c>
      <c r="E98" s="31" t="str">
        <f>IFERROR(__xludf.DUMMYFUNCTION("GOOGLETRANSLATE(D98,""zh-CN"",""vi"")"),"Hoa ở đây đang nở rộ rất đẹp.")</f>
        <v>Hoa ở đây đang nở rộ rất đẹp.</v>
      </c>
      <c r="F98" s="30" t="s">
        <v>1504</v>
      </c>
      <c r="G98" s="36" t="b">
        <f t="shared" si="1"/>
        <v>1</v>
      </c>
      <c r="H98" s="35" t="b">
        <v>0</v>
      </c>
      <c r="I98" s="35" t="b">
        <v>0</v>
      </c>
      <c r="J98" s="35" t="b">
        <v>0</v>
      </c>
      <c r="K98" s="35" t="b">
        <v>0</v>
      </c>
      <c r="L98" s="35" t="b">
        <v>0</v>
      </c>
      <c r="M98" s="35" t="b">
        <v>0</v>
      </c>
      <c r="N98" s="35" t="b">
        <v>0</v>
      </c>
      <c r="O98" s="35" t="b">
        <v>0</v>
      </c>
      <c r="P98" s="35" t="b">
        <v>0</v>
      </c>
      <c r="Q98" s="35" t="b">
        <v>0</v>
      </c>
      <c r="R98" s="14"/>
      <c r="S98" s="14"/>
      <c r="T98" s="14"/>
      <c r="U98" s="14"/>
      <c r="V98" s="14"/>
      <c r="W98" s="14"/>
    </row>
    <row r="99" ht="15.75" customHeight="1">
      <c r="A99" s="18" t="s">
        <v>1525</v>
      </c>
      <c r="B99" s="22" t="s">
        <v>1526</v>
      </c>
      <c r="C99" s="22" t="s">
        <v>1527</v>
      </c>
      <c r="D99" s="22" t="s">
        <v>1528</v>
      </c>
      <c r="E99" s="31" t="str">
        <f>IFERROR(__xludf.DUMMYFUNCTION("GOOGLETRANSLATE(D99,""zh-CN"",""vi"")"),"Chúng tôi chơi trong vườn.")</f>
        <v>Chúng tôi chơi trong vườn.</v>
      </c>
      <c r="F99" s="30" t="s">
        <v>1525</v>
      </c>
      <c r="G99" s="36" t="b">
        <f t="shared" si="1"/>
        <v>1</v>
      </c>
      <c r="H99" s="35" t="b">
        <v>0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14"/>
      <c r="S99" s="14"/>
      <c r="T99" s="14"/>
      <c r="U99" s="14"/>
      <c r="V99" s="14"/>
      <c r="W99" s="14"/>
    </row>
    <row r="100" ht="15.75" customHeight="1">
      <c r="A100" s="18" t="s">
        <v>1537</v>
      </c>
      <c r="B100" s="22" t="s">
        <v>1543</v>
      </c>
      <c r="C100" s="22" t="s">
        <v>1544</v>
      </c>
      <c r="D100" s="22" t="s">
        <v>1545</v>
      </c>
      <c r="E100" s="31" t="str">
        <f>IFERROR(__xludf.DUMMYFUNCTION("GOOGLETRANSLATE(D100,""zh-CN"",""vi"")"),"Anh ấy thích vẽ.")</f>
        <v>Anh ấy thích vẽ.</v>
      </c>
      <c r="F100" s="30" t="s">
        <v>1537</v>
      </c>
      <c r="G100" s="36" t="b">
        <f t="shared" si="1"/>
        <v>1</v>
      </c>
      <c r="H100" s="35" t="b">
        <v>0</v>
      </c>
      <c r="I100" s="35" t="b">
        <v>0</v>
      </c>
      <c r="J100" s="35" t="b">
        <v>0</v>
      </c>
      <c r="K100" s="35" t="b">
        <v>0</v>
      </c>
      <c r="L100" s="35" t="b">
        <v>0</v>
      </c>
      <c r="M100" s="35" t="b">
        <v>0</v>
      </c>
      <c r="N100" s="35" t="b">
        <v>0</v>
      </c>
      <c r="O100" s="35" t="b">
        <v>0</v>
      </c>
      <c r="P100" s="35" t="b">
        <v>0</v>
      </c>
      <c r="Q100" s="35" t="b">
        <v>0</v>
      </c>
      <c r="R100" s="14"/>
      <c r="S100" s="14"/>
      <c r="T100" s="14"/>
      <c r="U100" s="14"/>
      <c r="V100" s="14"/>
      <c r="W100" s="14"/>
    </row>
    <row r="101" ht="15.75" customHeight="1">
      <c r="A101" s="18" t="s">
        <v>1577</v>
      </c>
      <c r="B101" s="22" t="s">
        <v>1581</v>
      </c>
      <c r="C101" s="22" t="s">
        <v>1582</v>
      </c>
      <c r="D101" s="22" t="s">
        <v>1583</v>
      </c>
      <c r="E101" s="31" t="str">
        <f>IFERROR(__xludf.DUMMYFUNCTION("GOOGLETRANSLATE(D101,""zh-CN"",""vi"")"),"Điện thoại của tôi bị hỏng rồi.")</f>
        <v>Điện thoại của tôi bị hỏng rồi.</v>
      </c>
      <c r="F101" s="30" t="s">
        <v>1577</v>
      </c>
      <c r="G101" s="36" t="b">
        <f t="shared" si="1"/>
        <v>1</v>
      </c>
      <c r="H101" s="35" t="b">
        <v>0</v>
      </c>
      <c r="I101" s="35" t="b">
        <v>0</v>
      </c>
      <c r="J101" s="35" t="b">
        <v>0</v>
      </c>
      <c r="K101" s="35" t="b">
        <v>0</v>
      </c>
      <c r="L101" s="35" t="b">
        <v>0</v>
      </c>
      <c r="M101" s="35" t="b">
        <v>0</v>
      </c>
      <c r="N101" s="35" t="b">
        <v>0</v>
      </c>
      <c r="O101" s="35" t="b">
        <v>0</v>
      </c>
      <c r="P101" s="35" t="b">
        <v>0</v>
      </c>
      <c r="Q101" s="35" t="b">
        <v>0</v>
      </c>
      <c r="R101" s="14"/>
      <c r="S101" s="14"/>
      <c r="T101" s="14"/>
      <c r="U101" s="14"/>
      <c r="V101" s="14"/>
      <c r="W101" s="14"/>
    </row>
    <row r="102" ht="15.75" customHeight="1">
      <c r="A102" s="18" t="s">
        <v>837</v>
      </c>
      <c r="B102" s="22" t="s">
        <v>1600</v>
      </c>
      <c r="C102" s="22" t="s">
        <v>1602</v>
      </c>
      <c r="D102" s="22" t="s">
        <v>1604</v>
      </c>
      <c r="E102" s="31" t="str">
        <f>IFERROR(__xludf.DUMMYFUNCTION("GOOGLETRANSLATE(D102,""zh-CN"",""vi"")"),"Khi nào bạn sẽ trả lại tiền cho tôi?")</f>
        <v>Khi nào bạn sẽ trả lại tiền cho tôi?</v>
      </c>
      <c r="F102" s="30" t="s">
        <v>837</v>
      </c>
      <c r="G102" s="36" t="b">
        <f t="shared" si="1"/>
        <v>1</v>
      </c>
      <c r="H102" s="35" t="b">
        <v>0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14"/>
      <c r="S102" s="14"/>
      <c r="T102" s="14"/>
      <c r="U102" s="14"/>
      <c r="V102" s="14"/>
      <c r="W102" s="14"/>
    </row>
    <row r="103" ht="15.75" customHeight="1">
      <c r="A103" s="18" t="s">
        <v>1618</v>
      </c>
      <c r="B103" s="22" t="s">
        <v>1621</v>
      </c>
      <c r="C103" s="22" t="s">
        <v>1622</v>
      </c>
      <c r="D103" s="22" t="s">
        <v>1623</v>
      </c>
      <c r="E103" s="31" t="str">
        <f>IFERROR(__xludf.DUMMYFUNCTION("GOOGLETRANSLATE(D103,""zh-CN"",""vi"")"),"Tôi thích những nơi yên tĩnh.")</f>
        <v>Tôi thích những nơi yên tĩnh.</v>
      </c>
      <c r="F103" s="30" t="s">
        <v>1618</v>
      </c>
      <c r="G103" s="36" t="b">
        <f t="shared" si="1"/>
        <v>1</v>
      </c>
      <c r="H103" s="35" t="b">
        <v>0</v>
      </c>
      <c r="I103" s="35" t="b">
        <v>0</v>
      </c>
      <c r="J103" s="35" t="b">
        <v>0</v>
      </c>
      <c r="K103" s="35" t="b">
        <v>0</v>
      </c>
      <c r="L103" s="35" t="b">
        <v>0</v>
      </c>
      <c r="M103" s="35" t="b">
        <v>0</v>
      </c>
      <c r="N103" s="35" t="b">
        <v>0</v>
      </c>
      <c r="O103" s="35" t="b">
        <v>0</v>
      </c>
      <c r="P103" s="35" t="b">
        <v>0</v>
      </c>
      <c r="Q103" s="35" t="b">
        <v>0</v>
      </c>
      <c r="R103" s="14"/>
      <c r="S103" s="14"/>
      <c r="T103" s="14"/>
      <c r="U103" s="14"/>
      <c r="V103" s="14"/>
      <c r="W103" s="14"/>
    </row>
    <row r="104" ht="15.75" customHeight="1">
      <c r="A104" s="18" t="s">
        <v>1633</v>
      </c>
      <c r="B104" s="22" t="s">
        <v>1636</v>
      </c>
      <c r="C104" s="22" t="s">
        <v>1639</v>
      </c>
      <c r="D104" s="22" t="s">
        <v>1640</v>
      </c>
      <c r="E104" s="31" t="str">
        <f>IFERROR(__xludf.DUMMYFUNCTION("GOOGLETRANSLATE(D104,""zh-CN"",""vi"")"),"Tôi muốn đổi việc.")</f>
        <v>Tôi muốn đổi việc.</v>
      </c>
      <c r="F104" s="30" t="s">
        <v>1633</v>
      </c>
      <c r="G104" s="36" t="b">
        <f t="shared" si="1"/>
        <v>1</v>
      </c>
      <c r="H104" s="35" t="b">
        <v>0</v>
      </c>
      <c r="I104" s="35" t="b">
        <v>0</v>
      </c>
      <c r="J104" s="35" t="b">
        <v>0</v>
      </c>
      <c r="K104" s="35" t="b">
        <v>0</v>
      </c>
      <c r="L104" s="35" t="b">
        <v>0</v>
      </c>
      <c r="M104" s="35" t="b">
        <v>0</v>
      </c>
      <c r="N104" s="35" t="b">
        <v>0</v>
      </c>
      <c r="O104" s="35" t="b">
        <v>0</v>
      </c>
      <c r="P104" s="35" t="b">
        <v>0</v>
      </c>
      <c r="Q104" s="35" t="b">
        <v>0</v>
      </c>
      <c r="R104" s="14"/>
      <c r="S104" s="14"/>
      <c r="T104" s="14"/>
      <c r="U104" s="14"/>
      <c r="V104" s="14"/>
      <c r="W104" s="14"/>
    </row>
    <row r="105" ht="15.75" customHeight="1">
      <c r="A105" s="18" t="s">
        <v>1653</v>
      </c>
      <c r="B105" s="22" t="s">
        <v>1654</v>
      </c>
      <c r="C105" s="22" t="s">
        <v>1656</v>
      </c>
      <c r="D105" s="22" t="s">
        <v>1659</v>
      </c>
      <c r="E105" s="31" t="str">
        <f>IFERROR(__xludf.DUMMYFUNCTION("GOOGLETRANSLATE(D105,""zh-CN"",""vi"")"),"Chiếc váy này màu vàng.")</f>
        <v>Chiếc váy này màu vàng.</v>
      </c>
      <c r="F105" s="30" t="s">
        <v>1653</v>
      </c>
      <c r="G105" s="36" t="b">
        <f t="shared" si="1"/>
        <v>1</v>
      </c>
      <c r="H105" s="35" t="b">
        <v>0</v>
      </c>
      <c r="I105" s="35" t="b">
        <v>0</v>
      </c>
      <c r="J105" s="35" t="b">
        <v>0</v>
      </c>
      <c r="K105" s="35" t="b">
        <v>0</v>
      </c>
      <c r="L105" s="35" t="b">
        <v>0</v>
      </c>
      <c r="M105" s="35" t="b">
        <v>0</v>
      </c>
      <c r="N105" s="35" t="b">
        <v>0</v>
      </c>
      <c r="O105" s="35" t="b">
        <v>0</v>
      </c>
      <c r="P105" s="35" t="b">
        <v>0</v>
      </c>
      <c r="Q105" s="35" t="b">
        <v>0</v>
      </c>
      <c r="R105" s="14"/>
      <c r="S105" s="14"/>
      <c r="T105" s="14"/>
      <c r="U105" s="14"/>
      <c r="V105" s="14"/>
      <c r="W105" s="14"/>
    </row>
    <row r="106" ht="15.75" customHeight="1">
      <c r="A106" s="18" t="s">
        <v>1673</v>
      </c>
      <c r="B106" s="22" t="s">
        <v>1674</v>
      </c>
      <c r="C106" s="22" t="s">
        <v>1675</v>
      </c>
      <c r="D106" s="22" t="s">
        <v>1676</v>
      </c>
      <c r="E106" s="31" t="str">
        <f>IFERROR(__xludf.DUMMYFUNCTION("GOOGLETRANSLATE(D106,""zh-CN"",""vi"")"),"Cuộc họp sẽ bắt đầu lúc 3 giờ chiều.")</f>
        <v>Cuộc họp sẽ bắt đầu lúc 3 giờ chiều.</v>
      </c>
      <c r="F106" s="30" t="s">
        <v>1673</v>
      </c>
      <c r="G106" s="36" t="b">
        <f t="shared" si="1"/>
        <v>1</v>
      </c>
      <c r="H106" s="35" t="b">
        <v>0</v>
      </c>
      <c r="I106" s="35" t="b">
        <v>0</v>
      </c>
      <c r="J106" s="35" t="b">
        <v>0</v>
      </c>
      <c r="K106" s="35" t="b">
        <v>0</v>
      </c>
      <c r="L106" s="35" t="b">
        <v>0</v>
      </c>
      <c r="M106" s="35" t="b">
        <v>0</v>
      </c>
      <c r="N106" s="35" t="b">
        <v>0</v>
      </c>
      <c r="O106" s="35" t="b">
        <v>0</v>
      </c>
      <c r="P106" s="35" t="b">
        <v>0</v>
      </c>
      <c r="Q106" s="35" t="b">
        <v>0</v>
      </c>
      <c r="R106" s="14"/>
      <c r="S106" s="14"/>
      <c r="T106" s="14"/>
      <c r="U106" s="14"/>
      <c r="V106" s="14"/>
      <c r="W106" s="14"/>
    </row>
    <row r="107" ht="15.75" customHeight="1">
      <c r="A107" s="18" t="s">
        <v>1691</v>
      </c>
      <c r="B107" s="22" t="s">
        <v>1693</v>
      </c>
      <c r="C107" s="22" t="s">
        <v>1694</v>
      </c>
      <c r="D107" s="22" t="s">
        <v>1695</v>
      </c>
      <c r="E107" s="31" t="str">
        <f>IFERROR(__xludf.DUMMYFUNCTION("GOOGLETRANSLATE(D107,""zh-CN"",""vi"")"),"Bạn có thể chọn một quả táo hoặc một quả chuối.")</f>
        <v>Bạn có thể chọn một quả táo hoặc một quả chuối.</v>
      </c>
      <c r="F107" s="30" t="s">
        <v>1691</v>
      </c>
      <c r="G107" s="36" t="b">
        <f t="shared" si="1"/>
        <v>1</v>
      </c>
      <c r="H107" s="35" t="b">
        <v>0</v>
      </c>
      <c r="I107" s="35" t="b">
        <v>0</v>
      </c>
      <c r="J107" s="35" t="b">
        <v>0</v>
      </c>
      <c r="K107" s="35" t="b">
        <v>0</v>
      </c>
      <c r="L107" s="35" t="b">
        <v>0</v>
      </c>
      <c r="M107" s="35" t="b">
        <v>0</v>
      </c>
      <c r="N107" s="35" t="b">
        <v>0</v>
      </c>
      <c r="O107" s="35" t="b">
        <v>0</v>
      </c>
      <c r="P107" s="35" t="b">
        <v>0</v>
      </c>
      <c r="Q107" s="35" t="b">
        <v>0</v>
      </c>
      <c r="R107" s="14"/>
      <c r="S107" s="14"/>
      <c r="T107" s="14"/>
      <c r="U107" s="14"/>
      <c r="V107" s="14"/>
      <c r="W107" s="14"/>
    </row>
    <row r="108" ht="15.75" customHeight="1">
      <c r="A108" s="18" t="s">
        <v>1707</v>
      </c>
      <c r="B108" s="22" t="s">
        <v>1709</v>
      </c>
      <c r="C108" s="22" t="s">
        <v>1712</v>
      </c>
      <c r="D108" s="22" t="s">
        <v>1716</v>
      </c>
      <c r="E108" s="31" t="str">
        <f>IFERROR(__xludf.DUMMYFUNCTION("GOOGLETRANSLATE(D108,""zh-CN"",""vi"")"),"Đây là một cơ hội tốt.")</f>
        <v>Đây là một cơ hội tốt.</v>
      </c>
      <c r="F108" s="30" t="s">
        <v>1707</v>
      </c>
      <c r="G108" s="36" t="b">
        <f t="shared" si="1"/>
        <v>1</v>
      </c>
      <c r="H108" s="35" t="b">
        <v>0</v>
      </c>
      <c r="I108" s="35" t="b">
        <v>0</v>
      </c>
      <c r="J108" s="35" t="b">
        <v>0</v>
      </c>
      <c r="K108" s="35" t="b">
        <v>0</v>
      </c>
      <c r="L108" s="35" t="b">
        <v>0</v>
      </c>
      <c r="M108" s="35" t="b">
        <v>0</v>
      </c>
      <c r="N108" s="35" t="b">
        <v>0</v>
      </c>
      <c r="O108" s="35" t="b">
        <v>0</v>
      </c>
      <c r="P108" s="35" t="b">
        <v>0</v>
      </c>
      <c r="Q108" s="35" t="b">
        <v>0</v>
      </c>
      <c r="R108" s="14"/>
      <c r="S108" s="14"/>
      <c r="T108" s="14"/>
      <c r="U108" s="14"/>
      <c r="V108" s="14"/>
      <c r="W108" s="14"/>
    </row>
    <row r="109" ht="15.75" customHeight="1">
      <c r="A109" s="18" t="s">
        <v>1727</v>
      </c>
      <c r="B109" s="22" t="s">
        <v>1731</v>
      </c>
      <c r="C109" s="22" t="s">
        <v>1732</v>
      </c>
      <c r="D109" s="22" t="s">
        <v>1733</v>
      </c>
      <c r="E109" s="31" t="str">
        <f>IFERROR(__xludf.DUMMYFUNCTION("GOOGLETRANSLATE(D109,""zh-CN"",""vi"")"),"Anh ấy tập thể dục gần như mỗi ngày.")</f>
        <v>Anh ấy tập thể dục gần như mỗi ngày.</v>
      </c>
      <c r="F109" s="30" t="s">
        <v>1727</v>
      </c>
      <c r="G109" s="36" t="b">
        <f t="shared" si="1"/>
        <v>1</v>
      </c>
      <c r="H109" s="35" t="b">
        <v>0</v>
      </c>
      <c r="I109" s="35" t="b">
        <v>0</v>
      </c>
      <c r="J109" s="35" t="b">
        <v>0</v>
      </c>
      <c r="K109" s="35" t="b">
        <v>0</v>
      </c>
      <c r="L109" s="35" t="b">
        <v>0</v>
      </c>
      <c r="M109" s="35" t="b">
        <v>0</v>
      </c>
      <c r="N109" s="35" t="b">
        <v>0</v>
      </c>
      <c r="O109" s="35" t="b">
        <v>0</v>
      </c>
      <c r="P109" s="35" t="b">
        <v>0</v>
      </c>
      <c r="Q109" s="35" t="b">
        <v>0</v>
      </c>
      <c r="R109" s="14"/>
      <c r="S109" s="14"/>
      <c r="T109" s="14"/>
      <c r="U109" s="14"/>
      <c r="V109" s="14"/>
      <c r="W109" s="14"/>
    </row>
    <row r="110" ht="15.75" customHeight="1">
      <c r="A110" s="18" t="s">
        <v>1743</v>
      </c>
      <c r="B110" s="22" t="s">
        <v>1749</v>
      </c>
      <c r="C110" s="22" t="s">
        <v>1751</v>
      </c>
      <c r="D110" s="22" t="s">
        <v>1752</v>
      </c>
      <c r="E110" s="31" t="str">
        <f>IFERROR(__xludf.DUMMYFUNCTION("GOOGLETRANSLATE(D110,""zh-CN"",""vi"")"),"Món này ngon tuyệt.")</f>
        <v>Món này ngon tuyệt.</v>
      </c>
      <c r="F110" s="30" t="s">
        <v>1743</v>
      </c>
      <c r="G110" s="36" t="b">
        <f t="shared" si="1"/>
        <v>1</v>
      </c>
      <c r="H110" s="35" t="b">
        <v>0</v>
      </c>
      <c r="I110" s="35" t="b">
        <v>0</v>
      </c>
      <c r="J110" s="35" t="b">
        <v>0</v>
      </c>
      <c r="K110" s="35" t="b">
        <v>0</v>
      </c>
      <c r="L110" s="35" t="b">
        <v>0</v>
      </c>
      <c r="M110" s="35" t="b">
        <v>0</v>
      </c>
      <c r="N110" s="35" t="b">
        <v>0</v>
      </c>
      <c r="O110" s="35" t="b">
        <v>0</v>
      </c>
      <c r="P110" s="35" t="b">
        <v>0</v>
      </c>
      <c r="Q110" s="35" t="b">
        <v>0</v>
      </c>
      <c r="R110" s="14"/>
      <c r="S110" s="14"/>
      <c r="T110" s="14"/>
      <c r="U110" s="14"/>
      <c r="V110" s="14"/>
      <c r="W110" s="14"/>
    </row>
    <row r="111" ht="15.75" customHeight="1">
      <c r="A111" s="18" t="s">
        <v>1765</v>
      </c>
      <c r="B111" s="22" t="s">
        <v>1767</v>
      </c>
      <c r="C111" s="22" t="s">
        <v>1768</v>
      </c>
      <c r="D111" s="22" t="s">
        <v>1769</v>
      </c>
      <c r="E111" s="31" t="str">
        <f>IFERROR(__xludf.DUMMYFUNCTION("GOOGLETRANSLATE(D111,""zh-CN"",""vi"")"),"Vui lòng nhớ mang theo chìa khóa.")</f>
        <v>Vui lòng nhớ mang theo chìa khóa.</v>
      </c>
      <c r="F111" s="30" t="s">
        <v>1765</v>
      </c>
      <c r="G111" s="36" t="b">
        <f t="shared" si="1"/>
        <v>1</v>
      </c>
      <c r="H111" s="35" t="b">
        <v>0</v>
      </c>
      <c r="I111" s="35" t="b">
        <v>0</v>
      </c>
      <c r="J111" s="35" t="b">
        <v>0</v>
      </c>
      <c r="K111" s="35" t="b">
        <v>0</v>
      </c>
      <c r="L111" s="35" t="b">
        <v>0</v>
      </c>
      <c r="M111" s="35" t="b">
        <v>0</v>
      </c>
      <c r="N111" s="35" t="b">
        <v>0</v>
      </c>
      <c r="O111" s="35" t="b">
        <v>0</v>
      </c>
      <c r="P111" s="35" t="b">
        <v>0</v>
      </c>
      <c r="Q111" s="35" t="b">
        <v>0</v>
      </c>
      <c r="R111" s="14"/>
      <c r="S111" s="14"/>
      <c r="T111" s="14"/>
      <c r="U111" s="14"/>
      <c r="V111" s="14"/>
      <c r="W111" s="14"/>
    </row>
    <row r="112" ht="15.75" customHeight="1">
      <c r="A112" s="18" t="s">
        <v>1782</v>
      </c>
      <c r="B112" s="22" t="s">
        <v>1783</v>
      </c>
      <c r="C112" s="22" t="s">
        <v>1784</v>
      </c>
      <c r="D112" s="22" t="s">
        <v>1785</v>
      </c>
      <c r="E112" s="31" t="str">
        <f>IFERROR(__xludf.DUMMYFUNCTION("GOOGLETRANSLATE(D112,""zh-CN"",""vi"")"),"Mùa yêu thích của tôi là mùa xuân.")</f>
        <v>Mùa yêu thích của tôi là mùa xuân.</v>
      </c>
      <c r="F112" s="30" t="s">
        <v>1782</v>
      </c>
      <c r="G112" s="36" t="b">
        <f t="shared" si="1"/>
        <v>1</v>
      </c>
      <c r="H112" s="35" t="b">
        <v>0</v>
      </c>
      <c r="I112" s="35" t="b">
        <v>0</v>
      </c>
      <c r="J112" s="35" t="b">
        <v>0</v>
      </c>
      <c r="K112" s="35" t="b">
        <v>0</v>
      </c>
      <c r="L112" s="35" t="b">
        <v>0</v>
      </c>
      <c r="M112" s="35" t="b">
        <v>0</v>
      </c>
      <c r="N112" s="35" t="b">
        <v>0</v>
      </c>
      <c r="O112" s="35" t="b">
        <v>0</v>
      </c>
      <c r="P112" s="35" t="b">
        <v>0</v>
      </c>
      <c r="Q112" s="35" t="b">
        <v>0</v>
      </c>
      <c r="R112" s="14"/>
      <c r="S112" s="14"/>
      <c r="T112" s="14"/>
      <c r="U112" s="14"/>
      <c r="V112" s="14"/>
      <c r="W112" s="14"/>
    </row>
    <row r="113" ht="15.75" customHeight="1">
      <c r="A113" s="18" t="s">
        <v>1794</v>
      </c>
      <c r="B113" s="22" t="s">
        <v>1796</v>
      </c>
      <c r="C113" s="22" t="s">
        <v>1799</v>
      </c>
      <c r="D113" s="22" t="s">
        <v>1801</v>
      </c>
      <c r="E113" s="31" t="str">
        <f>IFERROR(__xludf.DUMMYFUNCTION("GOOGLETRANSLATE(D113,""zh-CN"",""vi"")"),"Cô giáo đã kiểm tra bài tập về nhà của chúng tôi.")</f>
        <v>Cô giáo đã kiểm tra bài tập về nhà của chúng tôi.</v>
      </c>
      <c r="F113" s="30" t="s">
        <v>1794</v>
      </c>
      <c r="G113" s="36" t="b">
        <f t="shared" si="1"/>
        <v>1</v>
      </c>
      <c r="H113" s="35" t="b">
        <v>0</v>
      </c>
      <c r="I113" s="35" t="b">
        <v>0</v>
      </c>
      <c r="J113" s="35" t="b">
        <v>0</v>
      </c>
      <c r="K113" s="35" t="b">
        <v>0</v>
      </c>
      <c r="L113" s="35" t="b">
        <v>0</v>
      </c>
      <c r="M113" s="35" t="b">
        <v>0</v>
      </c>
      <c r="N113" s="35" t="b">
        <v>0</v>
      </c>
      <c r="O113" s="35" t="b">
        <v>0</v>
      </c>
      <c r="P113" s="35" t="b">
        <v>0</v>
      </c>
      <c r="Q113" s="35" t="b">
        <v>0</v>
      </c>
      <c r="R113" s="14"/>
      <c r="S113" s="14"/>
      <c r="T113" s="14"/>
      <c r="U113" s="14"/>
      <c r="V113" s="14"/>
      <c r="W113" s="14"/>
    </row>
    <row r="114" ht="15.75" customHeight="1">
      <c r="A114" s="18" t="s">
        <v>1810</v>
      </c>
      <c r="B114" s="22" t="s">
        <v>1811</v>
      </c>
      <c r="C114" s="22" t="s">
        <v>1812</v>
      </c>
      <c r="D114" s="22" t="s">
        <v>1813</v>
      </c>
      <c r="E114" s="31" t="str">
        <f>IFERROR(__xludf.DUMMYFUNCTION("GOOGLETRANSLATE(D114,""zh-CN"",""vi"")"),"Đây là một vấn đề rất đơn giản.")</f>
        <v>Đây là một vấn đề rất đơn giản.</v>
      </c>
      <c r="F114" s="30" t="s">
        <v>1810</v>
      </c>
      <c r="G114" s="36" t="b">
        <f t="shared" si="1"/>
        <v>1</v>
      </c>
      <c r="H114" s="35" t="b">
        <v>0</v>
      </c>
      <c r="I114" s="35" t="b">
        <v>0</v>
      </c>
      <c r="J114" s="35" t="b">
        <v>0</v>
      </c>
      <c r="K114" s="35" t="b">
        <v>0</v>
      </c>
      <c r="L114" s="35" t="b">
        <v>0</v>
      </c>
      <c r="M114" s="35" t="b">
        <v>0</v>
      </c>
      <c r="N114" s="35" t="b">
        <v>0</v>
      </c>
      <c r="O114" s="35" t="b">
        <v>0</v>
      </c>
      <c r="P114" s="35" t="b">
        <v>0</v>
      </c>
      <c r="Q114" s="35" t="b">
        <v>0</v>
      </c>
      <c r="R114" s="14"/>
      <c r="S114" s="14"/>
      <c r="T114" s="14"/>
      <c r="U114" s="14"/>
      <c r="V114" s="14"/>
      <c r="W114" s="14"/>
    </row>
    <row r="115" ht="15.75" customHeight="1">
      <c r="A115" s="18" t="s">
        <v>1818</v>
      </c>
      <c r="B115" s="22" t="s">
        <v>1821</v>
      </c>
      <c r="C115" s="22" t="s">
        <v>1822</v>
      </c>
      <c r="D115" s="22" t="s">
        <v>1824</v>
      </c>
      <c r="E115" s="31" t="str">
        <f>IFERROR(__xludf.DUMMYFUNCTION("GOOGLETRANSLATE(D115,""zh-CN"",""vi"")"),"Sức khỏe quan trọng hơn bất cứ điều gì khác.")</f>
        <v>Sức khỏe quan trọng hơn bất cứ điều gì khác.</v>
      </c>
      <c r="F115" s="30" t="s">
        <v>1818</v>
      </c>
      <c r="G115" s="36" t="b">
        <f t="shared" si="1"/>
        <v>1</v>
      </c>
      <c r="H115" s="35" t="b">
        <v>0</v>
      </c>
      <c r="I115" s="35" t="b">
        <v>0</v>
      </c>
      <c r="J115" s="35" t="b">
        <v>0</v>
      </c>
      <c r="K115" s="35" t="b">
        <v>0</v>
      </c>
      <c r="L115" s="35" t="b">
        <v>0</v>
      </c>
      <c r="M115" s="35" t="b">
        <v>0</v>
      </c>
      <c r="N115" s="35" t="b">
        <v>0</v>
      </c>
      <c r="O115" s="35" t="b">
        <v>0</v>
      </c>
      <c r="P115" s="35" t="b">
        <v>0</v>
      </c>
      <c r="Q115" s="35" t="b">
        <v>0</v>
      </c>
      <c r="R115" s="14"/>
      <c r="S115" s="14"/>
      <c r="T115" s="14"/>
      <c r="U115" s="14"/>
      <c r="V115" s="14"/>
      <c r="W115" s="14"/>
    </row>
    <row r="116" ht="15.75" customHeight="1">
      <c r="A116" s="18" t="s">
        <v>1835</v>
      </c>
      <c r="B116" s="22" t="s">
        <v>1837</v>
      </c>
      <c r="C116" s="22" t="s">
        <v>1839</v>
      </c>
      <c r="D116" s="22" t="s">
        <v>1840</v>
      </c>
      <c r="E116" s="31" t="str">
        <f>IFERROR(__xludf.DUMMYFUNCTION("GOOGLETRANSLATE(D116,""zh-CN"",""vi"")"),"Hẹn gặp nhau ngày mai.")</f>
        <v>Hẹn gặp nhau ngày mai.</v>
      </c>
      <c r="F116" s="30" t="s">
        <v>1835</v>
      </c>
      <c r="G116" s="36" t="b">
        <f t="shared" si="1"/>
        <v>1</v>
      </c>
      <c r="H116" s="35" t="b">
        <v>0</v>
      </c>
      <c r="I116" s="35" t="b">
        <v>0</v>
      </c>
      <c r="J116" s="35" t="b">
        <v>0</v>
      </c>
      <c r="K116" s="35" t="b">
        <v>0</v>
      </c>
      <c r="L116" s="35" t="b">
        <v>0</v>
      </c>
      <c r="M116" s="35" t="b">
        <v>0</v>
      </c>
      <c r="N116" s="35" t="b">
        <v>0</v>
      </c>
      <c r="O116" s="35" t="b">
        <v>0</v>
      </c>
      <c r="P116" s="35" t="b">
        <v>0</v>
      </c>
      <c r="Q116" s="35" t="b">
        <v>0</v>
      </c>
      <c r="R116" s="14"/>
      <c r="S116" s="14"/>
      <c r="T116" s="14"/>
      <c r="U116" s="14"/>
      <c r="V116" s="14"/>
      <c r="W116" s="14"/>
    </row>
    <row r="117" ht="15.75" customHeight="1">
      <c r="A117" s="18" t="s">
        <v>1851</v>
      </c>
      <c r="B117" s="22" t="s">
        <v>1853</v>
      </c>
      <c r="C117" s="22" t="s">
        <v>1856</v>
      </c>
      <c r="D117" s="22" t="s">
        <v>1857</v>
      </c>
      <c r="E117" s="31" t="str">
        <f>IFERROR(__xludf.DUMMYFUNCTION("GOOGLETRANSLATE(D117,""zh-CN"",""vi"")"),"Anh ấy thích kể chuyện.")</f>
        <v>Anh ấy thích kể chuyện.</v>
      </c>
      <c r="F117" s="30" t="s">
        <v>1851</v>
      </c>
      <c r="G117" s="36" t="b">
        <f t="shared" si="1"/>
        <v>1</v>
      </c>
      <c r="H117" s="35" t="b">
        <v>0</v>
      </c>
      <c r="I117" s="35" t="b">
        <v>0</v>
      </c>
      <c r="J117" s="35" t="b">
        <v>0</v>
      </c>
      <c r="K117" s="35" t="b">
        <v>0</v>
      </c>
      <c r="L117" s="35" t="b">
        <v>0</v>
      </c>
      <c r="M117" s="35" t="b">
        <v>0</v>
      </c>
      <c r="N117" s="35" t="b">
        <v>0</v>
      </c>
      <c r="O117" s="35" t="b">
        <v>0</v>
      </c>
      <c r="P117" s="35" t="b">
        <v>0</v>
      </c>
      <c r="Q117" s="35" t="b">
        <v>0</v>
      </c>
      <c r="R117" s="14"/>
      <c r="S117" s="14"/>
      <c r="T117" s="14"/>
      <c r="U117" s="14"/>
      <c r="V117" s="14"/>
      <c r="W117" s="14"/>
    </row>
    <row r="118" ht="15.75" customHeight="1">
      <c r="A118" s="18" t="s">
        <v>1867</v>
      </c>
      <c r="B118" s="22" t="s">
        <v>1869</v>
      </c>
      <c r="C118" s="22" t="s">
        <v>1871</v>
      </c>
      <c r="D118" s="22" t="s">
        <v>1872</v>
      </c>
      <c r="E118" s="31" t="str">
        <f>IFERROR(__xludf.DUMMYFUNCTION("GOOGLETRANSLATE(D118,""zh-CN"",""vi"")"),"Ông ấy dạy chúng tôi tiếng Trung Quốc.")</f>
        <v>Ông ấy dạy chúng tôi tiếng Trung Quốc.</v>
      </c>
      <c r="F118" s="30" t="s">
        <v>1867</v>
      </c>
      <c r="G118" s="36" t="b">
        <f t="shared" si="1"/>
        <v>1</v>
      </c>
      <c r="H118" s="35" t="b">
        <v>0</v>
      </c>
      <c r="I118" s="35" t="b">
        <v>0</v>
      </c>
      <c r="J118" s="35" t="b">
        <v>0</v>
      </c>
      <c r="K118" s="35" t="b">
        <v>0</v>
      </c>
      <c r="L118" s="35" t="b">
        <v>0</v>
      </c>
      <c r="M118" s="35" t="b">
        <v>0</v>
      </c>
      <c r="N118" s="35" t="b">
        <v>0</v>
      </c>
      <c r="O118" s="35" t="b">
        <v>0</v>
      </c>
      <c r="P118" s="35" t="b">
        <v>0</v>
      </c>
      <c r="Q118" s="35" t="b">
        <v>0</v>
      </c>
      <c r="R118" s="14"/>
      <c r="S118" s="14"/>
      <c r="T118" s="14"/>
      <c r="U118" s="14"/>
      <c r="V118" s="14"/>
      <c r="W118" s="14"/>
    </row>
    <row r="119" ht="15.75" customHeight="1">
      <c r="A119" s="18" t="s">
        <v>1878</v>
      </c>
      <c r="B119" s="22" t="s">
        <v>1879</v>
      </c>
      <c r="C119" s="22" t="s">
        <v>1880</v>
      </c>
      <c r="D119" s="22" t="s">
        <v>1881</v>
      </c>
      <c r="E119" s="31" t="str">
        <f>IFERROR(__xludf.DUMMYFUNCTION("GOOGLETRANSLATE(D119,""zh-CN"",""vi"")"),"Con mèo đang ở góc bàn.")</f>
        <v>Con mèo đang ở góc bàn.</v>
      </c>
      <c r="F119" s="30" t="s">
        <v>1878</v>
      </c>
      <c r="G119" s="36" t="b">
        <f t="shared" si="1"/>
        <v>1</v>
      </c>
      <c r="H119" s="35" t="b">
        <v>0</v>
      </c>
      <c r="I119" s="35" t="b">
        <v>0</v>
      </c>
      <c r="J119" s="35" t="b">
        <v>0</v>
      </c>
      <c r="K119" s="35" t="b">
        <v>0</v>
      </c>
      <c r="L119" s="35" t="b">
        <v>0</v>
      </c>
      <c r="M119" s="35" t="b">
        <v>0</v>
      </c>
      <c r="N119" s="35" t="b">
        <v>0</v>
      </c>
      <c r="O119" s="35" t="b">
        <v>0</v>
      </c>
      <c r="P119" s="35" t="b">
        <v>0</v>
      </c>
      <c r="Q119" s="35" t="b">
        <v>0</v>
      </c>
      <c r="R119" s="14"/>
      <c r="S119" s="14"/>
      <c r="T119" s="14"/>
      <c r="U119" s="14"/>
      <c r="V119" s="14"/>
      <c r="W119" s="14"/>
    </row>
    <row r="120" ht="15.75" customHeight="1">
      <c r="A120" s="18" t="s">
        <v>1894</v>
      </c>
      <c r="B120" s="22" t="s">
        <v>1879</v>
      </c>
      <c r="C120" s="22" t="s">
        <v>1895</v>
      </c>
      <c r="D120" s="22" t="s">
        <v>1896</v>
      </c>
      <c r="E120" s="31" t="str">
        <f>IFERROR(__xludf.DUMMYFUNCTION("GOOGLETRANSLATE(D120,""zh-CN"",""vi"")"),"Chân tôi đau lắm.")</f>
        <v>Chân tôi đau lắm.</v>
      </c>
      <c r="F120" s="30" t="s">
        <v>1894</v>
      </c>
      <c r="G120" s="36" t="b">
        <f t="shared" si="1"/>
        <v>1</v>
      </c>
      <c r="H120" s="35" t="b">
        <v>0</v>
      </c>
      <c r="I120" s="35" t="b">
        <v>0</v>
      </c>
      <c r="J120" s="35" t="b">
        <v>0</v>
      </c>
      <c r="K120" s="35" t="b">
        <v>0</v>
      </c>
      <c r="L120" s="35" t="b">
        <v>0</v>
      </c>
      <c r="M120" s="35" t="b">
        <v>0</v>
      </c>
      <c r="N120" s="35" t="b">
        <v>0</v>
      </c>
      <c r="O120" s="35" t="b">
        <v>0</v>
      </c>
      <c r="P120" s="35" t="b">
        <v>0</v>
      </c>
      <c r="Q120" s="35" t="b">
        <v>0</v>
      </c>
      <c r="R120" s="14"/>
      <c r="S120" s="14"/>
      <c r="T120" s="14"/>
      <c r="U120" s="14"/>
      <c r="V120" s="14"/>
      <c r="W120" s="14"/>
    </row>
    <row r="121" ht="15.75" customHeight="1">
      <c r="A121" s="18" t="s">
        <v>1906</v>
      </c>
      <c r="B121" s="22" t="s">
        <v>1909</v>
      </c>
      <c r="C121" s="22" t="s">
        <v>1911</v>
      </c>
      <c r="D121" s="22" t="s">
        <v>1912</v>
      </c>
      <c r="E121" s="31" t="str">
        <f>IFERROR(__xludf.DUMMYFUNCTION("GOOGLETRANSLATE(D121,""zh-CN"",""vi"")"),"Hãy nghe điện thoại.")</f>
        <v>Hãy nghe điện thoại.</v>
      </c>
      <c r="F121" s="30" t="s">
        <v>1906</v>
      </c>
      <c r="G121" s="36" t="b">
        <f t="shared" si="1"/>
        <v>1</v>
      </c>
      <c r="H121" s="35" t="b">
        <v>0</v>
      </c>
      <c r="I121" s="35" t="b">
        <v>0</v>
      </c>
      <c r="J121" s="35" t="b">
        <v>0</v>
      </c>
      <c r="K121" s="35" t="b">
        <v>0</v>
      </c>
      <c r="L121" s="35" t="b">
        <v>0</v>
      </c>
      <c r="M121" s="35" t="b">
        <v>0</v>
      </c>
      <c r="N121" s="35" t="b">
        <v>0</v>
      </c>
      <c r="O121" s="35" t="b">
        <v>0</v>
      </c>
      <c r="P121" s="35" t="b">
        <v>0</v>
      </c>
      <c r="Q121" s="35" t="b">
        <v>0</v>
      </c>
      <c r="R121" s="14"/>
      <c r="S121" s="14"/>
      <c r="T121" s="14"/>
      <c r="U121" s="14"/>
      <c r="V121" s="14"/>
      <c r="W121" s="14"/>
    </row>
    <row r="122" ht="15.75" customHeight="1">
      <c r="A122" s="18" t="s">
        <v>1917</v>
      </c>
      <c r="B122" s="22" t="s">
        <v>1918</v>
      </c>
      <c r="C122" s="22" t="s">
        <v>1919</v>
      </c>
      <c r="D122" s="22" t="s">
        <v>1920</v>
      </c>
      <c r="E122" s="31" t="str">
        <f>IFERROR(__xludf.DUMMYFUNCTION("GOOGLETRANSLATE(D122,""zh-CN"",""vi"")"),"Con phố này rất rộng.")</f>
        <v>Con phố này rất rộng.</v>
      </c>
      <c r="F122" s="30" t="s">
        <v>1917</v>
      </c>
      <c r="G122" s="36" t="b">
        <f t="shared" si="1"/>
        <v>1</v>
      </c>
      <c r="H122" s="35" t="b">
        <v>0</v>
      </c>
      <c r="I122" s="35" t="b">
        <v>0</v>
      </c>
      <c r="J122" s="35" t="b">
        <v>0</v>
      </c>
      <c r="K122" s="35" t="b">
        <v>0</v>
      </c>
      <c r="L122" s="35" t="b">
        <v>0</v>
      </c>
      <c r="M122" s="35" t="b">
        <v>0</v>
      </c>
      <c r="N122" s="35" t="b">
        <v>0</v>
      </c>
      <c r="O122" s="35" t="b">
        <v>0</v>
      </c>
      <c r="P122" s="35" t="b">
        <v>0</v>
      </c>
      <c r="Q122" s="35" t="b">
        <v>0</v>
      </c>
      <c r="R122" s="14"/>
      <c r="S122" s="14"/>
      <c r="T122" s="14"/>
      <c r="U122" s="14"/>
      <c r="V122" s="14"/>
      <c r="W122" s="14"/>
    </row>
    <row r="123" ht="15.75" customHeight="1">
      <c r="A123" s="18" t="s">
        <v>1933</v>
      </c>
      <c r="B123" s="22" t="s">
        <v>1934</v>
      </c>
      <c r="C123" s="22" t="s">
        <v>1935</v>
      </c>
      <c r="D123" s="22" t="s">
        <v>1936</v>
      </c>
      <c r="E123" s="31" t="str">
        <f>IFERROR(__xludf.DUMMYFUNCTION("GOOGLETRANSLATE(D123,""zh-CN"",""vi"")"),"Họ đã kết hôn.")</f>
        <v>Họ đã kết hôn.</v>
      </c>
      <c r="F123" s="30" t="s">
        <v>1933</v>
      </c>
      <c r="G123" s="36" t="b">
        <f t="shared" si="1"/>
        <v>1</v>
      </c>
      <c r="H123" s="35" t="b">
        <v>0</v>
      </c>
      <c r="I123" s="35" t="b">
        <v>0</v>
      </c>
      <c r="J123" s="35" t="b">
        <v>0</v>
      </c>
      <c r="K123" s="35" t="b">
        <v>0</v>
      </c>
      <c r="L123" s="35" t="b">
        <v>0</v>
      </c>
      <c r="M123" s="35" t="b">
        <v>0</v>
      </c>
      <c r="N123" s="35" t="b">
        <v>0</v>
      </c>
      <c r="O123" s="35" t="b">
        <v>0</v>
      </c>
      <c r="P123" s="35" t="b">
        <v>0</v>
      </c>
      <c r="Q123" s="35" t="b">
        <v>0</v>
      </c>
      <c r="R123" s="14"/>
      <c r="S123" s="14"/>
      <c r="T123" s="14"/>
      <c r="U123" s="14"/>
      <c r="V123" s="14"/>
      <c r="W123" s="14"/>
    </row>
    <row r="124" ht="15.75" customHeight="1">
      <c r="A124" s="18" t="s">
        <v>1945</v>
      </c>
      <c r="B124" s="22" t="s">
        <v>1946</v>
      </c>
      <c r="C124" s="22" t="s">
        <v>1947</v>
      </c>
      <c r="D124" s="22" t="s">
        <v>1948</v>
      </c>
      <c r="E124" s="31" t="str">
        <f>IFERROR(__xludf.DUMMYFUNCTION("GOOGLETRANSLATE(D124,""zh-CN"",""vi"")"),"Cuộc họp đã kết thúc.")</f>
        <v>Cuộc họp đã kết thúc.</v>
      </c>
      <c r="F124" s="30" t="s">
        <v>1945</v>
      </c>
      <c r="G124" s="36" t="b">
        <f t="shared" si="1"/>
        <v>1</v>
      </c>
      <c r="H124" s="35" t="b">
        <v>0</v>
      </c>
      <c r="I124" s="35" t="b">
        <v>0</v>
      </c>
      <c r="J124" s="35" t="b">
        <v>0</v>
      </c>
      <c r="K124" s="35" t="b">
        <v>0</v>
      </c>
      <c r="L124" s="35" t="b">
        <v>0</v>
      </c>
      <c r="M124" s="35" t="b">
        <v>0</v>
      </c>
      <c r="N124" s="35" t="b">
        <v>0</v>
      </c>
      <c r="O124" s="35" t="b">
        <v>0</v>
      </c>
      <c r="P124" s="35" t="b">
        <v>0</v>
      </c>
      <c r="Q124" s="35" t="b">
        <v>0</v>
      </c>
      <c r="R124" s="14"/>
      <c r="S124" s="14"/>
      <c r="T124" s="14"/>
      <c r="U124" s="14"/>
      <c r="V124" s="14"/>
      <c r="W124" s="14"/>
    </row>
    <row r="125" ht="15.75" customHeight="1">
      <c r="A125" s="18" t="s">
        <v>1957</v>
      </c>
      <c r="B125" s="22" t="s">
        <v>1959</v>
      </c>
      <c r="C125" s="22" t="s">
        <v>1962</v>
      </c>
      <c r="D125" s="22" t="s">
        <v>1964</v>
      </c>
      <c r="E125" s="31" t="str">
        <f>IFERROR(__xludf.DUMMYFUNCTION("GOOGLETRANSLATE(D125,""zh-CN"",""vi"")"),"Tôi thích chương trình này.")</f>
        <v>Tôi thích chương trình này.</v>
      </c>
      <c r="F125" s="30" t="s">
        <v>1957</v>
      </c>
      <c r="G125" s="36" t="b">
        <f t="shared" si="1"/>
        <v>1</v>
      </c>
      <c r="H125" s="35" t="b">
        <v>0</v>
      </c>
      <c r="I125" s="35" t="b">
        <v>0</v>
      </c>
      <c r="J125" s="35" t="b">
        <v>0</v>
      </c>
      <c r="K125" s="35" t="b">
        <v>0</v>
      </c>
      <c r="L125" s="35" t="b">
        <v>0</v>
      </c>
      <c r="M125" s="35" t="b">
        <v>0</v>
      </c>
      <c r="N125" s="35" t="b">
        <v>0</v>
      </c>
      <c r="O125" s="35" t="b">
        <v>0</v>
      </c>
      <c r="P125" s="35" t="b">
        <v>0</v>
      </c>
      <c r="Q125" s="35" t="b">
        <v>0</v>
      </c>
      <c r="R125" s="14"/>
      <c r="S125" s="14"/>
      <c r="T125" s="14"/>
      <c r="U125" s="14"/>
      <c r="V125" s="14"/>
      <c r="W125" s="14"/>
    </row>
    <row r="126" ht="15.75" customHeight="1">
      <c r="A126" s="18" t="s">
        <v>1969</v>
      </c>
      <c r="B126" s="22" t="s">
        <v>1971</v>
      </c>
      <c r="C126" s="22" t="s">
        <v>1973</v>
      </c>
      <c r="D126" s="22" t="s">
        <v>1976</v>
      </c>
      <c r="E126" s="31" t="str">
        <f>IFERROR(__xludf.DUMMYFUNCTION("GOOGLETRANSLATE(D126,""zh-CN"",""vi"")"),"Tết Nguyên Đán là một lễ hội truyền thống của Trung Quốc.")</f>
        <v>Tết Nguyên Đán là một lễ hội truyền thống của Trung Quốc.</v>
      </c>
      <c r="F126" s="30" t="s">
        <v>1969</v>
      </c>
      <c r="G126" s="36" t="b">
        <f t="shared" si="1"/>
        <v>1</v>
      </c>
      <c r="H126" s="35" t="b">
        <v>0</v>
      </c>
      <c r="I126" s="35" t="b">
        <v>0</v>
      </c>
      <c r="J126" s="35" t="b">
        <v>0</v>
      </c>
      <c r="K126" s="35" t="b">
        <v>0</v>
      </c>
      <c r="L126" s="35" t="b">
        <v>0</v>
      </c>
      <c r="M126" s="35" t="b">
        <v>0</v>
      </c>
      <c r="N126" s="35" t="b">
        <v>0</v>
      </c>
      <c r="O126" s="35" t="b">
        <v>0</v>
      </c>
      <c r="P126" s="35" t="b">
        <v>0</v>
      </c>
      <c r="Q126" s="35" t="b">
        <v>0</v>
      </c>
      <c r="R126" s="14"/>
      <c r="S126" s="14"/>
      <c r="T126" s="14"/>
      <c r="U126" s="14"/>
      <c r="V126" s="14"/>
      <c r="W126" s="14"/>
    </row>
    <row r="127" ht="15.75" customHeight="1">
      <c r="A127" s="18" t="s">
        <v>1986</v>
      </c>
      <c r="B127" s="22" t="s">
        <v>1988</v>
      </c>
      <c r="C127" s="22" t="s">
        <v>1989</v>
      </c>
      <c r="D127" s="22" t="s">
        <v>1990</v>
      </c>
      <c r="E127" s="31" t="str">
        <f>IFERROR(__xludf.DUMMYFUNCTION("GOOGLETRANSLATE(D127,""zh-CN"",""vi"")"),"Chúng ta cần giải quyết vấn đề này.")</f>
        <v>Chúng ta cần giải quyết vấn đề này.</v>
      </c>
      <c r="F127" s="30" t="s">
        <v>1986</v>
      </c>
      <c r="G127" s="36" t="b">
        <f t="shared" si="1"/>
        <v>1</v>
      </c>
      <c r="H127" s="35" t="b">
        <v>0</v>
      </c>
      <c r="I127" s="35" t="b">
        <v>0</v>
      </c>
      <c r="J127" s="35" t="b">
        <v>0</v>
      </c>
      <c r="K127" s="35" t="b">
        <v>0</v>
      </c>
      <c r="L127" s="35" t="b">
        <v>0</v>
      </c>
      <c r="M127" s="35" t="b">
        <v>0</v>
      </c>
      <c r="N127" s="35" t="b">
        <v>0</v>
      </c>
      <c r="O127" s="35" t="b">
        <v>0</v>
      </c>
      <c r="P127" s="35" t="b">
        <v>0</v>
      </c>
      <c r="Q127" s="35" t="b">
        <v>0</v>
      </c>
      <c r="R127" s="14"/>
      <c r="S127" s="14"/>
      <c r="T127" s="14"/>
      <c r="U127" s="14"/>
      <c r="V127" s="14"/>
      <c r="W127" s="14"/>
    </row>
    <row r="128" ht="15.75" customHeight="1">
      <c r="A128" s="18" t="s">
        <v>2003</v>
      </c>
      <c r="B128" s="22" t="s">
        <v>2004</v>
      </c>
      <c r="C128" s="22" t="s">
        <v>2005</v>
      </c>
      <c r="D128" s="22" t="s">
        <v>2006</v>
      </c>
      <c r="E128" s="31" t="str">
        <f>IFERROR(__xludf.DUMMYFUNCTION("GOOGLETRANSLATE(D128,""zh-CN"",""vi"")"),"Tôi có thể mượn cuốn sách của bạn được không?")</f>
        <v>Tôi có thể mượn cuốn sách của bạn được không?</v>
      </c>
      <c r="F128" s="30" t="s">
        <v>2003</v>
      </c>
      <c r="G128" s="36" t="b">
        <f t="shared" si="1"/>
        <v>1</v>
      </c>
      <c r="H128" s="35" t="b">
        <v>0</v>
      </c>
      <c r="I128" s="35" t="b">
        <v>0</v>
      </c>
      <c r="J128" s="35" t="b">
        <v>0</v>
      </c>
      <c r="K128" s="35" t="b">
        <v>0</v>
      </c>
      <c r="L128" s="35" t="b">
        <v>0</v>
      </c>
      <c r="M128" s="35" t="b">
        <v>0</v>
      </c>
      <c r="N128" s="35" t="b">
        <v>0</v>
      </c>
      <c r="O128" s="35" t="b">
        <v>0</v>
      </c>
      <c r="P128" s="35" t="b">
        <v>0</v>
      </c>
      <c r="Q128" s="35" t="b">
        <v>0</v>
      </c>
      <c r="R128" s="14"/>
      <c r="S128" s="14"/>
      <c r="T128" s="14"/>
      <c r="U128" s="14"/>
      <c r="V128" s="14"/>
      <c r="W128" s="14"/>
    </row>
    <row r="129" ht="15.75" customHeight="1">
      <c r="A129" s="18" t="s">
        <v>2014</v>
      </c>
      <c r="B129" s="22" t="s">
        <v>2017</v>
      </c>
      <c r="C129" s="22" t="s">
        <v>2019</v>
      </c>
      <c r="D129" s="22" t="s">
        <v>2021</v>
      </c>
      <c r="E129" s="31" t="str">
        <f>IFERROR(__xludf.DUMMYFUNCTION("GOOGLETRANSLATE(D129,""zh-CN"",""vi"")"),"Tôi thường xuyên đến thư viện.")</f>
        <v>Tôi thường xuyên đến thư viện.</v>
      </c>
      <c r="F129" s="30" t="s">
        <v>2014</v>
      </c>
      <c r="G129" s="36" t="b">
        <f t="shared" si="1"/>
        <v>1</v>
      </c>
      <c r="H129" s="35" t="b">
        <v>0</v>
      </c>
      <c r="I129" s="35" t="b">
        <v>0</v>
      </c>
      <c r="J129" s="35" t="b">
        <v>0</v>
      </c>
      <c r="K129" s="35" t="b">
        <v>0</v>
      </c>
      <c r="L129" s="35" t="b">
        <v>0</v>
      </c>
      <c r="M129" s="35" t="b">
        <v>0</v>
      </c>
      <c r="N129" s="35" t="b">
        <v>0</v>
      </c>
      <c r="O129" s="35" t="b">
        <v>0</v>
      </c>
      <c r="P129" s="35" t="b">
        <v>0</v>
      </c>
      <c r="Q129" s="35" t="b">
        <v>0</v>
      </c>
      <c r="R129" s="14"/>
      <c r="S129" s="14"/>
      <c r="T129" s="14"/>
      <c r="U129" s="14"/>
      <c r="V129" s="14"/>
      <c r="W129" s="14"/>
    </row>
    <row r="130" ht="15.75" customHeight="1">
      <c r="A130" s="18" t="s">
        <v>2028</v>
      </c>
      <c r="B130" s="22" t="s">
        <v>2030</v>
      </c>
      <c r="C130" s="22" t="s">
        <v>2032</v>
      </c>
      <c r="D130" s="22" t="s">
        <v>2034</v>
      </c>
      <c r="E130" s="31" t="str">
        <f>IFERROR(__xludf.DUMMYFUNCTION("GOOGLETRANSLATE(D130,""zh-CN"",""vi"")"),"Anh ấy đã đi ngang qua nhà tôi.")</f>
        <v>Anh ấy đã đi ngang qua nhà tôi.</v>
      </c>
      <c r="F130" s="30" t="s">
        <v>2028</v>
      </c>
      <c r="G130" s="36" t="b">
        <f t="shared" si="1"/>
        <v>1</v>
      </c>
      <c r="H130" s="35" t="b">
        <v>0</v>
      </c>
      <c r="I130" s="35" t="b">
        <v>0</v>
      </c>
      <c r="J130" s="35" t="b">
        <v>0</v>
      </c>
      <c r="K130" s="35" t="b">
        <v>0</v>
      </c>
      <c r="L130" s="35" t="b">
        <v>0</v>
      </c>
      <c r="M130" s="35" t="b">
        <v>0</v>
      </c>
      <c r="N130" s="35" t="b">
        <v>0</v>
      </c>
      <c r="O130" s="35" t="b">
        <v>0</v>
      </c>
      <c r="P130" s="35" t="b">
        <v>0</v>
      </c>
      <c r="Q130" s="35" t="b">
        <v>0</v>
      </c>
      <c r="R130" s="14"/>
      <c r="S130" s="14"/>
      <c r="T130" s="14"/>
      <c r="U130" s="14"/>
      <c r="V130" s="14"/>
      <c r="W130" s="14"/>
    </row>
    <row r="131" ht="15.75" customHeight="1">
      <c r="A131" s="18" t="s">
        <v>2046</v>
      </c>
      <c r="B131" s="22" t="s">
        <v>2047</v>
      </c>
      <c r="C131" s="22" t="s">
        <v>2049</v>
      </c>
      <c r="D131" s="22" t="s">
        <v>2051</v>
      </c>
      <c r="E131" s="31" t="str">
        <f>IFERROR(__xludf.DUMMYFUNCTION("GOOGLETRANSLATE(D131,""zh-CN"",""vi"")"),"Đây là một trải nghiệm không thể nào quên.")</f>
        <v>Đây là một trải nghiệm không thể nào quên.</v>
      </c>
      <c r="F131" s="30" t="s">
        <v>2046</v>
      </c>
      <c r="G131" s="36" t="b">
        <f t="shared" si="1"/>
        <v>1</v>
      </c>
      <c r="H131" s="35" t="b">
        <v>0</v>
      </c>
      <c r="I131" s="35" t="b">
        <v>0</v>
      </c>
      <c r="J131" s="35" t="b">
        <v>0</v>
      </c>
      <c r="K131" s="35" t="b">
        <v>0</v>
      </c>
      <c r="L131" s="35" t="b">
        <v>0</v>
      </c>
      <c r="M131" s="35" t="b">
        <v>0</v>
      </c>
      <c r="N131" s="35" t="b">
        <v>0</v>
      </c>
      <c r="O131" s="35" t="b">
        <v>0</v>
      </c>
      <c r="P131" s="35" t="b">
        <v>0</v>
      </c>
      <c r="Q131" s="35" t="b">
        <v>0</v>
      </c>
      <c r="R131" s="14"/>
      <c r="S131" s="14"/>
      <c r="T131" s="14"/>
      <c r="U131" s="14"/>
      <c r="V131" s="14"/>
      <c r="W131" s="14"/>
    </row>
    <row r="132" ht="15.75" customHeight="1">
      <c r="A132" s="18" t="s">
        <v>2057</v>
      </c>
      <c r="B132" s="22" t="s">
        <v>590</v>
      </c>
      <c r="C132" s="22" t="s">
        <v>2060</v>
      </c>
      <c r="D132" s="22" t="s">
        <v>2061</v>
      </c>
      <c r="E132" s="31" t="str">
        <f>IFERROR(__xludf.DUMMYFUNCTION("GOOGLETRANSLATE(D132,""zh-CN"",""vi"")"),"Tôi đã chờ rất lâu.")</f>
        <v>Tôi đã chờ rất lâu.</v>
      </c>
      <c r="F132" s="30" t="s">
        <v>2057</v>
      </c>
      <c r="G132" s="36" t="b">
        <f t="shared" si="1"/>
        <v>1</v>
      </c>
      <c r="H132" s="35" t="b">
        <v>0</v>
      </c>
      <c r="I132" s="35" t="b">
        <v>0</v>
      </c>
      <c r="J132" s="35" t="b">
        <v>0</v>
      </c>
      <c r="K132" s="35" t="b">
        <v>0</v>
      </c>
      <c r="L132" s="35" t="b">
        <v>0</v>
      </c>
      <c r="M132" s="35" t="b">
        <v>0</v>
      </c>
      <c r="N132" s="35" t="b">
        <v>0</v>
      </c>
      <c r="O132" s="35" t="b">
        <v>0</v>
      </c>
      <c r="P132" s="35" t="b">
        <v>0</v>
      </c>
      <c r="Q132" s="35" t="b">
        <v>0</v>
      </c>
      <c r="R132" s="14"/>
      <c r="S132" s="14"/>
      <c r="T132" s="14"/>
      <c r="U132" s="14"/>
      <c r="V132" s="14"/>
      <c r="W132" s="14"/>
    </row>
    <row r="133" ht="15.75" customHeight="1">
      <c r="A133" s="18" t="s">
        <v>2070</v>
      </c>
      <c r="B133" s="22" t="s">
        <v>1173</v>
      </c>
      <c r="C133" s="22" t="s">
        <v>2071</v>
      </c>
      <c r="D133" s="22" t="s">
        <v>2072</v>
      </c>
      <c r="E133" s="31" t="str">
        <f>IFERROR(__xludf.DUMMYFUNCTION("GOOGLETRANSLATE(D133,""zh-CN"",""vi"")"),"Cuốn sách này đã cũ.")</f>
        <v>Cuốn sách này đã cũ.</v>
      </c>
      <c r="F133" s="30" t="s">
        <v>2070</v>
      </c>
      <c r="G133" s="36" t="b">
        <f t="shared" si="1"/>
        <v>1</v>
      </c>
      <c r="H133" s="35" t="b">
        <v>0</v>
      </c>
      <c r="I133" s="35" t="b">
        <v>0</v>
      </c>
      <c r="J133" s="35" t="b">
        <v>0</v>
      </c>
      <c r="K133" s="35" t="b">
        <v>0</v>
      </c>
      <c r="L133" s="35" t="b">
        <v>0</v>
      </c>
      <c r="M133" s="35" t="b">
        <v>0</v>
      </c>
      <c r="N133" s="35" t="b">
        <v>0</v>
      </c>
      <c r="O133" s="35" t="b">
        <v>0</v>
      </c>
      <c r="P133" s="35" t="b">
        <v>0</v>
      </c>
      <c r="Q133" s="35" t="b">
        <v>0</v>
      </c>
      <c r="R133" s="14"/>
      <c r="S133" s="14"/>
      <c r="T133" s="14"/>
      <c r="U133" s="14"/>
      <c r="V133" s="14"/>
      <c r="W133" s="14"/>
    </row>
    <row r="134" ht="15.75" customHeight="1">
      <c r="A134" s="18" t="s">
        <v>2085</v>
      </c>
      <c r="B134" s="22" t="s">
        <v>2086</v>
      </c>
      <c r="C134" s="22" t="s">
        <v>2087</v>
      </c>
      <c r="D134" s="22" t="s">
        <v>2088</v>
      </c>
      <c r="E134" s="31" t="str">
        <f>IFERROR(__xludf.DUMMYFUNCTION("GOOGLETRANSLATE(D134,""zh-CN"",""vi"")"),"Trường sẽ tổ chức một cuộc thi thể thao.")</f>
        <v>Trường sẽ tổ chức một cuộc thi thể thao.</v>
      </c>
      <c r="F134" s="30" t="s">
        <v>2085</v>
      </c>
      <c r="G134" s="36" t="b">
        <f t="shared" si="1"/>
        <v>1</v>
      </c>
      <c r="H134" s="35" t="b">
        <v>0</v>
      </c>
      <c r="I134" s="35" t="b">
        <v>0</v>
      </c>
      <c r="J134" s="35" t="b">
        <v>0</v>
      </c>
      <c r="K134" s="35" t="b">
        <v>0</v>
      </c>
      <c r="L134" s="35" t="b">
        <v>0</v>
      </c>
      <c r="M134" s="35" t="b">
        <v>0</v>
      </c>
      <c r="N134" s="35" t="b">
        <v>0</v>
      </c>
      <c r="O134" s="35" t="b">
        <v>0</v>
      </c>
      <c r="P134" s="35" t="b">
        <v>0</v>
      </c>
      <c r="Q134" s="35" t="b">
        <v>0</v>
      </c>
      <c r="R134" s="14"/>
      <c r="S134" s="14"/>
      <c r="T134" s="14"/>
      <c r="U134" s="14"/>
      <c r="V134" s="14"/>
      <c r="W134" s="14"/>
    </row>
    <row r="135" ht="15.75" customHeight="1">
      <c r="A135" s="18" t="s">
        <v>2096</v>
      </c>
      <c r="B135" s="22" t="s">
        <v>2099</v>
      </c>
      <c r="C135" s="22" t="s">
        <v>2101</v>
      </c>
      <c r="D135" s="22" t="s">
        <v>2103</v>
      </c>
      <c r="E135" s="31" t="str">
        <f>IFERROR(__xludf.DUMMYFUNCTION("GOOGLETRANSLATE(D135,""zh-CN"",""vi"")"),"Hãy sử dụng từ này để tạo thành một câu.")</f>
        <v>Hãy sử dụng từ này để tạo thành một câu.</v>
      </c>
      <c r="F135" s="30" t="s">
        <v>2096</v>
      </c>
      <c r="G135" s="36" t="b">
        <f t="shared" si="1"/>
        <v>1</v>
      </c>
      <c r="H135" s="35" t="b">
        <v>0</v>
      </c>
      <c r="I135" s="35" t="b">
        <v>0</v>
      </c>
      <c r="J135" s="35" t="b">
        <v>0</v>
      </c>
      <c r="K135" s="35" t="b">
        <v>0</v>
      </c>
      <c r="L135" s="35" t="b">
        <v>0</v>
      </c>
      <c r="M135" s="35" t="b">
        <v>0</v>
      </c>
      <c r="N135" s="35" t="b">
        <v>0</v>
      </c>
      <c r="O135" s="35" t="b">
        <v>0</v>
      </c>
      <c r="P135" s="35" t="b">
        <v>0</v>
      </c>
      <c r="Q135" s="35" t="b">
        <v>0</v>
      </c>
      <c r="R135" s="14"/>
      <c r="S135" s="14"/>
      <c r="T135" s="14"/>
      <c r="U135" s="14"/>
      <c r="V135" s="14"/>
      <c r="W135" s="14"/>
    </row>
    <row r="136" ht="15.75" customHeight="1">
      <c r="A136" s="18" t="s">
        <v>2109</v>
      </c>
      <c r="B136" s="22" t="s">
        <v>2111</v>
      </c>
      <c r="C136" s="22" t="s">
        <v>2113</v>
      </c>
      <c r="D136" s="22" t="s">
        <v>2115</v>
      </c>
      <c r="E136" s="31" t="str">
        <f>IFERROR(__xludf.DUMMYFUNCTION("GOOGLETRANSLATE(D136,""zh-CN"",""vi"")"),"Tôi đã quyết định đi du lịch vào ngày mai.")</f>
        <v>Tôi đã quyết định đi du lịch vào ngày mai.</v>
      </c>
      <c r="F136" s="30" t="s">
        <v>2109</v>
      </c>
      <c r="G136" s="36" t="b">
        <f t="shared" si="1"/>
        <v>1</v>
      </c>
      <c r="H136" s="35" t="b">
        <v>0</v>
      </c>
      <c r="I136" s="35" t="b">
        <v>0</v>
      </c>
      <c r="J136" s="35" t="b">
        <v>0</v>
      </c>
      <c r="K136" s="35" t="b">
        <v>0</v>
      </c>
      <c r="L136" s="35" t="b">
        <v>0</v>
      </c>
      <c r="M136" s="35" t="b">
        <v>0</v>
      </c>
      <c r="N136" s="35" t="b">
        <v>0</v>
      </c>
      <c r="O136" s="35" t="b">
        <v>0</v>
      </c>
      <c r="P136" s="35" t="b">
        <v>0</v>
      </c>
      <c r="Q136" s="35" t="b">
        <v>0</v>
      </c>
      <c r="R136" s="14"/>
      <c r="S136" s="14"/>
      <c r="T136" s="14"/>
      <c r="U136" s="14"/>
      <c r="V136" s="14"/>
      <c r="W136" s="14"/>
    </row>
    <row r="137" ht="15.75" customHeight="1">
      <c r="A137" s="18" t="s">
        <v>2125</v>
      </c>
      <c r="B137" s="22" t="s">
        <v>2126</v>
      </c>
      <c r="C137" s="22" t="s">
        <v>2127</v>
      </c>
      <c r="D137" s="22" t="s">
        <v>859</v>
      </c>
      <c r="E137" s="31" t="str">
        <f>IFERROR(__xludf.DUMMYFUNCTION("GOOGLETRANSLATE(D137,""zh-CN"",""vi"")"),"Con mèo này dễ thương quá.")</f>
        <v>Con mèo này dễ thương quá.</v>
      </c>
      <c r="F137" s="30" t="s">
        <v>2125</v>
      </c>
      <c r="G137" s="36" t="b">
        <f t="shared" si="1"/>
        <v>1</v>
      </c>
      <c r="H137" s="35" t="b">
        <v>0</v>
      </c>
      <c r="I137" s="35" t="b">
        <v>0</v>
      </c>
      <c r="J137" s="35" t="b">
        <v>0</v>
      </c>
      <c r="K137" s="35" t="b">
        <v>0</v>
      </c>
      <c r="L137" s="35" t="b">
        <v>0</v>
      </c>
      <c r="M137" s="35" t="b">
        <v>0</v>
      </c>
      <c r="N137" s="35" t="b">
        <v>0</v>
      </c>
      <c r="O137" s="35" t="b">
        <v>0</v>
      </c>
      <c r="P137" s="35" t="b">
        <v>0</v>
      </c>
      <c r="Q137" s="35" t="b">
        <v>0</v>
      </c>
      <c r="R137" s="14"/>
      <c r="S137" s="14"/>
      <c r="T137" s="14"/>
      <c r="U137" s="14"/>
      <c r="V137" s="14"/>
      <c r="W137" s="14"/>
    </row>
    <row r="138" ht="15.75" customHeight="1">
      <c r="A138" s="18" t="s">
        <v>2136</v>
      </c>
      <c r="B138" s="22" t="s">
        <v>1314</v>
      </c>
      <c r="C138" s="22" t="s">
        <v>2143</v>
      </c>
      <c r="D138" s="22" t="s">
        <v>2145</v>
      </c>
      <c r="E138" s="31" t="str">
        <f>IFERROR(__xludf.DUMMYFUNCTION("GOOGLETRANSLATE(D138,""zh-CN"",""vi"")"),"Tôi sẽ có mặt lúc 8:15.")</f>
        <v>Tôi sẽ có mặt lúc 8:15.</v>
      </c>
      <c r="F138" s="30" t="s">
        <v>2136</v>
      </c>
      <c r="G138" s="36" t="b">
        <f t="shared" si="1"/>
        <v>1</v>
      </c>
      <c r="H138" s="35" t="b">
        <v>0</v>
      </c>
      <c r="I138" s="35" t="b">
        <v>0</v>
      </c>
      <c r="J138" s="35" t="b">
        <v>0</v>
      </c>
      <c r="K138" s="35" t="b">
        <v>0</v>
      </c>
      <c r="L138" s="35" t="b">
        <v>0</v>
      </c>
      <c r="M138" s="35" t="b">
        <v>0</v>
      </c>
      <c r="N138" s="35" t="b">
        <v>0</v>
      </c>
      <c r="O138" s="35" t="b">
        <v>0</v>
      </c>
      <c r="P138" s="35" t="b">
        <v>0</v>
      </c>
      <c r="Q138" s="35" t="b">
        <v>0</v>
      </c>
      <c r="R138" s="14"/>
      <c r="S138" s="14"/>
      <c r="T138" s="14"/>
      <c r="U138" s="14"/>
      <c r="V138" s="14"/>
      <c r="W138" s="14"/>
    </row>
    <row r="139" ht="15.75" customHeight="1">
      <c r="A139" s="18" t="s">
        <v>2150</v>
      </c>
      <c r="B139" s="22" t="s">
        <v>2152</v>
      </c>
      <c r="C139" s="22" t="s">
        <v>2154</v>
      </c>
      <c r="D139" s="22" t="s">
        <v>2155</v>
      </c>
      <c r="E139" s="31" t="str">
        <f>IFERROR(__xludf.DUMMYFUNCTION("GOOGLETRANSLATE(D139,""zh-CN"",""vi"")"),"Khách đã đến.")</f>
        <v>Khách đã đến.</v>
      </c>
      <c r="F139" s="30" t="s">
        <v>2150</v>
      </c>
      <c r="G139" s="36" t="b">
        <f t="shared" si="1"/>
        <v>1</v>
      </c>
      <c r="H139" s="35" t="b">
        <v>0</v>
      </c>
      <c r="I139" s="35" t="b">
        <v>0</v>
      </c>
      <c r="J139" s="35" t="b">
        <v>0</v>
      </c>
      <c r="K139" s="35" t="b">
        <v>0</v>
      </c>
      <c r="L139" s="35" t="b">
        <v>0</v>
      </c>
      <c r="M139" s="35" t="b">
        <v>0</v>
      </c>
      <c r="N139" s="35" t="b">
        <v>0</v>
      </c>
      <c r="O139" s="35" t="b">
        <v>0</v>
      </c>
      <c r="P139" s="35" t="b">
        <v>0</v>
      </c>
      <c r="Q139" s="35" t="b">
        <v>0</v>
      </c>
      <c r="R139" s="14"/>
      <c r="S139" s="14"/>
      <c r="T139" s="14"/>
      <c r="U139" s="14"/>
      <c r="V139" s="14"/>
      <c r="W139" s="14"/>
    </row>
    <row r="140" ht="15.75" customHeight="1">
      <c r="A140" s="18" t="s">
        <v>2166</v>
      </c>
      <c r="B140" s="22" t="s">
        <v>2167</v>
      </c>
      <c r="C140" s="22" t="s">
        <v>2168</v>
      </c>
      <c r="D140" s="22" t="s">
        <v>2169</v>
      </c>
      <c r="E140" s="31" t="str">
        <f>IFERROR(__xludf.DUMMYFUNCTION("GOOGLETRANSLATE(D140,""zh-CN"",""vi"")"),"Phòng có máy điều hòa.")</f>
        <v>Phòng có máy điều hòa.</v>
      </c>
      <c r="F140" s="30" t="s">
        <v>2166</v>
      </c>
      <c r="G140" s="36" t="b">
        <f t="shared" si="1"/>
        <v>1</v>
      </c>
      <c r="H140" s="35" t="b">
        <v>0</v>
      </c>
      <c r="I140" s="35" t="b">
        <v>0</v>
      </c>
      <c r="J140" s="35" t="b">
        <v>0</v>
      </c>
      <c r="K140" s="35" t="b">
        <v>0</v>
      </c>
      <c r="L140" s="35" t="b">
        <v>0</v>
      </c>
      <c r="M140" s="35" t="b">
        <v>0</v>
      </c>
      <c r="N140" s="35" t="b">
        <v>0</v>
      </c>
      <c r="O140" s="35" t="b">
        <v>0</v>
      </c>
      <c r="P140" s="35" t="b">
        <v>0</v>
      </c>
      <c r="Q140" s="35" t="b">
        <v>0</v>
      </c>
      <c r="R140" s="14"/>
      <c r="S140" s="14"/>
      <c r="T140" s="14"/>
      <c r="U140" s="14"/>
      <c r="V140" s="14"/>
      <c r="W140" s="14"/>
    </row>
    <row r="141" ht="15.75" customHeight="1">
      <c r="A141" s="18" t="s">
        <v>2176</v>
      </c>
      <c r="B141" s="22" t="s">
        <v>2177</v>
      </c>
      <c r="C141" s="22" t="s">
        <v>2179</v>
      </c>
      <c r="D141" s="22" t="s">
        <v>2185</v>
      </c>
      <c r="E141" s="31" t="str">
        <f>IFERROR(__xludf.DUMMYFUNCTION("GOOGLETRANSLATE(D141,""zh-CN"",""vi"")"),"Hãy mở miệng ra.")</f>
        <v>Hãy mở miệng ra.</v>
      </c>
      <c r="F141" s="30" t="s">
        <v>2176</v>
      </c>
      <c r="G141" s="36" t="b">
        <f t="shared" si="1"/>
        <v>1</v>
      </c>
      <c r="H141" s="35" t="b">
        <v>0</v>
      </c>
      <c r="I141" s="35" t="b">
        <v>0</v>
      </c>
      <c r="J141" s="35" t="b">
        <v>0</v>
      </c>
      <c r="K141" s="35" t="b">
        <v>0</v>
      </c>
      <c r="L141" s="35" t="b">
        <v>0</v>
      </c>
      <c r="M141" s="35" t="b">
        <v>0</v>
      </c>
      <c r="N141" s="35" t="b">
        <v>0</v>
      </c>
      <c r="O141" s="35" t="b">
        <v>0</v>
      </c>
      <c r="P141" s="35" t="b">
        <v>0</v>
      </c>
      <c r="Q141" s="35" t="b">
        <v>0</v>
      </c>
      <c r="R141" s="14"/>
      <c r="S141" s="14"/>
      <c r="T141" s="14"/>
      <c r="U141" s="14"/>
      <c r="V141" s="14"/>
      <c r="W141" s="14"/>
    </row>
    <row r="142" ht="15.75" customHeight="1">
      <c r="A142" s="18" t="s">
        <v>2190</v>
      </c>
      <c r="B142" s="22" t="s">
        <v>2191</v>
      </c>
      <c r="C142" s="22" t="s">
        <v>2192</v>
      </c>
      <c r="D142" s="22" t="s">
        <v>2194</v>
      </c>
      <c r="E142" s="31" t="str">
        <f>IFERROR(__xludf.DUMMYFUNCTION("GOOGLETRANSLATE(D142,""zh-CN"",""vi"")"),"Các em nhỏ đang khóc.")</f>
        <v>Các em nhỏ đang khóc.</v>
      </c>
      <c r="F142" s="30" t="s">
        <v>2190</v>
      </c>
      <c r="G142" s="36" t="b">
        <f t="shared" si="1"/>
        <v>1</v>
      </c>
      <c r="H142" s="35" t="b">
        <v>0</v>
      </c>
      <c r="I142" s="35" t="b">
        <v>0</v>
      </c>
      <c r="J142" s="35" t="b">
        <v>0</v>
      </c>
      <c r="K142" s="35" t="b">
        <v>0</v>
      </c>
      <c r="L142" s="35" t="b">
        <v>0</v>
      </c>
      <c r="M142" s="35" t="b">
        <v>0</v>
      </c>
      <c r="N142" s="35" t="b">
        <v>0</v>
      </c>
      <c r="O142" s="35" t="b">
        <v>0</v>
      </c>
      <c r="P142" s="35" t="b">
        <v>0</v>
      </c>
      <c r="Q142" s="35" t="b">
        <v>0</v>
      </c>
      <c r="R142" s="14"/>
      <c r="S142" s="14"/>
      <c r="T142" s="14"/>
      <c r="U142" s="14"/>
      <c r="V142" s="14"/>
      <c r="W142" s="14"/>
    </row>
    <row r="143" ht="15.75" customHeight="1">
      <c r="A143" s="18" t="s">
        <v>2207</v>
      </c>
      <c r="B143" s="22" t="s">
        <v>2209</v>
      </c>
      <c r="C143" s="22" t="s">
        <v>2211</v>
      </c>
      <c r="D143" s="22" t="s">
        <v>2213</v>
      </c>
      <c r="E143" s="31" t="str">
        <f>IFERROR(__xludf.DUMMYFUNCTION("GOOGLETRANSLATE(D143,""zh-CN"",""vi"")"),"Anh ấy đang mặc một chiếc quần mới.")</f>
        <v>Anh ấy đang mặc một chiếc quần mới.</v>
      </c>
      <c r="F143" s="30" t="s">
        <v>2207</v>
      </c>
      <c r="G143" s="36" t="b">
        <f t="shared" si="1"/>
        <v>1</v>
      </c>
      <c r="H143" s="35" t="b">
        <v>0</v>
      </c>
      <c r="I143" s="35" t="b">
        <v>0</v>
      </c>
      <c r="J143" s="35" t="b">
        <v>0</v>
      </c>
      <c r="K143" s="35" t="b">
        <v>0</v>
      </c>
      <c r="L143" s="35" t="b">
        <v>0</v>
      </c>
      <c r="M143" s="35" t="b">
        <v>0</v>
      </c>
      <c r="N143" s="35" t="b">
        <v>0</v>
      </c>
      <c r="O143" s="35" t="b">
        <v>0</v>
      </c>
      <c r="P143" s="35" t="b">
        <v>0</v>
      </c>
      <c r="Q143" s="35" t="b">
        <v>0</v>
      </c>
      <c r="R143" s="14"/>
      <c r="S143" s="14"/>
      <c r="T143" s="14"/>
      <c r="U143" s="14"/>
      <c r="V143" s="14"/>
      <c r="W143" s="14"/>
    </row>
    <row r="144" ht="15.75" customHeight="1">
      <c r="A144" s="18" t="s">
        <v>2218</v>
      </c>
      <c r="B144" s="22" t="s">
        <v>2219</v>
      </c>
      <c r="C144" s="22" t="s">
        <v>2220</v>
      </c>
      <c r="D144" s="22" t="s">
        <v>2221</v>
      </c>
      <c r="E144" s="31" t="str">
        <f>IFERROR(__xludf.DUMMYFUNCTION("GOOGLETRANSLATE(D144,""zh-CN"",""vi"")"),"Tôi ăn bằng đũa.")</f>
        <v>Tôi ăn bằng đũa.</v>
      </c>
      <c r="F144" s="30" t="s">
        <v>2218</v>
      </c>
      <c r="G144" s="36" t="b">
        <f t="shared" si="1"/>
        <v>1</v>
      </c>
      <c r="H144" s="35" t="b">
        <v>0</v>
      </c>
      <c r="I144" s="35" t="b">
        <v>0</v>
      </c>
      <c r="J144" s="35" t="b">
        <v>0</v>
      </c>
      <c r="K144" s="35" t="b">
        <v>0</v>
      </c>
      <c r="L144" s="35" t="b">
        <v>0</v>
      </c>
      <c r="M144" s="35" t="b">
        <v>0</v>
      </c>
      <c r="N144" s="35" t="b">
        <v>0</v>
      </c>
      <c r="O144" s="35" t="b">
        <v>0</v>
      </c>
      <c r="P144" s="35" t="b">
        <v>0</v>
      </c>
      <c r="Q144" s="35" t="b">
        <v>0</v>
      </c>
      <c r="R144" s="14"/>
      <c r="S144" s="14"/>
      <c r="T144" s="14"/>
      <c r="U144" s="14"/>
      <c r="V144" s="14"/>
      <c r="W144" s="14"/>
    </row>
    <row r="145" ht="15.75" customHeight="1">
      <c r="A145" s="18" t="s">
        <v>2233</v>
      </c>
      <c r="B145" s="22" t="s">
        <v>2234</v>
      </c>
      <c r="C145" s="22" t="s">
        <v>2236</v>
      </c>
      <c r="D145" s="22" t="s">
        <v>2237</v>
      </c>
      <c r="E145" s="31" t="str">
        <f>IFERROR(__xludf.DUMMYFUNCTION("GOOGLETRANSLATE(D145,""zh-CN"",""vi"")"),"Bầu trời trong xanh.")</f>
        <v>Bầu trời trong xanh.</v>
      </c>
      <c r="F145" s="30" t="s">
        <v>2233</v>
      </c>
      <c r="G145" s="36" t="b">
        <f t="shared" si="1"/>
        <v>1</v>
      </c>
      <c r="H145" s="35" t="b">
        <v>0</v>
      </c>
      <c r="I145" s="35" t="b">
        <v>0</v>
      </c>
      <c r="J145" s="35" t="b">
        <v>0</v>
      </c>
      <c r="K145" s="35" t="b">
        <v>0</v>
      </c>
      <c r="L145" s="35" t="b">
        <v>0</v>
      </c>
      <c r="M145" s="35" t="b">
        <v>0</v>
      </c>
      <c r="N145" s="35" t="b">
        <v>0</v>
      </c>
      <c r="O145" s="35" t="b">
        <v>0</v>
      </c>
      <c r="P145" s="35" t="b">
        <v>0</v>
      </c>
      <c r="Q145" s="35" t="b">
        <v>0</v>
      </c>
      <c r="R145" s="14"/>
      <c r="S145" s="14"/>
      <c r="T145" s="14"/>
      <c r="U145" s="14"/>
      <c r="V145" s="14"/>
      <c r="W145" s="14"/>
    </row>
    <row r="146" ht="15.75" customHeight="1">
      <c r="A146" s="18" t="s">
        <v>2240</v>
      </c>
      <c r="B146" s="22" t="s">
        <v>2241</v>
      </c>
      <c r="C146" s="22" t="s">
        <v>2243</v>
      </c>
      <c r="D146" s="22" t="s">
        <v>2245</v>
      </c>
      <c r="E146" s="31" t="str">
        <f>IFERROR(__xludf.DUMMYFUNCTION("GOOGLETRANSLATE(D146,""zh-CN"",""vi"")"),"Anh ấy là một người bạn cũ.")</f>
        <v>Anh ấy là một người bạn cũ.</v>
      </c>
      <c r="F146" s="30" t="s">
        <v>2240</v>
      </c>
      <c r="G146" s="36" t="b">
        <f t="shared" si="1"/>
        <v>1</v>
      </c>
      <c r="H146" s="35" t="b">
        <v>0</v>
      </c>
      <c r="I146" s="35" t="b">
        <v>0</v>
      </c>
      <c r="J146" s="35" t="b">
        <v>0</v>
      </c>
      <c r="K146" s="35" t="b">
        <v>0</v>
      </c>
      <c r="L146" s="35" t="b">
        <v>0</v>
      </c>
      <c r="M146" s="35" t="b">
        <v>0</v>
      </c>
      <c r="N146" s="35" t="b">
        <v>0</v>
      </c>
      <c r="O146" s="35" t="b">
        <v>0</v>
      </c>
      <c r="P146" s="35" t="b">
        <v>0</v>
      </c>
      <c r="Q146" s="35" t="b">
        <v>0</v>
      </c>
      <c r="R146" s="14"/>
      <c r="S146" s="14"/>
      <c r="T146" s="14"/>
      <c r="U146" s="14"/>
      <c r="V146" s="14"/>
      <c r="W146" s="14"/>
    </row>
    <row r="147" ht="15.75" customHeight="1">
      <c r="A147" s="18" t="s">
        <v>2254</v>
      </c>
      <c r="B147" s="22" t="s">
        <v>2256</v>
      </c>
      <c r="C147" s="22" t="s">
        <v>2258</v>
      </c>
      <c r="D147" s="22" t="s">
        <v>2260</v>
      </c>
      <c r="E147" s="31" t="str">
        <f>IFERROR(__xludf.DUMMYFUNCTION("GOOGLETRANSLATE(D147,""zh-CN"",""vi"")"),"Anh ấy đã rời đi rồi.")</f>
        <v>Anh ấy đã rời đi rồi.</v>
      </c>
      <c r="F147" s="30" t="s">
        <v>2254</v>
      </c>
      <c r="G147" s="36" t="b">
        <f t="shared" si="1"/>
        <v>1</v>
      </c>
      <c r="H147" s="35" t="b">
        <v>0</v>
      </c>
      <c r="I147" s="35" t="b">
        <v>0</v>
      </c>
      <c r="J147" s="35" t="b">
        <v>0</v>
      </c>
      <c r="K147" s="35" t="b">
        <v>0</v>
      </c>
      <c r="L147" s="35" t="b">
        <v>0</v>
      </c>
      <c r="M147" s="35" t="b">
        <v>0</v>
      </c>
      <c r="N147" s="35" t="b">
        <v>0</v>
      </c>
      <c r="O147" s="35" t="b">
        <v>0</v>
      </c>
      <c r="P147" s="35" t="b">
        <v>0</v>
      </c>
      <c r="Q147" s="35" t="b">
        <v>0</v>
      </c>
      <c r="R147" s="14"/>
      <c r="S147" s="14"/>
      <c r="T147" s="14"/>
      <c r="U147" s="14"/>
      <c r="V147" s="14"/>
      <c r="W147" s="14"/>
    </row>
    <row r="148" ht="15.75" customHeight="1">
      <c r="A148" s="18" t="s">
        <v>2262</v>
      </c>
      <c r="B148" s="22" t="s">
        <v>2263</v>
      </c>
      <c r="C148" s="22" t="s">
        <v>2264</v>
      </c>
      <c r="D148" s="22" t="s">
        <v>2266</v>
      </c>
      <c r="E148" s="31" t="str">
        <f>IFERROR(__xludf.DUMMYFUNCTION("GOOGLETRANSLATE(D148,""zh-CN"",""vi"")"),"Đây là quà sinh nhật của tôi.")</f>
        <v>Đây là quà sinh nhật của tôi.</v>
      </c>
      <c r="F148" s="30" t="s">
        <v>2262</v>
      </c>
      <c r="G148" s="36" t="b">
        <f t="shared" si="1"/>
        <v>1</v>
      </c>
      <c r="H148" s="35" t="b">
        <v>0</v>
      </c>
      <c r="I148" s="35" t="b">
        <v>0</v>
      </c>
      <c r="J148" s="35" t="b">
        <v>0</v>
      </c>
      <c r="K148" s="35" t="b">
        <v>0</v>
      </c>
      <c r="L148" s="35" t="b">
        <v>0</v>
      </c>
      <c r="M148" s="35" t="b">
        <v>0</v>
      </c>
      <c r="N148" s="35" t="b">
        <v>0</v>
      </c>
      <c r="O148" s="35" t="b">
        <v>0</v>
      </c>
      <c r="P148" s="35" t="b">
        <v>0</v>
      </c>
      <c r="Q148" s="35" t="b">
        <v>0</v>
      </c>
      <c r="R148" s="14"/>
      <c r="S148" s="14"/>
      <c r="T148" s="14"/>
      <c r="U148" s="14"/>
      <c r="V148" s="14"/>
      <c r="W148" s="14"/>
    </row>
    <row r="149" ht="15.75" customHeight="1">
      <c r="A149" s="18" t="s">
        <v>2277</v>
      </c>
      <c r="B149" s="22" t="s">
        <v>2279</v>
      </c>
      <c r="C149" s="22" t="s">
        <v>2282</v>
      </c>
      <c r="D149" s="22" t="s">
        <v>2284</v>
      </c>
      <c r="E149" s="31" t="str">
        <f>IFERROR(__xludf.DUMMYFUNCTION("GOOGLETRANSLATE(D149,""zh-CN"",""vi"")"),"Anh ấy thích nghiên cứu lịch sử.")</f>
        <v>Anh ấy thích nghiên cứu lịch sử.</v>
      </c>
      <c r="F149" s="30" t="s">
        <v>2277</v>
      </c>
      <c r="G149" s="36" t="b">
        <f t="shared" si="1"/>
        <v>1</v>
      </c>
      <c r="H149" s="35" t="b">
        <v>0</v>
      </c>
      <c r="I149" s="35" t="b">
        <v>0</v>
      </c>
      <c r="J149" s="35" t="b">
        <v>0</v>
      </c>
      <c r="K149" s="35" t="b">
        <v>0</v>
      </c>
      <c r="L149" s="35" t="b">
        <v>0</v>
      </c>
      <c r="M149" s="35" t="b">
        <v>0</v>
      </c>
      <c r="N149" s="35" t="b">
        <v>0</v>
      </c>
      <c r="O149" s="35" t="b">
        <v>0</v>
      </c>
      <c r="P149" s="35" t="b">
        <v>0</v>
      </c>
      <c r="Q149" s="35" t="b">
        <v>0</v>
      </c>
      <c r="R149" s="14"/>
      <c r="S149" s="14"/>
      <c r="T149" s="14"/>
      <c r="U149" s="14"/>
      <c r="V149" s="14"/>
      <c r="W149" s="14"/>
    </row>
    <row r="150" ht="15.75" customHeight="1">
      <c r="A150" s="18" t="s">
        <v>2291</v>
      </c>
      <c r="B150" s="22" t="s">
        <v>2292</v>
      </c>
      <c r="C150" s="22" t="s">
        <v>2295</v>
      </c>
      <c r="D150" s="22" t="s">
        <v>2297</v>
      </c>
      <c r="E150" s="31" t="str">
        <f>IFERROR(__xludf.DUMMYFUNCTION("GOOGLETRANSLATE(D150,""zh-CN"",""vi"")"),"Cô ấy có khuôn mặt xinh đẹp.")</f>
        <v>Cô ấy có khuôn mặt xinh đẹp.</v>
      </c>
      <c r="F150" s="30" t="s">
        <v>2291</v>
      </c>
      <c r="G150" s="36" t="b">
        <f t="shared" si="1"/>
        <v>1</v>
      </c>
      <c r="H150" s="35" t="b">
        <v>0</v>
      </c>
      <c r="I150" s="35" t="b">
        <v>0</v>
      </c>
      <c r="J150" s="35" t="b">
        <v>0</v>
      </c>
      <c r="K150" s="35" t="b">
        <v>0</v>
      </c>
      <c r="L150" s="35" t="b">
        <v>0</v>
      </c>
      <c r="M150" s="35" t="b">
        <v>0</v>
      </c>
      <c r="N150" s="35" t="b">
        <v>0</v>
      </c>
      <c r="O150" s="35" t="b">
        <v>0</v>
      </c>
      <c r="P150" s="35" t="b">
        <v>0</v>
      </c>
      <c r="Q150" s="35" t="b">
        <v>0</v>
      </c>
      <c r="R150" s="14"/>
      <c r="S150" s="14"/>
      <c r="T150" s="14"/>
      <c r="U150" s="14"/>
      <c r="V150" s="14"/>
      <c r="W150" s="14"/>
    </row>
    <row r="151" ht="15.75" customHeight="1">
      <c r="A151" s="18" t="s">
        <v>2305</v>
      </c>
      <c r="B151" s="22" t="s">
        <v>2306</v>
      </c>
      <c r="C151" s="22" t="s">
        <v>2307</v>
      </c>
      <c r="D151" s="22" t="s">
        <v>2308</v>
      </c>
      <c r="E151" s="31" t="str">
        <f>IFERROR(__xludf.DUMMYFUNCTION("GOOGLETRANSLATE(D151,""zh-CN"",""vi"")"),"Tôi luyện tập tiếng Trung mỗi ngày.")</f>
        <v>Tôi luyện tập tiếng Trung mỗi ngày.</v>
      </c>
      <c r="F151" s="30" t="s">
        <v>2305</v>
      </c>
      <c r="G151" s="36" t="b">
        <f t="shared" si="1"/>
        <v>1</v>
      </c>
      <c r="H151" s="35" t="b">
        <v>0</v>
      </c>
      <c r="I151" s="35" t="b">
        <v>0</v>
      </c>
      <c r="J151" s="35" t="b">
        <v>0</v>
      </c>
      <c r="K151" s="35" t="b">
        <v>0</v>
      </c>
      <c r="L151" s="35" t="b">
        <v>0</v>
      </c>
      <c r="M151" s="35" t="b">
        <v>0</v>
      </c>
      <c r="N151" s="35" t="b">
        <v>0</v>
      </c>
      <c r="O151" s="35" t="b">
        <v>0</v>
      </c>
      <c r="P151" s="35" t="b">
        <v>0</v>
      </c>
      <c r="Q151" s="35" t="b">
        <v>0</v>
      </c>
      <c r="R151" s="14"/>
      <c r="S151" s="14"/>
      <c r="T151" s="14"/>
      <c r="U151" s="14"/>
      <c r="V151" s="14"/>
      <c r="W151" s="14"/>
    </row>
    <row r="152" ht="15.75" customHeight="1">
      <c r="A152" s="18" t="s">
        <v>2317</v>
      </c>
      <c r="B152" s="22" t="s">
        <v>2318</v>
      </c>
      <c r="C152" s="22" t="s">
        <v>2320</v>
      </c>
      <c r="D152" s="22" t="s">
        <v>2322</v>
      </c>
      <c r="E152" s="31" t="str">
        <f>IFERROR(__xludf.DUMMYFUNCTION("GOOGLETRANSLATE(D152,""zh-CN"",""vi"")"),"Anh ấy có một chiếc xe mới.")</f>
        <v>Anh ấy có một chiếc xe mới.</v>
      </c>
      <c r="F152" s="30" t="s">
        <v>2317</v>
      </c>
      <c r="G152" s="36" t="b">
        <f t="shared" si="1"/>
        <v>1</v>
      </c>
      <c r="H152" s="35" t="b">
        <v>0</v>
      </c>
      <c r="I152" s="35" t="b">
        <v>0</v>
      </c>
      <c r="J152" s="35" t="b">
        <v>0</v>
      </c>
      <c r="K152" s="35" t="b">
        <v>0</v>
      </c>
      <c r="L152" s="35" t="b">
        <v>0</v>
      </c>
      <c r="M152" s="35" t="b">
        <v>0</v>
      </c>
      <c r="N152" s="35" t="b">
        <v>0</v>
      </c>
      <c r="O152" s="35" t="b">
        <v>0</v>
      </c>
      <c r="P152" s="35" t="b">
        <v>0</v>
      </c>
      <c r="Q152" s="35" t="b">
        <v>0</v>
      </c>
      <c r="R152" s="14"/>
      <c r="S152" s="14"/>
      <c r="T152" s="14"/>
      <c r="U152" s="14"/>
      <c r="V152" s="14"/>
      <c r="W152" s="14"/>
    </row>
    <row r="153" ht="15.75" customHeight="1">
      <c r="A153" s="18" t="s">
        <v>2329</v>
      </c>
      <c r="B153" s="22" t="s">
        <v>2330</v>
      </c>
      <c r="C153" s="22" t="s">
        <v>2331</v>
      </c>
      <c r="D153" s="22" t="s">
        <v>2332</v>
      </c>
      <c r="E153" s="31" t="str">
        <f>IFERROR(__xludf.DUMMYFUNCTION("GOOGLETRANSLATE(D153,""zh-CN"",""vi"")"),"Tôi hiểu ý bạn.")</f>
        <v>Tôi hiểu ý bạn.</v>
      </c>
      <c r="F153" s="30" t="s">
        <v>2329</v>
      </c>
      <c r="G153" s="36" t="b">
        <f t="shared" si="1"/>
        <v>1</v>
      </c>
      <c r="H153" s="35" t="b">
        <v>0</v>
      </c>
      <c r="I153" s="35" t="b">
        <v>0</v>
      </c>
      <c r="J153" s="35" t="b">
        <v>0</v>
      </c>
      <c r="K153" s="35" t="b">
        <v>0</v>
      </c>
      <c r="L153" s="35" t="b">
        <v>0</v>
      </c>
      <c r="M153" s="35" t="b">
        <v>0</v>
      </c>
      <c r="N153" s="35" t="b">
        <v>0</v>
      </c>
      <c r="O153" s="35" t="b">
        <v>0</v>
      </c>
      <c r="P153" s="35" t="b">
        <v>0</v>
      </c>
      <c r="Q153" s="35" t="b">
        <v>0</v>
      </c>
      <c r="R153" s="14"/>
      <c r="S153" s="14"/>
      <c r="T153" s="14"/>
      <c r="U153" s="14"/>
      <c r="V153" s="14"/>
      <c r="W153" s="14"/>
    </row>
    <row r="154" ht="15.75" customHeight="1">
      <c r="A154" s="18" t="s">
        <v>2344</v>
      </c>
      <c r="B154" s="22" t="s">
        <v>2345</v>
      </c>
      <c r="C154" s="22" t="s">
        <v>2346</v>
      </c>
      <c r="D154" s="22" t="s">
        <v>2356</v>
      </c>
      <c r="E154" s="31" t="str">
        <f>IFERROR(__xludf.DUMMYFUNCTION("GOOGLETRANSLATE(D154,""zh-CN"",""vi"")"),"Hàng xóm của tôi rất thân thiện.")</f>
        <v>Hàng xóm của tôi rất thân thiện.</v>
      </c>
      <c r="F154" s="30" t="s">
        <v>2344</v>
      </c>
      <c r="G154" s="36" t="b">
        <f t="shared" si="1"/>
        <v>1</v>
      </c>
      <c r="H154" s="35" t="b">
        <v>0</v>
      </c>
      <c r="I154" s="35" t="b">
        <v>0</v>
      </c>
      <c r="J154" s="35" t="b">
        <v>0</v>
      </c>
      <c r="K154" s="35" t="b">
        <v>0</v>
      </c>
      <c r="L154" s="35" t="b">
        <v>0</v>
      </c>
      <c r="M154" s="35" t="b">
        <v>0</v>
      </c>
      <c r="N154" s="35" t="b">
        <v>0</v>
      </c>
      <c r="O154" s="35" t="b">
        <v>0</v>
      </c>
      <c r="P154" s="35" t="b">
        <v>0</v>
      </c>
      <c r="Q154" s="35" t="b">
        <v>0</v>
      </c>
      <c r="R154" s="14"/>
      <c r="S154" s="14"/>
      <c r="T154" s="14"/>
      <c r="U154" s="14"/>
      <c r="V154" s="14"/>
      <c r="W154" s="14"/>
    </row>
    <row r="155" ht="15.75" customHeight="1">
      <c r="A155" s="18" t="s">
        <v>2363</v>
      </c>
      <c r="B155" s="22" t="s">
        <v>2364</v>
      </c>
      <c r="C155" s="22" t="s">
        <v>2366</v>
      </c>
      <c r="D155" s="22" t="s">
        <v>2368</v>
      </c>
      <c r="E155" s="31" t="str">
        <f>IFERROR(__xludf.DUMMYFUNCTION("GOOGLETRANSLATE(D155,""zh-CN"",""vi"")"),"Chúng tôi sống ở tầng ba.")</f>
        <v>Chúng tôi sống ở tầng ba.</v>
      </c>
      <c r="F155" s="30" t="s">
        <v>2363</v>
      </c>
      <c r="G155" s="36" t="b">
        <f t="shared" si="1"/>
        <v>1</v>
      </c>
      <c r="H155" s="35" t="b">
        <v>0</v>
      </c>
      <c r="I155" s="35" t="b">
        <v>0</v>
      </c>
      <c r="J155" s="35" t="b">
        <v>0</v>
      </c>
      <c r="K155" s="35" t="b">
        <v>0</v>
      </c>
      <c r="L155" s="35" t="b">
        <v>0</v>
      </c>
      <c r="M155" s="35" t="b">
        <v>0</v>
      </c>
      <c r="N155" s="35" t="b">
        <v>0</v>
      </c>
      <c r="O155" s="35" t="b">
        <v>0</v>
      </c>
      <c r="P155" s="35" t="b">
        <v>0</v>
      </c>
      <c r="Q155" s="35" t="b">
        <v>0</v>
      </c>
      <c r="R155" s="14"/>
      <c r="S155" s="14"/>
      <c r="T155" s="14"/>
      <c r="U155" s="14"/>
      <c r="V155" s="14"/>
      <c r="W155" s="14"/>
    </row>
    <row r="156" ht="15.75" customHeight="1">
      <c r="A156" s="18" t="s">
        <v>2377</v>
      </c>
      <c r="B156" s="22" t="s">
        <v>2379</v>
      </c>
      <c r="C156" s="22" t="s">
        <v>2381</v>
      </c>
      <c r="D156" s="22" t="s">
        <v>2383</v>
      </c>
      <c r="E156" s="31" t="str">
        <f>IFERROR(__xludf.DUMMYFUNCTION("GOOGLETRANSLATE(D156,""zh-CN"",""vi"")"),"Con ngựa chạy rất nhanh.")</f>
        <v>Con ngựa chạy rất nhanh.</v>
      </c>
      <c r="F156" s="30" t="s">
        <v>2377</v>
      </c>
      <c r="G156" s="36" t="b">
        <f t="shared" si="1"/>
        <v>1</v>
      </c>
      <c r="H156" s="35" t="b">
        <v>0</v>
      </c>
      <c r="I156" s="35" t="b">
        <v>0</v>
      </c>
      <c r="J156" s="35" t="b">
        <v>0</v>
      </c>
      <c r="K156" s="35" t="b">
        <v>0</v>
      </c>
      <c r="L156" s="35" t="b">
        <v>0</v>
      </c>
      <c r="M156" s="35" t="b">
        <v>0</v>
      </c>
      <c r="N156" s="35" t="b">
        <v>0</v>
      </c>
      <c r="O156" s="35" t="b">
        <v>0</v>
      </c>
      <c r="P156" s="35" t="b">
        <v>0</v>
      </c>
      <c r="Q156" s="35" t="b">
        <v>0</v>
      </c>
      <c r="R156" s="14"/>
      <c r="S156" s="14"/>
      <c r="T156" s="14"/>
      <c r="U156" s="14"/>
      <c r="V156" s="14"/>
      <c r="W156" s="14"/>
    </row>
    <row r="157" ht="15.75" customHeight="1">
      <c r="A157" s="18" t="s">
        <v>2388</v>
      </c>
      <c r="B157" s="22" t="s">
        <v>2390</v>
      </c>
      <c r="C157" s="22" t="s">
        <v>2392</v>
      </c>
      <c r="D157" s="22" t="s">
        <v>2395</v>
      </c>
      <c r="E157" s="31" t="str">
        <f>IFERROR(__xludf.DUMMYFUNCTION("GOOGLETRANSLATE(D157,""zh-CN"",""vi"")"),"Tôi sẽ đến ngay.")</f>
        <v>Tôi sẽ đến ngay.</v>
      </c>
      <c r="F157" s="59" t="s">
        <v>2388</v>
      </c>
      <c r="G157" s="36" t="b">
        <f t="shared" si="1"/>
        <v>1</v>
      </c>
      <c r="H157" s="35" t="b">
        <v>0</v>
      </c>
      <c r="I157" s="35" t="b">
        <v>0</v>
      </c>
      <c r="J157" s="35" t="b">
        <v>0</v>
      </c>
      <c r="K157" s="35" t="b">
        <v>0</v>
      </c>
      <c r="L157" s="35" t="b">
        <v>0</v>
      </c>
      <c r="M157" s="35" t="b">
        <v>0</v>
      </c>
      <c r="N157" s="35" t="b">
        <v>0</v>
      </c>
      <c r="O157" s="35" t="b">
        <v>0</v>
      </c>
      <c r="P157" s="35" t="b">
        <v>0</v>
      </c>
      <c r="Q157" s="35" t="b">
        <v>0</v>
      </c>
      <c r="R157" s="14"/>
      <c r="S157" s="14"/>
      <c r="T157" s="14"/>
      <c r="U157" s="14"/>
      <c r="V157" s="14"/>
      <c r="W157" s="14"/>
    </row>
    <row r="158" ht="15.75" customHeight="1">
      <c r="A158" s="18" t="s">
        <v>2405</v>
      </c>
      <c r="B158" s="22" t="s">
        <v>2407</v>
      </c>
      <c r="C158" s="22" t="s">
        <v>2409</v>
      </c>
      <c r="D158" s="22" t="s">
        <v>2410</v>
      </c>
      <c r="E158" s="31" t="str">
        <f>IFERROR(__xludf.DUMMYFUNCTION("GOOGLETRANSLATE(D158,""zh-CN"",""vi"")"),"Tôi rất hài lòng với kết quả.")</f>
        <v>Tôi rất hài lòng với kết quả.</v>
      </c>
      <c r="F158" s="30" t="s">
        <v>2405</v>
      </c>
      <c r="G158" s="36" t="b">
        <f t="shared" si="1"/>
        <v>1</v>
      </c>
      <c r="H158" s="35" t="b">
        <v>0</v>
      </c>
      <c r="I158" s="35" t="b">
        <v>0</v>
      </c>
      <c r="J158" s="35" t="b">
        <v>0</v>
      </c>
      <c r="K158" s="35" t="b">
        <v>0</v>
      </c>
      <c r="L158" s="35" t="b">
        <v>0</v>
      </c>
      <c r="M158" s="35" t="b">
        <v>0</v>
      </c>
      <c r="N158" s="35" t="b">
        <v>0</v>
      </c>
      <c r="O158" s="35" t="b">
        <v>0</v>
      </c>
      <c r="P158" s="35" t="b">
        <v>0</v>
      </c>
      <c r="Q158" s="35" t="b">
        <v>0</v>
      </c>
      <c r="R158" s="14"/>
      <c r="S158" s="14"/>
      <c r="T158" s="14"/>
      <c r="U158" s="14"/>
      <c r="V158" s="14"/>
      <c r="W158" s="14"/>
    </row>
    <row r="159" ht="15.75" customHeight="1">
      <c r="A159" s="18" t="s">
        <v>2420</v>
      </c>
      <c r="B159" s="22" t="s">
        <v>2421</v>
      </c>
      <c r="C159" s="22" t="s">
        <v>2422</v>
      </c>
      <c r="D159" s="22" t="s">
        <v>2423</v>
      </c>
      <c r="E159" s="31" t="str">
        <f>IFERROR(__xludf.DUMMYFUNCTION("GOOGLETRANSLATE(D159,""zh-CN"",""vi"")"),"Chiếc mũ này đẹp quá.")</f>
        <v>Chiếc mũ này đẹp quá.</v>
      </c>
      <c r="F159" s="30" t="s">
        <v>2420</v>
      </c>
      <c r="G159" s="36" t="b">
        <f t="shared" si="1"/>
        <v>1</v>
      </c>
      <c r="H159" s="35" t="b">
        <v>0</v>
      </c>
      <c r="I159" s="35" t="b">
        <v>0</v>
      </c>
      <c r="J159" s="35" t="b">
        <v>0</v>
      </c>
      <c r="K159" s="35" t="b">
        <v>0</v>
      </c>
      <c r="L159" s="35" t="b">
        <v>0</v>
      </c>
      <c r="M159" s="35" t="b">
        <v>0</v>
      </c>
      <c r="N159" s="35" t="b">
        <v>0</v>
      </c>
      <c r="O159" s="35" t="b">
        <v>0</v>
      </c>
      <c r="P159" s="35" t="b">
        <v>0</v>
      </c>
      <c r="Q159" s="35" t="b">
        <v>0</v>
      </c>
      <c r="R159" s="14"/>
      <c r="S159" s="14"/>
      <c r="T159" s="14"/>
      <c r="U159" s="14"/>
      <c r="V159" s="14"/>
      <c r="W159" s="14"/>
    </row>
    <row r="160" ht="15.75" customHeight="1">
      <c r="A160" s="18" t="s">
        <v>2442</v>
      </c>
      <c r="B160" s="22" t="s">
        <v>2443</v>
      </c>
      <c r="C160" s="22" t="s">
        <v>2444</v>
      </c>
      <c r="D160" s="22" t="s">
        <v>2445</v>
      </c>
      <c r="E160" s="31" t="str">
        <f>IFERROR(__xludf.DUMMYFUNCTION("GOOGLETRANSLATE(D160,""zh-CN"",""vi"")"),"Tôi đã ăn một bát cơm.")</f>
        <v>Tôi đã ăn một bát cơm.</v>
      </c>
      <c r="F160" s="59" t="s">
        <v>2442</v>
      </c>
      <c r="G160" s="36" t="b">
        <f t="shared" si="1"/>
        <v>1</v>
      </c>
      <c r="H160" s="35" t="b">
        <v>0</v>
      </c>
      <c r="I160" s="35" t="b">
        <v>0</v>
      </c>
      <c r="J160" s="35" t="b">
        <v>0</v>
      </c>
      <c r="K160" s="35" t="b">
        <v>0</v>
      </c>
      <c r="L160" s="35" t="b">
        <v>0</v>
      </c>
      <c r="M160" s="35" t="b">
        <v>0</v>
      </c>
      <c r="N160" s="35" t="b">
        <v>0</v>
      </c>
      <c r="O160" s="35" t="b">
        <v>0</v>
      </c>
      <c r="P160" s="35" t="b">
        <v>0</v>
      </c>
      <c r="Q160" s="35" t="b">
        <v>0</v>
      </c>
      <c r="R160" s="14"/>
      <c r="S160" s="14"/>
      <c r="T160" s="14"/>
      <c r="U160" s="14"/>
      <c r="V160" s="14"/>
      <c r="W160" s="14"/>
    </row>
    <row r="161" ht="15.75" customHeight="1">
      <c r="A161" s="18" t="s">
        <v>2454</v>
      </c>
      <c r="B161" s="22" t="s">
        <v>2455</v>
      </c>
      <c r="C161" s="22" t="s">
        <v>2456</v>
      </c>
      <c r="D161" s="22" t="s">
        <v>2457</v>
      </c>
      <c r="E161" s="31" t="str">
        <f>IFERROR(__xludf.DUMMYFUNCTION("GOOGLETRANSLATE(D161,""zh-CN"",""vi"")"),"Tôi ăn bánh mì vào bữa sáng mỗi ngày.")</f>
        <v>Tôi ăn bánh mì vào bữa sáng mỗi ngày.</v>
      </c>
      <c r="F161" s="59" t="s">
        <v>2454</v>
      </c>
      <c r="G161" s="36" t="b">
        <f t="shared" si="1"/>
        <v>1</v>
      </c>
      <c r="H161" s="35" t="b">
        <v>0</v>
      </c>
      <c r="I161" s="35" t="b">
        <v>0</v>
      </c>
      <c r="J161" s="35" t="b">
        <v>0</v>
      </c>
      <c r="K161" s="35" t="b">
        <v>0</v>
      </c>
      <c r="L161" s="35" t="b">
        <v>0</v>
      </c>
      <c r="M161" s="35" t="b">
        <v>0</v>
      </c>
      <c r="N161" s="35" t="b">
        <v>0</v>
      </c>
      <c r="O161" s="35" t="b">
        <v>0</v>
      </c>
      <c r="P161" s="35" t="b">
        <v>0</v>
      </c>
      <c r="Q161" s="35" t="b">
        <v>0</v>
      </c>
      <c r="R161" s="14"/>
      <c r="S161" s="14"/>
      <c r="T161" s="14"/>
      <c r="U161" s="14"/>
      <c r="V161" s="14"/>
      <c r="W161" s="14"/>
    </row>
    <row r="162" ht="15.75" customHeight="1">
      <c r="A162" s="18" t="s">
        <v>2462</v>
      </c>
      <c r="B162" s="22" t="s">
        <v>2463</v>
      </c>
      <c r="C162" s="22" t="s">
        <v>2464</v>
      </c>
      <c r="D162" s="22" t="s">
        <v>2465</v>
      </c>
      <c r="E162" s="31" t="str">
        <f>IFERROR(__xludf.DUMMYFUNCTION("GOOGLETRANSLATE(D162,""zh-CN"",""vi"")"),"Anh ấy thích ăn mì.")</f>
        <v>Anh ấy thích ăn mì.</v>
      </c>
      <c r="F162" s="30" t="s">
        <v>2462</v>
      </c>
      <c r="G162" s="36" t="b">
        <f t="shared" si="1"/>
        <v>1</v>
      </c>
      <c r="H162" s="35" t="b">
        <v>0</v>
      </c>
      <c r="I162" s="35" t="b">
        <v>0</v>
      </c>
      <c r="J162" s="35" t="b">
        <v>0</v>
      </c>
      <c r="K162" s="35" t="b">
        <v>0</v>
      </c>
      <c r="L162" s="35" t="b">
        <v>0</v>
      </c>
      <c r="M162" s="35" t="b">
        <v>0</v>
      </c>
      <c r="N162" s="35" t="b">
        <v>0</v>
      </c>
      <c r="O162" s="35" t="b">
        <v>0</v>
      </c>
      <c r="P162" s="35" t="b">
        <v>0</v>
      </c>
      <c r="Q162" s="35" t="b">
        <v>0</v>
      </c>
      <c r="R162" s="14"/>
      <c r="S162" s="14"/>
      <c r="T162" s="14"/>
      <c r="U162" s="14"/>
      <c r="V162" s="14"/>
      <c r="W162" s="14"/>
    </row>
    <row r="163" ht="15.75" customHeight="1">
      <c r="A163" s="18" t="s">
        <v>2474</v>
      </c>
      <c r="B163" s="22" t="s">
        <v>2475</v>
      </c>
      <c r="C163" s="22" t="s">
        <v>2331</v>
      </c>
      <c r="D163" s="22" t="s">
        <v>2476</v>
      </c>
      <c r="E163" s="31" t="str">
        <f>IFERROR(__xludf.DUMMYFUNCTION("GOOGLETRANSLATE(D163,""zh-CN"",""vi"")"),"Tôi hiểu ý bạn.")</f>
        <v>Tôi hiểu ý bạn.</v>
      </c>
      <c r="F163" s="30" t="s">
        <v>2474</v>
      </c>
      <c r="G163" s="36" t="b">
        <f t="shared" si="1"/>
        <v>1</v>
      </c>
      <c r="H163" s="35" t="b">
        <v>0</v>
      </c>
      <c r="I163" s="35" t="b">
        <v>0</v>
      </c>
      <c r="J163" s="35" t="b">
        <v>0</v>
      </c>
      <c r="K163" s="35" t="b">
        <v>0</v>
      </c>
      <c r="L163" s="35" t="b">
        <v>0</v>
      </c>
      <c r="M163" s="35" t="b">
        <v>0</v>
      </c>
      <c r="N163" s="35" t="b">
        <v>0</v>
      </c>
      <c r="O163" s="35" t="b">
        <v>0</v>
      </c>
      <c r="P163" s="35" t="b">
        <v>0</v>
      </c>
      <c r="Q163" s="35" t="b">
        <v>0</v>
      </c>
      <c r="R163" s="14"/>
      <c r="S163" s="14"/>
      <c r="T163" s="14"/>
      <c r="U163" s="14"/>
      <c r="V163" s="14"/>
      <c r="W163" s="14"/>
    </row>
    <row r="164" ht="15.75" customHeight="1">
      <c r="A164" s="18" t="s">
        <v>2481</v>
      </c>
      <c r="B164" s="22" t="s">
        <v>2482</v>
      </c>
      <c r="C164" s="22" t="s">
        <v>2483</v>
      </c>
      <c r="D164" s="22" t="s">
        <v>2485</v>
      </c>
      <c r="E164" s="31" t="str">
        <f>IFERROR(__xludf.DUMMYFUNCTION("GOOGLETRANSLATE(D164,""zh-CN"",""vi"")"),"Bạn có thể lấy giúp tôi cuốn sách này được không?")</f>
        <v>Bạn có thể lấy giúp tôi cuốn sách này được không?</v>
      </c>
      <c r="F164" s="30" t="s">
        <v>2481</v>
      </c>
      <c r="G164" s="36" t="b">
        <f t="shared" si="1"/>
        <v>1</v>
      </c>
      <c r="H164" s="35" t="b">
        <v>0</v>
      </c>
      <c r="I164" s="35" t="b">
        <v>0</v>
      </c>
      <c r="J164" s="35" t="b">
        <v>0</v>
      </c>
      <c r="K164" s="35" t="b">
        <v>0</v>
      </c>
      <c r="L164" s="35" t="b">
        <v>0</v>
      </c>
      <c r="M164" s="35" t="b">
        <v>0</v>
      </c>
      <c r="N164" s="35" t="b">
        <v>0</v>
      </c>
      <c r="O164" s="35" t="b">
        <v>0</v>
      </c>
      <c r="P164" s="35" t="b">
        <v>0</v>
      </c>
      <c r="Q164" s="35" t="b">
        <v>0</v>
      </c>
      <c r="R164" s="14"/>
      <c r="S164" s="14"/>
      <c r="T164" s="14"/>
      <c r="U164" s="14"/>
      <c r="V164" s="14"/>
      <c r="W164" s="14"/>
    </row>
    <row r="165" ht="15.75" customHeight="1">
      <c r="A165" s="18" t="s">
        <v>2493</v>
      </c>
      <c r="B165" s="22" t="s">
        <v>2494</v>
      </c>
      <c r="C165" s="22" t="s">
        <v>2495</v>
      </c>
      <c r="D165" s="22" t="s">
        <v>2496</v>
      </c>
      <c r="E165" s="31" t="str">
        <f>IFERROR(__xludf.DUMMYFUNCTION("GOOGLETRANSLATE(D165,""zh-CN"",""vi"")"),"Bà tôi sống ở vùng nông thôn.")</f>
        <v>Bà tôi sống ở vùng nông thôn.</v>
      </c>
      <c r="F165" s="30" t="s">
        <v>2493</v>
      </c>
      <c r="G165" s="36" t="b">
        <f t="shared" si="1"/>
        <v>1</v>
      </c>
      <c r="H165" s="35" t="b">
        <v>0</v>
      </c>
      <c r="I165" s="35" t="b">
        <v>0</v>
      </c>
      <c r="J165" s="35" t="b">
        <v>0</v>
      </c>
      <c r="K165" s="35" t="b">
        <v>0</v>
      </c>
      <c r="L165" s="35" t="b">
        <v>0</v>
      </c>
      <c r="M165" s="35" t="b">
        <v>0</v>
      </c>
      <c r="N165" s="35" t="b">
        <v>0</v>
      </c>
      <c r="O165" s="35" t="b">
        <v>0</v>
      </c>
      <c r="P165" s="35" t="b">
        <v>0</v>
      </c>
      <c r="Q165" s="35" t="b">
        <v>0</v>
      </c>
      <c r="R165" s="14"/>
      <c r="S165" s="14"/>
      <c r="T165" s="14"/>
      <c r="U165" s="14"/>
      <c r="V165" s="14"/>
      <c r="W165" s="14"/>
    </row>
    <row r="166" ht="15.75" customHeight="1">
      <c r="A166" s="18" t="s">
        <v>2501</v>
      </c>
      <c r="B166" s="22" t="s">
        <v>2503</v>
      </c>
      <c r="C166" s="22" t="s">
        <v>2505</v>
      </c>
      <c r="D166" s="22" t="s">
        <v>2506</v>
      </c>
      <c r="E166" s="31" t="str">
        <f>IFERROR(__xludf.DUMMYFUNCTION("GOOGLETRANSLATE(D166,""zh-CN"",""vi"")"),"Chúng tôi đi về phía nam.")</f>
        <v>Chúng tôi đi về phía nam.</v>
      </c>
      <c r="F166" s="30" t="s">
        <v>2501</v>
      </c>
      <c r="G166" s="36" t="b">
        <f t="shared" si="1"/>
        <v>1</v>
      </c>
      <c r="H166" s="35" t="b">
        <v>0</v>
      </c>
      <c r="I166" s="35" t="b">
        <v>0</v>
      </c>
      <c r="J166" s="35" t="b">
        <v>0</v>
      </c>
      <c r="K166" s="35" t="b">
        <v>0</v>
      </c>
      <c r="L166" s="35" t="b">
        <v>0</v>
      </c>
      <c r="M166" s="35" t="b">
        <v>0</v>
      </c>
      <c r="N166" s="35" t="b">
        <v>0</v>
      </c>
      <c r="O166" s="35" t="b">
        <v>0</v>
      </c>
      <c r="P166" s="35" t="b">
        <v>0</v>
      </c>
      <c r="Q166" s="35" t="b">
        <v>0</v>
      </c>
      <c r="R166" s="14"/>
      <c r="S166" s="14"/>
      <c r="T166" s="14"/>
      <c r="U166" s="14"/>
      <c r="V166" s="14"/>
      <c r="W166" s="14"/>
    </row>
    <row r="167" ht="15.75" customHeight="1">
      <c r="A167" s="18" t="s">
        <v>2513</v>
      </c>
      <c r="B167" s="22" t="s">
        <v>2503</v>
      </c>
      <c r="C167" s="22" t="s">
        <v>2514</v>
      </c>
      <c r="D167" s="22" t="s">
        <v>2515</v>
      </c>
      <c r="E167" s="31" t="str">
        <f>IFERROR(__xludf.DUMMYFUNCTION("GOOGLETRANSLATE(D167,""zh-CN"",""vi"")"),"Đây là một vấn đề khó khăn.")</f>
        <v>Đây là một vấn đề khó khăn.</v>
      </c>
      <c r="F167" s="30" t="s">
        <v>2513</v>
      </c>
      <c r="G167" s="36" t="b">
        <f t="shared" si="1"/>
        <v>1</v>
      </c>
      <c r="H167" s="35" t="b">
        <v>0</v>
      </c>
      <c r="I167" s="35" t="b">
        <v>0</v>
      </c>
      <c r="J167" s="35" t="b">
        <v>0</v>
      </c>
      <c r="K167" s="35" t="b">
        <v>0</v>
      </c>
      <c r="L167" s="35" t="b">
        <v>0</v>
      </c>
      <c r="M167" s="35" t="b">
        <v>0</v>
      </c>
      <c r="N167" s="35" t="b">
        <v>0</v>
      </c>
      <c r="O167" s="35" t="b">
        <v>0</v>
      </c>
      <c r="P167" s="35" t="b">
        <v>0</v>
      </c>
      <c r="Q167" s="35" t="b">
        <v>0</v>
      </c>
      <c r="R167" s="14"/>
      <c r="S167" s="14"/>
      <c r="T167" s="14"/>
      <c r="U167" s="14"/>
      <c r="V167" s="14"/>
      <c r="W167" s="14"/>
    </row>
    <row r="168" ht="15.75" customHeight="1">
      <c r="A168" s="18" t="s">
        <v>2520</v>
      </c>
      <c r="B168" s="22" t="s">
        <v>2523</v>
      </c>
      <c r="C168" s="22" t="s">
        <v>2525</v>
      </c>
      <c r="D168" s="22" t="s">
        <v>2527</v>
      </c>
      <c r="E168" s="31" t="str">
        <f>IFERROR(__xludf.DUMMYFUNCTION("GOOGLETRANSLATE(D168,""zh-CN"",""vi"")"),"Ông ấy rất buồn khi nghe tin này.")</f>
        <v>Ông ấy rất buồn khi nghe tin này.</v>
      </c>
      <c r="F168" s="30" t="s">
        <v>2520</v>
      </c>
      <c r="G168" s="36" t="b">
        <f t="shared" si="1"/>
        <v>1</v>
      </c>
      <c r="H168" s="35" t="b">
        <v>0</v>
      </c>
      <c r="I168" s="35" t="b">
        <v>0</v>
      </c>
      <c r="J168" s="35" t="b">
        <v>0</v>
      </c>
      <c r="K168" s="35" t="b">
        <v>0</v>
      </c>
      <c r="L168" s="35" t="b">
        <v>0</v>
      </c>
      <c r="M168" s="35" t="b">
        <v>0</v>
      </c>
      <c r="N168" s="35" t="b">
        <v>0</v>
      </c>
      <c r="O168" s="35" t="b">
        <v>0</v>
      </c>
      <c r="P168" s="35" t="b">
        <v>0</v>
      </c>
      <c r="Q168" s="35" t="b">
        <v>0</v>
      </c>
      <c r="R168" s="14"/>
      <c r="S168" s="14"/>
      <c r="T168" s="14"/>
      <c r="U168" s="14"/>
      <c r="V168" s="14"/>
      <c r="W168" s="14"/>
    </row>
    <row r="169" ht="15.75" customHeight="1">
      <c r="A169" s="18" t="s">
        <v>2528</v>
      </c>
      <c r="B169" s="22" t="s">
        <v>2529</v>
      </c>
      <c r="C169" s="22" t="s">
        <v>2530</v>
      </c>
      <c r="D169" s="22" t="s">
        <v>2531</v>
      </c>
      <c r="E169" s="31" t="str">
        <f>IFERROR(__xludf.DUMMYFUNCTION("GOOGLETRANSLATE(D169,""zh-CN"",""vi"")"),"Năm nay tôi học lớp ba.")</f>
        <v>Năm nay tôi học lớp ba.</v>
      </c>
      <c r="F169" s="30" t="s">
        <v>2528</v>
      </c>
      <c r="G169" s="36" t="b">
        <f t="shared" si="1"/>
        <v>1</v>
      </c>
      <c r="H169" s="35" t="b">
        <v>0</v>
      </c>
      <c r="I169" s="35" t="b">
        <v>0</v>
      </c>
      <c r="J169" s="35" t="b">
        <v>0</v>
      </c>
      <c r="K169" s="35" t="b">
        <v>0</v>
      </c>
      <c r="L169" s="35" t="b">
        <v>0</v>
      </c>
      <c r="M169" s="35" t="b">
        <v>0</v>
      </c>
      <c r="N169" s="35" t="b">
        <v>0</v>
      </c>
      <c r="O169" s="35" t="b">
        <v>0</v>
      </c>
      <c r="P169" s="35" t="b">
        <v>0</v>
      </c>
      <c r="Q169" s="35" t="b">
        <v>0</v>
      </c>
      <c r="R169" s="14"/>
      <c r="S169" s="14"/>
      <c r="T169" s="14"/>
      <c r="U169" s="14"/>
      <c r="V169" s="14"/>
      <c r="W169" s="14"/>
    </row>
    <row r="170" ht="15.75" customHeight="1">
      <c r="A170" s="18" t="s">
        <v>2537</v>
      </c>
      <c r="B170" s="22" t="s">
        <v>2538</v>
      </c>
      <c r="C170" s="22" t="s">
        <v>2540</v>
      </c>
      <c r="D170" s="22" t="s">
        <v>2542</v>
      </c>
      <c r="E170" s="31" t="str">
        <f>IFERROR(__xludf.DUMMYFUNCTION("GOOGLETRANSLATE(D170,""zh-CN"",""vi"")"),"Cô ấy còn rất trẻ.")</f>
        <v>Cô ấy còn rất trẻ.</v>
      </c>
      <c r="F170" s="30" t="s">
        <v>2537</v>
      </c>
      <c r="G170" s="36" t="b">
        <f t="shared" si="1"/>
        <v>1</v>
      </c>
      <c r="H170" s="35" t="b">
        <v>0</v>
      </c>
      <c r="I170" s="35" t="b">
        <v>0</v>
      </c>
      <c r="J170" s="35" t="b">
        <v>0</v>
      </c>
      <c r="K170" s="35" t="b">
        <v>0</v>
      </c>
      <c r="L170" s="35" t="b">
        <v>0</v>
      </c>
      <c r="M170" s="35" t="b">
        <v>0</v>
      </c>
      <c r="N170" s="35" t="b">
        <v>0</v>
      </c>
      <c r="O170" s="35" t="b">
        <v>0</v>
      </c>
      <c r="P170" s="35" t="b">
        <v>0</v>
      </c>
      <c r="Q170" s="35" t="b">
        <v>0</v>
      </c>
      <c r="R170" s="14"/>
      <c r="S170" s="14"/>
      <c r="T170" s="14"/>
      <c r="U170" s="14"/>
      <c r="V170" s="14"/>
      <c r="W170" s="14"/>
    </row>
    <row r="171" ht="15.75" customHeight="1">
      <c r="A171" s="18" t="s">
        <v>2547</v>
      </c>
      <c r="B171" s="22" t="s">
        <v>2549</v>
      </c>
      <c r="C171" s="22" t="s">
        <v>2550</v>
      </c>
      <c r="D171" s="22" t="s">
        <v>2552</v>
      </c>
      <c r="E171" s="31" t="str">
        <f>IFERROR(__xludf.DUMMYFUNCTION("GOOGLETRANSLATE(D171,""zh-CN"",""vi"")"),"Trên cây có rất nhiều chim.")</f>
        <v>Trên cây có rất nhiều chim.</v>
      </c>
      <c r="F171" s="30" t="s">
        <v>2547</v>
      </c>
      <c r="G171" s="36" t="b">
        <f t="shared" si="1"/>
        <v>1</v>
      </c>
      <c r="H171" s="35" t="b">
        <v>0</v>
      </c>
      <c r="I171" s="35" t="b">
        <v>0</v>
      </c>
      <c r="J171" s="35" t="b">
        <v>0</v>
      </c>
      <c r="K171" s="35" t="b">
        <v>0</v>
      </c>
      <c r="L171" s="35" t="b">
        <v>0</v>
      </c>
      <c r="M171" s="35" t="b">
        <v>0</v>
      </c>
      <c r="N171" s="35" t="b">
        <v>0</v>
      </c>
      <c r="O171" s="35" t="b">
        <v>0</v>
      </c>
      <c r="P171" s="35" t="b">
        <v>0</v>
      </c>
      <c r="Q171" s="35" t="b">
        <v>0</v>
      </c>
      <c r="R171" s="14"/>
      <c r="S171" s="14"/>
      <c r="T171" s="14"/>
      <c r="U171" s="14"/>
      <c r="V171" s="14"/>
      <c r="W171" s="14"/>
    </row>
    <row r="172" ht="15.75" customHeight="1">
      <c r="A172" s="18" t="s">
        <v>2555</v>
      </c>
      <c r="B172" s="22" t="s">
        <v>2556</v>
      </c>
      <c r="C172" s="22" t="s">
        <v>2557</v>
      </c>
      <c r="D172" s="22" t="s">
        <v>2558</v>
      </c>
      <c r="E172" s="31" t="str">
        <f>IFERROR(__xludf.DUMMYFUNCTION("GOOGLETRANSLATE(D172,""zh-CN"",""vi"")"),"Cậu ấy học rất chăm chỉ.")</f>
        <v>Cậu ấy học rất chăm chỉ.</v>
      </c>
      <c r="F172" s="30" t="s">
        <v>2555</v>
      </c>
      <c r="G172" s="36" t="b">
        <f t="shared" si="1"/>
        <v>1</v>
      </c>
      <c r="H172" s="35" t="b">
        <v>0</v>
      </c>
      <c r="I172" s="35" t="b">
        <v>0</v>
      </c>
      <c r="J172" s="35" t="b">
        <v>0</v>
      </c>
      <c r="K172" s="35" t="b">
        <v>0</v>
      </c>
      <c r="L172" s="35" t="b">
        <v>0</v>
      </c>
      <c r="M172" s="35" t="b">
        <v>0</v>
      </c>
      <c r="N172" s="35" t="b">
        <v>0</v>
      </c>
      <c r="O172" s="35" t="b">
        <v>0</v>
      </c>
      <c r="P172" s="35" t="b">
        <v>0</v>
      </c>
      <c r="Q172" s="35" t="b">
        <v>0</v>
      </c>
      <c r="R172" s="14"/>
      <c r="S172" s="14"/>
      <c r="T172" s="14"/>
      <c r="U172" s="14"/>
      <c r="V172" s="14"/>
      <c r="W172" s="14"/>
    </row>
    <row r="173" ht="15.75" customHeight="1">
      <c r="A173" s="18" t="s">
        <v>2562</v>
      </c>
      <c r="B173" s="22" t="s">
        <v>2564</v>
      </c>
      <c r="C173" s="22" t="s">
        <v>2565</v>
      </c>
      <c r="D173" s="22" t="s">
        <v>2566</v>
      </c>
      <c r="E173" s="31" t="str">
        <f>IFERROR(__xludf.DUMMYFUNCTION("GOOGLETRANSLATE(D173,""zh-CN"",""vi"")"),"Cuối tuần này chúng ta cùng đi leo núi nhé.")</f>
        <v>Cuối tuần này chúng ta cùng đi leo núi nhé.</v>
      </c>
      <c r="F173" s="30" t="s">
        <v>2562</v>
      </c>
      <c r="G173" s="36" t="b">
        <f t="shared" si="1"/>
        <v>1</v>
      </c>
      <c r="H173" s="35" t="b">
        <v>0</v>
      </c>
      <c r="I173" s="35" t="b">
        <v>0</v>
      </c>
      <c r="J173" s="35" t="b">
        <v>0</v>
      </c>
      <c r="K173" s="35" t="b">
        <v>0</v>
      </c>
      <c r="L173" s="35" t="b">
        <v>0</v>
      </c>
      <c r="M173" s="35" t="b">
        <v>0</v>
      </c>
      <c r="N173" s="35" t="b">
        <v>0</v>
      </c>
      <c r="O173" s="35" t="b">
        <v>0</v>
      </c>
      <c r="P173" s="35" t="b">
        <v>0</v>
      </c>
      <c r="Q173" s="35" t="b">
        <v>0</v>
      </c>
      <c r="R173" s="14"/>
      <c r="S173" s="14"/>
      <c r="T173" s="14"/>
      <c r="U173" s="14"/>
      <c r="V173" s="14"/>
      <c r="W173" s="14"/>
    </row>
    <row r="174" ht="15.75" customHeight="1">
      <c r="A174" s="18" t="s">
        <v>2567</v>
      </c>
      <c r="B174" s="22" t="s">
        <v>2568</v>
      </c>
      <c r="C174" s="22" t="s">
        <v>2569</v>
      </c>
      <c r="D174" s="22" t="s">
        <v>2570</v>
      </c>
      <c r="E174" s="31" t="str">
        <f>IFERROR(__xludf.DUMMYFUNCTION("GOOGLETRANSLATE(D174,""zh-CN"",""vi"")"),"Hãy đặt đĩa lên bàn.")</f>
        <v>Hãy đặt đĩa lên bàn.</v>
      </c>
      <c r="F174" s="30" t="s">
        <v>2567</v>
      </c>
      <c r="G174" s="36" t="b">
        <f t="shared" si="1"/>
        <v>1</v>
      </c>
      <c r="H174" s="35" t="b">
        <v>0</v>
      </c>
      <c r="I174" s="35" t="b">
        <v>0</v>
      </c>
      <c r="J174" s="35" t="b">
        <v>0</v>
      </c>
      <c r="K174" s="35" t="b">
        <v>0</v>
      </c>
      <c r="L174" s="35" t="b">
        <v>0</v>
      </c>
      <c r="M174" s="35" t="b">
        <v>0</v>
      </c>
      <c r="N174" s="35" t="b">
        <v>0</v>
      </c>
      <c r="O174" s="35" t="b">
        <v>0</v>
      </c>
      <c r="P174" s="35" t="b">
        <v>0</v>
      </c>
      <c r="Q174" s="35" t="b">
        <v>0</v>
      </c>
      <c r="R174" s="14"/>
      <c r="S174" s="14"/>
      <c r="T174" s="14"/>
      <c r="U174" s="14"/>
      <c r="V174" s="14"/>
      <c r="W174" s="14"/>
    </row>
    <row r="175" ht="15.75" customHeight="1">
      <c r="A175" s="18" t="s">
        <v>2572</v>
      </c>
      <c r="B175" s="22" t="s">
        <v>2574</v>
      </c>
      <c r="C175" s="22" t="s">
        <v>2575</v>
      </c>
      <c r="D175" s="22" t="s">
        <v>2577</v>
      </c>
      <c r="E175" s="31" t="str">
        <f>IFERROR(__xludf.DUMMYFUNCTION("GOOGLETRANSLATE(D175,""zh-CN"",""vi"")"),"Đứa trẻ này hơi mũm mĩm.")</f>
        <v>Đứa trẻ này hơi mũm mĩm.</v>
      </c>
      <c r="F175" s="30" t="s">
        <v>2572</v>
      </c>
      <c r="G175" s="36" t="b">
        <f t="shared" si="1"/>
        <v>1</v>
      </c>
      <c r="H175" s="35" t="b">
        <v>0</v>
      </c>
      <c r="I175" s="35" t="b">
        <v>0</v>
      </c>
      <c r="J175" s="35" t="b">
        <v>0</v>
      </c>
      <c r="K175" s="35" t="b">
        <v>0</v>
      </c>
      <c r="L175" s="35" t="b">
        <v>0</v>
      </c>
      <c r="M175" s="35" t="b">
        <v>0</v>
      </c>
      <c r="N175" s="35" t="b">
        <v>0</v>
      </c>
      <c r="O175" s="35" t="b">
        <v>0</v>
      </c>
      <c r="P175" s="35" t="b">
        <v>0</v>
      </c>
      <c r="Q175" s="35" t="b">
        <v>0</v>
      </c>
      <c r="R175" s="14"/>
      <c r="S175" s="14"/>
      <c r="T175" s="14"/>
      <c r="U175" s="14"/>
      <c r="V175" s="14"/>
      <c r="W175" s="14"/>
    </row>
    <row r="176" ht="15.75" customHeight="1">
      <c r="A176" s="18" t="s">
        <v>2579</v>
      </c>
      <c r="B176" s="22" t="s">
        <v>2580</v>
      </c>
      <c r="C176" s="22" t="s">
        <v>2581</v>
      </c>
      <c r="D176" s="22" t="s">
        <v>2582</v>
      </c>
      <c r="E176" s="31" t="str">
        <f>IFERROR(__xludf.DUMMYFUNCTION("GOOGLETRANSLATE(D176,""zh-CN"",""vi"")"),"Tôi không uống bia.")</f>
        <v>Tôi không uống bia.</v>
      </c>
      <c r="F176" s="30" t="s">
        <v>2579</v>
      </c>
      <c r="G176" s="36" t="b">
        <f t="shared" si="1"/>
        <v>1</v>
      </c>
      <c r="H176" s="35" t="b">
        <v>0</v>
      </c>
      <c r="I176" s="35" t="b">
        <v>0</v>
      </c>
      <c r="J176" s="35" t="b">
        <v>0</v>
      </c>
      <c r="K176" s="35" t="b">
        <v>0</v>
      </c>
      <c r="L176" s="35" t="b">
        <v>0</v>
      </c>
      <c r="M176" s="35" t="b">
        <v>0</v>
      </c>
      <c r="N176" s="35" t="b">
        <v>0</v>
      </c>
      <c r="O176" s="35" t="b">
        <v>0</v>
      </c>
      <c r="P176" s="35" t="b">
        <v>0</v>
      </c>
      <c r="Q176" s="35" t="b">
        <v>0</v>
      </c>
      <c r="R176" s="14"/>
      <c r="S176" s="14"/>
      <c r="T176" s="14"/>
      <c r="U176" s="14"/>
      <c r="V176" s="14"/>
      <c r="W176" s="14"/>
    </row>
    <row r="177" ht="15.75" customHeight="1">
      <c r="A177" s="18" t="s">
        <v>2586</v>
      </c>
      <c r="B177" s="22" t="s">
        <v>2588</v>
      </c>
      <c r="C177" s="22" t="s">
        <v>2589</v>
      </c>
      <c r="D177" s="22" t="s">
        <v>2590</v>
      </c>
      <c r="E177" s="31" t="str">
        <f>IFERROR(__xludf.DUMMYFUNCTION("GOOGLETRANSLATE(D177,""zh-CN"",""vi"")"),"Tôi thích ăn nho.")</f>
        <v>Tôi thích ăn nho.</v>
      </c>
      <c r="F177" s="30" t="s">
        <v>2586</v>
      </c>
      <c r="G177" s="36" t="b">
        <f t="shared" si="1"/>
        <v>1</v>
      </c>
      <c r="H177" s="35" t="b">
        <v>0</v>
      </c>
      <c r="I177" s="35" t="b">
        <v>0</v>
      </c>
      <c r="J177" s="35" t="b">
        <v>0</v>
      </c>
      <c r="K177" s="35" t="b">
        <v>0</v>
      </c>
      <c r="L177" s="35" t="b">
        <v>0</v>
      </c>
      <c r="M177" s="35" t="b">
        <v>0</v>
      </c>
      <c r="N177" s="35" t="b">
        <v>0</v>
      </c>
      <c r="O177" s="35" t="b">
        <v>0</v>
      </c>
      <c r="P177" s="35" t="b">
        <v>0</v>
      </c>
      <c r="Q177" s="35" t="b">
        <v>0</v>
      </c>
      <c r="R177" s="14"/>
      <c r="S177" s="14"/>
      <c r="T177" s="14"/>
      <c r="U177" s="14"/>
      <c r="V177" s="14"/>
      <c r="W177" s="14"/>
    </row>
    <row r="178" ht="15.75" customHeight="1">
      <c r="A178" s="18" t="s">
        <v>2591</v>
      </c>
      <c r="B178" s="22" t="s">
        <v>2592</v>
      </c>
      <c r="C178" s="22" t="s">
        <v>2593</v>
      </c>
      <c r="D178" s="22" t="s">
        <v>2594</v>
      </c>
      <c r="E178" s="31" t="str">
        <f>IFERROR(__xludf.DUMMYFUNCTION("GOOGLETRANSLATE(D178,""zh-CN"",""vi"")"),"Anh ấy nói tiếng Quan thoại rất trôi chảy.")</f>
        <v>Anh ấy nói tiếng Quan thoại rất trôi chảy.</v>
      </c>
      <c r="F178" s="30" t="s">
        <v>2591</v>
      </c>
      <c r="G178" s="36" t="b">
        <f t="shared" si="1"/>
        <v>1</v>
      </c>
      <c r="H178" s="35" t="b">
        <v>0</v>
      </c>
      <c r="I178" s="35" t="b">
        <v>0</v>
      </c>
      <c r="J178" s="35" t="b">
        <v>0</v>
      </c>
      <c r="K178" s="35" t="b">
        <v>0</v>
      </c>
      <c r="L178" s="35" t="b">
        <v>0</v>
      </c>
      <c r="M178" s="35" t="b">
        <v>0</v>
      </c>
      <c r="N178" s="35" t="b">
        <v>0</v>
      </c>
      <c r="O178" s="35" t="b">
        <v>0</v>
      </c>
      <c r="P178" s="35" t="b">
        <v>0</v>
      </c>
      <c r="Q178" s="35" t="b">
        <v>0</v>
      </c>
      <c r="R178" s="14"/>
      <c r="S178" s="14"/>
      <c r="T178" s="14"/>
      <c r="U178" s="14"/>
      <c r="V178" s="14"/>
      <c r="W178" s="14"/>
    </row>
    <row r="179" ht="15.75" customHeight="1">
      <c r="A179" s="18" t="s">
        <v>2598</v>
      </c>
      <c r="B179" s="22" t="s">
        <v>2599</v>
      </c>
      <c r="C179" s="22" t="s">
        <v>2600</v>
      </c>
      <c r="D179" s="22" t="s">
        <v>2601</v>
      </c>
      <c r="E179" s="31" t="str">
        <f>IFERROR(__xludf.DUMMYFUNCTION("GOOGLETRANSLATE(D179,""zh-CN"",""vi"")"),"Tôi thích đi xe đạp.")</f>
        <v>Tôi thích đi xe đạp.</v>
      </c>
      <c r="F179" s="30" t="s">
        <v>2598</v>
      </c>
      <c r="G179" s="36" t="b">
        <f t="shared" si="1"/>
        <v>1</v>
      </c>
      <c r="H179" s="35" t="b">
        <v>0</v>
      </c>
      <c r="I179" s="35" t="b">
        <v>0</v>
      </c>
      <c r="J179" s="35" t="b">
        <v>0</v>
      </c>
      <c r="K179" s="35" t="b">
        <v>0</v>
      </c>
      <c r="L179" s="35" t="b">
        <v>0</v>
      </c>
      <c r="M179" s="35" t="b">
        <v>0</v>
      </c>
      <c r="N179" s="35" t="b">
        <v>0</v>
      </c>
      <c r="O179" s="35" t="b">
        <v>0</v>
      </c>
      <c r="P179" s="35" t="b">
        <v>0</v>
      </c>
      <c r="Q179" s="35" t="b">
        <v>0</v>
      </c>
      <c r="R179" s="14"/>
      <c r="S179" s="14"/>
      <c r="T179" s="14"/>
      <c r="U179" s="14"/>
      <c r="V179" s="14"/>
      <c r="W179" s="14"/>
    </row>
    <row r="180" ht="15.75" customHeight="1">
      <c r="A180" s="18" t="s">
        <v>2602</v>
      </c>
      <c r="B180" s="22" t="s">
        <v>2603</v>
      </c>
      <c r="C180" s="22" t="s">
        <v>2604</v>
      </c>
      <c r="D180" s="22" t="s">
        <v>2605</v>
      </c>
      <c r="E180" s="31" t="str">
        <f>IFERROR(__xludf.DUMMYFUNCTION("GOOGLETRANSLATE(D180,""zh-CN"",""vi"")"),"Thực ra, tôi không thích đồ ăn cay lắm.")</f>
        <v>Thực ra, tôi không thích đồ ăn cay lắm.</v>
      </c>
      <c r="F180" s="30" t="s">
        <v>2602</v>
      </c>
      <c r="G180" s="36" t="b">
        <f t="shared" si="1"/>
        <v>1</v>
      </c>
      <c r="H180" s="35" t="b">
        <v>0</v>
      </c>
      <c r="I180" s="35" t="b">
        <v>0</v>
      </c>
      <c r="J180" s="35" t="b">
        <v>0</v>
      </c>
      <c r="K180" s="35" t="b">
        <v>0</v>
      </c>
      <c r="L180" s="35" t="b">
        <v>0</v>
      </c>
      <c r="M180" s="35" t="b">
        <v>0</v>
      </c>
      <c r="N180" s="35" t="b">
        <v>0</v>
      </c>
      <c r="O180" s="35" t="b">
        <v>0</v>
      </c>
      <c r="P180" s="35" t="b">
        <v>0</v>
      </c>
      <c r="Q180" s="35" t="b">
        <v>0</v>
      </c>
      <c r="R180" s="14"/>
      <c r="S180" s="14"/>
      <c r="T180" s="14"/>
      <c r="U180" s="14"/>
      <c r="V180" s="14"/>
      <c r="W180" s="14"/>
    </row>
    <row r="181" ht="15.75" customHeight="1">
      <c r="A181" s="18" t="s">
        <v>2608</v>
      </c>
      <c r="B181" s="22" t="s">
        <v>2610</v>
      </c>
      <c r="C181" s="22" t="s">
        <v>2612</v>
      </c>
      <c r="D181" s="22" t="s">
        <v>2613</v>
      </c>
      <c r="E181" s="31" t="str">
        <f>IFERROR(__xludf.DUMMYFUNCTION("GOOGLETRANSLATE(D181,""zh-CN"",""vi"")"),"Mọi người khác đã rời đi hết rồi.")</f>
        <v>Mọi người khác đã rời đi hết rồi.</v>
      </c>
      <c r="F181" s="30" t="s">
        <v>2608</v>
      </c>
      <c r="G181" s="36" t="b">
        <f t="shared" si="1"/>
        <v>1</v>
      </c>
      <c r="H181" s="35" t="b">
        <v>0</v>
      </c>
      <c r="I181" s="35" t="b">
        <v>0</v>
      </c>
      <c r="J181" s="35" t="b">
        <v>0</v>
      </c>
      <c r="K181" s="35" t="b">
        <v>0</v>
      </c>
      <c r="L181" s="35" t="b">
        <v>0</v>
      </c>
      <c r="M181" s="35" t="b">
        <v>0</v>
      </c>
      <c r="N181" s="35" t="b">
        <v>0</v>
      </c>
      <c r="O181" s="35" t="b">
        <v>0</v>
      </c>
      <c r="P181" s="35" t="b">
        <v>0</v>
      </c>
      <c r="Q181" s="35" t="b">
        <v>0</v>
      </c>
      <c r="R181" s="14"/>
      <c r="S181" s="14"/>
      <c r="T181" s="14"/>
      <c r="U181" s="14"/>
      <c r="V181" s="14"/>
      <c r="W181" s="14"/>
    </row>
    <row r="182" ht="15.75" customHeight="1">
      <c r="A182" s="18" t="s">
        <v>2614</v>
      </c>
      <c r="B182" s="22" t="s">
        <v>2615</v>
      </c>
      <c r="C182" s="22" t="s">
        <v>2616</v>
      </c>
      <c r="D182" s="22" t="s">
        <v>2617</v>
      </c>
      <c r="E182" s="31" t="str">
        <f>IFERROR(__xludf.DUMMYFUNCTION("GOOGLETRANSLATE(D182,""zh-CN"",""vi"")"),"Điều này thật kỳ lạ.")</f>
        <v>Điều này thật kỳ lạ.</v>
      </c>
      <c r="F182" s="30" t="s">
        <v>2614</v>
      </c>
      <c r="G182" s="36" t="b">
        <f t="shared" si="1"/>
        <v>1</v>
      </c>
      <c r="H182" s="35" t="b">
        <v>0</v>
      </c>
      <c r="I182" s="35" t="b">
        <v>0</v>
      </c>
      <c r="J182" s="35" t="b">
        <v>0</v>
      </c>
      <c r="K182" s="35" t="b">
        <v>0</v>
      </c>
      <c r="L182" s="35" t="b">
        <v>0</v>
      </c>
      <c r="M182" s="35" t="b">
        <v>0</v>
      </c>
      <c r="N182" s="35" t="b">
        <v>0</v>
      </c>
      <c r="O182" s="35" t="b">
        <v>0</v>
      </c>
      <c r="P182" s="35" t="b">
        <v>0</v>
      </c>
      <c r="Q182" s="35" t="b">
        <v>0</v>
      </c>
      <c r="R182" s="14"/>
      <c r="S182" s="14"/>
      <c r="T182" s="14"/>
      <c r="U182" s="14"/>
      <c r="V182" s="14"/>
      <c r="W182" s="14"/>
    </row>
    <row r="183" ht="15.75" customHeight="1">
      <c r="A183" s="18" t="s">
        <v>2618</v>
      </c>
      <c r="B183" s="22" t="s">
        <v>2620</v>
      </c>
      <c r="C183" s="22" t="s">
        <v>2622</v>
      </c>
      <c r="D183" s="22" t="s">
        <v>2623</v>
      </c>
      <c r="E183" s="31" t="str">
        <f>IFERROR(__xludf.DUMMYFUNCTION("GOOGLETRANSLATE(D183,""zh-CN"",""vi"")"),"Tôi cần một cây bút chì.")</f>
        <v>Tôi cần một cây bút chì.</v>
      </c>
      <c r="F183" s="30" t="s">
        <v>2618</v>
      </c>
      <c r="G183" s="36" t="b">
        <f t="shared" si="1"/>
        <v>1</v>
      </c>
      <c r="H183" s="35" t="b">
        <v>0</v>
      </c>
      <c r="I183" s="35" t="b">
        <v>0</v>
      </c>
      <c r="J183" s="35" t="b">
        <v>0</v>
      </c>
      <c r="K183" s="35" t="b">
        <v>0</v>
      </c>
      <c r="L183" s="35" t="b">
        <v>0</v>
      </c>
      <c r="M183" s="35" t="b">
        <v>0</v>
      </c>
      <c r="N183" s="35" t="b">
        <v>0</v>
      </c>
      <c r="O183" s="35" t="b">
        <v>0</v>
      </c>
      <c r="P183" s="35" t="b">
        <v>0</v>
      </c>
      <c r="Q183" s="35" t="b">
        <v>0</v>
      </c>
      <c r="R183" s="14"/>
      <c r="S183" s="14"/>
      <c r="T183" s="14"/>
      <c r="U183" s="14"/>
      <c r="V183" s="14"/>
      <c r="W183" s="14"/>
    </row>
    <row r="184" ht="15.75" customHeight="1">
      <c r="A184" s="18" t="s">
        <v>2630</v>
      </c>
      <c r="B184" s="22" t="s">
        <v>2631</v>
      </c>
      <c r="C184" s="22" t="s">
        <v>2632</v>
      </c>
      <c r="D184" s="22" t="s">
        <v>2633</v>
      </c>
      <c r="E184" s="31" t="str">
        <f>IFERROR(__xludf.DUMMYFUNCTION("GOOGLETRANSLATE(D184,""zh-CN"",""vi"")"),"Tôi không nhớ rõ tên anh ấy.")</f>
        <v>Tôi không nhớ rõ tên anh ấy.</v>
      </c>
      <c r="F184" s="30" t="s">
        <v>2630</v>
      </c>
      <c r="G184" s="36" t="b">
        <f t="shared" si="1"/>
        <v>1</v>
      </c>
      <c r="H184" s="35" t="b">
        <v>0</v>
      </c>
      <c r="I184" s="35" t="b">
        <v>0</v>
      </c>
      <c r="J184" s="35" t="b">
        <v>0</v>
      </c>
      <c r="K184" s="35" t="b">
        <v>0</v>
      </c>
      <c r="L184" s="35" t="b">
        <v>0</v>
      </c>
      <c r="M184" s="35" t="b">
        <v>0</v>
      </c>
      <c r="N184" s="35" t="b">
        <v>0</v>
      </c>
      <c r="O184" s="35" t="b">
        <v>0</v>
      </c>
      <c r="P184" s="35" t="b">
        <v>0</v>
      </c>
      <c r="Q184" s="35" t="b">
        <v>0</v>
      </c>
      <c r="R184" s="14"/>
      <c r="S184" s="14"/>
      <c r="T184" s="14"/>
      <c r="U184" s="14"/>
      <c r="V184" s="14"/>
      <c r="W184" s="14"/>
    </row>
    <row r="185" ht="15.75" customHeight="1">
      <c r="A185" s="18" t="s">
        <v>2635</v>
      </c>
      <c r="B185" s="22" t="s">
        <v>2637</v>
      </c>
      <c r="C185" s="22" t="s">
        <v>2639</v>
      </c>
      <c r="D185" s="22" t="s">
        <v>2642</v>
      </c>
      <c r="E185" s="31" t="str">
        <f>IFERROR(__xludf.DUMMYFUNCTION("GOOGLETRANSLATE(D185,""zh-CN"",""vi"")"),"Mùa thu là mùa tôi yêu thích nhất.")</f>
        <v>Mùa thu là mùa tôi yêu thích nhất.</v>
      </c>
      <c r="F185" s="30" t="s">
        <v>2635</v>
      </c>
      <c r="G185" s="36" t="b">
        <f t="shared" si="1"/>
        <v>1</v>
      </c>
      <c r="H185" s="35" t="b">
        <v>0</v>
      </c>
      <c r="I185" s="35" t="b">
        <v>0</v>
      </c>
      <c r="J185" s="35" t="b">
        <v>0</v>
      </c>
      <c r="K185" s="35" t="b">
        <v>0</v>
      </c>
      <c r="L185" s="35" t="b">
        <v>0</v>
      </c>
      <c r="M185" s="35" t="b">
        <v>0</v>
      </c>
      <c r="N185" s="35" t="b">
        <v>0</v>
      </c>
      <c r="O185" s="35" t="b">
        <v>0</v>
      </c>
      <c r="P185" s="35" t="b">
        <v>0</v>
      </c>
      <c r="Q185" s="35" t="b">
        <v>0</v>
      </c>
      <c r="R185" s="14"/>
      <c r="S185" s="14"/>
      <c r="T185" s="14"/>
      <c r="U185" s="14"/>
      <c r="V185" s="14"/>
      <c r="W185" s="14"/>
    </row>
    <row r="186" ht="15.75" customHeight="1">
      <c r="A186" s="18" t="s">
        <v>2646</v>
      </c>
      <c r="B186" s="22" t="s">
        <v>2649</v>
      </c>
      <c r="C186" s="22" t="s">
        <v>2651</v>
      </c>
      <c r="D186" s="22" t="s">
        <v>2653</v>
      </c>
      <c r="E186" s="31" t="str">
        <f>IFERROR(__xludf.DUMMYFUNCTION("GOOGLETRANSLATE(D186,""zh-CN"",""vi"")"),"Cô ấy mặc một chiếc váy màu đỏ.")</f>
        <v>Cô ấy mặc một chiếc váy màu đỏ.</v>
      </c>
      <c r="F186" s="30" t="s">
        <v>2646</v>
      </c>
      <c r="G186" s="36" t="b">
        <f t="shared" si="1"/>
        <v>1</v>
      </c>
      <c r="H186" s="35" t="b">
        <v>0</v>
      </c>
      <c r="I186" s="35" t="b">
        <v>0</v>
      </c>
      <c r="J186" s="35" t="b">
        <v>0</v>
      </c>
      <c r="K186" s="35" t="b">
        <v>0</v>
      </c>
      <c r="L186" s="35" t="b">
        <v>0</v>
      </c>
      <c r="M186" s="35" t="b">
        <v>0</v>
      </c>
      <c r="N186" s="35" t="b">
        <v>0</v>
      </c>
      <c r="O186" s="35" t="b">
        <v>0</v>
      </c>
      <c r="P186" s="35" t="b">
        <v>0</v>
      </c>
      <c r="Q186" s="35" t="b">
        <v>0</v>
      </c>
      <c r="R186" s="14"/>
      <c r="S186" s="14"/>
      <c r="T186" s="14"/>
      <c r="U186" s="14"/>
      <c r="V186" s="14"/>
      <c r="W186" s="14"/>
    </row>
    <row r="187" ht="15.75" customHeight="1">
      <c r="A187" s="18" t="s">
        <v>2661</v>
      </c>
      <c r="B187" s="22" t="s">
        <v>2663</v>
      </c>
      <c r="C187" s="22" t="s">
        <v>2664</v>
      </c>
      <c r="D187" s="22" t="s">
        <v>2665</v>
      </c>
      <c r="E187" s="31" t="str">
        <f>IFERROR(__xludf.DUMMYFUNCTION("GOOGLETRANSLATE(D187,""zh-CN"",""vi"")"),"Chúng tôi ăn tối xong rồi đi xem phim.")</f>
        <v>Chúng tôi ăn tối xong rồi đi xem phim.</v>
      </c>
      <c r="F187" s="30" t="s">
        <v>2661</v>
      </c>
      <c r="G187" s="36" t="b">
        <f t="shared" si="1"/>
        <v>1</v>
      </c>
      <c r="H187" s="35" t="b">
        <v>0</v>
      </c>
      <c r="I187" s="35" t="b">
        <v>0</v>
      </c>
      <c r="J187" s="35" t="b">
        <v>0</v>
      </c>
      <c r="K187" s="35" t="b">
        <v>0</v>
      </c>
      <c r="L187" s="35" t="b">
        <v>0</v>
      </c>
      <c r="M187" s="35" t="b">
        <v>0</v>
      </c>
      <c r="N187" s="35" t="b">
        <v>0</v>
      </c>
      <c r="O187" s="35" t="b">
        <v>0</v>
      </c>
      <c r="P187" s="35" t="b">
        <v>0</v>
      </c>
      <c r="Q187" s="35" t="b">
        <v>0</v>
      </c>
      <c r="R187" s="14"/>
      <c r="S187" s="14"/>
      <c r="T187" s="14"/>
      <c r="U187" s="14"/>
      <c r="V187" s="14"/>
      <c r="W187" s="14"/>
    </row>
    <row r="188" ht="15.75" customHeight="1">
      <c r="A188" s="18" t="s">
        <v>2670</v>
      </c>
      <c r="B188" s="22" t="s">
        <v>2671</v>
      </c>
      <c r="C188" s="22" t="s">
        <v>2672</v>
      </c>
      <c r="D188" s="22" t="s">
        <v>2673</v>
      </c>
      <c r="E188" s="31" t="str">
        <f>IFERROR(__xludf.DUMMYFUNCTION("GOOGLETRANSLATE(D188,""zh-CN"",""vi"")"),"Anh ấy rất thân thiện và cởi mở với mọi người.")</f>
        <v>Anh ấy rất thân thiện và cởi mở với mọi người.</v>
      </c>
      <c r="F188" s="30" t="s">
        <v>2670</v>
      </c>
      <c r="G188" s="36" t="b">
        <f t="shared" si="1"/>
        <v>1</v>
      </c>
      <c r="H188" s="35" t="b">
        <v>0</v>
      </c>
      <c r="I188" s="35" t="b">
        <v>0</v>
      </c>
      <c r="J188" s="35" t="b">
        <v>0</v>
      </c>
      <c r="K188" s="35" t="b">
        <v>0</v>
      </c>
      <c r="L188" s="35" t="b">
        <v>0</v>
      </c>
      <c r="M188" s="35" t="b">
        <v>0</v>
      </c>
      <c r="N188" s="35" t="b">
        <v>0</v>
      </c>
      <c r="O188" s="35" t="b">
        <v>0</v>
      </c>
      <c r="P188" s="35" t="b">
        <v>0</v>
      </c>
      <c r="Q188" s="35" t="b">
        <v>0</v>
      </c>
      <c r="R188" s="14"/>
      <c r="S188" s="14"/>
      <c r="T188" s="14"/>
      <c r="U188" s="14"/>
      <c r="V188" s="14"/>
      <c r="W188" s="14"/>
    </row>
    <row r="189" ht="15.75" customHeight="1">
      <c r="A189" s="18" t="s">
        <v>2682</v>
      </c>
      <c r="B189" s="22" t="s">
        <v>2683</v>
      </c>
      <c r="C189" s="22" t="s">
        <v>2684</v>
      </c>
      <c r="D189" s="22" t="s">
        <v>2685</v>
      </c>
      <c r="E189" s="31" t="str">
        <f>IFERROR(__xludf.DUMMYFUNCTION("GOOGLETRANSLATE(D189,""zh-CN"",""vi"")"),"Tôi nghĩ anh ấy nói đúng.")</f>
        <v>Tôi nghĩ anh ấy nói đúng.</v>
      </c>
      <c r="F189" s="30" t="s">
        <v>2682</v>
      </c>
      <c r="G189" s="36" t="b">
        <f t="shared" si="1"/>
        <v>1</v>
      </c>
      <c r="H189" s="35" t="b">
        <v>0</v>
      </c>
      <c r="I189" s="35" t="b">
        <v>0</v>
      </c>
      <c r="J189" s="35" t="b">
        <v>0</v>
      </c>
      <c r="K189" s="35" t="b">
        <v>0</v>
      </c>
      <c r="L189" s="35" t="b">
        <v>0</v>
      </c>
      <c r="M189" s="35" t="b">
        <v>0</v>
      </c>
      <c r="N189" s="35" t="b">
        <v>0</v>
      </c>
      <c r="O189" s="35" t="b">
        <v>0</v>
      </c>
      <c r="P189" s="35" t="b">
        <v>0</v>
      </c>
      <c r="Q189" s="35" t="b">
        <v>0</v>
      </c>
      <c r="R189" s="14"/>
      <c r="S189" s="14"/>
      <c r="T189" s="14"/>
      <c r="U189" s="14"/>
      <c r="V189" s="14"/>
      <c r="W189" s="14"/>
    </row>
    <row r="190" ht="15.75" customHeight="1">
      <c r="A190" s="18" t="s">
        <v>2690</v>
      </c>
      <c r="B190" s="22" t="s">
        <v>2691</v>
      </c>
      <c r="C190" s="22" t="s">
        <v>2692</v>
      </c>
      <c r="D190" s="22" t="s">
        <v>2693</v>
      </c>
      <c r="E190" s="31" t="str">
        <f>IFERROR(__xludf.DUMMYFUNCTION("GOOGLETRANSLATE(D190,""zh-CN"",""vi"")"),"Cô ấy học rất chăm chỉ.")</f>
        <v>Cô ấy học rất chăm chỉ.</v>
      </c>
      <c r="F190" s="30" t="s">
        <v>2690</v>
      </c>
      <c r="G190" s="36" t="b">
        <f t="shared" si="1"/>
        <v>1</v>
      </c>
      <c r="H190" s="35" t="b">
        <v>0</v>
      </c>
      <c r="I190" s="35" t="b">
        <v>0</v>
      </c>
      <c r="J190" s="35" t="b">
        <v>0</v>
      </c>
      <c r="K190" s="35" t="b">
        <v>0</v>
      </c>
      <c r="L190" s="35" t="b">
        <v>0</v>
      </c>
      <c r="M190" s="35" t="b">
        <v>0</v>
      </c>
      <c r="N190" s="35" t="b">
        <v>0</v>
      </c>
      <c r="O190" s="35" t="b">
        <v>0</v>
      </c>
      <c r="P190" s="35" t="b">
        <v>0</v>
      </c>
      <c r="Q190" s="35" t="b">
        <v>0</v>
      </c>
      <c r="R190" s="14"/>
      <c r="S190" s="14"/>
      <c r="T190" s="14"/>
      <c r="U190" s="14"/>
      <c r="V190" s="14"/>
      <c r="W190" s="14"/>
    </row>
    <row r="191" ht="15.75" customHeight="1">
      <c r="A191" s="18" t="s">
        <v>2702</v>
      </c>
      <c r="B191" s="22" t="s">
        <v>2703</v>
      </c>
      <c r="C191" s="22" t="s">
        <v>2704</v>
      </c>
      <c r="D191" s="22" t="s">
        <v>2705</v>
      </c>
      <c r="E191" s="31" t="str">
        <f>IFERROR(__xludf.DUMMYFUNCTION("GOOGLETRANSLATE(D191,""zh-CN"",""vi"")"),"Vấn đề này rất dễ giải quyết.")</f>
        <v>Vấn đề này rất dễ giải quyết.</v>
      </c>
      <c r="F191" s="30" t="s">
        <v>2702</v>
      </c>
      <c r="G191" s="36" t="b">
        <f t="shared" si="1"/>
        <v>1</v>
      </c>
      <c r="H191" s="35" t="b">
        <v>0</v>
      </c>
      <c r="I191" s="35" t="b">
        <v>0</v>
      </c>
      <c r="J191" s="35" t="b">
        <v>0</v>
      </c>
      <c r="K191" s="35" t="b">
        <v>0</v>
      </c>
      <c r="L191" s="35" t="b">
        <v>0</v>
      </c>
      <c r="M191" s="35" t="b">
        <v>0</v>
      </c>
      <c r="N191" s="35" t="b">
        <v>0</v>
      </c>
      <c r="O191" s="35" t="b">
        <v>0</v>
      </c>
      <c r="P191" s="35" t="b">
        <v>0</v>
      </c>
      <c r="Q191" s="35" t="b">
        <v>0</v>
      </c>
      <c r="R191" s="14"/>
      <c r="S191" s="14"/>
      <c r="T191" s="14"/>
      <c r="U191" s="14"/>
      <c r="V191" s="14"/>
      <c r="W191" s="14"/>
    </row>
    <row r="192" ht="15.75" customHeight="1">
      <c r="A192" s="18" t="s">
        <v>2709</v>
      </c>
      <c r="B192" s="22" t="s">
        <v>2710</v>
      </c>
      <c r="C192" s="22" t="s">
        <v>2711</v>
      </c>
      <c r="D192" s="22" t="s">
        <v>2712</v>
      </c>
      <c r="E192" s="31" t="str">
        <f>IFERROR(__xludf.DUMMYFUNCTION("GOOGLETRANSLATE(D192,""zh-CN"",""vi"")"),"Nếu có thời gian, mời bạn đến nhà tôi.")</f>
        <v>Nếu có thời gian, mời bạn đến nhà tôi.</v>
      </c>
      <c r="F192" s="30" t="s">
        <v>2709</v>
      </c>
      <c r="G192" s="36" t="b">
        <f t="shared" si="1"/>
        <v>1</v>
      </c>
      <c r="H192" s="35" t="b">
        <v>0</v>
      </c>
      <c r="I192" s="35" t="b">
        <v>0</v>
      </c>
      <c r="J192" s="35" t="b">
        <v>0</v>
      </c>
      <c r="K192" s="35" t="b">
        <v>0</v>
      </c>
      <c r="L192" s="35" t="b">
        <v>0</v>
      </c>
      <c r="M192" s="35" t="b">
        <v>0</v>
      </c>
      <c r="N192" s="35" t="b">
        <v>0</v>
      </c>
      <c r="O192" s="35" t="b">
        <v>0</v>
      </c>
      <c r="P192" s="35" t="b">
        <v>0</v>
      </c>
      <c r="Q192" s="35" t="b">
        <v>0</v>
      </c>
      <c r="R192" s="14"/>
      <c r="S192" s="14"/>
      <c r="T192" s="14"/>
      <c r="U192" s="14"/>
      <c r="V192" s="14"/>
      <c r="W192" s="14"/>
    </row>
    <row r="193" ht="15.75" customHeight="1">
      <c r="A193" s="18" t="s">
        <v>2714</v>
      </c>
      <c r="B193" s="22" t="s">
        <v>2716</v>
      </c>
      <c r="C193" s="22" t="s">
        <v>2718</v>
      </c>
      <c r="D193" s="22" t="s">
        <v>2720</v>
      </c>
      <c r="E193" s="31" t="str">
        <f>IFERROR(__xludf.DUMMYFUNCTION("GOOGLETRANSLATE(D193,""zh-CN"",""vi"")"),"Trời đang mưa, hãy mang theo ô.")</f>
        <v>Trời đang mưa, hãy mang theo ô.</v>
      </c>
      <c r="F193" s="30" t="s">
        <v>2714</v>
      </c>
      <c r="G193" s="36" t="b">
        <f t="shared" si="1"/>
        <v>1</v>
      </c>
      <c r="H193" s="35" t="b">
        <v>0</v>
      </c>
      <c r="I193" s="35" t="b">
        <v>0</v>
      </c>
      <c r="J193" s="35" t="b">
        <v>0</v>
      </c>
      <c r="K193" s="35" t="b">
        <v>0</v>
      </c>
      <c r="L193" s="35" t="b">
        <v>0</v>
      </c>
      <c r="M193" s="35" t="b">
        <v>0</v>
      </c>
      <c r="N193" s="35" t="b">
        <v>0</v>
      </c>
      <c r="O193" s="35" t="b">
        <v>0</v>
      </c>
      <c r="P193" s="35" t="b">
        <v>0</v>
      </c>
      <c r="Q193" s="35" t="b">
        <v>0</v>
      </c>
      <c r="R193" s="14"/>
      <c r="S193" s="14"/>
      <c r="T193" s="14"/>
      <c r="U193" s="14"/>
      <c r="V193" s="14"/>
      <c r="W193" s="14"/>
    </row>
    <row r="194" ht="15.75" customHeight="1">
      <c r="A194" s="18" t="s">
        <v>2729</v>
      </c>
      <c r="B194" s="22" t="s">
        <v>2730</v>
      </c>
      <c r="C194" s="22" t="s">
        <v>2731</v>
      </c>
      <c r="D194" s="22" t="s">
        <v>2732</v>
      </c>
      <c r="E194" s="31" t="str">
        <f>IFERROR(__xludf.DUMMYFUNCTION("GOOGLETRANSLATE(D194,""zh-CN"",""vi"")"),"Tôi thích đọc tin tức trực tuyến.")</f>
        <v>Tôi thích đọc tin tức trực tuyến.</v>
      </c>
      <c r="F194" s="30" t="s">
        <v>2729</v>
      </c>
      <c r="G194" s="36" t="b">
        <f t="shared" si="1"/>
        <v>1</v>
      </c>
      <c r="H194" s="35" t="b">
        <v>0</v>
      </c>
      <c r="I194" s="35" t="b">
        <v>0</v>
      </c>
      <c r="J194" s="35" t="b">
        <v>0</v>
      </c>
      <c r="K194" s="35" t="b">
        <v>0</v>
      </c>
      <c r="L194" s="35" t="b">
        <v>0</v>
      </c>
      <c r="M194" s="35" t="b">
        <v>0</v>
      </c>
      <c r="N194" s="35" t="b">
        <v>0</v>
      </c>
      <c r="O194" s="35" t="b">
        <v>0</v>
      </c>
      <c r="P194" s="35" t="b">
        <v>0</v>
      </c>
      <c r="Q194" s="35" t="b">
        <v>0</v>
      </c>
      <c r="R194" s="14"/>
      <c r="S194" s="14"/>
      <c r="T194" s="14"/>
      <c r="U194" s="14"/>
      <c r="V194" s="14"/>
      <c r="W194" s="14"/>
    </row>
    <row r="195" ht="15.75" customHeight="1">
      <c r="A195" s="18" t="s">
        <v>2737</v>
      </c>
      <c r="B195" s="22" t="s">
        <v>2738</v>
      </c>
      <c r="C195" s="22" t="s">
        <v>2739</v>
      </c>
      <c r="D195" s="22" t="s">
        <v>2740</v>
      </c>
      <c r="E195" s="31" t="str">
        <f>IFERROR(__xludf.DUMMYFUNCTION("GOOGLETRANSLATE(D195,""zh-CN"",""vi"")"),"Cô ấy giận vì bạn đến muộn.")</f>
        <v>Cô ấy giận vì bạn đến muộn.</v>
      </c>
      <c r="F195" s="30" t="s">
        <v>2737</v>
      </c>
      <c r="G195" s="36" t="b">
        <f t="shared" si="1"/>
        <v>1</v>
      </c>
      <c r="H195" s="35" t="b">
        <v>0</v>
      </c>
      <c r="I195" s="35" t="b">
        <v>0</v>
      </c>
      <c r="J195" s="35" t="b">
        <v>0</v>
      </c>
      <c r="K195" s="35" t="b">
        <v>0</v>
      </c>
      <c r="L195" s="35" t="b">
        <v>0</v>
      </c>
      <c r="M195" s="35" t="b">
        <v>0</v>
      </c>
      <c r="N195" s="35" t="b">
        <v>0</v>
      </c>
      <c r="O195" s="35" t="b">
        <v>0</v>
      </c>
      <c r="P195" s="35" t="b">
        <v>0</v>
      </c>
      <c r="Q195" s="35" t="b">
        <v>0</v>
      </c>
      <c r="R195" s="14"/>
      <c r="S195" s="14"/>
      <c r="T195" s="14"/>
      <c r="U195" s="14"/>
      <c r="V195" s="14"/>
      <c r="W195" s="14"/>
    </row>
    <row r="196" ht="15.75" customHeight="1">
      <c r="A196" s="18" t="s">
        <v>2749</v>
      </c>
      <c r="B196" s="22" t="s">
        <v>2750</v>
      </c>
      <c r="C196" s="22" t="s">
        <v>2751</v>
      </c>
      <c r="D196" s="22" t="s">
        <v>2752</v>
      </c>
      <c r="E196" s="31" t="str">
        <f>IFERROR(__xludf.DUMMYFUNCTION("GOOGLETRANSLATE(D196,""zh-CN"",""vi"")"),"Tôi không nghe thấy giọng anh ấy.")</f>
        <v>Tôi không nghe thấy giọng anh ấy.</v>
      </c>
      <c r="F196" s="30" t="s">
        <v>2749</v>
      </c>
      <c r="G196" s="36" t="b">
        <f t="shared" si="1"/>
        <v>1</v>
      </c>
      <c r="H196" s="35" t="b">
        <v>0</v>
      </c>
      <c r="I196" s="35" t="b">
        <v>0</v>
      </c>
      <c r="J196" s="35" t="b">
        <v>0</v>
      </c>
      <c r="K196" s="35" t="b">
        <v>0</v>
      </c>
      <c r="L196" s="35" t="b">
        <v>0</v>
      </c>
      <c r="M196" s="35" t="b">
        <v>0</v>
      </c>
      <c r="N196" s="35" t="b">
        <v>0</v>
      </c>
      <c r="O196" s="35" t="b">
        <v>0</v>
      </c>
      <c r="P196" s="35" t="b">
        <v>0</v>
      </c>
      <c r="Q196" s="35" t="b">
        <v>0</v>
      </c>
      <c r="R196" s="14"/>
      <c r="S196" s="14"/>
      <c r="T196" s="14"/>
      <c r="U196" s="14"/>
      <c r="V196" s="14"/>
      <c r="W196" s="14"/>
    </row>
    <row r="197" ht="15.75" customHeight="1">
      <c r="A197" s="18" t="s">
        <v>2757</v>
      </c>
      <c r="B197" s="22" t="s">
        <v>2758</v>
      </c>
      <c r="C197" s="22" t="s">
        <v>2759</v>
      </c>
      <c r="D197" s="22" t="s">
        <v>2760</v>
      </c>
      <c r="E197" s="31" t="str">
        <f>IFERROR(__xludf.DUMMYFUNCTION("GOOGLETRANSLATE(D197,""zh-CN"",""vi"")"),"Anh ta làm tôi rất tức giận.")</f>
        <v>Anh ta làm tôi rất tức giận.</v>
      </c>
      <c r="F197" s="30" t="s">
        <v>2757</v>
      </c>
      <c r="G197" s="36" t="b">
        <f t="shared" si="1"/>
        <v>1</v>
      </c>
      <c r="H197" s="35" t="b">
        <v>0</v>
      </c>
      <c r="I197" s="35" t="b">
        <v>0</v>
      </c>
      <c r="J197" s="35" t="b">
        <v>0</v>
      </c>
      <c r="K197" s="35" t="b">
        <v>0</v>
      </c>
      <c r="L197" s="35" t="b">
        <v>0</v>
      </c>
      <c r="M197" s="35" t="b">
        <v>0</v>
      </c>
      <c r="N197" s="35" t="b">
        <v>0</v>
      </c>
      <c r="O197" s="35" t="b">
        <v>0</v>
      </c>
      <c r="P197" s="35" t="b">
        <v>0</v>
      </c>
      <c r="Q197" s="35" t="b">
        <v>0</v>
      </c>
      <c r="R197" s="14"/>
      <c r="S197" s="14"/>
      <c r="T197" s="14"/>
      <c r="U197" s="14"/>
      <c r="V197" s="14"/>
      <c r="W197" s="14"/>
    </row>
    <row r="198" ht="15.75" customHeight="1">
      <c r="A198" s="18" t="s">
        <v>2765</v>
      </c>
      <c r="B198" s="22" t="s">
        <v>2766</v>
      </c>
      <c r="C198" s="22" t="s">
        <v>2767</v>
      </c>
      <c r="D198" s="22" t="s">
        <v>2768</v>
      </c>
      <c r="E198" s="31" t="str">
        <f>IFERROR(__xludf.DUMMYFUNCTION("GOOGLETRANSLATE(D198,""zh-CN"",""vi"")"),"Thế giới này rộng lớn vô cùng.")</f>
        <v>Thế giới này rộng lớn vô cùng.</v>
      </c>
      <c r="F198" s="30" t="s">
        <v>2765</v>
      </c>
      <c r="G198" s="36" t="b">
        <f t="shared" si="1"/>
        <v>1</v>
      </c>
      <c r="H198" s="35" t="b">
        <v>0</v>
      </c>
      <c r="I198" s="35" t="b">
        <v>0</v>
      </c>
      <c r="J198" s="35" t="b">
        <v>0</v>
      </c>
      <c r="K198" s="35" t="b">
        <v>0</v>
      </c>
      <c r="L198" s="35" t="b">
        <v>0</v>
      </c>
      <c r="M198" s="35" t="b">
        <v>0</v>
      </c>
      <c r="N198" s="35" t="b">
        <v>0</v>
      </c>
      <c r="O198" s="35" t="b">
        <v>0</v>
      </c>
      <c r="P198" s="35" t="b">
        <v>0</v>
      </c>
      <c r="Q198" s="35" t="b">
        <v>0</v>
      </c>
      <c r="R198" s="14"/>
      <c r="S198" s="14"/>
      <c r="T198" s="14"/>
      <c r="U198" s="14"/>
      <c r="V198" s="14"/>
      <c r="W198" s="14"/>
    </row>
    <row r="199" ht="15.75" customHeight="1">
      <c r="A199" s="18" t="s">
        <v>2777</v>
      </c>
      <c r="B199" s="22" t="s">
        <v>2778</v>
      </c>
      <c r="C199" s="22" t="s">
        <v>2779</v>
      </c>
      <c r="D199" s="22" t="s">
        <v>2781</v>
      </c>
      <c r="E199" s="31" t="str">
        <f>IFERROR(__xludf.DUMMYFUNCTION("GOOGLETRANSLATE(D199,""zh-CN"",""vi"")"),"Tôi nghĩ anh ấy càng ngày càng gầy đi.")</f>
        <v>Tôi nghĩ anh ấy càng ngày càng gầy đi.</v>
      </c>
      <c r="F199" s="30" t="s">
        <v>2777</v>
      </c>
      <c r="G199" s="36" t="b">
        <f t="shared" si="1"/>
        <v>1</v>
      </c>
      <c r="H199" s="35" t="b">
        <v>0</v>
      </c>
      <c r="I199" s="35" t="b">
        <v>0</v>
      </c>
      <c r="J199" s="35" t="b">
        <v>0</v>
      </c>
      <c r="K199" s="35" t="b">
        <v>0</v>
      </c>
      <c r="L199" s="35" t="b">
        <v>0</v>
      </c>
      <c r="M199" s="35" t="b">
        <v>0</v>
      </c>
      <c r="N199" s="35" t="b">
        <v>0</v>
      </c>
      <c r="O199" s="35" t="b">
        <v>0</v>
      </c>
      <c r="P199" s="35" t="b">
        <v>0</v>
      </c>
      <c r="Q199" s="35" t="b">
        <v>0</v>
      </c>
      <c r="R199" s="14"/>
      <c r="S199" s="14"/>
      <c r="T199" s="14"/>
      <c r="U199" s="14"/>
      <c r="V199" s="14"/>
      <c r="W199" s="14"/>
    </row>
    <row r="200" ht="15.75" customHeight="1">
      <c r="A200" s="18" t="s">
        <v>2785</v>
      </c>
      <c r="B200" s="22" t="s">
        <v>2786</v>
      </c>
      <c r="C200" s="22" t="s">
        <v>2787</v>
      </c>
      <c r="D200" s="22" t="s">
        <v>2789</v>
      </c>
      <c r="E200" s="31" t="str">
        <f>IFERROR(__xludf.DUMMYFUNCTION("GOOGLETRANSLATE(D200,""zh-CN"",""vi"")"),"Chiếc ghế này rất thoải mái.")</f>
        <v>Chiếc ghế này rất thoải mái.</v>
      </c>
      <c r="F200" s="30" t="s">
        <v>2785</v>
      </c>
      <c r="G200" s="36" t="b">
        <f t="shared" si="1"/>
        <v>1</v>
      </c>
      <c r="H200" s="35" t="b">
        <v>0</v>
      </c>
      <c r="I200" s="35" t="b">
        <v>0</v>
      </c>
      <c r="J200" s="35" t="b">
        <v>0</v>
      </c>
      <c r="K200" s="35" t="b">
        <v>0</v>
      </c>
      <c r="L200" s="35" t="b">
        <v>0</v>
      </c>
      <c r="M200" s="35" t="b">
        <v>0</v>
      </c>
      <c r="N200" s="35" t="b">
        <v>0</v>
      </c>
      <c r="O200" s="35" t="b">
        <v>0</v>
      </c>
      <c r="P200" s="35" t="b">
        <v>0</v>
      </c>
      <c r="Q200" s="35" t="b">
        <v>0</v>
      </c>
      <c r="R200" s="14"/>
      <c r="S200" s="14"/>
      <c r="T200" s="14"/>
      <c r="U200" s="14"/>
      <c r="V200" s="14"/>
      <c r="W200" s="14"/>
    </row>
    <row r="201" ht="15.75" customHeight="1">
      <c r="A201" s="18" t="s">
        <v>2797</v>
      </c>
      <c r="B201" s="22" t="s">
        <v>2798</v>
      </c>
      <c r="C201" s="22" t="s">
        <v>2799</v>
      </c>
      <c r="D201" s="22" t="s">
        <v>2800</v>
      </c>
      <c r="E201" s="31" t="str">
        <f>IFERROR(__xludf.DUMMYFUNCTION("GOOGLETRANSLATE(D201,""zh-CN"",""vi"")"),"Chú tôi rất cao.")</f>
        <v>Chú tôi rất cao.</v>
      </c>
      <c r="F201" s="30" t="s">
        <v>2797</v>
      </c>
      <c r="G201" s="36" t="b">
        <f t="shared" si="1"/>
        <v>1</v>
      </c>
      <c r="H201" s="35" t="b">
        <v>0</v>
      </c>
      <c r="I201" s="35" t="b">
        <v>0</v>
      </c>
      <c r="J201" s="35" t="b">
        <v>0</v>
      </c>
      <c r="K201" s="35" t="b">
        <v>0</v>
      </c>
      <c r="L201" s="35" t="b">
        <v>0</v>
      </c>
      <c r="M201" s="35" t="b">
        <v>0</v>
      </c>
      <c r="N201" s="35" t="b">
        <v>0</v>
      </c>
      <c r="O201" s="35" t="b">
        <v>0</v>
      </c>
      <c r="P201" s="35" t="b">
        <v>0</v>
      </c>
      <c r="Q201" s="35" t="b">
        <v>0</v>
      </c>
      <c r="R201" s="14"/>
      <c r="S201" s="14"/>
      <c r="T201" s="14"/>
      <c r="U201" s="14"/>
      <c r="V201" s="14"/>
      <c r="W201" s="14"/>
    </row>
    <row r="202" ht="15.75" customHeight="1">
      <c r="A202" s="18" t="s">
        <v>2805</v>
      </c>
      <c r="B202" s="22" t="s">
        <v>2806</v>
      </c>
      <c r="C202" s="22" t="s">
        <v>2808</v>
      </c>
      <c r="D202" s="22" t="s">
        <v>2810</v>
      </c>
      <c r="E202" s="31" t="str">
        <f>IFERROR(__xludf.DUMMYFUNCTION("GOOGLETRANSLATE(D202,""zh-CN"",""vi"")"),"Những chú chim trên cây đang hót.")</f>
        <v>Những chú chim trên cây đang hót.</v>
      </c>
      <c r="F202" s="30" t="s">
        <v>2805</v>
      </c>
      <c r="G202" s="36" t="b">
        <f t="shared" si="1"/>
        <v>1</v>
      </c>
      <c r="H202" s="35" t="b">
        <v>0</v>
      </c>
      <c r="I202" s="35" t="b">
        <v>0</v>
      </c>
      <c r="J202" s="35" t="b">
        <v>0</v>
      </c>
      <c r="K202" s="35" t="b">
        <v>0</v>
      </c>
      <c r="L202" s="35" t="b">
        <v>0</v>
      </c>
      <c r="M202" s="35" t="b">
        <v>0</v>
      </c>
      <c r="N202" s="35" t="b">
        <v>0</v>
      </c>
      <c r="O202" s="35" t="b">
        <v>0</v>
      </c>
      <c r="P202" s="35" t="b">
        <v>0</v>
      </c>
      <c r="Q202" s="35" t="b">
        <v>0</v>
      </c>
      <c r="R202" s="14"/>
      <c r="S202" s="14"/>
      <c r="T202" s="14"/>
      <c r="U202" s="14"/>
      <c r="V202" s="14"/>
      <c r="W202" s="14"/>
    </row>
    <row r="203" ht="15.75" customHeight="1">
      <c r="A203" s="18" t="s">
        <v>2816</v>
      </c>
      <c r="B203" s="22" t="s">
        <v>2817</v>
      </c>
      <c r="C203" s="22" t="s">
        <v>2818</v>
      </c>
      <c r="D203" s="22" t="s">
        <v>2819</v>
      </c>
      <c r="E203" s="31" t="str">
        <f>IFERROR(__xludf.DUMMYFUNCTION("GOOGLETRANSLATE(D203,""zh-CN"",""vi"")"),"Anh ấy rất giỏi toán.")</f>
        <v>Anh ấy rất giỏi toán.</v>
      </c>
      <c r="F203" s="30" t="s">
        <v>2816</v>
      </c>
      <c r="G203" s="36" t="b">
        <f t="shared" si="1"/>
        <v>1</v>
      </c>
      <c r="H203" s="35" t="b">
        <v>0</v>
      </c>
      <c r="I203" s="35" t="b">
        <v>0</v>
      </c>
      <c r="J203" s="35" t="b">
        <v>0</v>
      </c>
      <c r="K203" s="35" t="b">
        <v>0</v>
      </c>
      <c r="L203" s="35" t="b">
        <v>0</v>
      </c>
      <c r="M203" s="35" t="b">
        <v>0</v>
      </c>
      <c r="N203" s="35" t="b">
        <v>0</v>
      </c>
      <c r="O203" s="35" t="b">
        <v>0</v>
      </c>
      <c r="P203" s="35" t="b">
        <v>0</v>
      </c>
      <c r="Q203" s="35" t="b">
        <v>0</v>
      </c>
      <c r="R203" s="14"/>
      <c r="S203" s="14"/>
      <c r="T203" s="14"/>
      <c r="U203" s="14"/>
      <c r="V203" s="14"/>
      <c r="W203" s="14"/>
    </row>
    <row r="204" ht="15.75" customHeight="1">
      <c r="A204" s="18" t="s">
        <v>2828</v>
      </c>
      <c r="B204" s="22" t="s">
        <v>2829</v>
      </c>
      <c r="C204" s="22" t="s">
        <v>2830</v>
      </c>
      <c r="D204" s="22" t="s">
        <v>2831</v>
      </c>
      <c r="E204" s="31" t="str">
        <f>IFERROR(__xludf.DUMMYFUNCTION("GOOGLETRANSLATE(D204,""zh-CN"",""vi"")"),"Tôi đánh răng hai lần một ngày.")</f>
        <v>Tôi đánh răng hai lần một ngày.</v>
      </c>
      <c r="F204" s="30" t="s">
        <v>2828</v>
      </c>
      <c r="G204" s="36" t="b">
        <f t="shared" si="1"/>
        <v>1</v>
      </c>
      <c r="H204" s="35" t="b">
        <v>0</v>
      </c>
      <c r="I204" s="35" t="b">
        <v>0</v>
      </c>
      <c r="J204" s="35" t="b">
        <v>0</v>
      </c>
      <c r="K204" s="35" t="b">
        <v>0</v>
      </c>
      <c r="L204" s="35" t="b">
        <v>0</v>
      </c>
      <c r="M204" s="35" t="b">
        <v>0</v>
      </c>
      <c r="N204" s="35" t="b">
        <v>0</v>
      </c>
      <c r="O204" s="35" t="b">
        <v>0</v>
      </c>
      <c r="P204" s="35" t="b">
        <v>0</v>
      </c>
      <c r="Q204" s="35" t="b">
        <v>0</v>
      </c>
      <c r="R204" s="14"/>
      <c r="S204" s="14"/>
      <c r="T204" s="14"/>
      <c r="U204" s="14"/>
      <c r="V204" s="14"/>
      <c r="W204" s="14"/>
    </row>
    <row r="205" ht="15.75" customHeight="1">
      <c r="A205" s="18" t="s">
        <v>2841</v>
      </c>
      <c r="B205" s="22" t="s">
        <v>2843</v>
      </c>
      <c r="C205" s="22" t="s">
        <v>2845</v>
      </c>
      <c r="D205" s="22" t="s">
        <v>2846</v>
      </c>
      <c r="E205" s="31" t="str">
        <f>IFERROR(__xludf.DUMMYFUNCTION("GOOGLETRANSLATE(D205,""zh-CN"",""vi"")"),"Tôi đã mua một đôi giày.")</f>
        <v>Tôi đã mua một đôi giày.</v>
      </c>
      <c r="F205" s="30" t="s">
        <v>2841</v>
      </c>
      <c r="G205" s="36" t="b">
        <f t="shared" si="1"/>
        <v>1</v>
      </c>
      <c r="H205" s="35" t="b">
        <v>0</v>
      </c>
      <c r="I205" s="35" t="b">
        <v>0</v>
      </c>
      <c r="J205" s="35" t="b">
        <v>0</v>
      </c>
      <c r="K205" s="35" t="b">
        <v>0</v>
      </c>
      <c r="L205" s="35" t="b">
        <v>0</v>
      </c>
      <c r="M205" s="35" t="b">
        <v>0</v>
      </c>
      <c r="N205" s="35" t="b">
        <v>0</v>
      </c>
      <c r="O205" s="35" t="b">
        <v>0</v>
      </c>
      <c r="P205" s="35" t="b">
        <v>0</v>
      </c>
      <c r="Q205" s="35" t="b">
        <v>0</v>
      </c>
      <c r="R205" s="14"/>
      <c r="S205" s="14"/>
      <c r="T205" s="14"/>
      <c r="U205" s="14"/>
      <c r="V205" s="14"/>
      <c r="W205" s="14"/>
    </row>
    <row r="206" ht="15.75" customHeight="1">
      <c r="A206" s="18" t="s">
        <v>2851</v>
      </c>
      <c r="B206" s="22" t="s">
        <v>2852</v>
      </c>
      <c r="C206" s="22" t="s">
        <v>2853</v>
      </c>
      <c r="D206" s="22" t="s">
        <v>2854</v>
      </c>
      <c r="E206" s="31" t="str">
        <f>IFERROR(__xludf.DUMMYFUNCTION("GOOGLETRANSLATE(D206,""zh-CN"",""vi"")"),"Anh ấy bơi rất giỏi.")</f>
        <v>Anh ấy bơi rất giỏi.</v>
      </c>
      <c r="F206" s="30" t="s">
        <v>2851</v>
      </c>
      <c r="G206" s="36" t="b">
        <f t="shared" si="1"/>
        <v>1</v>
      </c>
      <c r="H206" s="35" t="b">
        <v>0</v>
      </c>
      <c r="I206" s="35" t="b">
        <v>0</v>
      </c>
      <c r="J206" s="35" t="b">
        <v>0</v>
      </c>
      <c r="K206" s="35" t="b">
        <v>0</v>
      </c>
      <c r="L206" s="35" t="b">
        <v>0</v>
      </c>
      <c r="M206" s="35" t="b">
        <v>0</v>
      </c>
      <c r="N206" s="35" t="b">
        <v>0</v>
      </c>
      <c r="O206" s="35" t="b">
        <v>0</v>
      </c>
      <c r="P206" s="35" t="b">
        <v>0</v>
      </c>
      <c r="Q206" s="35" t="b">
        <v>0</v>
      </c>
      <c r="R206" s="14"/>
      <c r="S206" s="14"/>
      <c r="T206" s="14"/>
      <c r="U206" s="14"/>
      <c r="V206" s="14"/>
      <c r="W206" s="14"/>
    </row>
    <row r="207" ht="15.75" customHeight="1">
      <c r="A207" s="18" t="s">
        <v>2862</v>
      </c>
      <c r="B207" s="22" t="s">
        <v>2863</v>
      </c>
      <c r="C207" s="22" t="s">
        <v>2864</v>
      </c>
      <c r="D207" s="22" t="s">
        <v>2865</v>
      </c>
      <c r="E207" s="31" t="str">
        <f>IFERROR(__xludf.DUMMYFUNCTION("GOOGLETRANSLATE(D207,""zh-CN"",""vi"")"),"Anh ấy là tài xế của chúng tôi.")</f>
        <v>Anh ấy là tài xế của chúng tôi.</v>
      </c>
      <c r="F207" s="30" t="s">
        <v>2862</v>
      </c>
      <c r="G207" s="36" t="b">
        <f t="shared" si="1"/>
        <v>1</v>
      </c>
      <c r="H207" s="35" t="b">
        <v>0</v>
      </c>
      <c r="I207" s="35" t="b">
        <v>0</v>
      </c>
      <c r="J207" s="35" t="b">
        <v>0</v>
      </c>
      <c r="K207" s="35" t="b">
        <v>0</v>
      </c>
      <c r="L207" s="35" t="b">
        <v>0</v>
      </c>
      <c r="M207" s="35" t="b">
        <v>0</v>
      </c>
      <c r="N207" s="35" t="b">
        <v>0</v>
      </c>
      <c r="O207" s="35" t="b">
        <v>0</v>
      </c>
      <c r="P207" s="35" t="b">
        <v>0</v>
      </c>
      <c r="Q207" s="35" t="b">
        <v>0</v>
      </c>
      <c r="R207" s="14"/>
      <c r="S207" s="14"/>
      <c r="T207" s="14"/>
      <c r="U207" s="14"/>
      <c r="V207" s="14"/>
      <c r="W207" s="14"/>
    </row>
    <row r="208" ht="15.75" customHeight="1">
      <c r="A208" s="18" t="s">
        <v>2870</v>
      </c>
      <c r="B208" s="22" t="s">
        <v>2871</v>
      </c>
      <c r="C208" s="22" t="s">
        <v>2747</v>
      </c>
      <c r="D208" s="22" t="s">
        <v>2872</v>
      </c>
      <c r="E208" s="31" t="str">
        <f>IFERROR(__xludf.DUMMYFUNCTION("GOOGLETRANSLATE(D208,""zh-CN"",""vi"")"),"Mặc dù rất bận rộn, ông ấy vẫn đến.")</f>
        <v>Mặc dù rất bận rộn, ông ấy vẫn đến.</v>
      </c>
      <c r="F208" s="30" t="s">
        <v>2870</v>
      </c>
      <c r="G208" s="36" t="b">
        <f t="shared" si="1"/>
        <v>1</v>
      </c>
      <c r="H208" s="35" t="b">
        <v>0</v>
      </c>
      <c r="I208" s="35" t="b">
        <v>0</v>
      </c>
      <c r="J208" s="35" t="b">
        <v>0</v>
      </c>
      <c r="K208" s="35" t="b">
        <v>0</v>
      </c>
      <c r="L208" s="35" t="b">
        <v>0</v>
      </c>
      <c r="M208" s="35" t="b">
        <v>0</v>
      </c>
      <c r="N208" s="35" t="b">
        <v>0</v>
      </c>
      <c r="O208" s="35" t="b">
        <v>0</v>
      </c>
      <c r="P208" s="35" t="b">
        <v>0</v>
      </c>
      <c r="Q208" s="35" t="b">
        <v>0</v>
      </c>
      <c r="R208" s="14"/>
      <c r="S208" s="14"/>
      <c r="T208" s="14"/>
      <c r="U208" s="14"/>
      <c r="V208" s="14"/>
      <c r="W208" s="14"/>
    </row>
    <row r="209" ht="15.75" customHeight="1">
      <c r="A209" s="18" t="s">
        <v>2881</v>
      </c>
      <c r="B209" s="22" t="s">
        <v>2882</v>
      </c>
      <c r="C209" s="22" t="s">
        <v>2883</v>
      </c>
      <c r="D209" s="22" t="s">
        <v>2884</v>
      </c>
      <c r="E209" s="31" t="str">
        <f>IFERROR(__xludf.DUMMYFUNCTION("GOOGLETRANSLATE(D209,""zh-CN"",""vi"")"),"Mặt trời đang ló dạng.")</f>
        <v>Mặt trời đang ló dạng.</v>
      </c>
      <c r="F209" s="30" t="s">
        <v>2881</v>
      </c>
      <c r="G209" s="36" t="b">
        <f t="shared" si="1"/>
        <v>1</v>
      </c>
      <c r="H209" s="35" t="b">
        <v>0</v>
      </c>
      <c r="I209" s="35" t="b">
        <v>0</v>
      </c>
      <c r="J209" s="35" t="b">
        <v>0</v>
      </c>
      <c r="K209" s="35" t="b">
        <v>0</v>
      </c>
      <c r="L209" s="35" t="b">
        <v>0</v>
      </c>
      <c r="M209" s="35" t="b">
        <v>0</v>
      </c>
      <c r="N209" s="35" t="b">
        <v>0</v>
      </c>
      <c r="O209" s="35" t="b">
        <v>0</v>
      </c>
      <c r="P209" s="35" t="b">
        <v>0</v>
      </c>
      <c r="Q209" s="35" t="b">
        <v>0</v>
      </c>
      <c r="R209" s="14"/>
      <c r="S209" s="14"/>
      <c r="T209" s="14"/>
      <c r="U209" s="14"/>
      <c r="V209" s="14"/>
      <c r="W209" s="14"/>
    </row>
    <row r="210" ht="15.75" customHeight="1">
      <c r="A210" s="18" t="s">
        <v>2889</v>
      </c>
      <c r="B210" s="22" t="s">
        <v>2890</v>
      </c>
      <c r="C210" s="22" t="s">
        <v>2891</v>
      </c>
      <c r="D210" s="22" t="s">
        <v>2892</v>
      </c>
      <c r="E210" s="31" t="str">
        <f>IFERROR(__xludf.DUMMYFUNCTION("GOOGLETRANSLATE(D210,""zh-CN"",""vi"")"),"Tôi không thích ăn đồ ngọt.")</f>
        <v>Tôi không thích ăn đồ ngọt.</v>
      </c>
      <c r="F210" s="30" t="s">
        <v>2889</v>
      </c>
      <c r="G210" s="36" t="b">
        <f t="shared" si="1"/>
        <v>1</v>
      </c>
      <c r="H210" s="35" t="b">
        <v>0</v>
      </c>
      <c r="I210" s="35" t="b">
        <v>0</v>
      </c>
      <c r="J210" s="35" t="b">
        <v>0</v>
      </c>
      <c r="K210" s="35" t="b">
        <v>0</v>
      </c>
      <c r="L210" s="35" t="b">
        <v>0</v>
      </c>
      <c r="M210" s="35" t="b">
        <v>0</v>
      </c>
      <c r="N210" s="35" t="b">
        <v>0</v>
      </c>
      <c r="O210" s="35" t="b">
        <v>0</v>
      </c>
      <c r="P210" s="35" t="b">
        <v>0</v>
      </c>
      <c r="Q210" s="35" t="b">
        <v>0</v>
      </c>
      <c r="R210" s="14"/>
      <c r="S210" s="14"/>
      <c r="T210" s="14"/>
      <c r="U210" s="14"/>
      <c r="V210" s="14"/>
      <c r="W210" s="14"/>
    </row>
    <row r="211" ht="15.75" customHeight="1">
      <c r="A211" s="18" t="s">
        <v>2897</v>
      </c>
      <c r="B211" s="22" t="s">
        <v>2899</v>
      </c>
      <c r="C211" s="22" t="s">
        <v>2901</v>
      </c>
      <c r="D211" s="22" t="s">
        <v>2903</v>
      </c>
      <c r="E211" s="31" t="str">
        <f>IFERROR(__xludf.DUMMYFUNCTION("GOOGLETRANSLATE(D211,""zh-CN"",""vi"")"),"Anh ấy đặc biệt thích chạy bộ.")</f>
        <v>Anh ấy đặc biệt thích chạy bộ.</v>
      </c>
      <c r="F211" s="30" t="s">
        <v>2897</v>
      </c>
      <c r="G211" s="36" t="b">
        <f t="shared" si="1"/>
        <v>1</v>
      </c>
      <c r="H211" s="35" t="b">
        <v>0</v>
      </c>
      <c r="I211" s="35" t="b">
        <v>0</v>
      </c>
      <c r="J211" s="35" t="b">
        <v>0</v>
      </c>
      <c r="K211" s="35" t="b">
        <v>0</v>
      </c>
      <c r="L211" s="35" t="b">
        <v>0</v>
      </c>
      <c r="M211" s="35" t="b">
        <v>0</v>
      </c>
      <c r="N211" s="35" t="b">
        <v>0</v>
      </c>
      <c r="O211" s="35" t="b">
        <v>0</v>
      </c>
      <c r="P211" s="35" t="b">
        <v>0</v>
      </c>
      <c r="Q211" s="35" t="b">
        <v>0</v>
      </c>
      <c r="R211" s="14"/>
      <c r="S211" s="14"/>
      <c r="T211" s="14"/>
      <c r="U211" s="14"/>
      <c r="V211" s="14"/>
      <c r="W211" s="14"/>
    </row>
    <row r="212" ht="15.75" customHeight="1">
      <c r="A212" s="18" t="s">
        <v>2908</v>
      </c>
      <c r="B212" s="22" t="s">
        <v>2909</v>
      </c>
      <c r="C212" s="22" t="s">
        <v>2910</v>
      </c>
      <c r="D212" s="22" t="s">
        <v>2911</v>
      </c>
      <c r="E212" s="31" t="str">
        <f>IFERROR(__xludf.DUMMYFUNCTION("GOOGLETRANSLATE(D212,""zh-CN"",""vi"")"),"Tôi đau đầu lắm.")</f>
        <v>Tôi đau đầu lắm.</v>
      </c>
      <c r="F212" s="30" t="s">
        <v>2908</v>
      </c>
      <c r="G212" s="36" t="b">
        <f t="shared" si="1"/>
        <v>1</v>
      </c>
      <c r="H212" s="35" t="b">
        <v>0</v>
      </c>
      <c r="I212" s="35" t="b">
        <v>0</v>
      </c>
      <c r="J212" s="35" t="b">
        <v>0</v>
      </c>
      <c r="K212" s="35" t="b">
        <v>0</v>
      </c>
      <c r="L212" s="35" t="b">
        <v>0</v>
      </c>
      <c r="M212" s="35" t="b">
        <v>0</v>
      </c>
      <c r="N212" s="35" t="b">
        <v>0</v>
      </c>
      <c r="O212" s="35" t="b">
        <v>0</v>
      </c>
      <c r="P212" s="35" t="b">
        <v>0</v>
      </c>
      <c r="Q212" s="35" t="b">
        <v>0</v>
      </c>
      <c r="R212" s="14"/>
      <c r="S212" s="14"/>
      <c r="T212" s="14"/>
      <c r="U212" s="14"/>
      <c r="V212" s="14"/>
      <c r="W212" s="14"/>
    </row>
    <row r="213" ht="15.75" customHeight="1">
      <c r="A213" s="18" t="s">
        <v>2918</v>
      </c>
      <c r="B213" s="22" t="s">
        <v>2919</v>
      </c>
      <c r="C213" s="22" t="s">
        <v>2920</v>
      </c>
      <c r="D213" s="22" t="s">
        <v>2921</v>
      </c>
      <c r="E213" s="31" t="str">
        <f>IFERROR(__xludf.DUMMYFUNCTION("GOOGLETRANSLATE(D213,""zh-CN"",""vi"")"),"Chúng ta cần nâng cao kỹ năng tiếng Trung của mình.")</f>
        <v>Chúng ta cần nâng cao kỹ năng tiếng Trung của mình.</v>
      </c>
      <c r="F213" s="30" t="s">
        <v>2918</v>
      </c>
      <c r="G213" s="36" t="b">
        <f t="shared" si="1"/>
        <v>1</v>
      </c>
      <c r="H213" s="35" t="b">
        <v>0</v>
      </c>
      <c r="I213" s="35" t="b">
        <v>0</v>
      </c>
      <c r="J213" s="35" t="b">
        <v>0</v>
      </c>
      <c r="K213" s="35" t="b">
        <v>0</v>
      </c>
      <c r="L213" s="35" t="b">
        <v>0</v>
      </c>
      <c r="M213" s="35" t="b">
        <v>0</v>
      </c>
      <c r="N213" s="35" t="b">
        <v>0</v>
      </c>
      <c r="O213" s="35" t="b">
        <v>0</v>
      </c>
      <c r="P213" s="35" t="b">
        <v>0</v>
      </c>
      <c r="Q213" s="35" t="b">
        <v>0</v>
      </c>
      <c r="R213" s="14"/>
      <c r="S213" s="14"/>
      <c r="T213" s="14"/>
      <c r="U213" s="14"/>
      <c r="V213" s="14"/>
      <c r="W213" s="14"/>
    </row>
    <row r="214" ht="15.75" customHeight="1">
      <c r="A214" s="18" t="s">
        <v>2926</v>
      </c>
      <c r="B214" s="22" t="s">
        <v>2927</v>
      </c>
      <c r="C214" s="22" t="s">
        <v>2928</v>
      </c>
      <c r="D214" s="22" t="s">
        <v>2929</v>
      </c>
      <c r="E214" s="31" t="str">
        <f>IFERROR(__xludf.DUMMYFUNCTION("GOOGLETRANSLATE(D214,""zh-CN"",""vi"")"),"Tôi thích thể thao.")</f>
        <v>Tôi thích thể thao.</v>
      </c>
      <c r="F214" s="30" t="s">
        <v>2926</v>
      </c>
      <c r="G214" s="36" t="b">
        <f t="shared" si="1"/>
        <v>1</v>
      </c>
      <c r="H214" s="35" t="b">
        <v>0</v>
      </c>
      <c r="I214" s="35" t="b">
        <v>0</v>
      </c>
      <c r="J214" s="35" t="b">
        <v>0</v>
      </c>
      <c r="K214" s="35" t="b">
        <v>0</v>
      </c>
      <c r="L214" s="35" t="b">
        <v>0</v>
      </c>
      <c r="M214" s="35" t="b">
        <v>0</v>
      </c>
      <c r="N214" s="35" t="b">
        <v>0</v>
      </c>
      <c r="O214" s="35" t="b">
        <v>0</v>
      </c>
      <c r="P214" s="35" t="b">
        <v>0</v>
      </c>
      <c r="Q214" s="35" t="b">
        <v>0</v>
      </c>
      <c r="R214" s="14"/>
      <c r="S214" s="14"/>
      <c r="T214" s="14"/>
      <c r="U214" s="14"/>
      <c r="V214" s="14"/>
      <c r="W214" s="14"/>
    </row>
    <row r="215" ht="15.75" customHeight="1">
      <c r="A215" s="18" t="s">
        <v>2934</v>
      </c>
      <c r="B215" s="22" t="s">
        <v>2936</v>
      </c>
      <c r="C215" s="22" t="s">
        <v>2939</v>
      </c>
      <c r="D215" s="22" t="s">
        <v>2942</v>
      </c>
      <c r="E215" s="31" t="str">
        <f>IFERROR(__xludf.DUMMYFUNCTION("GOOGLETRANSLATE(D215,""zh-CN"",""vi"")"),"Chiếc bánh này rất ngọt.")</f>
        <v>Chiếc bánh này rất ngọt.</v>
      </c>
      <c r="F215" s="30" t="s">
        <v>2934</v>
      </c>
      <c r="G215" s="36" t="b">
        <f t="shared" si="1"/>
        <v>1</v>
      </c>
      <c r="H215" s="35" t="b">
        <v>0</v>
      </c>
      <c r="I215" s="35" t="b">
        <v>0</v>
      </c>
      <c r="J215" s="35" t="b">
        <v>0</v>
      </c>
      <c r="K215" s="35" t="b">
        <v>0</v>
      </c>
      <c r="L215" s="35" t="b">
        <v>0</v>
      </c>
      <c r="M215" s="35" t="b">
        <v>0</v>
      </c>
      <c r="N215" s="35" t="b">
        <v>0</v>
      </c>
      <c r="O215" s="35" t="b">
        <v>0</v>
      </c>
      <c r="P215" s="35" t="b">
        <v>0</v>
      </c>
      <c r="Q215" s="35" t="b">
        <v>0</v>
      </c>
      <c r="R215" s="14"/>
      <c r="S215" s="14"/>
      <c r="T215" s="14"/>
      <c r="U215" s="14"/>
      <c r="V215" s="14"/>
      <c r="W215" s="14"/>
    </row>
    <row r="216" ht="15.75" customHeight="1">
      <c r="A216" s="18" t="s">
        <v>2946</v>
      </c>
      <c r="B216" s="22" t="s">
        <v>2947</v>
      </c>
      <c r="C216" s="22" t="s">
        <v>2949</v>
      </c>
      <c r="D216" s="22" t="s">
        <v>2951</v>
      </c>
      <c r="E216" s="31" t="str">
        <f>IFERROR(__xludf.DUMMYFUNCTION("GOOGLETRANSLATE(D216,""zh-CN"",""vi"")"),"Anh ấy đã mua một chiếc quần.")</f>
        <v>Anh ấy đã mua một chiếc quần.</v>
      </c>
      <c r="F216" s="30" t="s">
        <v>2946</v>
      </c>
      <c r="G216" s="36" t="b">
        <f t="shared" si="1"/>
        <v>1</v>
      </c>
      <c r="H216" s="35" t="b">
        <v>0</v>
      </c>
      <c r="I216" s="35" t="b">
        <v>0</v>
      </c>
      <c r="J216" s="35" t="b">
        <v>0</v>
      </c>
      <c r="K216" s="35" t="b">
        <v>0</v>
      </c>
      <c r="L216" s="35" t="b">
        <v>0</v>
      </c>
      <c r="M216" s="35" t="b">
        <v>0</v>
      </c>
      <c r="N216" s="35" t="b">
        <v>0</v>
      </c>
      <c r="O216" s="35" t="b">
        <v>0</v>
      </c>
      <c r="P216" s="35" t="b">
        <v>0</v>
      </c>
      <c r="Q216" s="35" t="b">
        <v>0</v>
      </c>
      <c r="R216" s="14"/>
      <c r="S216" s="14"/>
      <c r="T216" s="14"/>
      <c r="U216" s="14"/>
      <c r="V216" s="14"/>
      <c r="W216" s="14"/>
    </row>
    <row r="217" ht="15.75" customHeight="1">
      <c r="A217" s="18" t="s">
        <v>2960</v>
      </c>
      <c r="B217" s="22" t="s">
        <v>2962</v>
      </c>
      <c r="C217" s="22" t="s">
        <v>2963</v>
      </c>
      <c r="D217" s="22" t="s">
        <v>2964</v>
      </c>
      <c r="E217" s="31" t="str">
        <f>IFERROR(__xludf.DUMMYFUNCTION("GOOGLETRANSLATE(D217,""zh-CN"",""vi"")"),"Anh ấy là đồng nghiệp của tôi.")</f>
        <v>Anh ấy là đồng nghiệp của tôi.</v>
      </c>
      <c r="F217" s="30" t="s">
        <v>2960</v>
      </c>
      <c r="G217" s="36" t="b">
        <f t="shared" si="1"/>
        <v>1</v>
      </c>
      <c r="H217" s="35" t="b">
        <v>0</v>
      </c>
      <c r="I217" s="35" t="b">
        <v>0</v>
      </c>
      <c r="J217" s="35" t="b">
        <v>0</v>
      </c>
      <c r="K217" s="35" t="b">
        <v>0</v>
      </c>
      <c r="L217" s="35" t="b">
        <v>0</v>
      </c>
      <c r="M217" s="35" t="b">
        <v>0</v>
      </c>
      <c r="N217" s="35" t="b">
        <v>0</v>
      </c>
      <c r="O217" s="35" t="b">
        <v>0</v>
      </c>
      <c r="P217" s="35" t="b">
        <v>0</v>
      </c>
      <c r="Q217" s="35" t="b">
        <v>0</v>
      </c>
      <c r="R217" s="14"/>
      <c r="S217" s="14"/>
      <c r="T217" s="14"/>
      <c r="U217" s="14"/>
      <c r="V217" s="14"/>
      <c r="W217" s="14"/>
    </row>
    <row r="218" ht="15.75" customHeight="1">
      <c r="A218" s="18" t="s">
        <v>2973</v>
      </c>
      <c r="B218" s="22" t="s">
        <v>2974</v>
      </c>
      <c r="C218" s="22" t="s">
        <v>2975</v>
      </c>
      <c r="D218" s="22" t="s">
        <v>2976</v>
      </c>
      <c r="E218" s="31" t="str">
        <f>IFERROR(__xludf.DUMMYFUNCTION("GOOGLETRANSLATE(D218,""zh-CN"",""vi"")"),"Tôi đồng ý với bạn.")</f>
        <v>Tôi đồng ý với bạn.</v>
      </c>
      <c r="F218" s="30" t="s">
        <v>2973</v>
      </c>
      <c r="G218" s="36" t="b">
        <f t="shared" si="1"/>
        <v>1</v>
      </c>
      <c r="H218" s="35" t="b">
        <v>0</v>
      </c>
      <c r="I218" s="35" t="b">
        <v>0</v>
      </c>
      <c r="J218" s="35" t="b">
        <v>0</v>
      </c>
      <c r="K218" s="35" t="b">
        <v>0</v>
      </c>
      <c r="L218" s="35" t="b">
        <v>0</v>
      </c>
      <c r="M218" s="35" t="b">
        <v>0</v>
      </c>
      <c r="N218" s="35" t="b">
        <v>0</v>
      </c>
      <c r="O218" s="35" t="b">
        <v>0</v>
      </c>
      <c r="P218" s="35" t="b">
        <v>0</v>
      </c>
      <c r="Q218" s="35" t="b">
        <v>0</v>
      </c>
      <c r="R218" s="14"/>
      <c r="S218" s="14"/>
      <c r="T218" s="14"/>
      <c r="U218" s="14"/>
      <c r="V218" s="14"/>
      <c r="W218" s="14"/>
    </row>
    <row r="219" ht="15.75" customHeight="1">
      <c r="A219" s="18" t="s">
        <v>2981</v>
      </c>
      <c r="B219" s="22" t="s">
        <v>2983</v>
      </c>
      <c r="C219" s="22" t="s">
        <v>2985</v>
      </c>
      <c r="D219" s="22" t="s">
        <v>124</v>
      </c>
      <c r="E219" s="31" t="str">
        <f>IFERROR(__xludf.DUMMYFUNCTION("GOOGLETRANSLATE(D219,""zh-CN"",""vi"")"),"Tóc cô ấy rất dài.")</f>
        <v>Tóc cô ấy rất dài.</v>
      </c>
      <c r="F219" s="30" t="s">
        <v>2981</v>
      </c>
      <c r="G219" s="36" t="b">
        <f t="shared" si="1"/>
        <v>1</v>
      </c>
      <c r="H219" s="35" t="b">
        <v>0</v>
      </c>
      <c r="I219" s="35" t="b">
        <v>0</v>
      </c>
      <c r="J219" s="35" t="b">
        <v>0</v>
      </c>
      <c r="K219" s="35" t="b">
        <v>0</v>
      </c>
      <c r="L219" s="35" t="b">
        <v>0</v>
      </c>
      <c r="M219" s="35" t="b">
        <v>0</v>
      </c>
      <c r="N219" s="35" t="b">
        <v>0</v>
      </c>
      <c r="O219" s="35" t="b">
        <v>0</v>
      </c>
      <c r="P219" s="35" t="b">
        <v>0</v>
      </c>
      <c r="Q219" s="35" t="b">
        <v>0</v>
      </c>
      <c r="R219" s="14"/>
      <c r="S219" s="14"/>
      <c r="T219" s="14"/>
      <c r="U219" s="14"/>
      <c r="V219" s="14"/>
      <c r="W219" s="14"/>
    </row>
    <row r="220" ht="15.75" customHeight="1">
      <c r="A220" s="18" t="s">
        <v>2992</v>
      </c>
      <c r="B220" s="22" t="s">
        <v>2993</v>
      </c>
      <c r="C220" s="22" t="s">
        <v>2995</v>
      </c>
      <c r="D220" s="22" t="s">
        <v>2997</v>
      </c>
      <c r="E220" s="31" t="str">
        <f>IFERROR(__xludf.DUMMYFUNCTION("GOOGLETRANSLATE(D220,""zh-CN"",""vi"")"),"Anh ta đột ngột bỏ đi.")</f>
        <v>Anh ta đột ngột bỏ đi.</v>
      </c>
      <c r="F220" s="30" t="s">
        <v>2992</v>
      </c>
      <c r="G220" s="36" t="b">
        <f t="shared" si="1"/>
        <v>1</v>
      </c>
      <c r="H220" s="35" t="b">
        <v>0</v>
      </c>
      <c r="I220" s="35" t="b">
        <v>0</v>
      </c>
      <c r="J220" s="35" t="b">
        <v>0</v>
      </c>
      <c r="K220" s="35" t="b">
        <v>0</v>
      </c>
      <c r="L220" s="35" t="b">
        <v>0</v>
      </c>
      <c r="M220" s="35" t="b">
        <v>0</v>
      </c>
      <c r="N220" s="35" t="b">
        <v>0</v>
      </c>
      <c r="O220" s="35" t="b">
        <v>0</v>
      </c>
      <c r="P220" s="35" t="b">
        <v>0</v>
      </c>
      <c r="Q220" s="35" t="b">
        <v>0</v>
      </c>
      <c r="R220" s="14"/>
      <c r="S220" s="14"/>
      <c r="T220" s="14"/>
      <c r="U220" s="14"/>
      <c r="V220" s="14"/>
      <c r="W220" s="14"/>
    </row>
    <row r="221" ht="15.75" customHeight="1">
      <c r="A221" s="18" t="s">
        <v>3004</v>
      </c>
      <c r="B221" s="22" t="s">
        <v>3005</v>
      </c>
      <c r="C221" s="22" t="s">
        <v>3006</v>
      </c>
      <c r="D221" s="22" t="s">
        <v>3008</v>
      </c>
      <c r="E221" s="31" t="str">
        <f>IFERROR(__xludf.DUMMYFUNCTION("GOOGLETRANSLATE(D221,""zh-CN"",""vi"")"),"Chúng ta cùng đến thư viện đọc sách nhé.")</f>
        <v>Chúng ta cùng đến thư viện đọc sách nhé.</v>
      </c>
      <c r="F221" s="30" t="s">
        <v>3004</v>
      </c>
      <c r="G221" s="36" t="b">
        <f t="shared" si="1"/>
        <v>1</v>
      </c>
      <c r="H221" s="35" t="b">
        <v>0</v>
      </c>
      <c r="I221" s="35" t="b">
        <v>0</v>
      </c>
      <c r="J221" s="35" t="b">
        <v>0</v>
      </c>
      <c r="K221" s="35" t="b">
        <v>0</v>
      </c>
      <c r="L221" s="35" t="b">
        <v>0</v>
      </c>
      <c r="M221" s="35" t="b">
        <v>0</v>
      </c>
      <c r="N221" s="35" t="b">
        <v>0</v>
      </c>
      <c r="O221" s="35" t="b">
        <v>0</v>
      </c>
      <c r="P221" s="35" t="b">
        <v>0</v>
      </c>
      <c r="Q221" s="35" t="b">
        <v>0</v>
      </c>
      <c r="R221" s="14"/>
      <c r="S221" s="14"/>
      <c r="T221" s="14"/>
      <c r="U221" s="14"/>
      <c r="V221" s="14"/>
      <c r="W221" s="14"/>
    </row>
    <row r="222" ht="15.75" customHeight="1">
      <c r="A222" s="18" t="s">
        <v>3019</v>
      </c>
      <c r="B222" s="22" t="s">
        <v>3020</v>
      </c>
      <c r="C222" s="22" t="s">
        <v>1895</v>
      </c>
      <c r="D222" s="22" t="s">
        <v>3021</v>
      </c>
      <c r="E222" s="31" t="str">
        <f>IFERROR(__xludf.DUMMYFUNCTION("GOOGLETRANSLATE(D222,""zh-CN"",""vi"")"),"Chân anh ấy rất dài.")</f>
        <v>Chân anh ấy rất dài.</v>
      </c>
      <c r="F222" s="30" t="s">
        <v>3019</v>
      </c>
      <c r="G222" s="36" t="b">
        <f t="shared" si="1"/>
        <v>1</v>
      </c>
      <c r="H222" s="35" t="b">
        <v>0</v>
      </c>
      <c r="I222" s="35" t="b">
        <v>0</v>
      </c>
      <c r="J222" s="35" t="b">
        <v>0</v>
      </c>
      <c r="K222" s="35" t="b">
        <v>0</v>
      </c>
      <c r="L222" s="35" t="b">
        <v>0</v>
      </c>
      <c r="M222" s="35" t="b">
        <v>0</v>
      </c>
      <c r="N222" s="35" t="b">
        <v>0</v>
      </c>
      <c r="O222" s="35" t="b">
        <v>0</v>
      </c>
      <c r="P222" s="35" t="b">
        <v>0</v>
      </c>
      <c r="Q222" s="35" t="b">
        <v>0</v>
      </c>
      <c r="R222" s="14"/>
      <c r="S222" s="14"/>
      <c r="T222" s="14"/>
      <c r="U222" s="14"/>
      <c r="V222" s="14"/>
      <c r="W222" s="14"/>
    </row>
    <row r="223" ht="15.75" customHeight="1">
      <c r="A223" s="18" t="s">
        <v>3029</v>
      </c>
      <c r="B223" s="22" t="s">
        <v>3030</v>
      </c>
      <c r="C223" s="22" t="s">
        <v>3031</v>
      </c>
      <c r="D223" s="22" t="s">
        <v>3032</v>
      </c>
      <c r="E223" s="31" t="str">
        <f>IFERROR(__xludf.DUMMYFUNCTION("GOOGLETRANSLATE(D223,""zh-CN"",""vi"")"),"Tôi đã làm xong bài tập về nhà.")</f>
        <v>Tôi đã làm xong bài tập về nhà.</v>
      </c>
      <c r="F223" s="30" t="s">
        <v>3029</v>
      </c>
      <c r="G223" s="36" t="b">
        <f t="shared" si="1"/>
        <v>1</v>
      </c>
      <c r="H223" s="35" t="b">
        <v>0</v>
      </c>
      <c r="I223" s="35" t="b">
        <v>0</v>
      </c>
      <c r="J223" s="35" t="b">
        <v>0</v>
      </c>
      <c r="K223" s="35" t="b">
        <v>0</v>
      </c>
      <c r="L223" s="35" t="b">
        <v>0</v>
      </c>
      <c r="M223" s="35" t="b">
        <v>0</v>
      </c>
      <c r="N223" s="35" t="b">
        <v>0</v>
      </c>
      <c r="O223" s="35" t="b">
        <v>0</v>
      </c>
      <c r="P223" s="35" t="b">
        <v>0</v>
      </c>
      <c r="Q223" s="35" t="b">
        <v>0</v>
      </c>
      <c r="R223" s="14"/>
      <c r="S223" s="14"/>
      <c r="T223" s="14"/>
      <c r="U223" s="14"/>
      <c r="V223" s="14"/>
      <c r="W223" s="14"/>
    </row>
    <row r="224" ht="15.75" customHeight="1">
      <c r="A224" s="18" t="s">
        <v>3037</v>
      </c>
      <c r="B224" s="22" t="s">
        <v>3038</v>
      </c>
      <c r="C224" s="22" t="s">
        <v>3039</v>
      </c>
      <c r="D224" s="22" t="s">
        <v>3040</v>
      </c>
      <c r="E224" s="31" t="str">
        <f>IFERROR(__xludf.DUMMYFUNCTION("GOOGLETRANSLATE(D224,""zh-CN"",""vi"")"),"Anh ấy đã ăn ba bát cơm.")</f>
        <v>Anh ấy đã ăn ba bát cơm.</v>
      </c>
      <c r="F224" s="30" t="s">
        <v>3037</v>
      </c>
      <c r="G224" s="36" t="b">
        <f t="shared" si="1"/>
        <v>1</v>
      </c>
      <c r="H224" s="35" t="b">
        <v>0</v>
      </c>
      <c r="I224" s="35" t="b">
        <v>0</v>
      </c>
      <c r="J224" s="35" t="b">
        <v>0</v>
      </c>
      <c r="K224" s="35" t="b">
        <v>0</v>
      </c>
      <c r="L224" s="35" t="b">
        <v>0</v>
      </c>
      <c r="M224" s="35" t="b">
        <v>0</v>
      </c>
      <c r="N224" s="35" t="b">
        <v>0</v>
      </c>
      <c r="O224" s="35" t="b">
        <v>0</v>
      </c>
      <c r="P224" s="35" t="b">
        <v>0</v>
      </c>
      <c r="Q224" s="35" t="b">
        <v>0</v>
      </c>
      <c r="R224" s="14"/>
      <c r="S224" s="14"/>
      <c r="T224" s="14"/>
      <c r="U224" s="14"/>
      <c r="V224" s="14"/>
      <c r="W224" s="14"/>
    </row>
    <row r="225" ht="15.75" customHeight="1">
      <c r="A225" s="18" t="s">
        <v>3052</v>
      </c>
      <c r="B225" s="22" t="s">
        <v>3054</v>
      </c>
      <c r="C225" s="22" t="s">
        <v>3055</v>
      </c>
      <c r="D225" s="22" t="s">
        <v>3056</v>
      </c>
      <c r="E225" s="31" t="str">
        <f>IFERROR(__xludf.DUMMYFUNCTION("GOOGLETRANSLATE(D225,""zh-CN"",""vi"")"),"Mười nghìn người đã tham gia cuộc thi.")</f>
        <v>Mười nghìn người đã tham gia cuộc thi.</v>
      </c>
      <c r="F225" s="30" t="s">
        <v>3052</v>
      </c>
      <c r="G225" s="36" t="b">
        <f t="shared" si="1"/>
        <v>1</v>
      </c>
      <c r="H225" s="35" t="b">
        <v>0</v>
      </c>
      <c r="I225" s="35" t="b">
        <v>0</v>
      </c>
      <c r="J225" s="35" t="b">
        <v>0</v>
      </c>
      <c r="K225" s="35" t="b">
        <v>0</v>
      </c>
      <c r="L225" s="35" t="b">
        <v>0</v>
      </c>
      <c r="M225" s="35" t="b">
        <v>0</v>
      </c>
      <c r="N225" s="35" t="b">
        <v>0</v>
      </c>
      <c r="O225" s="35" t="b">
        <v>0</v>
      </c>
      <c r="P225" s="35" t="b">
        <v>0</v>
      </c>
      <c r="Q225" s="35" t="b">
        <v>0</v>
      </c>
      <c r="R225" s="14"/>
      <c r="S225" s="14"/>
      <c r="T225" s="14"/>
      <c r="U225" s="14"/>
      <c r="V225" s="14"/>
      <c r="W225" s="14"/>
    </row>
    <row r="226" ht="15.75" customHeight="1">
      <c r="A226" s="18" t="s">
        <v>3061</v>
      </c>
      <c r="B226" s="22" t="s">
        <v>3062</v>
      </c>
      <c r="C226" s="22" t="s">
        <v>3063</v>
      </c>
      <c r="D226" s="22" t="s">
        <v>3064</v>
      </c>
      <c r="E226" s="31" t="str">
        <f>IFERROR(__xludf.DUMMYFUNCTION("GOOGLETRANSLATE(D226,""zh-CN"",""vi"")"),"Đừng quên mang theo sách của bạn nhé.")</f>
        <v>Đừng quên mang theo sách của bạn nhé.</v>
      </c>
      <c r="F226" s="30" t="s">
        <v>3061</v>
      </c>
      <c r="G226" s="36" t="b">
        <f t="shared" si="1"/>
        <v>1</v>
      </c>
      <c r="H226" s="35" t="b">
        <v>0</v>
      </c>
      <c r="I226" s="35" t="b">
        <v>0</v>
      </c>
      <c r="J226" s="35" t="b">
        <v>0</v>
      </c>
      <c r="K226" s="35" t="b">
        <v>0</v>
      </c>
      <c r="L226" s="35" t="b">
        <v>0</v>
      </c>
      <c r="M226" s="35" t="b">
        <v>0</v>
      </c>
      <c r="N226" s="35" t="b">
        <v>0</v>
      </c>
      <c r="O226" s="35" t="b">
        <v>0</v>
      </c>
      <c r="P226" s="35" t="b">
        <v>0</v>
      </c>
      <c r="Q226" s="35" t="b">
        <v>0</v>
      </c>
      <c r="R226" s="14"/>
      <c r="S226" s="14"/>
      <c r="T226" s="14"/>
      <c r="U226" s="14"/>
      <c r="V226" s="14"/>
      <c r="W226" s="14"/>
    </row>
    <row r="227" ht="15.75" customHeight="1">
      <c r="A227" s="18" t="s">
        <v>3069</v>
      </c>
      <c r="B227" s="22" t="s">
        <v>1680</v>
      </c>
      <c r="C227" s="22" t="s">
        <v>3072</v>
      </c>
      <c r="D227" s="22" t="s">
        <v>3073</v>
      </c>
      <c r="E227" s="31" t="str">
        <f>IFERROR(__xludf.DUMMYFUNCTION("GOOGLETRANSLATE(D227,""zh-CN"",""vi"")"),"Mời quý ông ngồi cạnh người đàn ông này.")</f>
        <v>Mời quý ông ngồi cạnh người đàn ông này.</v>
      </c>
      <c r="F227" s="30" t="s">
        <v>3069</v>
      </c>
      <c r="G227" s="36" t="b">
        <f t="shared" si="1"/>
        <v>1</v>
      </c>
      <c r="H227" s="35" t="b">
        <v>0</v>
      </c>
      <c r="I227" s="35" t="b">
        <v>0</v>
      </c>
      <c r="J227" s="35" t="b">
        <v>0</v>
      </c>
      <c r="K227" s="35" t="b">
        <v>0</v>
      </c>
      <c r="L227" s="35" t="b">
        <v>0</v>
      </c>
      <c r="M227" s="35" t="b">
        <v>0</v>
      </c>
      <c r="N227" s="35" t="b">
        <v>0</v>
      </c>
      <c r="O227" s="35" t="b">
        <v>0</v>
      </c>
      <c r="P227" s="35" t="b">
        <v>0</v>
      </c>
      <c r="Q227" s="35" t="b">
        <v>0</v>
      </c>
      <c r="R227" s="14"/>
      <c r="S227" s="14"/>
      <c r="T227" s="14"/>
      <c r="U227" s="14"/>
      <c r="V227" s="14"/>
      <c r="W227" s="14"/>
    </row>
    <row r="228" ht="15.75" customHeight="1">
      <c r="A228" s="18" t="s">
        <v>3074</v>
      </c>
      <c r="B228" s="22" t="s">
        <v>1680</v>
      </c>
      <c r="C228" s="22" t="s">
        <v>2697</v>
      </c>
      <c r="D228" s="22" t="s">
        <v>3075</v>
      </c>
      <c r="E228" s="31" t="str">
        <f>IFERROR(__xludf.DUMMYFUNCTION("GOOGLETRANSLATE(D228,""zh-CN"",""vi"")"),"Tôi tự hào về bạn.")</f>
        <v>Tôi tự hào về bạn.</v>
      </c>
      <c r="F228" s="30" t="s">
        <v>3074</v>
      </c>
      <c r="G228" s="36" t="b">
        <f t="shared" si="1"/>
        <v>1</v>
      </c>
      <c r="H228" s="35" t="b">
        <v>0</v>
      </c>
      <c r="I228" s="35" t="b">
        <v>0</v>
      </c>
      <c r="J228" s="35" t="b">
        <v>0</v>
      </c>
      <c r="K228" s="35" t="b">
        <v>0</v>
      </c>
      <c r="L228" s="35" t="b">
        <v>0</v>
      </c>
      <c r="M228" s="35" t="b">
        <v>0</v>
      </c>
      <c r="N228" s="35" t="b">
        <v>0</v>
      </c>
      <c r="O228" s="35" t="b">
        <v>0</v>
      </c>
      <c r="P228" s="35" t="b">
        <v>0</v>
      </c>
      <c r="Q228" s="35" t="b">
        <v>0</v>
      </c>
      <c r="R228" s="14"/>
      <c r="S228" s="14"/>
      <c r="T228" s="14"/>
      <c r="U228" s="14"/>
      <c r="V228" s="14"/>
      <c r="W228" s="14"/>
    </row>
    <row r="229" ht="15.75" customHeight="1">
      <c r="A229" s="18" t="s">
        <v>3077</v>
      </c>
      <c r="B229" s="22" t="s">
        <v>3078</v>
      </c>
      <c r="C229" s="22" t="s">
        <v>3079</v>
      </c>
      <c r="D229" s="22" t="s">
        <v>3080</v>
      </c>
      <c r="E229" s="31" t="str">
        <f>IFERROR(__xludf.DUMMYFUNCTION("GOOGLETRANSLATE(D229,""zh-CN"",""vi"")"),"Tôi đến Trung Quốc để học tiếng Trung.")</f>
        <v>Tôi đến Trung Quốc để học tiếng Trung.</v>
      </c>
      <c r="F229" s="30" t="s">
        <v>3077</v>
      </c>
      <c r="G229" s="36" t="b">
        <f t="shared" si="1"/>
        <v>1</v>
      </c>
      <c r="H229" s="35" t="b">
        <v>0</v>
      </c>
      <c r="I229" s="35" t="b">
        <v>0</v>
      </c>
      <c r="J229" s="35" t="b">
        <v>0</v>
      </c>
      <c r="K229" s="35" t="b">
        <v>0</v>
      </c>
      <c r="L229" s="35" t="b">
        <v>0</v>
      </c>
      <c r="M229" s="35" t="b">
        <v>0</v>
      </c>
      <c r="N229" s="35" t="b">
        <v>0</v>
      </c>
      <c r="O229" s="35" t="b">
        <v>0</v>
      </c>
      <c r="P229" s="35" t="b">
        <v>0</v>
      </c>
      <c r="Q229" s="35" t="b">
        <v>0</v>
      </c>
      <c r="R229" s="14"/>
      <c r="S229" s="14"/>
      <c r="T229" s="14"/>
      <c r="U229" s="14"/>
      <c r="V229" s="14"/>
      <c r="W229" s="14"/>
    </row>
    <row r="230" ht="15.75" customHeight="1">
      <c r="A230" s="18" t="s">
        <v>3081</v>
      </c>
      <c r="B230" s="22" t="s">
        <v>3082</v>
      </c>
      <c r="C230" s="22" t="s">
        <v>3083</v>
      </c>
      <c r="D230" s="22" t="s">
        <v>3084</v>
      </c>
      <c r="E230" s="31" t="str">
        <f>IFERROR(__xludf.DUMMYFUNCTION("GOOGLETRANSLATE(D230,""zh-CN"",""vi"")"),"Anh ấy rất quan tâm đến văn hóa Trung Quốc.")</f>
        <v>Anh ấy rất quan tâm đến văn hóa Trung Quốc.</v>
      </c>
      <c r="F230" s="30" t="s">
        <v>3081</v>
      </c>
      <c r="G230" s="36" t="b">
        <f t="shared" si="1"/>
        <v>1</v>
      </c>
      <c r="H230" s="35" t="b">
        <v>0</v>
      </c>
      <c r="I230" s="35" t="b">
        <v>0</v>
      </c>
      <c r="J230" s="35" t="b">
        <v>0</v>
      </c>
      <c r="K230" s="35" t="b">
        <v>0</v>
      </c>
      <c r="L230" s="35" t="b">
        <v>0</v>
      </c>
      <c r="M230" s="35" t="b">
        <v>0</v>
      </c>
      <c r="N230" s="35" t="b">
        <v>0</v>
      </c>
      <c r="O230" s="35" t="b">
        <v>0</v>
      </c>
      <c r="P230" s="35" t="b">
        <v>0</v>
      </c>
      <c r="Q230" s="35" t="b">
        <v>0</v>
      </c>
      <c r="R230" s="14"/>
      <c r="S230" s="14"/>
      <c r="T230" s="14"/>
      <c r="U230" s="14"/>
      <c r="V230" s="14"/>
      <c r="W230" s="14"/>
    </row>
    <row r="231" ht="15.75" customHeight="1">
      <c r="A231" s="18" t="s">
        <v>3085</v>
      </c>
      <c r="B231" s="22" t="s">
        <v>3086</v>
      </c>
      <c r="C231" s="22" t="s">
        <v>3087</v>
      </c>
      <c r="D231" s="22" t="s">
        <v>3088</v>
      </c>
      <c r="E231" s="31" t="str">
        <f>IFERROR(__xludf.DUMMYFUNCTION("GOOGLETRANSLATE(D231,""zh-CN"",""vi"")"),"Tôi sống ở phía tây.")</f>
        <v>Tôi sống ở phía tây.</v>
      </c>
      <c r="F231" s="30" t="s">
        <v>3085</v>
      </c>
      <c r="G231" s="36" t="b">
        <f t="shared" si="1"/>
        <v>1</v>
      </c>
      <c r="H231" s="35" t="b">
        <v>0</v>
      </c>
      <c r="I231" s="35" t="b">
        <v>0</v>
      </c>
      <c r="J231" s="35" t="b">
        <v>0</v>
      </c>
      <c r="K231" s="35" t="b">
        <v>0</v>
      </c>
      <c r="L231" s="35" t="b">
        <v>0</v>
      </c>
      <c r="M231" s="35" t="b">
        <v>0</v>
      </c>
      <c r="N231" s="35" t="b">
        <v>0</v>
      </c>
      <c r="O231" s="35" t="b">
        <v>0</v>
      </c>
      <c r="P231" s="35" t="b">
        <v>0</v>
      </c>
      <c r="Q231" s="35" t="b">
        <v>0</v>
      </c>
      <c r="R231" s="14"/>
      <c r="S231" s="14"/>
      <c r="T231" s="14"/>
      <c r="U231" s="14"/>
      <c r="V231" s="14"/>
      <c r="W231" s="14"/>
    </row>
    <row r="232" ht="15.75" customHeight="1">
      <c r="A232" s="18" t="s">
        <v>3089</v>
      </c>
      <c r="B232" s="22" t="s">
        <v>3090</v>
      </c>
      <c r="C232" s="22" t="s">
        <v>3091</v>
      </c>
      <c r="D232" s="22" t="s">
        <v>3092</v>
      </c>
      <c r="E232" s="31" t="str">
        <f>IFERROR(__xludf.DUMMYFUNCTION("GOOGLETRANSLATE(D232,""zh-CN"",""vi"")"),"Anh ấy đã quen với việc thức dậy sớm.")</f>
        <v>Anh ấy đã quen với việc thức dậy sớm.</v>
      </c>
      <c r="F232" s="30" t="s">
        <v>3089</v>
      </c>
      <c r="G232" s="36" t="b">
        <f t="shared" si="1"/>
        <v>1</v>
      </c>
      <c r="H232" s="35" t="b">
        <v>0</v>
      </c>
      <c r="I232" s="35" t="b">
        <v>0</v>
      </c>
      <c r="J232" s="35" t="b">
        <v>0</v>
      </c>
      <c r="K232" s="35" t="b">
        <v>0</v>
      </c>
      <c r="L232" s="35" t="b">
        <v>0</v>
      </c>
      <c r="M232" s="35" t="b">
        <v>0</v>
      </c>
      <c r="N232" s="35" t="b">
        <v>0</v>
      </c>
      <c r="O232" s="35" t="b">
        <v>0</v>
      </c>
      <c r="P232" s="35" t="b">
        <v>0</v>
      </c>
      <c r="Q232" s="35" t="b">
        <v>0</v>
      </c>
      <c r="R232" s="14"/>
      <c r="S232" s="14"/>
      <c r="T232" s="14"/>
      <c r="U232" s="14"/>
      <c r="V232" s="14"/>
      <c r="W232" s="14"/>
    </row>
    <row r="233" ht="15.75" customHeight="1">
      <c r="A233" s="18" t="s">
        <v>3093</v>
      </c>
      <c r="B233" s="22" t="s">
        <v>3094</v>
      </c>
      <c r="C233" s="22" t="s">
        <v>3095</v>
      </c>
      <c r="D233" s="22" t="s">
        <v>3096</v>
      </c>
      <c r="E233" s="31" t="str">
        <f>IFERROR(__xludf.DUMMYFUNCTION("GOOGLETRANSLATE(D233,""zh-CN"",""vi"")"),"Nhà vệ sinh ở đằng kia.")</f>
        <v>Nhà vệ sinh ở đằng kia.</v>
      </c>
      <c r="F233" s="30" t="s">
        <v>3093</v>
      </c>
      <c r="G233" s="36" t="b">
        <f t="shared" si="1"/>
        <v>1</v>
      </c>
      <c r="H233" s="35" t="b">
        <v>0</v>
      </c>
      <c r="I233" s="35" t="b">
        <v>0</v>
      </c>
      <c r="J233" s="35" t="b">
        <v>0</v>
      </c>
      <c r="K233" s="35" t="b">
        <v>0</v>
      </c>
      <c r="L233" s="35" t="b">
        <v>0</v>
      </c>
      <c r="M233" s="35" t="b">
        <v>0</v>
      </c>
      <c r="N233" s="35" t="b">
        <v>0</v>
      </c>
      <c r="O233" s="35" t="b">
        <v>0</v>
      </c>
      <c r="P233" s="35" t="b">
        <v>0</v>
      </c>
      <c r="Q233" s="35" t="b">
        <v>0</v>
      </c>
      <c r="R233" s="14"/>
      <c r="S233" s="14"/>
      <c r="T233" s="14"/>
      <c r="U233" s="14"/>
      <c r="V233" s="14"/>
      <c r="W233" s="14"/>
    </row>
    <row r="234" ht="15.75" customHeight="1">
      <c r="A234" s="18" t="s">
        <v>3098</v>
      </c>
      <c r="B234" s="22" t="s">
        <v>3099</v>
      </c>
      <c r="C234" s="22" t="s">
        <v>3100</v>
      </c>
      <c r="D234" s="22" t="s">
        <v>3101</v>
      </c>
      <c r="E234" s="31" t="str">
        <f>IFERROR(__xludf.DUMMYFUNCTION("GOOGLETRANSLATE(D234,""zh-CN"",""vi"")"),"Tôi tắm mỗi sáng.")</f>
        <v>Tôi tắm mỗi sáng.</v>
      </c>
      <c r="F234" s="30" t="s">
        <v>3098</v>
      </c>
      <c r="G234" s="36" t="b">
        <f t="shared" si="1"/>
        <v>1</v>
      </c>
      <c r="H234" s="35" t="b">
        <v>0</v>
      </c>
      <c r="I234" s="35" t="b">
        <v>0</v>
      </c>
      <c r="J234" s="35" t="b">
        <v>0</v>
      </c>
      <c r="K234" s="35" t="b">
        <v>0</v>
      </c>
      <c r="L234" s="35" t="b">
        <v>0</v>
      </c>
      <c r="M234" s="35" t="b">
        <v>0</v>
      </c>
      <c r="N234" s="35" t="b">
        <v>0</v>
      </c>
      <c r="O234" s="35" t="b">
        <v>0</v>
      </c>
      <c r="P234" s="35" t="b">
        <v>0</v>
      </c>
      <c r="Q234" s="35" t="b">
        <v>0</v>
      </c>
      <c r="R234" s="14"/>
      <c r="S234" s="14"/>
      <c r="T234" s="14"/>
      <c r="U234" s="14"/>
      <c r="V234" s="14"/>
      <c r="W234" s="14"/>
    </row>
    <row r="235" ht="15.75" customHeight="1">
      <c r="A235" s="18" t="s">
        <v>1758</v>
      </c>
      <c r="B235" s="22" t="s">
        <v>1759</v>
      </c>
      <c r="C235" s="22" t="s">
        <v>1760</v>
      </c>
      <c r="D235" s="22" t="s">
        <v>3102</v>
      </c>
      <c r="E235" s="31" t="str">
        <f>IFERROR(__xludf.DUMMYFUNCTION("GOOGLETRANSLATE(D235,""zh-CN"",""vi"")"),"Tôi thích màu này.")</f>
        <v>Tôi thích màu này.</v>
      </c>
      <c r="F235" s="30" t="s">
        <v>1758</v>
      </c>
      <c r="G235" s="36" t="b">
        <f t="shared" si="1"/>
        <v>1</v>
      </c>
      <c r="H235" s="35" t="b">
        <v>0</v>
      </c>
      <c r="I235" s="35" t="b">
        <v>0</v>
      </c>
      <c r="J235" s="35" t="b">
        <v>0</v>
      </c>
      <c r="K235" s="35" t="b">
        <v>0</v>
      </c>
      <c r="L235" s="35" t="b">
        <v>0</v>
      </c>
      <c r="M235" s="35" t="b">
        <v>0</v>
      </c>
      <c r="N235" s="35" t="b">
        <v>0</v>
      </c>
      <c r="O235" s="35" t="b">
        <v>0</v>
      </c>
      <c r="P235" s="35" t="b">
        <v>0</v>
      </c>
      <c r="Q235" s="35" t="b">
        <v>0</v>
      </c>
      <c r="R235" s="14"/>
      <c r="S235" s="14"/>
      <c r="T235" s="14"/>
      <c r="U235" s="14"/>
      <c r="V235" s="14"/>
      <c r="W235" s="14"/>
    </row>
    <row r="236" ht="15.75" customHeight="1">
      <c r="A236" s="18" t="s">
        <v>1865</v>
      </c>
      <c r="B236" s="22" t="s">
        <v>3103</v>
      </c>
      <c r="C236" s="57" t="s">
        <v>3104</v>
      </c>
      <c r="D236" s="22" t="s">
        <v>3105</v>
      </c>
      <c r="E236" s="31" t="str">
        <f>IFERROR(__xludf.DUMMYFUNCTION("GOOGLETRANSLATE(D236,""zh-CN"",""vi"")"),"Bây giờ là tám giờ.")</f>
        <v>Bây giờ là tám giờ.</v>
      </c>
      <c r="F236" s="30" t="s">
        <v>1865</v>
      </c>
      <c r="G236" s="36" t="b">
        <f t="shared" si="1"/>
        <v>1</v>
      </c>
      <c r="H236" s="35" t="b">
        <v>0</v>
      </c>
      <c r="I236" s="35" t="b">
        <v>0</v>
      </c>
      <c r="J236" s="35" t="b">
        <v>0</v>
      </c>
      <c r="K236" s="35" t="b">
        <v>0</v>
      </c>
      <c r="L236" s="35" t="b">
        <v>0</v>
      </c>
      <c r="M236" s="35" t="b">
        <v>0</v>
      </c>
      <c r="N236" s="35" t="b">
        <v>0</v>
      </c>
      <c r="O236" s="35" t="b">
        <v>0</v>
      </c>
      <c r="P236" s="35" t="b">
        <v>0</v>
      </c>
      <c r="Q236" s="35" t="b">
        <v>0</v>
      </c>
      <c r="R236" s="14"/>
      <c r="S236" s="14"/>
      <c r="T236" s="14"/>
      <c r="U236" s="14"/>
      <c r="V236" s="14"/>
      <c r="W236" s="14"/>
    </row>
    <row r="237" ht="15.75" customHeight="1">
      <c r="A237" s="18" t="s">
        <v>3106</v>
      </c>
      <c r="B237" s="22" t="s">
        <v>3107</v>
      </c>
      <c r="C237" s="22" t="s">
        <v>3108</v>
      </c>
      <c r="D237" s="22" t="s">
        <v>3109</v>
      </c>
      <c r="E237" s="31" t="str">
        <f>IFERROR(__xludf.DUMMYFUNCTION("GOOGLETRANSLATE(D237,""zh-CN"",""vi"")"),"Chuối có màu vàng.")</f>
        <v>Chuối có màu vàng.</v>
      </c>
      <c r="F237" s="30" t="s">
        <v>3106</v>
      </c>
      <c r="G237" s="36" t="b">
        <f t="shared" si="1"/>
        <v>1</v>
      </c>
      <c r="H237" s="35" t="b">
        <v>0</v>
      </c>
      <c r="I237" s="35" t="b">
        <v>0</v>
      </c>
      <c r="J237" s="35" t="b">
        <v>0</v>
      </c>
      <c r="K237" s="35" t="b">
        <v>0</v>
      </c>
      <c r="L237" s="35" t="b">
        <v>0</v>
      </c>
      <c r="M237" s="35" t="b">
        <v>0</v>
      </c>
      <c r="N237" s="35" t="b">
        <v>0</v>
      </c>
      <c r="O237" s="35" t="b">
        <v>0</v>
      </c>
      <c r="P237" s="35" t="b">
        <v>0</v>
      </c>
      <c r="Q237" s="35" t="b">
        <v>0</v>
      </c>
      <c r="R237" s="14"/>
      <c r="S237" s="14"/>
      <c r="T237" s="14"/>
      <c r="U237" s="14"/>
      <c r="V237" s="14"/>
      <c r="W237" s="14"/>
    </row>
    <row r="238" ht="15.75" customHeight="1">
      <c r="A238" s="18" t="s">
        <v>3110</v>
      </c>
      <c r="B238" s="22" t="s">
        <v>3111</v>
      </c>
      <c r="C238" s="22" t="s">
        <v>1756</v>
      </c>
      <c r="D238" s="22" t="s">
        <v>3112</v>
      </c>
      <c r="E238" s="31" t="str">
        <f>IFERROR(__xludf.DUMMYFUNCTION("GOOGLETRANSLATE(D238,""zh-CN"",""vi"")"),"Chúng ta cùng chung quan điểm.")</f>
        <v>Chúng ta cùng chung quan điểm.</v>
      </c>
      <c r="F238" s="30" t="s">
        <v>3110</v>
      </c>
      <c r="G238" s="36" t="b">
        <f t="shared" si="1"/>
        <v>1</v>
      </c>
      <c r="H238" s="35" t="b">
        <v>0</v>
      </c>
      <c r="I238" s="35" t="b">
        <v>0</v>
      </c>
      <c r="J238" s="35" t="b">
        <v>0</v>
      </c>
      <c r="K238" s="35" t="b">
        <v>0</v>
      </c>
      <c r="L238" s="35" t="b">
        <v>0</v>
      </c>
      <c r="M238" s="35" t="b">
        <v>0</v>
      </c>
      <c r="N238" s="35" t="b">
        <v>0</v>
      </c>
      <c r="O238" s="35" t="b">
        <v>0</v>
      </c>
      <c r="P238" s="35" t="b">
        <v>0</v>
      </c>
      <c r="Q238" s="35" t="b">
        <v>0</v>
      </c>
      <c r="R238" s="14"/>
      <c r="S238" s="14"/>
      <c r="T238" s="14"/>
      <c r="U238" s="14"/>
      <c r="V238" s="14"/>
      <c r="W238" s="14"/>
    </row>
    <row r="239" ht="15.75" customHeight="1">
      <c r="A239" s="18" t="s">
        <v>3113</v>
      </c>
      <c r="B239" s="22" t="s">
        <v>3114</v>
      </c>
      <c r="C239" s="22" t="s">
        <v>3115</v>
      </c>
      <c r="D239" s="22" t="s">
        <v>3116</v>
      </c>
      <c r="E239" s="31" t="str">
        <f>IFERROR(__xludf.DUMMYFUNCTION("GOOGLETRANSLATE(D239,""zh-CN"",""vi"")"),"Tôi tin anh ấy.")</f>
        <v>Tôi tin anh ấy.</v>
      </c>
      <c r="F239" s="30" t="s">
        <v>3113</v>
      </c>
      <c r="G239" s="36" t="b">
        <f t="shared" si="1"/>
        <v>1</v>
      </c>
      <c r="H239" s="35" t="b">
        <v>0</v>
      </c>
      <c r="I239" s="35" t="b">
        <v>0</v>
      </c>
      <c r="J239" s="35" t="b">
        <v>0</v>
      </c>
      <c r="K239" s="35" t="b">
        <v>0</v>
      </c>
      <c r="L239" s="35" t="b">
        <v>0</v>
      </c>
      <c r="M239" s="35" t="b">
        <v>0</v>
      </c>
      <c r="N239" s="35" t="b">
        <v>0</v>
      </c>
      <c r="O239" s="35" t="b">
        <v>0</v>
      </c>
      <c r="P239" s="35" t="b">
        <v>0</v>
      </c>
      <c r="Q239" s="35" t="b">
        <v>0</v>
      </c>
      <c r="R239" s="14"/>
      <c r="S239" s="14"/>
      <c r="T239" s="14"/>
      <c r="U239" s="14"/>
      <c r="V239" s="14"/>
      <c r="W239" s="14"/>
    </row>
    <row r="240" ht="15.75" customHeight="1">
      <c r="A240" s="18" t="s">
        <v>3118</v>
      </c>
      <c r="B240" s="22" t="s">
        <v>2433</v>
      </c>
      <c r="C240" s="22" t="s">
        <v>3119</v>
      </c>
      <c r="D240" s="22" t="s">
        <v>3120</v>
      </c>
      <c r="E240" s="31" t="str">
        <f>IFERROR(__xludf.DUMMYFUNCTION("GOOGLETRANSLATE(D240,""zh-CN"",""vi"")"),"Cậu ấy cao bằng bố mình.")</f>
        <v>Cậu ấy cao bằng bố mình.</v>
      </c>
      <c r="F240" s="30" t="s">
        <v>3118</v>
      </c>
      <c r="G240" s="36" t="b">
        <f t="shared" si="1"/>
        <v>1</v>
      </c>
      <c r="H240" s="35" t="b">
        <v>0</v>
      </c>
      <c r="I240" s="35" t="b">
        <v>0</v>
      </c>
      <c r="J240" s="35" t="b">
        <v>0</v>
      </c>
      <c r="K240" s="35" t="b">
        <v>0</v>
      </c>
      <c r="L240" s="35" t="b">
        <v>0</v>
      </c>
      <c r="M240" s="35" t="b">
        <v>0</v>
      </c>
      <c r="N240" s="35" t="b">
        <v>0</v>
      </c>
      <c r="O240" s="35" t="b">
        <v>0</v>
      </c>
      <c r="P240" s="35" t="b">
        <v>0</v>
      </c>
      <c r="Q240" s="35" t="b">
        <v>0</v>
      </c>
      <c r="R240" s="14"/>
      <c r="S240" s="14"/>
      <c r="T240" s="14"/>
      <c r="U240" s="14"/>
      <c r="V240" s="14"/>
      <c r="W240" s="14"/>
    </row>
    <row r="241" ht="15.75" customHeight="1">
      <c r="A241" s="18" t="s">
        <v>3124</v>
      </c>
      <c r="B241" s="22" t="s">
        <v>3125</v>
      </c>
      <c r="C241" s="22" t="s">
        <v>3126</v>
      </c>
      <c r="D241" s="22" t="s">
        <v>3127</v>
      </c>
      <c r="E241" s="31" t="str">
        <f>IFERROR(__xludf.DUMMYFUNCTION("GOOGLETRANSLATE(D241,""zh-CN"",""vi"")"),"Hãy đi lại cẩn thận.")</f>
        <v>Hãy đi lại cẩn thận.</v>
      </c>
      <c r="F241" s="30" t="s">
        <v>3124</v>
      </c>
      <c r="G241" s="36" t="b">
        <f t="shared" si="1"/>
        <v>1</v>
      </c>
      <c r="H241" s="35" t="b">
        <v>0</v>
      </c>
      <c r="I241" s="35" t="b">
        <v>0</v>
      </c>
      <c r="J241" s="35" t="b">
        <v>0</v>
      </c>
      <c r="K241" s="35" t="b">
        <v>0</v>
      </c>
      <c r="L241" s="35" t="b">
        <v>0</v>
      </c>
      <c r="M241" s="35" t="b">
        <v>0</v>
      </c>
      <c r="N241" s="35" t="b">
        <v>0</v>
      </c>
      <c r="O241" s="35" t="b">
        <v>0</v>
      </c>
      <c r="P241" s="35" t="b">
        <v>0</v>
      </c>
      <c r="Q241" s="35" t="b">
        <v>0</v>
      </c>
      <c r="R241" s="14"/>
      <c r="S241" s="14"/>
      <c r="T241" s="14"/>
      <c r="U241" s="14"/>
      <c r="V241" s="14"/>
      <c r="W241" s="14"/>
    </row>
    <row r="242" ht="15.75" customHeight="1">
      <c r="A242" s="18" t="s">
        <v>3129</v>
      </c>
      <c r="B242" s="22" t="s">
        <v>3131</v>
      </c>
      <c r="C242" s="22" t="s">
        <v>3133</v>
      </c>
      <c r="D242" s="22" t="s">
        <v>3135</v>
      </c>
      <c r="E242" s="31" t="str">
        <f>IFERROR(__xludf.DUMMYFUNCTION("GOOGLETRANSLATE(D242,""zh-CN"",""vi"")"),"Hiệu trưởng làm việc trong văn phòng của mình.")</f>
        <v>Hiệu trưởng làm việc trong văn phòng của mình.</v>
      </c>
      <c r="F242" s="30" t="s">
        <v>3129</v>
      </c>
      <c r="G242" s="36" t="b">
        <f t="shared" si="1"/>
        <v>1</v>
      </c>
      <c r="H242" s="35" t="b">
        <v>0</v>
      </c>
      <c r="I242" s="35" t="b">
        <v>0</v>
      </c>
      <c r="J242" s="35" t="b">
        <v>0</v>
      </c>
      <c r="K242" s="35" t="b">
        <v>0</v>
      </c>
      <c r="L242" s="35" t="b">
        <v>0</v>
      </c>
      <c r="M242" s="35" t="b">
        <v>0</v>
      </c>
      <c r="N242" s="35" t="b">
        <v>0</v>
      </c>
      <c r="O242" s="35" t="b">
        <v>0</v>
      </c>
      <c r="P242" s="35" t="b">
        <v>0</v>
      </c>
      <c r="Q242" s="35" t="b">
        <v>0</v>
      </c>
      <c r="R242" s="14"/>
      <c r="S242" s="14"/>
      <c r="T242" s="14"/>
      <c r="U242" s="14"/>
      <c r="V242" s="14"/>
      <c r="W242" s="14"/>
    </row>
    <row r="243" ht="15.75" customHeight="1">
      <c r="A243" s="18" t="s">
        <v>3136</v>
      </c>
      <c r="B243" s="22" t="s">
        <v>3137</v>
      </c>
      <c r="C243" s="22" t="s">
        <v>3138</v>
      </c>
      <c r="D243" s="22" t="s">
        <v>3139</v>
      </c>
      <c r="E243" s="31" t="str">
        <f>IFERROR(__xludf.DUMMYFUNCTION("GOOGLETRANSLATE(D243,""zh-CN"",""vi"")"),"Tôi vừa mua một đôi giày mới.")</f>
        <v>Tôi vừa mua một đôi giày mới.</v>
      </c>
      <c r="F243" s="30" t="s">
        <v>3136</v>
      </c>
      <c r="G243" s="36" t="b">
        <f t="shared" si="1"/>
        <v>1</v>
      </c>
      <c r="H243" s="35" t="b">
        <v>0</v>
      </c>
      <c r="I243" s="35" t="b">
        <v>0</v>
      </c>
      <c r="J243" s="35" t="b">
        <v>0</v>
      </c>
      <c r="K243" s="35" t="b">
        <v>0</v>
      </c>
      <c r="L243" s="35" t="b">
        <v>0</v>
      </c>
      <c r="M243" s="35" t="b">
        <v>0</v>
      </c>
      <c r="N243" s="35" t="b">
        <v>0</v>
      </c>
      <c r="O243" s="35" t="b">
        <v>0</v>
      </c>
      <c r="P243" s="35" t="b">
        <v>0</v>
      </c>
      <c r="Q243" s="35" t="b">
        <v>0</v>
      </c>
      <c r="R243" s="14"/>
      <c r="S243" s="14"/>
      <c r="T243" s="14"/>
      <c r="U243" s="14"/>
      <c r="V243" s="14"/>
      <c r="W243" s="14"/>
    </row>
    <row r="244" ht="15.75" customHeight="1">
      <c r="A244" s="18" t="s">
        <v>3140</v>
      </c>
      <c r="B244" s="22" t="s">
        <v>3141</v>
      </c>
      <c r="C244" s="22" t="s">
        <v>3142</v>
      </c>
      <c r="D244" s="22" t="s">
        <v>3143</v>
      </c>
      <c r="E244" s="31" t="str">
        <f>IFERROR(__xludf.DUMMYFUNCTION("GOOGLETRANSLATE(D244,""zh-CN"",""vi"")"),"Tôi xem tin tức mỗi ngày.")</f>
        <v>Tôi xem tin tức mỗi ngày.</v>
      </c>
      <c r="F244" s="30" t="s">
        <v>3140</v>
      </c>
      <c r="G244" s="36" t="b">
        <f t="shared" si="1"/>
        <v>1</v>
      </c>
      <c r="H244" s="35" t="b">
        <v>0</v>
      </c>
      <c r="I244" s="35" t="b">
        <v>0</v>
      </c>
      <c r="J244" s="35" t="b">
        <v>0</v>
      </c>
      <c r="K244" s="35" t="b">
        <v>0</v>
      </c>
      <c r="L244" s="35" t="b">
        <v>0</v>
      </c>
      <c r="M244" s="35" t="b">
        <v>0</v>
      </c>
      <c r="N244" s="35" t="b">
        <v>0</v>
      </c>
      <c r="O244" s="35" t="b">
        <v>0</v>
      </c>
      <c r="P244" s="35" t="b">
        <v>0</v>
      </c>
      <c r="Q244" s="35" t="b">
        <v>0</v>
      </c>
      <c r="R244" s="14"/>
      <c r="S244" s="14"/>
      <c r="T244" s="14"/>
      <c r="U244" s="14"/>
      <c r="V244" s="14"/>
      <c r="W244" s="14"/>
    </row>
    <row r="245" ht="15.75" customHeight="1">
      <c r="A245" s="18" t="s">
        <v>3148</v>
      </c>
      <c r="B245" s="22" t="s">
        <v>3149</v>
      </c>
      <c r="C245" s="22" t="s">
        <v>3150</v>
      </c>
      <c r="D245" s="22" t="s">
        <v>3151</v>
      </c>
      <c r="E245" s="31" t="str">
        <f>IFERROR(__xludf.DUMMYFUNCTION("GOOGLETRANSLATE(D245,""zh-CN"",""vi"")"),"Những loại trái cây này rất tươi.")</f>
        <v>Những loại trái cây này rất tươi.</v>
      </c>
      <c r="F245" s="30" t="s">
        <v>3148</v>
      </c>
      <c r="G245" s="36" t="b">
        <f t="shared" si="1"/>
        <v>1</v>
      </c>
      <c r="H245" s="35" t="b">
        <v>0</v>
      </c>
      <c r="I245" s="35" t="b">
        <v>0</v>
      </c>
      <c r="J245" s="35" t="b">
        <v>0</v>
      </c>
      <c r="K245" s="35" t="b">
        <v>0</v>
      </c>
      <c r="L245" s="35" t="b">
        <v>0</v>
      </c>
      <c r="M245" s="35" t="b">
        <v>0</v>
      </c>
      <c r="N245" s="35" t="b">
        <v>0</v>
      </c>
      <c r="O245" s="35" t="b">
        <v>0</v>
      </c>
      <c r="P245" s="35" t="b">
        <v>0</v>
      </c>
      <c r="Q245" s="35" t="b">
        <v>0</v>
      </c>
      <c r="R245" s="14"/>
      <c r="S245" s="14"/>
      <c r="T245" s="14"/>
      <c r="U245" s="14"/>
      <c r="V245" s="14"/>
      <c r="W245" s="14"/>
    </row>
    <row r="246" ht="15.75" customHeight="1">
      <c r="A246" s="18" t="s">
        <v>3156</v>
      </c>
      <c r="B246" s="22" t="s">
        <v>3157</v>
      </c>
      <c r="C246" s="22" t="s">
        <v>3158</v>
      </c>
      <c r="D246" s="22" t="s">
        <v>3159</v>
      </c>
      <c r="E246" s="31" t="str">
        <f>IFERROR(__xludf.DUMMYFUNCTION("GOOGLETRANSLATE(D246,""zh-CN"",""vi"")"),"Tôi đã viết cho bạn một lá thư.")</f>
        <v>Tôi đã viết cho bạn một lá thư.</v>
      </c>
      <c r="F246" s="30" t="s">
        <v>3156</v>
      </c>
      <c r="G246" s="36" t="b">
        <f t="shared" si="1"/>
        <v>1</v>
      </c>
      <c r="H246" s="35" t="b">
        <v>0</v>
      </c>
      <c r="I246" s="35" t="b">
        <v>0</v>
      </c>
      <c r="J246" s="35" t="b">
        <v>0</v>
      </c>
      <c r="K246" s="35" t="b">
        <v>0</v>
      </c>
      <c r="L246" s="35" t="b">
        <v>0</v>
      </c>
      <c r="M246" s="35" t="b">
        <v>0</v>
      </c>
      <c r="N246" s="35" t="b">
        <v>0</v>
      </c>
      <c r="O246" s="35" t="b">
        <v>0</v>
      </c>
      <c r="P246" s="35" t="b">
        <v>0</v>
      </c>
      <c r="Q246" s="35" t="b">
        <v>0</v>
      </c>
      <c r="R246" s="14"/>
      <c r="S246" s="14"/>
      <c r="T246" s="14"/>
      <c r="U246" s="14"/>
      <c r="V246" s="14"/>
      <c r="W246" s="14"/>
    </row>
    <row r="247" ht="15.75" customHeight="1">
      <c r="A247" s="18" t="s">
        <v>3164</v>
      </c>
      <c r="B247" s="22" t="s">
        <v>3165</v>
      </c>
      <c r="C247" s="22" t="s">
        <v>3166</v>
      </c>
      <c r="D247" s="22" t="s">
        <v>3167</v>
      </c>
      <c r="E247" s="31" t="str">
        <f>IFERROR(__xludf.DUMMYFUNCTION("GOOGLETRANSLATE(D247,""zh-CN"",""vi"")"),"Vali của tôi rất nặng.")</f>
        <v>Vali của tôi rất nặng.</v>
      </c>
      <c r="F247" s="30" t="s">
        <v>3164</v>
      </c>
      <c r="G247" s="36" t="b">
        <f t="shared" si="1"/>
        <v>1</v>
      </c>
      <c r="H247" s="35" t="b">
        <v>0</v>
      </c>
      <c r="I247" s="35" t="b">
        <v>0</v>
      </c>
      <c r="J247" s="35" t="b">
        <v>0</v>
      </c>
      <c r="K247" s="35" t="b">
        <v>0</v>
      </c>
      <c r="L247" s="35" t="b">
        <v>0</v>
      </c>
      <c r="M247" s="35" t="b">
        <v>0</v>
      </c>
      <c r="N247" s="35" t="b">
        <v>0</v>
      </c>
      <c r="O247" s="35" t="b">
        <v>0</v>
      </c>
      <c r="P247" s="35" t="b">
        <v>0</v>
      </c>
      <c r="Q247" s="35" t="b">
        <v>0</v>
      </c>
      <c r="R247" s="14"/>
      <c r="S247" s="14"/>
      <c r="T247" s="14"/>
      <c r="U247" s="14"/>
      <c r="V247" s="14"/>
      <c r="W247" s="14"/>
    </row>
    <row r="248" ht="15.75" customHeight="1">
      <c r="A248" s="18" t="s">
        <v>3168</v>
      </c>
      <c r="B248" s="22" t="s">
        <v>3169</v>
      </c>
      <c r="C248" s="22" t="s">
        <v>3171</v>
      </c>
      <c r="D248" s="22" t="s">
        <v>3173</v>
      </c>
      <c r="E248" s="31" t="str">
        <f>IFERROR(__xludf.DUMMYFUNCTION("GOOGLETRANSLATE(D248,""zh-CN"",""vi"")"),"Tôi quan tâm đến văn hóa Trung Quốc.")</f>
        <v>Tôi quan tâm đến văn hóa Trung Quốc.</v>
      </c>
      <c r="F248" s="30" t="s">
        <v>3168</v>
      </c>
      <c r="G248" s="36" t="b">
        <f t="shared" si="1"/>
        <v>1</v>
      </c>
      <c r="H248" s="35" t="b">
        <v>0</v>
      </c>
      <c r="I248" s="35" t="b">
        <v>0</v>
      </c>
      <c r="J248" s="35" t="b">
        <v>0</v>
      </c>
      <c r="K248" s="35" t="b">
        <v>0</v>
      </c>
      <c r="L248" s="35" t="b">
        <v>0</v>
      </c>
      <c r="M248" s="35" t="b">
        <v>0</v>
      </c>
      <c r="N248" s="35" t="b">
        <v>0</v>
      </c>
      <c r="O248" s="35" t="b">
        <v>0</v>
      </c>
      <c r="P248" s="35" t="b">
        <v>0</v>
      </c>
      <c r="Q248" s="35" t="b">
        <v>0</v>
      </c>
      <c r="R248" s="14"/>
      <c r="S248" s="14"/>
      <c r="T248" s="14"/>
      <c r="U248" s="14"/>
      <c r="V248" s="14"/>
      <c r="W248" s="14"/>
    </row>
    <row r="249" ht="15.75" customHeight="1">
      <c r="A249" s="18" t="s">
        <v>3180</v>
      </c>
      <c r="B249" s="22" t="s">
        <v>3181</v>
      </c>
      <c r="C249" s="22" t="s">
        <v>3182</v>
      </c>
      <c r="D249" s="22" t="s">
        <v>3183</v>
      </c>
      <c r="E249" s="31" t="str">
        <f>IFERROR(__xludf.DUMMYFUNCTION("GOOGLETRANSLATE(D249,""zh-CN"",""vi"")"),"Gấu trúc là báu vật quốc gia của Trung Quốc.")</f>
        <v>Gấu trúc là báu vật quốc gia của Trung Quốc.</v>
      </c>
      <c r="F249" s="30" t="s">
        <v>3180</v>
      </c>
      <c r="G249" s="36" t="b">
        <f t="shared" si="1"/>
        <v>1</v>
      </c>
      <c r="H249" s="35" t="b">
        <v>0</v>
      </c>
      <c r="I249" s="35" t="b">
        <v>0</v>
      </c>
      <c r="J249" s="35" t="b">
        <v>0</v>
      </c>
      <c r="K249" s="35" t="b">
        <v>0</v>
      </c>
      <c r="L249" s="35" t="b">
        <v>0</v>
      </c>
      <c r="M249" s="35" t="b">
        <v>0</v>
      </c>
      <c r="N249" s="35" t="b">
        <v>0</v>
      </c>
      <c r="O249" s="35" t="b">
        <v>0</v>
      </c>
      <c r="P249" s="35" t="b">
        <v>0</v>
      </c>
      <c r="Q249" s="35" t="b">
        <v>0</v>
      </c>
      <c r="R249" s="14"/>
      <c r="S249" s="14"/>
      <c r="T249" s="14"/>
      <c r="U249" s="14"/>
      <c r="V249" s="14"/>
      <c r="W249" s="14"/>
    </row>
    <row r="250" ht="15.75" customHeight="1">
      <c r="A250" s="18" t="s">
        <v>3184</v>
      </c>
      <c r="B250" s="22" t="s">
        <v>3185</v>
      </c>
      <c r="C250" s="22" t="s">
        <v>3186</v>
      </c>
      <c r="D250" s="22" t="s">
        <v>3187</v>
      </c>
      <c r="E250" s="31" t="str">
        <f>IFERROR(__xludf.DUMMYFUNCTION("GOOGLETRANSLATE(D250,""zh-CN"",""vi"")"),"Tôi cần một cốc nước.")</f>
        <v>Tôi cần một cốc nước.</v>
      </c>
      <c r="F250" s="30" t="s">
        <v>3184</v>
      </c>
      <c r="G250" s="36" t="b">
        <f t="shared" si="1"/>
        <v>1</v>
      </c>
      <c r="H250" s="35" t="b">
        <v>0</v>
      </c>
      <c r="I250" s="35" t="b">
        <v>0</v>
      </c>
      <c r="J250" s="35" t="b">
        <v>0</v>
      </c>
      <c r="K250" s="35" t="b">
        <v>0</v>
      </c>
      <c r="L250" s="35" t="b">
        <v>0</v>
      </c>
      <c r="M250" s="35" t="b">
        <v>0</v>
      </c>
      <c r="N250" s="35" t="b">
        <v>0</v>
      </c>
      <c r="O250" s="35" t="b">
        <v>0</v>
      </c>
      <c r="P250" s="35" t="b">
        <v>0</v>
      </c>
      <c r="Q250" s="35" t="b">
        <v>0</v>
      </c>
      <c r="R250" s="14"/>
      <c r="S250" s="14"/>
      <c r="T250" s="14"/>
      <c r="U250" s="14"/>
      <c r="V250" s="14"/>
      <c r="W250" s="14"/>
    </row>
    <row r="251" ht="15.75" customHeight="1">
      <c r="A251" s="18" t="s">
        <v>3192</v>
      </c>
      <c r="B251" s="22" t="s">
        <v>3193</v>
      </c>
      <c r="C251" s="22" t="s">
        <v>3194</v>
      </c>
      <c r="D251" s="22" t="s">
        <v>3195</v>
      </c>
      <c r="E251" s="31" t="str">
        <f>IFERROR(__xludf.DUMMYFUNCTION("GOOGLETRANSLATE(D251,""zh-CN"",""vi"")"),"Bạn có thể chọn một món quà.")</f>
        <v>Bạn có thể chọn một món quà.</v>
      </c>
      <c r="F251" s="26"/>
      <c r="G251" s="36" t="b">
        <f t="shared" si="1"/>
        <v>0</v>
      </c>
      <c r="H251" s="35" t="b">
        <v>0</v>
      </c>
      <c r="I251" s="35" t="b">
        <v>0</v>
      </c>
      <c r="J251" s="35" t="b">
        <v>0</v>
      </c>
      <c r="K251" s="35" t="b">
        <v>0</v>
      </c>
      <c r="L251" s="35" t="b">
        <v>0</v>
      </c>
      <c r="M251" s="35" t="b">
        <v>0</v>
      </c>
      <c r="N251" s="35" t="b">
        <v>0</v>
      </c>
      <c r="O251" s="35" t="b">
        <v>0</v>
      </c>
      <c r="P251" s="35" t="b">
        <v>0</v>
      </c>
      <c r="Q251" s="35" t="b">
        <v>0</v>
      </c>
      <c r="R251" s="14"/>
      <c r="S251" s="14"/>
      <c r="T251" s="14"/>
      <c r="U251" s="14"/>
      <c r="V251" s="14"/>
      <c r="W251" s="14"/>
    </row>
    <row r="252" ht="15.75" customHeight="1">
      <c r="A252" s="18" t="s">
        <v>3204</v>
      </c>
      <c r="B252" s="22" t="s">
        <v>3205</v>
      </c>
      <c r="C252" s="22" t="s">
        <v>3206</v>
      </c>
      <c r="D252" s="22" t="s">
        <v>3207</v>
      </c>
      <c r="E252" s="31" t="str">
        <f>IFERROR(__xludf.DUMMYFUNCTION("GOOGLETRANSLATE(D252,""zh-CN"",""vi"")"),"Anh ấy đeo kính.")</f>
        <v>Anh ấy đeo kính.</v>
      </c>
      <c r="F252" s="26"/>
      <c r="G252" s="36" t="b">
        <f t="shared" si="1"/>
        <v>0</v>
      </c>
      <c r="H252" s="35" t="b">
        <v>0</v>
      </c>
      <c r="I252" s="35" t="b">
        <v>0</v>
      </c>
      <c r="J252" s="35" t="b">
        <v>0</v>
      </c>
      <c r="K252" s="35" t="b">
        <v>0</v>
      </c>
      <c r="L252" s="35" t="b">
        <v>0</v>
      </c>
      <c r="M252" s="35" t="b">
        <v>0</v>
      </c>
      <c r="N252" s="35" t="b">
        <v>0</v>
      </c>
      <c r="O252" s="35" t="b">
        <v>0</v>
      </c>
      <c r="P252" s="35" t="b">
        <v>0</v>
      </c>
      <c r="Q252" s="35" t="b">
        <v>0</v>
      </c>
      <c r="R252" s="14"/>
      <c r="S252" s="14"/>
      <c r="T252" s="14"/>
      <c r="U252" s="14"/>
      <c r="V252" s="14"/>
      <c r="W252" s="14"/>
    </row>
    <row r="253" ht="15.75" customHeight="1">
      <c r="A253" s="18" t="s">
        <v>3212</v>
      </c>
      <c r="B253" s="22" t="s">
        <v>3213</v>
      </c>
      <c r="C253" s="22" t="s">
        <v>3214</v>
      </c>
      <c r="D253" s="22" t="s">
        <v>3215</v>
      </c>
      <c r="E253" s="31" t="str">
        <f>IFERROR(__xludf.DUMMYFUNCTION("GOOGLETRANSLATE(D253,""zh-CN"",""vi"")"),"Giáo viên đặt kỳ vọng cao vào học sinh.")</f>
        <v>Giáo viên đặt kỳ vọng cao vào học sinh.</v>
      </c>
      <c r="F253" s="26"/>
      <c r="G253" s="36" t="b">
        <f t="shared" si="1"/>
        <v>0</v>
      </c>
      <c r="H253" s="35" t="b">
        <v>0</v>
      </c>
      <c r="I253" s="35" t="b">
        <v>0</v>
      </c>
      <c r="J253" s="35" t="b">
        <v>0</v>
      </c>
      <c r="K253" s="35" t="b">
        <v>0</v>
      </c>
      <c r="L253" s="35" t="b">
        <v>0</v>
      </c>
      <c r="M253" s="35" t="b">
        <v>0</v>
      </c>
      <c r="N253" s="35" t="b">
        <v>0</v>
      </c>
      <c r="O253" s="35" t="b">
        <v>0</v>
      </c>
      <c r="P253" s="35" t="b">
        <v>0</v>
      </c>
      <c r="Q253" s="35" t="b">
        <v>0</v>
      </c>
      <c r="R253" s="14"/>
      <c r="S253" s="14"/>
      <c r="T253" s="14"/>
      <c r="U253" s="14"/>
      <c r="V253" s="14"/>
      <c r="W253" s="14"/>
    </row>
    <row r="254" ht="15.75" customHeight="1">
      <c r="A254" s="18" t="s">
        <v>3220</v>
      </c>
      <c r="B254" s="22" t="s">
        <v>3221</v>
      </c>
      <c r="C254" s="22" t="s">
        <v>3222</v>
      </c>
      <c r="D254" s="22" t="s">
        <v>3223</v>
      </c>
      <c r="E254" s="31" t="str">
        <f>IFERROR(__xludf.DUMMYFUNCTION("GOOGLETRANSLATE(D254,""zh-CN"",""vi"")"),"Ông tôi rất thích đọc sách.")</f>
        <v>Ông tôi rất thích đọc sách.</v>
      </c>
      <c r="F254" s="26"/>
      <c r="G254" s="36" t="b">
        <f t="shared" si="1"/>
        <v>0</v>
      </c>
      <c r="H254" s="35" t="b">
        <v>0</v>
      </c>
      <c r="I254" s="35" t="b">
        <v>0</v>
      </c>
      <c r="J254" s="35" t="b">
        <v>0</v>
      </c>
      <c r="K254" s="35" t="b">
        <v>0</v>
      </c>
      <c r="L254" s="35" t="b">
        <v>0</v>
      </c>
      <c r="M254" s="35" t="b">
        <v>0</v>
      </c>
      <c r="N254" s="35" t="b">
        <v>0</v>
      </c>
      <c r="O254" s="35" t="b">
        <v>0</v>
      </c>
      <c r="P254" s="35" t="b">
        <v>0</v>
      </c>
      <c r="Q254" s="35" t="b">
        <v>0</v>
      </c>
      <c r="R254" s="14"/>
      <c r="S254" s="14"/>
      <c r="T254" s="14"/>
      <c r="U254" s="14"/>
      <c r="V254" s="14"/>
      <c r="W254" s="14"/>
    </row>
    <row r="255" ht="15.75" customHeight="1">
      <c r="A255" s="18" t="s">
        <v>3228</v>
      </c>
      <c r="B255" s="22" t="s">
        <v>3229</v>
      </c>
      <c r="C255" s="22" t="s">
        <v>3230</v>
      </c>
      <c r="D255" s="22" t="s">
        <v>3231</v>
      </c>
      <c r="E255" s="31" t="str">
        <f>IFERROR(__xludf.DUMMYFUNCTION("GOOGLETRANSLATE(D255,""zh-CN"",""vi"")"),"Tôi nhất định sẽ học hành chăm chỉ.")</f>
        <v>Tôi nhất định sẽ học hành chăm chỉ.</v>
      </c>
      <c r="F255" s="26"/>
      <c r="G255" s="36" t="b">
        <f t="shared" si="1"/>
        <v>0</v>
      </c>
      <c r="H255" s="35" t="b">
        <v>0</v>
      </c>
      <c r="I255" s="35" t="b">
        <v>0</v>
      </c>
      <c r="J255" s="35" t="b">
        <v>0</v>
      </c>
      <c r="K255" s="35" t="b">
        <v>0</v>
      </c>
      <c r="L255" s="35" t="b">
        <v>0</v>
      </c>
      <c r="M255" s="35" t="b">
        <v>0</v>
      </c>
      <c r="N255" s="35" t="b">
        <v>0</v>
      </c>
      <c r="O255" s="35" t="b">
        <v>0</v>
      </c>
      <c r="P255" s="35" t="b">
        <v>0</v>
      </c>
      <c r="Q255" s="35" t="b">
        <v>0</v>
      </c>
      <c r="R255" s="14"/>
      <c r="S255" s="14"/>
      <c r="T255" s="14"/>
      <c r="U255" s="14"/>
      <c r="V255" s="14"/>
      <c r="W255" s="14"/>
    </row>
    <row r="256" ht="15.75" customHeight="1">
      <c r="A256" s="18" t="s">
        <v>3236</v>
      </c>
      <c r="B256" s="22" t="s">
        <v>3237</v>
      </c>
      <c r="C256" s="22" t="s">
        <v>3238</v>
      </c>
      <c r="D256" s="22" t="s">
        <v>3239</v>
      </c>
      <c r="E256" s="31" t="str">
        <f>IFERROR(__xludf.DUMMYFUNCTION("GOOGLETRANSLATE(D256,""zh-CN"",""vi"")"),"Tổng cộng có năm người chúng tôi.")</f>
        <v>Tổng cộng có năm người chúng tôi.</v>
      </c>
      <c r="F256" s="26"/>
      <c r="G256" s="36" t="b">
        <f t="shared" si="1"/>
        <v>0</v>
      </c>
      <c r="H256" s="35" t="b">
        <v>0</v>
      </c>
      <c r="I256" s="35" t="b">
        <v>0</v>
      </c>
      <c r="J256" s="35" t="b">
        <v>0</v>
      </c>
      <c r="K256" s="35" t="b">
        <v>0</v>
      </c>
      <c r="L256" s="35" t="b">
        <v>0</v>
      </c>
      <c r="M256" s="35" t="b">
        <v>0</v>
      </c>
      <c r="N256" s="35" t="b">
        <v>0</v>
      </c>
      <c r="O256" s="35" t="b">
        <v>0</v>
      </c>
      <c r="P256" s="35" t="b">
        <v>0</v>
      </c>
      <c r="Q256" s="35" t="b">
        <v>0</v>
      </c>
      <c r="R256" s="14"/>
      <c r="S256" s="14"/>
      <c r="T256" s="14"/>
      <c r="U256" s="14"/>
      <c r="V256" s="14"/>
      <c r="W256" s="14"/>
    </row>
    <row r="257" ht="15.75" customHeight="1">
      <c r="A257" s="18" t="s">
        <v>3244</v>
      </c>
      <c r="B257" s="22" t="s">
        <v>3245</v>
      </c>
      <c r="C257" s="22" t="s">
        <v>3246</v>
      </c>
      <c r="D257" s="22" t="s">
        <v>3247</v>
      </c>
      <c r="E257" s="31" t="str">
        <f>IFERROR(__xludf.DUMMYFUNCTION("GOOGLETRANSLATE(D257,""zh-CN"",""vi"")"),"Vui lòng đợi tôi một lát.")</f>
        <v>Vui lòng đợi tôi một lát.</v>
      </c>
      <c r="F257" s="26"/>
      <c r="G257" s="36" t="b">
        <f t="shared" si="1"/>
        <v>0</v>
      </c>
      <c r="H257" s="35" t="b">
        <v>0</v>
      </c>
      <c r="I257" s="35" t="b">
        <v>0</v>
      </c>
      <c r="J257" s="35" t="b">
        <v>0</v>
      </c>
      <c r="K257" s="35" t="b">
        <v>0</v>
      </c>
      <c r="L257" s="35" t="b">
        <v>0</v>
      </c>
      <c r="M257" s="35" t="b">
        <v>0</v>
      </c>
      <c r="N257" s="35" t="b">
        <v>0</v>
      </c>
      <c r="O257" s="35" t="b">
        <v>0</v>
      </c>
      <c r="P257" s="35" t="b">
        <v>0</v>
      </c>
      <c r="Q257" s="35" t="b">
        <v>0</v>
      </c>
      <c r="R257" s="14"/>
      <c r="S257" s="14"/>
      <c r="T257" s="14"/>
      <c r="U257" s="14"/>
      <c r="V257" s="14"/>
      <c r="W257" s="14"/>
    </row>
    <row r="258" ht="15.75" customHeight="1">
      <c r="A258" s="18" t="s">
        <v>3252</v>
      </c>
      <c r="B258" s="22" t="s">
        <v>3253</v>
      </c>
      <c r="C258" s="22" t="s">
        <v>1756</v>
      </c>
      <c r="D258" s="22" t="s">
        <v>3254</v>
      </c>
      <c r="E258" s="31" t="str">
        <f>IFERROR(__xludf.DUMMYFUNCTION("GOOGLETRANSLATE(D258,""zh-CN"",""vi"")"),"Họ cao bằng chúng ta.")</f>
        <v>Họ cao bằng chúng ta.</v>
      </c>
      <c r="F258" s="26"/>
      <c r="G258" s="36" t="b">
        <f t="shared" si="1"/>
        <v>0</v>
      </c>
      <c r="H258" s="35" t="b">
        <v>0</v>
      </c>
      <c r="I258" s="35" t="b">
        <v>0</v>
      </c>
      <c r="J258" s="35" t="b">
        <v>0</v>
      </c>
      <c r="K258" s="35" t="b">
        <v>0</v>
      </c>
      <c r="L258" s="35" t="b">
        <v>0</v>
      </c>
      <c r="M258" s="35" t="b">
        <v>0</v>
      </c>
      <c r="N258" s="35" t="b">
        <v>0</v>
      </c>
      <c r="O258" s="35" t="b">
        <v>0</v>
      </c>
      <c r="P258" s="35" t="b">
        <v>0</v>
      </c>
      <c r="Q258" s="35" t="b">
        <v>0</v>
      </c>
      <c r="R258" s="14"/>
      <c r="S258" s="14"/>
      <c r="T258" s="14"/>
      <c r="U258" s="14"/>
      <c r="V258" s="14"/>
      <c r="W258" s="14"/>
    </row>
    <row r="259" ht="15.75" customHeight="1">
      <c r="A259" s="18" t="s">
        <v>3259</v>
      </c>
      <c r="B259" s="22" t="s">
        <v>3260</v>
      </c>
      <c r="C259" s="22" t="s">
        <v>3261</v>
      </c>
      <c r="D259" s="22" t="s">
        <v>3262</v>
      </c>
      <c r="E259" s="31" t="str">
        <f>IFERROR(__xludf.DUMMYFUNCTION("GOOGLETRANSLATE(D259,""zh-CN"",""vi"")"),"Tôi sẽ quay lại sau.")</f>
        <v>Tôi sẽ quay lại sau.</v>
      </c>
      <c r="F259" s="26"/>
      <c r="G259" s="36" t="b">
        <f t="shared" si="1"/>
        <v>0</v>
      </c>
      <c r="H259" s="35" t="b">
        <v>0</v>
      </c>
      <c r="I259" s="35" t="b">
        <v>0</v>
      </c>
      <c r="J259" s="35" t="b">
        <v>0</v>
      </c>
      <c r="K259" s="35" t="b">
        <v>0</v>
      </c>
      <c r="L259" s="35" t="b">
        <v>0</v>
      </c>
      <c r="M259" s="35" t="b">
        <v>0</v>
      </c>
      <c r="N259" s="35" t="b">
        <v>0</v>
      </c>
      <c r="O259" s="35" t="b">
        <v>0</v>
      </c>
      <c r="P259" s="35" t="b">
        <v>0</v>
      </c>
      <c r="Q259" s="35" t="b">
        <v>0</v>
      </c>
      <c r="R259" s="14"/>
      <c r="S259" s="14"/>
      <c r="T259" s="14"/>
      <c r="U259" s="14"/>
      <c r="V259" s="14"/>
      <c r="W259" s="14"/>
    </row>
    <row r="260" ht="15.75" customHeight="1">
      <c r="A260" s="18" t="s">
        <v>3287</v>
      </c>
      <c r="B260" s="22" t="s">
        <v>3292</v>
      </c>
      <c r="C260" s="22" t="s">
        <v>3293</v>
      </c>
      <c r="D260" s="22" t="s">
        <v>3298</v>
      </c>
      <c r="E260" s="31" t="str">
        <f>IFERROR(__xludf.DUMMYFUNCTION("GOOGLETRANSLATE(D260,""zh-CN"",""vi"")"),"Tôi từng sống ở Bắc Kinh.")</f>
        <v>Tôi từng sống ở Bắc Kinh.</v>
      </c>
      <c r="F260" s="26"/>
      <c r="G260" s="36" t="b">
        <f t="shared" si="1"/>
        <v>0</v>
      </c>
      <c r="H260" s="35" t="b">
        <v>0</v>
      </c>
      <c r="I260" s="35" t="b">
        <v>0</v>
      </c>
      <c r="J260" s="35" t="b">
        <v>0</v>
      </c>
      <c r="K260" s="35" t="b">
        <v>0</v>
      </c>
      <c r="L260" s="35" t="b">
        <v>0</v>
      </c>
      <c r="M260" s="35" t="b">
        <v>0</v>
      </c>
      <c r="N260" s="35" t="b">
        <v>0</v>
      </c>
      <c r="O260" s="35" t="b">
        <v>0</v>
      </c>
      <c r="P260" s="35" t="b">
        <v>0</v>
      </c>
      <c r="Q260" s="35" t="b">
        <v>0</v>
      </c>
      <c r="R260" s="14"/>
      <c r="S260" s="14"/>
      <c r="T260" s="14"/>
      <c r="U260" s="14"/>
      <c r="V260" s="14"/>
      <c r="W260" s="14"/>
    </row>
    <row r="261" ht="15.75" customHeight="1">
      <c r="A261" s="18" t="s">
        <v>3327</v>
      </c>
      <c r="B261" s="22" t="s">
        <v>3328</v>
      </c>
      <c r="C261" s="22" t="s">
        <v>2684</v>
      </c>
      <c r="D261" s="22" t="s">
        <v>3329</v>
      </c>
      <c r="E261" s="31" t="str">
        <f>IFERROR(__xludf.DUMMYFUNCTION("GOOGLETRANSLATE(D261,""zh-CN"",""vi"")"),"Tôi tưởng bạn không đến.")</f>
        <v>Tôi tưởng bạn không đến.</v>
      </c>
      <c r="F261" s="26"/>
      <c r="G261" s="36" t="b">
        <f t="shared" si="1"/>
        <v>0</v>
      </c>
      <c r="H261" s="35" t="b">
        <v>0</v>
      </c>
      <c r="I261" s="35" t="b">
        <v>0</v>
      </c>
      <c r="J261" s="35" t="b">
        <v>0</v>
      </c>
      <c r="K261" s="35" t="b">
        <v>0</v>
      </c>
      <c r="L261" s="35" t="b">
        <v>0</v>
      </c>
      <c r="M261" s="35" t="b">
        <v>0</v>
      </c>
      <c r="N261" s="35" t="b">
        <v>0</v>
      </c>
      <c r="O261" s="35" t="b">
        <v>0</v>
      </c>
      <c r="P261" s="35" t="b">
        <v>0</v>
      </c>
      <c r="Q261" s="35" t="b">
        <v>0</v>
      </c>
      <c r="R261" s="14"/>
      <c r="S261" s="14"/>
      <c r="T261" s="14"/>
      <c r="U261" s="14"/>
      <c r="V261" s="14"/>
      <c r="W261" s="14"/>
    </row>
    <row r="262" ht="15.75" customHeight="1">
      <c r="A262" s="18" t="s">
        <v>3334</v>
      </c>
      <c r="B262" s="22" t="s">
        <v>3335</v>
      </c>
      <c r="C262" s="22" t="s">
        <v>3336</v>
      </c>
      <c r="D262" s="22" t="s">
        <v>3337</v>
      </c>
      <c r="E262" s="31" t="str">
        <f>IFERROR(__xludf.DUMMYFUNCTION("GOOGLETRANSLATE(D262,""zh-CN"",""vi"")"),"Nhà hàng này chỉ ở mức tạm được.")</f>
        <v>Nhà hàng này chỉ ở mức tạm được.</v>
      </c>
      <c r="F262" s="26"/>
      <c r="G262" s="36" t="b">
        <f t="shared" si="1"/>
        <v>0</v>
      </c>
      <c r="H262" s="35" t="b">
        <v>0</v>
      </c>
      <c r="I262" s="35" t="b">
        <v>0</v>
      </c>
      <c r="J262" s="35" t="b">
        <v>0</v>
      </c>
      <c r="K262" s="35" t="b">
        <v>0</v>
      </c>
      <c r="L262" s="35" t="b">
        <v>0</v>
      </c>
      <c r="M262" s="35" t="b">
        <v>0</v>
      </c>
      <c r="N262" s="35" t="b">
        <v>0</v>
      </c>
      <c r="O262" s="35" t="b">
        <v>0</v>
      </c>
      <c r="P262" s="35" t="b">
        <v>0</v>
      </c>
      <c r="Q262" s="35" t="b">
        <v>0</v>
      </c>
      <c r="R262" s="14"/>
      <c r="S262" s="14"/>
      <c r="T262" s="14"/>
      <c r="U262" s="14"/>
      <c r="V262" s="14"/>
      <c r="W262" s="14"/>
    </row>
    <row r="263" ht="15.75" customHeight="1">
      <c r="A263" s="18" t="s">
        <v>3341</v>
      </c>
      <c r="B263" s="22" t="s">
        <v>3342</v>
      </c>
      <c r="C263" s="22" t="s">
        <v>3343</v>
      </c>
      <c r="D263" s="22" t="s">
        <v>3344</v>
      </c>
      <c r="E263" s="31" t="str">
        <f>IFERROR(__xludf.DUMMYFUNCTION("GOOGLETRANSLATE(D263,""zh-CN"",""vi"")"),"Anh ấy vừa ăn vừa xem tivi.")</f>
        <v>Anh ấy vừa ăn vừa xem tivi.</v>
      </c>
      <c r="F263" s="26"/>
      <c r="G263" s="36" t="b">
        <f t="shared" si="1"/>
        <v>0</v>
      </c>
      <c r="H263" s="35" t="b">
        <v>0</v>
      </c>
      <c r="I263" s="35" t="b">
        <v>0</v>
      </c>
      <c r="J263" s="35" t="b">
        <v>0</v>
      </c>
      <c r="K263" s="35" t="b">
        <v>0</v>
      </c>
      <c r="L263" s="35" t="b">
        <v>0</v>
      </c>
      <c r="M263" s="35" t="b">
        <v>0</v>
      </c>
      <c r="N263" s="35" t="b">
        <v>0</v>
      </c>
      <c r="O263" s="35" t="b">
        <v>0</v>
      </c>
      <c r="P263" s="35" t="b">
        <v>0</v>
      </c>
      <c r="Q263" s="35" t="b">
        <v>0</v>
      </c>
      <c r="R263" s="14"/>
      <c r="S263" s="14"/>
      <c r="T263" s="14"/>
      <c r="U263" s="14"/>
      <c r="V263" s="14"/>
      <c r="W263" s="14"/>
    </row>
    <row r="264" ht="15.75" customHeight="1">
      <c r="A264" s="18" t="s">
        <v>3349</v>
      </c>
      <c r="B264" s="22" t="s">
        <v>3351</v>
      </c>
      <c r="C264" s="22" t="s">
        <v>3353</v>
      </c>
      <c r="D264" s="22" t="s">
        <v>3355</v>
      </c>
      <c r="E264" s="31" t="str">
        <f>IFERROR(__xludf.DUMMYFUNCTION("GOOGLETRANSLATE(D264,""zh-CN"",""vi"")"),"Anh ấy đã và đang học tập.")</f>
        <v>Anh ấy đã và đang học tập.</v>
      </c>
      <c r="F264" s="26"/>
      <c r="G264" s="36" t="b">
        <f t="shared" si="1"/>
        <v>0</v>
      </c>
      <c r="H264" s="35" t="b">
        <v>0</v>
      </c>
      <c r="I264" s="35" t="b">
        <v>0</v>
      </c>
      <c r="J264" s="35" t="b">
        <v>0</v>
      </c>
      <c r="K264" s="35" t="b">
        <v>0</v>
      </c>
      <c r="L264" s="35" t="b">
        <v>0</v>
      </c>
      <c r="M264" s="35" t="b">
        <v>0</v>
      </c>
      <c r="N264" s="35" t="b">
        <v>0</v>
      </c>
      <c r="O264" s="35" t="b">
        <v>0</v>
      </c>
      <c r="P264" s="35" t="b">
        <v>0</v>
      </c>
      <c r="Q264" s="35" t="b">
        <v>0</v>
      </c>
      <c r="R264" s="14"/>
      <c r="S264" s="14"/>
      <c r="T264" s="14"/>
      <c r="U264" s="14"/>
      <c r="V264" s="14"/>
      <c r="W264" s="14"/>
    </row>
    <row r="265" ht="15.75" customHeight="1">
      <c r="A265" s="18" t="s">
        <v>3357</v>
      </c>
      <c r="B265" s="22" t="s">
        <v>3358</v>
      </c>
      <c r="C265" s="22" t="s">
        <v>3360</v>
      </c>
      <c r="D265" s="22" t="s">
        <v>1652</v>
      </c>
      <c r="E265" s="31" t="str">
        <f>IFERROR(__xludf.DUMMYFUNCTION("GOOGLETRANSLATE(D265,""zh-CN"",""vi"")"),"Tôi thích nghe nhạc.")</f>
        <v>Tôi thích nghe nhạc.</v>
      </c>
      <c r="F265" s="26"/>
      <c r="G265" s="36" t="b">
        <f t="shared" si="1"/>
        <v>0</v>
      </c>
      <c r="H265" s="35" t="b">
        <v>0</v>
      </c>
      <c r="I265" s="35" t="b">
        <v>0</v>
      </c>
      <c r="J265" s="35" t="b">
        <v>0</v>
      </c>
      <c r="K265" s="35" t="b">
        <v>0</v>
      </c>
      <c r="L265" s="35" t="b">
        <v>0</v>
      </c>
      <c r="M265" s="35" t="b">
        <v>0</v>
      </c>
      <c r="N265" s="35" t="b">
        <v>0</v>
      </c>
      <c r="O265" s="35" t="b">
        <v>0</v>
      </c>
      <c r="P265" s="35" t="b">
        <v>0</v>
      </c>
      <c r="Q265" s="35" t="b">
        <v>0</v>
      </c>
      <c r="R265" s="14"/>
      <c r="S265" s="14"/>
      <c r="T265" s="14"/>
      <c r="U265" s="14"/>
      <c r="V265" s="14"/>
      <c r="W265" s="14"/>
    </row>
    <row r="266" ht="15.75" customHeight="1">
      <c r="A266" s="18" t="s">
        <v>3364</v>
      </c>
      <c r="B266" s="22" t="s">
        <v>3365</v>
      </c>
      <c r="C266" s="22" t="s">
        <v>3366</v>
      </c>
      <c r="D266" s="22" t="s">
        <v>3367</v>
      </c>
      <c r="E266" s="31" t="str">
        <f>IFERROR(__xludf.DUMMYFUNCTION("GOOGLETRANSLATE(D266,""zh-CN"",""vi"")"),"Tôi đến ngân hàng để rút tiền.")</f>
        <v>Tôi đến ngân hàng để rút tiền.</v>
      </c>
      <c r="F266" s="26"/>
      <c r="G266" s="36" t="b">
        <f t="shared" si="1"/>
        <v>0</v>
      </c>
      <c r="H266" s="35" t="b">
        <v>0</v>
      </c>
      <c r="I266" s="35" t="b">
        <v>0</v>
      </c>
      <c r="J266" s="35" t="b">
        <v>0</v>
      </c>
      <c r="K266" s="35" t="b">
        <v>0</v>
      </c>
      <c r="L266" s="35" t="b">
        <v>0</v>
      </c>
      <c r="M266" s="35" t="b">
        <v>0</v>
      </c>
      <c r="N266" s="35" t="b">
        <v>0</v>
      </c>
      <c r="O266" s="35" t="b">
        <v>0</v>
      </c>
      <c r="P266" s="35" t="b">
        <v>0</v>
      </c>
      <c r="Q266" s="35" t="b">
        <v>0</v>
      </c>
      <c r="R266" s="14"/>
      <c r="S266" s="14"/>
      <c r="T266" s="14"/>
      <c r="U266" s="14"/>
      <c r="V266" s="14"/>
      <c r="W266" s="14"/>
    </row>
    <row r="267" ht="15.75" customHeight="1">
      <c r="A267" s="18" t="s">
        <v>3372</v>
      </c>
      <c r="B267" s="22" t="s">
        <v>3373</v>
      </c>
      <c r="C267" s="22" t="s">
        <v>3374</v>
      </c>
      <c r="D267" s="22" t="s">
        <v>3375</v>
      </c>
      <c r="E267" s="31" t="str">
        <f>IFERROR(__xludf.DUMMYFUNCTION("GOOGLETRANSLATE(D267,""zh-CN"",""vi"")"),"Bạn nên nghỉ ngơi nhiều hơn.")</f>
        <v>Bạn nên nghỉ ngơi nhiều hơn.</v>
      </c>
      <c r="F267" s="26"/>
      <c r="G267" s="36" t="b">
        <f t="shared" si="1"/>
        <v>0</v>
      </c>
      <c r="H267" s="35" t="b">
        <v>0</v>
      </c>
      <c r="I267" s="35" t="b">
        <v>0</v>
      </c>
      <c r="J267" s="35" t="b">
        <v>0</v>
      </c>
      <c r="K267" s="35" t="b">
        <v>0</v>
      </c>
      <c r="L267" s="35" t="b">
        <v>0</v>
      </c>
      <c r="M267" s="35" t="b">
        <v>0</v>
      </c>
      <c r="N267" s="35" t="b">
        <v>0</v>
      </c>
      <c r="O267" s="35" t="b">
        <v>0</v>
      </c>
      <c r="P267" s="35" t="b">
        <v>0</v>
      </c>
      <c r="Q267" s="35" t="b">
        <v>0</v>
      </c>
      <c r="R267" s="14"/>
      <c r="S267" s="14"/>
      <c r="T267" s="14"/>
      <c r="U267" s="14"/>
      <c r="V267" s="14"/>
      <c r="W267" s="14"/>
    </row>
    <row r="268" ht="15.75" customHeight="1">
      <c r="A268" s="18" t="s">
        <v>3380</v>
      </c>
      <c r="B268" s="22" t="s">
        <v>3381</v>
      </c>
      <c r="C268" s="22" t="s">
        <v>3382</v>
      </c>
      <c r="D268" s="22" t="s">
        <v>3383</v>
      </c>
      <c r="E268" s="31" t="str">
        <f>IFERROR(__xludf.DUMMYFUNCTION("GOOGLETRANSLATE(D268,""zh-CN"",""vi"")"),"Bộ phim này đã để lại ấn tượng sâu sắc đối với tôi.")</f>
        <v>Bộ phim này đã để lại ấn tượng sâu sắc đối với tôi.</v>
      </c>
      <c r="F268" s="26"/>
      <c r="G268" s="36" t="b">
        <f t="shared" si="1"/>
        <v>0</v>
      </c>
      <c r="H268" s="35" t="b">
        <v>0</v>
      </c>
      <c r="I268" s="35" t="b">
        <v>0</v>
      </c>
      <c r="J268" s="35" t="b">
        <v>0</v>
      </c>
      <c r="K268" s="35" t="b">
        <v>0</v>
      </c>
      <c r="L268" s="35" t="b">
        <v>0</v>
      </c>
      <c r="M268" s="35" t="b">
        <v>0</v>
      </c>
      <c r="N268" s="35" t="b">
        <v>0</v>
      </c>
      <c r="O268" s="35" t="b">
        <v>0</v>
      </c>
      <c r="P268" s="35" t="b">
        <v>0</v>
      </c>
      <c r="Q268" s="35" t="b">
        <v>0</v>
      </c>
      <c r="R268" s="14"/>
      <c r="S268" s="14"/>
      <c r="T268" s="14"/>
      <c r="U268" s="14"/>
      <c r="V268" s="14"/>
      <c r="W268" s="14"/>
    </row>
    <row r="269" ht="15.75" customHeight="1">
      <c r="A269" s="18" t="s">
        <v>3388</v>
      </c>
      <c r="B269" s="22" t="s">
        <v>3389</v>
      </c>
      <c r="C269" s="22" t="s">
        <v>3390</v>
      </c>
      <c r="D269" s="22" t="s">
        <v>3391</v>
      </c>
      <c r="E269" s="31" t="str">
        <f>IFERROR(__xludf.DUMMYFUNCTION("GOOGLETRANSLATE(D269,""zh-CN"",""vi"")"),"Vui lòng không sử dụng điện thoại di động.")</f>
        <v>Vui lòng không sử dụng điện thoại di động.</v>
      </c>
      <c r="F269" s="26"/>
      <c r="G269" s="36" t="b">
        <f t="shared" si="1"/>
        <v>0</v>
      </c>
      <c r="H269" s="35" t="b">
        <v>0</v>
      </c>
      <c r="I269" s="35" t="b">
        <v>0</v>
      </c>
      <c r="J269" s="35" t="b">
        <v>0</v>
      </c>
      <c r="K269" s="35" t="b">
        <v>0</v>
      </c>
      <c r="L269" s="35" t="b">
        <v>0</v>
      </c>
      <c r="M269" s="35" t="b">
        <v>0</v>
      </c>
      <c r="N269" s="35" t="b">
        <v>0</v>
      </c>
      <c r="O269" s="35" t="b">
        <v>0</v>
      </c>
      <c r="P269" s="35" t="b">
        <v>0</v>
      </c>
      <c r="Q269" s="35" t="b">
        <v>0</v>
      </c>
      <c r="R269" s="14"/>
      <c r="S269" s="14"/>
      <c r="T269" s="14"/>
      <c r="U269" s="14"/>
      <c r="V269" s="14"/>
      <c r="W269" s="14"/>
    </row>
    <row r="270" ht="15.75" customHeight="1">
      <c r="A270" s="18" t="s">
        <v>3396</v>
      </c>
      <c r="B270" s="22" t="s">
        <v>3397</v>
      </c>
      <c r="C270" s="22" t="s">
        <v>3398</v>
      </c>
      <c r="D270" s="22" t="s">
        <v>3399</v>
      </c>
      <c r="E270" s="31" t="str">
        <f>IFERROR(__xludf.DUMMYFUNCTION("GOOGLETRANSLATE(D270,""zh-CN"",""vi"")"),"Tôi thích chơi game.")</f>
        <v>Tôi thích chơi game.</v>
      </c>
      <c r="F270" s="26"/>
      <c r="G270" s="36" t="b">
        <f t="shared" si="1"/>
        <v>0</v>
      </c>
      <c r="H270" s="35" t="b">
        <v>0</v>
      </c>
      <c r="I270" s="35" t="b">
        <v>0</v>
      </c>
      <c r="J270" s="35" t="b">
        <v>0</v>
      </c>
      <c r="K270" s="35" t="b">
        <v>0</v>
      </c>
      <c r="L270" s="35" t="b">
        <v>0</v>
      </c>
      <c r="M270" s="35" t="b">
        <v>0</v>
      </c>
      <c r="N270" s="35" t="b">
        <v>0</v>
      </c>
      <c r="O270" s="35" t="b">
        <v>0</v>
      </c>
      <c r="P270" s="35" t="b">
        <v>0</v>
      </c>
      <c r="Q270" s="35" t="b">
        <v>0</v>
      </c>
      <c r="R270" s="14"/>
      <c r="S270" s="14"/>
      <c r="T270" s="14"/>
      <c r="U270" s="14"/>
      <c r="V270" s="14"/>
      <c r="W270" s="14"/>
    </row>
    <row r="271" ht="15.75" customHeight="1">
      <c r="A271" s="18" t="s">
        <v>3403</v>
      </c>
      <c r="B271" s="22" t="s">
        <v>3406</v>
      </c>
      <c r="C271" s="22" t="s">
        <v>3408</v>
      </c>
      <c r="D271" s="22" t="s">
        <v>3410</v>
      </c>
      <c r="E271" s="31" t="str">
        <f>IFERROR(__xludf.DUMMYFUNCTION("GOOGLETRANSLATE(D271,""zh-CN"",""vi"")"),"Anh ấy lại đến đây rồi.")</f>
        <v>Anh ấy lại đến đây rồi.</v>
      </c>
      <c r="F271" s="26"/>
      <c r="G271" s="36" t="b">
        <f t="shared" si="1"/>
        <v>0</v>
      </c>
      <c r="H271" s="35" t="b">
        <v>0</v>
      </c>
      <c r="I271" s="35" t="b">
        <v>0</v>
      </c>
      <c r="J271" s="35" t="b">
        <v>0</v>
      </c>
      <c r="K271" s="35" t="b">
        <v>0</v>
      </c>
      <c r="L271" s="35" t="b">
        <v>0</v>
      </c>
      <c r="M271" s="35" t="b">
        <v>0</v>
      </c>
      <c r="N271" s="35" t="b">
        <v>0</v>
      </c>
      <c r="O271" s="35" t="b">
        <v>0</v>
      </c>
      <c r="P271" s="35" t="b">
        <v>0</v>
      </c>
      <c r="Q271" s="35" t="b">
        <v>0</v>
      </c>
      <c r="R271" s="14"/>
      <c r="S271" s="14"/>
      <c r="T271" s="14"/>
      <c r="U271" s="14"/>
      <c r="V271" s="14"/>
      <c r="W271" s="14"/>
    </row>
    <row r="272" ht="15.75" customHeight="1">
      <c r="A272" s="18" t="s">
        <v>3415</v>
      </c>
      <c r="B272" s="22" t="s">
        <v>3416</v>
      </c>
      <c r="C272" s="22" t="s">
        <v>3417</v>
      </c>
      <c r="D272" s="22" t="s">
        <v>3418</v>
      </c>
      <c r="E272" s="31" t="str">
        <f>IFERROR(__xludf.DUMMYFUNCTION("GOOGLETRANSLATE(D272,""zh-CN"",""vi"")"),"Anh ấy là một ca sĩ nổi tiếng.")</f>
        <v>Anh ấy là một ca sĩ nổi tiếng.</v>
      </c>
      <c r="F272" s="26"/>
      <c r="G272" s="36" t="b">
        <f t="shared" si="1"/>
        <v>0</v>
      </c>
      <c r="H272" s="35" t="b">
        <v>0</v>
      </c>
      <c r="I272" s="35" t="b">
        <v>0</v>
      </c>
      <c r="J272" s="35" t="b">
        <v>0</v>
      </c>
      <c r="K272" s="35" t="b">
        <v>0</v>
      </c>
      <c r="L272" s="35" t="b">
        <v>0</v>
      </c>
      <c r="M272" s="35" t="b">
        <v>0</v>
      </c>
      <c r="N272" s="35" t="b">
        <v>0</v>
      </c>
      <c r="O272" s="35" t="b">
        <v>0</v>
      </c>
      <c r="P272" s="35" t="b">
        <v>0</v>
      </c>
      <c r="Q272" s="35" t="b">
        <v>0</v>
      </c>
      <c r="R272" s="14"/>
      <c r="S272" s="14"/>
      <c r="T272" s="14"/>
      <c r="U272" s="14"/>
      <c r="V272" s="14"/>
      <c r="W272" s="14"/>
    </row>
    <row r="273" ht="15.75" customHeight="1">
      <c r="A273" s="18" t="s">
        <v>3423</v>
      </c>
      <c r="B273" s="22" t="s">
        <v>3425</v>
      </c>
      <c r="C273" s="22" t="s">
        <v>3427</v>
      </c>
      <c r="D273" s="22" t="s">
        <v>3429</v>
      </c>
      <c r="E273" s="31" t="str">
        <f>IFERROR(__xludf.DUMMYFUNCTION("GOOGLETRANSLATE(D273,""zh-CN"",""vi"")"),"Tôi tình cờ gặp anh ấy trên đường.")</f>
        <v>Tôi tình cờ gặp anh ấy trên đường.</v>
      </c>
      <c r="F273" s="26"/>
      <c r="G273" s="36" t="b">
        <f t="shared" si="1"/>
        <v>0</v>
      </c>
      <c r="H273" s="35" t="b">
        <v>0</v>
      </c>
      <c r="I273" s="35" t="b">
        <v>0</v>
      </c>
      <c r="J273" s="35" t="b">
        <v>0</v>
      </c>
      <c r="K273" s="35" t="b">
        <v>0</v>
      </c>
      <c r="L273" s="35" t="b">
        <v>0</v>
      </c>
      <c r="M273" s="35" t="b">
        <v>0</v>
      </c>
      <c r="N273" s="35" t="b">
        <v>0</v>
      </c>
      <c r="O273" s="35" t="b">
        <v>0</v>
      </c>
      <c r="P273" s="35" t="b">
        <v>0</v>
      </c>
      <c r="Q273" s="35" t="b">
        <v>0</v>
      </c>
      <c r="R273" s="14"/>
      <c r="S273" s="14"/>
      <c r="T273" s="14"/>
      <c r="U273" s="14"/>
      <c r="V273" s="14"/>
      <c r="W273" s="14"/>
    </row>
    <row r="274" ht="15.75" customHeight="1">
      <c r="A274" s="18" t="s">
        <v>3446</v>
      </c>
      <c r="B274" s="22" t="s">
        <v>3447</v>
      </c>
      <c r="C274" s="22" t="s">
        <v>3448</v>
      </c>
      <c r="D274" s="22" t="s">
        <v>3449</v>
      </c>
      <c r="E274" s="31" t="str">
        <f>IFERROR(__xludf.DUMMYFUNCTION("GOOGLETRANSLATE(D274,""zh-CN"",""vi"")"),"Đêm nay mặt trăng rất tròn.")</f>
        <v>Đêm nay mặt trăng rất tròn.</v>
      </c>
      <c r="F274" s="26"/>
      <c r="G274" s="36" t="b">
        <f t="shared" si="1"/>
        <v>0</v>
      </c>
      <c r="H274" s="35" t="b">
        <v>0</v>
      </c>
      <c r="I274" s="35" t="b">
        <v>0</v>
      </c>
      <c r="J274" s="35" t="b">
        <v>0</v>
      </c>
      <c r="K274" s="35" t="b">
        <v>0</v>
      </c>
      <c r="L274" s="35" t="b">
        <v>0</v>
      </c>
      <c r="M274" s="35" t="b">
        <v>0</v>
      </c>
      <c r="N274" s="35" t="b">
        <v>0</v>
      </c>
      <c r="O274" s="35" t="b">
        <v>0</v>
      </c>
      <c r="P274" s="35" t="b">
        <v>0</v>
      </c>
      <c r="Q274" s="35" t="b">
        <v>0</v>
      </c>
      <c r="R274" s="14"/>
      <c r="S274" s="14"/>
      <c r="T274" s="14"/>
      <c r="U274" s="14"/>
      <c r="V274" s="14"/>
      <c r="W274" s="14"/>
    </row>
    <row r="275" ht="15.75" customHeight="1">
      <c r="A275" s="18" t="s">
        <v>3454</v>
      </c>
      <c r="B275" s="22" t="s">
        <v>3455</v>
      </c>
      <c r="C275" s="22" t="s">
        <v>3456</v>
      </c>
      <c r="D275" s="22" t="s">
        <v>3457</v>
      </c>
      <c r="E275" s="31" t="str">
        <f>IFERROR(__xludf.DUMMYFUNCTION("GOOGLETRANSLATE(D275,""zh-CN"",""vi"")"),"Những đám mây trên bầu trời thật đẹp.")</f>
        <v>Những đám mây trên bầu trời thật đẹp.</v>
      </c>
      <c r="F275" s="26"/>
      <c r="G275" s="36" t="b">
        <f t="shared" si="1"/>
        <v>0</v>
      </c>
      <c r="H275" s="35" t="b">
        <v>0</v>
      </c>
      <c r="I275" s="35" t="b">
        <v>0</v>
      </c>
      <c r="J275" s="35" t="b">
        <v>0</v>
      </c>
      <c r="K275" s="35" t="b">
        <v>0</v>
      </c>
      <c r="L275" s="35" t="b">
        <v>0</v>
      </c>
      <c r="M275" s="35" t="b">
        <v>0</v>
      </c>
      <c r="N275" s="35" t="b">
        <v>0</v>
      </c>
      <c r="O275" s="35" t="b">
        <v>0</v>
      </c>
      <c r="P275" s="35" t="b">
        <v>0</v>
      </c>
      <c r="Q275" s="35" t="b">
        <v>0</v>
      </c>
      <c r="R275" s="14"/>
      <c r="S275" s="14"/>
      <c r="T275" s="14"/>
      <c r="U275" s="14"/>
      <c r="V275" s="14"/>
      <c r="W275" s="14"/>
    </row>
    <row r="276" ht="15.75" customHeight="1">
      <c r="A276" s="18" t="s">
        <v>3463</v>
      </c>
      <c r="B276" s="22" t="s">
        <v>3465</v>
      </c>
      <c r="C276" s="22" t="s">
        <v>3466</v>
      </c>
      <c r="D276" s="22" t="s">
        <v>3468</v>
      </c>
      <c r="E276" s="31" t="str">
        <f>IFERROR(__xludf.DUMMYFUNCTION("GOOGLETRANSLATE(D276,""zh-CN"",""vi"")"),"Mời đứng ở đây.")</f>
        <v>Mời đứng ở đây.</v>
      </c>
      <c r="F276" s="26"/>
      <c r="G276" s="36" t="b">
        <f t="shared" si="1"/>
        <v>0</v>
      </c>
      <c r="H276" s="35" t="b">
        <v>0</v>
      </c>
      <c r="I276" s="35" t="b">
        <v>0</v>
      </c>
      <c r="J276" s="35" t="b">
        <v>0</v>
      </c>
      <c r="K276" s="35" t="b">
        <v>0</v>
      </c>
      <c r="L276" s="35" t="b">
        <v>0</v>
      </c>
      <c r="M276" s="35" t="b">
        <v>0</v>
      </c>
      <c r="N276" s="35" t="b">
        <v>0</v>
      </c>
      <c r="O276" s="35" t="b">
        <v>0</v>
      </c>
      <c r="P276" s="35" t="b">
        <v>0</v>
      </c>
      <c r="Q276" s="35" t="b">
        <v>0</v>
      </c>
      <c r="R276" s="14"/>
      <c r="S276" s="14"/>
      <c r="T276" s="14"/>
      <c r="U276" s="14"/>
      <c r="V276" s="14"/>
      <c r="W276" s="14"/>
    </row>
    <row r="277" ht="15.75" customHeight="1">
      <c r="A277" s="18" t="s">
        <v>121</v>
      </c>
      <c r="B277" s="22" t="s">
        <v>3473</v>
      </c>
      <c r="C277" s="22" t="s">
        <v>123</v>
      </c>
      <c r="D277" s="22" t="s">
        <v>3476</v>
      </c>
      <c r="E277" s="31" t="str">
        <f>IFERROR(__xludf.DUMMYFUNCTION("GOOGLETRANSLATE(D277,""zh-CN"",""vi"")"),"Anh ấy rất cao.")</f>
        <v>Anh ấy rất cao.</v>
      </c>
      <c r="F277" s="26"/>
      <c r="G277" s="36" t="b">
        <f t="shared" si="1"/>
        <v>0</v>
      </c>
      <c r="H277" s="35" t="b">
        <v>0</v>
      </c>
      <c r="I277" s="35" t="b">
        <v>0</v>
      </c>
      <c r="J277" s="35" t="b">
        <v>0</v>
      </c>
      <c r="K277" s="35" t="b">
        <v>0</v>
      </c>
      <c r="L277" s="35" t="b">
        <v>0</v>
      </c>
      <c r="M277" s="35" t="b">
        <v>0</v>
      </c>
      <c r="N277" s="35" t="b">
        <v>0</v>
      </c>
      <c r="O277" s="35" t="b">
        <v>0</v>
      </c>
      <c r="P277" s="35" t="b">
        <v>0</v>
      </c>
      <c r="Q277" s="35" t="b">
        <v>0</v>
      </c>
      <c r="R277" s="14"/>
      <c r="S277" s="14"/>
      <c r="T277" s="14"/>
      <c r="U277" s="14"/>
      <c r="V277" s="14"/>
      <c r="W277" s="14"/>
    </row>
    <row r="278" ht="15.75" customHeight="1">
      <c r="A278" s="18" t="s">
        <v>3502</v>
      </c>
      <c r="B278" s="22" t="s">
        <v>3503</v>
      </c>
      <c r="C278" s="22" t="s">
        <v>665</v>
      </c>
      <c r="D278" s="22" t="s">
        <v>3504</v>
      </c>
      <c r="E278" s="31" t="str">
        <f>IFERROR(__xludf.DUMMYFUNCTION("GOOGLETRANSLATE(D278,""zh-CN"",""vi"")"),"Anh ấy rất lo lắng.")</f>
        <v>Anh ấy rất lo lắng.</v>
      </c>
      <c r="F278" s="26"/>
      <c r="G278" s="36" t="b">
        <f t="shared" si="1"/>
        <v>0</v>
      </c>
      <c r="H278" s="35" t="b">
        <v>0</v>
      </c>
      <c r="I278" s="35" t="b">
        <v>0</v>
      </c>
      <c r="J278" s="35" t="b">
        <v>0</v>
      </c>
      <c r="K278" s="35" t="b">
        <v>0</v>
      </c>
      <c r="L278" s="35" t="b">
        <v>0</v>
      </c>
      <c r="M278" s="35" t="b">
        <v>0</v>
      </c>
      <c r="N278" s="35" t="b">
        <v>0</v>
      </c>
      <c r="O278" s="35" t="b">
        <v>0</v>
      </c>
      <c r="P278" s="35" t="b">
        <v>0</v>
      </c>
      <c r="Q278" s="35" t="b">
        <v>0</v>
      </c>
      <c r="R278" s="14"/>
      <c r="S278" s="14"/>
      <c r="T278" s="14"/>
      <c r="U278" s="14"/>
      <c r="V278" s="14"/>
      <c r="W278" s="14"/>
    </row>
    <row r="279" ht="15.75" customHeight="1">
      <c r="A279" s="18" t="s">
        <v>3509</v>
      </c>
      <c r="B279" s="22" t="s">
        <v>3514</v>
      </c>
      <c r="C279" s="22" t="s">
        <v>3515</v>
      </c>
      <c r="D279" s="22" t="s">
        <v>3516</v>
      </c>
      <c r="E279" s="31" t="str">
        <f>IFERROR(__xludf.DUMMYFUNCTION("GOOGLETRANSLATE(D279,""zh-CN"",""vi"")"),"Tôi sẽ chăm sóc bạn.")</f>
        <v>Tôi sẽ chăm sóc bạn.</v>
      </c>
      <c r="F279" s="26"/>
      <c r="G279" s="36" t="b">
        <f t="shared" si="1"/>
        <v>0</v>
      </c>
      <c r="H279" s="35" t="b">
        <v>0</v>
      </c>
      <c r="I279" s="35" t="b">
        <v>0</v>
      </c>
      <c r="J279" s="35" t="b">
        <v>0</v>
      </c>
      <c r="K279" s="35" t="b">
        <v>0</v>
      </c>
      <c r="L279" s="35" t="b">
        <v>0</v>
      </c>
      <c r="M279" s="35" t="b">
        <v>0</v>
      </c>
      <c r="N279" s="35" t="b">
        <v>0</v>
      </c>
      <c r="O279" s="35" t="b">
        <v>0</v>
      </c>
      <c r="P279" s="35" t="b">
        <v>0</v>
      </c>
      <c r="Q279" s="35" t="b">
        <v>0</v>
      </c>
      <c r="R279" s="14"/>
      <c r="S279" s="14"/>
      <c r="T279" s="14"/>
      <c r="U279" s="14"/>
      <c r="V279" s="14"/>
      <c r="W279" s="14"/>
    </row>
    <row r="280" ht="15.75" customHeight="1">
      <c r="A280" s="18" t="s">
        <v>3521</v>
      </c>
      <c r="B280" s="22" t="s">
        <v>3522</v>
      </c>
      <c r="C280" s="22" t="s">
        <v>3523</v>
      </c>
      <c r="D280" s="22" t="s">
        <v>3524</v>
      </c>
      <c r="E280" s="31" t="str">
        <f>IFERROR(__xludf.DUMMYFUNCTION("GOOGLETRANSLATE(D280,""zh-CN"",""vi"")"),"Bức ảnh này đẹp quá.")</f>
        <v>Bức ảnh này đẹp quá.</v>
      </c>
      <c r="F280" s="26"/>
      <c r="G280" s="36" t="b">
        <f t="shared" si="1"/>
        <v>0</v>
      </c>
      <c r="H280" s="35" t="b">
        <v>0</v>
      </c>
      <c r="I280" s="35" t="b">
        <v>0</v>
      </c>
      <c r="J280" s="35" t="b">
        <v>0</v>
      </c>
      <c r="K280" s="35" t="b">
        <v>0</v>
      </c>
      <c r="L280" s="35" t="b">
        <v>0</v>
      </c>
      <c r="M280" s="35" t="b">
        <v>0</v>
      </c>
      <c r="N280" s="35" t="b">
        <v>0</v>
      </c>
      <c r="O280" s="35" t="b">
        <v>0</v>
      </c>
      <c r="P280" s="35" t="b">
        <v>0</v>
      </c>
      <c r="Q280" s="35" t="b">
        <v>0</v>
      </c>
      <c r="R280" s="14"/>
      <c r="S280" s="14"/>
      <c r="T280" s="14"/>
      <c r="U280" s="14"/>
      <c r="V280" s="14"/>
      <c r="W280" s="14"/>
    </row>
    <row r="281" ht="15.75" customHeight="1">
      <c r="A281" s="18" t="s">
        <v>3531</v>
      </c>
      <c r="B281" s="22" t="s">
        <v>3534</v>
      </c>
      <c r="C281" s="22" t="s">
        <v>3535</v>
      </c>
      <c r="D281" s="22" t="s">
        <v>3536</v>
      </c>
      <c r="E281" s="31" t="str">
        <f>IFERROR(__xludf.DUMMYFUNCTION("GOOGLETRANSLATE(D281,""zh-CN"",""vi"")"),"Tôi vừa mua một chiếc máy ảnh mới.")</f>
        <v>Tôi vừa mua một chiếc máy ảnh mới.</v>
      </c>
      <c r="F281" s="26"/>
      <c r="G281" s="36" t="b">
        <f t="shared" si="1"/>
        <v>0</v>
      </c>
      <c r="H281" s="35" t="b">
        <v>0</v>
      </c>
      <c r="I281" s="35" t="b">
        <v>0</v>
      </c>
      <c r="J281" s="35" t="b">
        <v>0</v>
      </c>
      <c r="K281" s="35" t="b">
        <v>0</v>
      </c>
      <c r="L281" s="35" t="b">
        <v>0</v>
      </c>
      <c r="M281" s="35" t="b">
        <v>0</v>
      </c>
      <c r="N281" s="35" t="b">
        <v>0</v>
      </c>
      <c r="O281" s="35" t="b">
        <v>0</v>
      </c>
      <c r="P281" s="35" t="b">
        <v>0</v>
      </c>
      <c r="Q281" s="35" t="b">
        <v>0</v>
      </c>
      <c r="R281" s="14"/>
      <c r="S281" s="14"/>
      <c r="T281" s="14"/>
      <c r="U281" s="14"/>
      <c r="V281" s="14"/>
      <c r="W281" s="14"/>
    </row>
    <row r="282" ht="15.75" customHeight="1">
      <c r="A282" s="18" t="s">
        <v>3541</v>
      </c>
      <c r="B282" s="22" t="s">
        <v>3542</v>
      </c>
      <c r="C282" s="22" t="s">
        <v>3543</v>
      </c>
      <c r="D282" s="22" t="s">
        <v>3544</v>
      </c>
      <c r="E282" s="31" t="str">
        <f>IFERROR(__xludf.DUMMYFUNCTION("GOOGLETRANSLATE(D282,""zh-CN"",""vi"")"),"Tôi chỉ ăn một chút thôi.")</f>
        <v>Tôi chỉ ăn một chút thôi.</v>
      </c>
      <c r="F282" s="26"/>
      <c r="G282" s="36" t="b">
        <f t="shared" si="1"/>
        <v>0</v>
      </c>
      <c r="H282" s="35" t="b">
        <v>0</v>
      </c>
      <c r="I282" s="35" t="b">
        <v>0</v>
      </c>
      <c r="J282" s="35" t="b">
        <v>0</v>
      </c>
      <c r="K282" s="35" t="b">
        <v>0</v>
      </c>
      <c r="L282" s="35" t="b">
        <v>0</v>
      </c>
      <c r="M282" s="35" t="b">
        <v>0</v>
      </c>
      <c r="N282" s="35" t="b">
        <v>0</v>
      </c>
      <c r="O282" s="35" t="b">
        <v>0</v>
      </c>
      <c r="P282" s="35" t="b">
        <v>0</v>
      </c>
      <c r="Q282" s="35" t="b">
        <v>0</v>
      </c>
      <c r="R282" s="14"/>
      <c r="S282" s="14"/>
      <c r="T282" s="14"/>
      <c r="U282" s="14"/>
      <c r="V282" s="14"/>
      <c r="W282" s="14"/>
    </row>
    <row r="283" ht="15.75" customHeight="1">
      <c r="A283" s="18" t="s">
        <v>3549</v>
      </c>
      <c r="B283" s="22" t="s">
        <v>3550</v>
      </c>
      <c r="C283" s="22" t="s">
        <v>3551</v>
      </c>
      <c r="D283" s="22" t="s">
        <v>3552</v>
      </c>
      <c r="E283" s="31" t="str">
        <f>IFERROR(__xludf.DUMMYFUNCTION("GOOGLETRANSLATE(D283,""zh-CN"",""vi"")"),"Anh ta đứng giữa phòng.")</f>
        <v>Anh ta đứng giữa phòng.</v>
      </c>
      <c r="F283" s="26"/>
      <c r="G283" s="36" t="b">
        <f t="shared" si="1"/>
        <v>0</v>
      </c>
      <c r="H283" s="35" t="b">
        <v>0</v>
      </c>
      <c r="I283" s="35" t="b">
        <v>0</v>
      </c>
      <c r="J283" s="35" t="b">
        <v>0</v>
      </c>
      <c r="K283" s="35" t="b">
        <v>0</v>
      </c>
      <c r="L283" s="35" t="b">
        <v>0</v>
      </c>
      <c r="M283" s="35" t="b">
        <v>0</v>
      </c>
      <c r="N283" s="35" t="b">
        <v>0</v>
      </c>
      <c r="O283" s="35" t="b">
        <v>0</v>
      </c>
      <c r="P283" s="35" t="b">
        <v>0</v>
      </c>
      <c r="Q283" s="35" t="b">
        <v>0</v>
      </c>
      <c r="R283" s="14"/>
      <c r="S283" s="14"/>
      <c r="T283" s="14"/>
      <c r="U283" s="14"/>
      <c r="V283" s="14"/>
      <c r="W283" s="14"/>
    </row>
    <row r="284" ht="15.75" customHeight="1">
      <c r="A284" s="18" t="s">
        <v>3559</v>
      </c>
      <c r="B284" s="22" t="s">
        <v>3561</v>
      </c>
      <c r="C284" s="22" t="s">
        <v>1092</v>
      </c>
      <c r="D284" s="22" t="s">
        <v>3563</v>
      </c>
      <c r="E284" s="31" t="str">
        <f>IFERROR(__xludf.DUMMYFUNCTION("GOOGLETRANSLATE(D284,""zh-CN"",""vi"")"),"Cuối cùng thì tôi cũng làm xong bài tập về nhà rồi.")</f>
        <v>Cuối cùng thì tôi cũng làm xong bài tập về nhà rồi.</v>
      </c>
      <c r="F284" s="26"/>
      <c r="G284" s="36" t="b">
        <f t="shared" si="1"/>
        <v>0</v>
      </c>
      <c r="H284" s="35" t="b">
        <v>0</v>
      </c>
      <c r="I284" s="35" t="b">
        <v>0</v>
      </c>
      <c r="J284" s="35" t="b">
        <v>0</v>
      </c>
      <c r="K284" s="35" t="b">
        <v>0</v>
      </c>
      <c r="L284" s="35" t="b">
        <v>0</v>
      </c>
      <c r="M284" s="35" t="b">
        <v>0</v>
      </c>
      <c r="N284" s="35" t="b">
        <v>0</v>
      </c>
      <c r="O284" s="35" t="b">
        <v>0</v>
      </c>
      <c r="P284" s="35" t="b">
        <v>0</v>
      </c>
      <c r="Q284" s="35" t="b">
        <v>0</v>
      </c>
      <c r="R284" s="14"/>
      <c r="S284" s="14"/>
      <c r="T284" s="14"/>
      <c r="U284" s="14"/>
      <c r="V284" s="14"/>
      <c r="W284" s="14"/>
    </row>
    <row r="285" ht="15.75" customHeight="1">
      <c r="A285" s="18" t="s">
        <v>3568</v>
      </c>
      <c r="B285" s="22" t="s">
        <v>3569</v>
      </c>
      <c r="C285" s="22" t="s">
        <v>3570</v>
      </c>
      <c r="D285" s="22" t="s">
        <v>3571</v>
      </c>
      <c r="E285" s="31" t="str">
        <f>IFERROR(__xludf.DUMMYFUNCTION("GOOGLETRANSLATE(D285,""zh-CN"",""vi"")"),"Anh ấy thích loài hoa này.")</f>
        <v>Anh ấy thích loài hoa này.</v>
      </c>
      <c r="F285" s="26"/>
      <c r="G285" s="36" t="b">
        <f t="shared" si="1"/>
        <v>0</v>
      </c>
      <c r="H285" s="35" t="b">
        <v>0</v>
      </c>
      <c r="I285" s="35" t="b">
        <v>0</v>
      </c>
      <c r="J285" s="35" t="b">
        <v>0</v>
      </c>
      <c r="K285" s="35" t="b">
        <v>0</v>
      </c>
      <c r="L285" s="35" t="b">
        <v>0</v>
      </c>
      <c r="M285" s="35" t="b">
        <v>0</v>
      </c>
      <c r="N285" s="35" t="b">
        <v>0</v>
      </c>
      <c r="O285" s="35" t="b">
        <v>0</v>
      </c>
      <c r="P285" s="35" t="b">
        <v>0</v>
      </c>
      <c r="Q285" s="35" t="b">
        <v>0</v>
      </c>
      <c r="R285" s="14"/>
      <c r="S285" s="14"/>
      <c r="T285" s="14"/>
      <c r="U285" s="14"/>
      <c r="V285" s="14"/>
      <c r="W285" s="14"/>
    </row>
    <row r="286" ht="15.75" customHeight="1">
      <c r="A286" s="18" t="s">
        <v>3576</v>
      </c>
      <c r="B286" s="22" t="s">
        <v>3577</v>
      </c>
      <c r="C286" s="22" t="s">
        <v>3578</v>
      </c>
      <c r="D286" s="22" t="s">
        <v>3579</v>
      </c>
      <c r="E286" s="31" t="str">
        <f>IFERROR(__xludf.DUMMYFUNCTION("GOOGLETRANSLATE(D286,""zh-CN"",""vi"")"),"Điều này rất quan trọng.")</f>
        <v>Điều này rất quan trọng.</v>
      </c>
      <c r="F286" s="26"/>
      <c r="G286" s="36" t="b">
        <f t="shared" si="1"/>
        <v>0</v>
      </c>
      <c r="H286" s="35" t="b">
        <v>0</v>
      </c>
      <c r="I286" s="35" t="b">
        <v>0</v>
      </c>
      <c r="J286" s="35" t="b">
        <v>0</v>
      </c>
      <c r="K286" s="35" t="b">
        <v>0</v>
      </c>
      <c r="L286" s="35" t="b">
        <v>0</v>
      </c>
      <c r="M286" s="35" t="b">
        <v>0</v>
      </c>
      <c r="N286" s="35" t="b">
        <v>0</v>
      </c>
      <c r="O286" s="35" t="b">
        <v>0</v>
      </c>
      <c r="P286" s="35" t="b">
        <v>0</v>
      </c>
      <c r="Q286" s="35" t="b">
        <v>0</v>
      </c>
      <c r="R286" s="14"/>
      <c r="S286" s="14"/>
      <c r="T286" s="14"/>
      <c r="U286" s="14"/>
      <c r="V286" s="14"/>
      <c r="W286" s="14"/>
    </row>
    <row r="287" ht="15.75" customHeight="1">
      <c r="A287" s="18" t="s">
        <v>3582</v>
      </c>
      <c r="B287" s="22" t="s">
        <v>3583</v>
      </c>
      <c r="C287" s="22" t="s">
        <v>3584</v>
      </c>
      <c r="D287" s="22" t="s">
        <v>3585</v>
      </c>
      <c r="E287" s="31" t="str">
        <f>IFERROR(__xludf.DUMMYFUNCTION("GOOGLETRANSLATE(D287,""zh-CN"",""vi"")"),"Vấn đề chính là không đủ thời gian.")</f>
        <v>Vấn đề chính là không đủ thời gian.</v>
      </c>
      <c r="F287" s="26"/>
      <c r="G287" s="36" t="b">
        <f t="shared" si="1"/>
        <v>0</v>
      </c>
      <c r="H287" s="35" t="b">
        <v>0</v>
      </c>
      <c r="I287" s="35" t="b">
        <v>0</v>
      </c>
      <c r="J287" s="35" t="b">
        <v>0</v>
      </c>
      <c r="K287" s="35" t="b">
        <v>0</v>
      </c>
      <c r="L287" s="35" t="b">
        <v>0</v>
      </c>
      <c r="M287" s="35" t="b">
        <v>0</v>
      </c>
      <c r="N287" s="35" t="b">
        <v>0</v>
      </c>
      <c r="O287" s="35" t="b">
        <v>0</v>
      </c>
      <c r="P287" s="35" t="b">
        <v>0</v>
      </c>
      <c r="Q287" s="35" t="b">
        <v>0</v>
      </c>
      <c r="R287" s="14"/>
      <c r="S287" s="14"/>
      <c r="T287" s="14"/>
      <c r="U287" s="14"/>
      <c r="V287" s="14"/>
      <c r="W287" s="14"/>
    </row>
    <row r="288" ht="15.75" customHeight="1">
      <c r="A288" s="18" t="s">
        <v>3590</v>
      </c>
      <c r="B288" s="22" t="s">
        <v>3591</v>
      </c>
      <c r="C288" s="22" t="s">
        <v>3592</v>
      </c>
      <c r="D288" s="22" t="s">
        <v>3594</v>
      </c>
      <c r="E288" s="31" t="str">
        <f>IFERROR(__xludf.DUMMYFUNCTION("GOOGLETRANSLATE(D288,""zh-CN"",""vi"")"),"Tôi đã đến công viên vào cuối tuần.")</f>
        <v>Tôi đã đến công viên vào cuối tuần.</v>
      </c>
      <c r="F288" s="26"/>
      <c r="G288" s="36" t="b">
        <f t="shared" si="1"/>
        <v>0</v>
      </c>
      <c r="H288" s="35" t="b">
        <v>0</v>
      </c>
      <c r="I288" s="35" t="b">
        <v>0</v>
      </c>
      <c r="J288" s="35" t="b">
        <v>0</v>
      </c>
      <c r="K288" s="35" t="b">
        <v>0</v>
      </c>
      <c r="L288" s="35" t="b">
        <v>0</v>
      </c>
      <c r="M288" s="35" t="b">
        <v>0</v>
      </c>
      <c r="N288" s="35" t="b">
        <v>0</v>
      </c>
      <c r="O288" s="35" t="b">
        <v>0</v>
      </c>
      <c r="P288" s="35" t="b">
        <v>0</v>
      </c>
      <c r="Q288" s="35" t="b">
        <v>0</v>
      </c>
      <c r="R288" s="14"/>
      <c r="S288" s="14"/>
      <c r="T288" s="14"/>
      <c r="U288" s="14"/>
      <c r="V288" s="14"/>
      <c r="W288" s="14"/>
    </row>
    <row r="289" ht="15.75" customHeight="1">
      <c r="A289" s="18" t="s">
        <v>3598</v>
      </c>
      <c r="B289" s="22" t="s">
        <v>2338</v>
      </c>
      <c r="C289" s="22" t="s">
        <v>3600</v>
      </c>
      <c r="D289" s="22" t="s">
        <v>1352</v>
      </c>
      <c r="E289" s="31" t="str">
        <f>IFERROR(__xludf.DUMMYFUNCTION("GOOGLETRANSLATE(D289,""zh-CN"",""vi"")"),"Chúc mừng sinh nhật bạn.")</f>
        <v>Chúc mừng sinh nhật bạn.</v>
      </c>
      <c r="F289" s="26"/>
      <c r="G289" s="36" t="b">
        <f t="shared" si="1"/>
        <v>0</v>
      </c>
      <c r="H289" s="35" t="b">
        <v>0</v>
      </c>
      <c r="I289" s="35" t="b">
        <v>0</v>
      </c>
      <c r="J289" s="35" t="b">
        <v>0</v>
      </c>
      <c r="K289" s="35" t="b">
        <v>0</v>
      </c>
      <c r="L289" s="35" t="b">
        <v>0</v>
      </c>
      <c r="M289" s="35" t="b">
        <v>0</v>
      </c>
      <c r="N289" s="35" t="b">
        <v>0</v>
      </c>
      <c r="O289" s="35" t="b">
        <v>0</v>
      </c>
      <c r="P289" s="35" t="b">
        <v>0</v>
      </c>
      <c r="Q289" s="35" t="b">
        <v>0</v>
      </c>
      <c r="R289" s="14"/>
      <c r="S289" s="14"/>
      <c r="T289" s="14"/>
      <c r="U289" s="14"/>
      <c r="V289" s="14"/>
      <c r="W289" s="14"/>
    </row>
    <row r="290" ht="15.75" customHeight="1">
      <c r="A290" s="18" t="s">
        <v>3603</v>
      </c>
      <c r="B290" s="22" t="s">
        <v>3605</v>
      </c>
      <c r="C290" s="22" t="s">
        <v>3607</v>
      </c>
      <c r="D290" s="22" t="s">
        <v>3609</v>
      </c>
      <c r="E290" s="31" t="str">
        <f>IFERROR(__xludf.DUMMYFUNCTION("GOOGLETRANSLATE(D290,""zh-CN"",""vi"")"),"Hãy cẩn thận.")</f>
        <v>Hãy cẩn thận.</v>
      </c>
      <c r="F290" s="26"/>
      <c r="G290" s="36" t="b">
        <f t="shared" si="1"/>
        <v>0</v>
      </c>
      <c r="H290" s="35" t="b">
        <v>0</v>
      </c>
      <c r="I290" s="35" t="b">
        <v>0</v>
      </c>
      <c r="J290" s="35" t="b">
        <v>0</v>
      </c>
      <c r="K290" s="35" t="b">
        <v>0</v>
      </c>
      <c r="L290" s="35" t="b">
        <v>0</v>
      </c>
      <c r="M290" s="35" t="b">
        <v>0</v>
      </c>
      <c r="N290" s="35" t="b">
        <v>0</v>
      </c>
      <c r="O290" s="35" t="b">
        <v>0</v>
      </c>
      <c r="P290" s="35" t="b">
        <v>0</v>
      </c>
      <c r="Q290" s="35" t="b">
        <v>0</v>
      </c>
      <c r="R290" s="14"/>
      <c r="S290" s="14"/>
      <c r="T290" s="14"/>
      <c r="U290" s="14"/>
      <c r="V290" s="14"/>
      <c r="W290" s="14"/>
    </row>
    <row r="291" ht="15.75" customHeight="1">
      <c r="A291" s="18" t="s">
        <v>3610</v>
      </c>
      <c r="B291" s="22" t="s">
        <v>3611</v>
      </c>
      <c r="C291" s="22" t="s">
        <v>3612</v>
      </c>
      <c r="D291" s="22" t="s">
        <v>3613</v>
      </c>
      <c r="E291" s="31" t="str">
        <f>IFERROR(__xludf.DUMMYFUNCTION("GOOGLETRANSLATE(D291,""zh-CN"",""vi"")"),"Tôi cần một cuốn từ điển.")</f>
        <v>Tôi cần một cuốn từ điển.</v>
      </c>
      <c r="F291" s="26"/>
      <c r="G291" s="36" t="b">
        <f t="shared" si="1"/>
        <v>0</v>
      </c>
      <c r="H291" s="35" t="b">
        <v>0</v>
      </c>
      <c r="I291" s="35" t="b">
        <v>0</v>
      </c>
      <c r="J291" s="35" t="b">
        <v>0</v>
      </c>
      <c r="K291" s="35" t="b">
        <v>0</v>
      </c>
      <c r="L291" s="35" t="b">
        <v>0</v>
      </c>
      <c r="M291" s="35" t="b">
        <v>0</v>
      </c>
      <c r="N291" s="35" t="b">
        <v>0</v>
      </c>
      <c r="O291" s="35" t="b">
        <v>0</v>
      </c>
      <c r="P291" s="35" t="b">
        <v>0</v>
      </c>
      <c r="Q291" s="35" t="b">
        <v>0</v>
      </c>
      <c r="R291" s="14"/>
      <c r="S291" s="14"/>
      <c r="T291" s="14"/>
      <c r="U291" s="14"/>
      <c r="V291" s="14"/>
      <c r="W291" s="14"/>
    </row>
    <row r="292" ht="15.75" customHeight="1">
      <c r="A292" s="18" t="s">
        <v>3614</v>
      </c>
      <c r="B292" s="22" t="s">
        <v>3615</v>
      </c>
      <c r="C292" s="22" t="s">
        <v>3616</v>
      </c>
      <c r="D292" s="22" t="s">
        <v>3617</v>
      </c>
      <c r="E292" s="31" t="str">
        <f>IFERROR(__xludf.DUMMYFUNCTION("GOOGLETRANSLATE(D292,""zh-CN"",""vi"")"),"Đây là vấn đề của riêng tôi.")</f>
        <v>Đây là vấn đề của riêng tôi.</v>
      </c>
      <c r="F292" s="30"/>
      <c r="G292" s="36" t="b">
        <f t="shared" si="1"/>
        <v>0</v>
      </c>
      <c r="H292" s="35" t="b">
        <v>0</v>
      </c>
      <c r="I292" s="35" t="b">
        <v>0</v>
      </c>
      <c r="J292" s="35" t="b">
        <v>0</v>
      </c>
      <c r="K292" s="35" t="b">
        <v>0</v>
      </c>
      <c r="L292" s="35" t="b">
        <v>0</v>
      </c>
      <c r="M292" s="35" t="b">
        <v>0</v>
      </c>
      <c r="N292" s="35" t="b">
        <v>0</v>
      </c>
      <c r="O292" s="35" t="b">
        <v>0</v>
      </c>
      <c r="P292" s="35" t="b">
        <v>0</v>
      </c>
      <c r="Q292" s="35" t="b">
        <v>0</v>
      </c>
      <c r="R292" s="14"/>
      <c r="S292" s="14"/>
      <c r="T292" s="14"/>
      <c r="U292" s="14"/>
      <c r="V292" s="14"/>
      <c r="W292" s="14"/>
    </row>
    <row r="293" ht="15.75" customHeight="1">
      <c r="A293" s="18" t="s">
        <v>3622</v>
      </c>
      <c r="B293" s="22" t="s">
        <v>3623</v>
      </c>
      <c r="C293" s="22" t="s">
        <v>3353</v>
      </c>
      <c r="D293" s="22" t="s">
        <v>3624</v>
      </c>
      <c r="E293" s="31" t="str">
        <f>IFERROR(__xludf.DUMMYFUNCTION("GOOGLETRANSLATE(D293,""zh-CN"",""vi"")"),"Anh ấy lúc nào cũng rất bận rộn.")</f>
        <v>Anh ấy lúc nào cũng rất bận rộn.</v>
      </c>
      <c r="F293" s="30"/>
      <c r="G293" s="36" t="b">
        <f t="shared" si="1"/>
        <v>0</v>
      </c>
      <c r="H293" s="35" t="b">
        <v>0</v>
      </c>
      <c r="I293" s="35" t="b">
        <v>0</v>
      </c>
      <c r="J293" s="35" t="b">
        <v>0</v>
      </c>
      <c r="K293" s="35" t="b">
        <v>0</v>
      </c>
      <c r="L293" s="35" t="b">
        <v>0</v>
      </c>
      <c r="M293" s="35" t="b">
        <v>0</v>
      </c>
      <c r="N293" s="35" t="b">
        <v>0</v>
      </c>
      <c r="O293" s="35" t="b">
        <v>0</v>
      </c>
      <c r="P293" s="35" t="b">
        <v>0</v>
      </c>
      <c r="Q293" s="35" t="b">
        <v>0</v>
      </c>
      <c r="R293" s="14"/>
      <c r="S293" s="14"/>
      <c r="T293" s="14"/>
      <c r="U293" s="14"/>
      <c r="V293" s="14"/>
      <c r="W293" s="14"/>
    </row>
    <row r="294" ht="15.75" customHeight="1">
      <c r="A294" s="18" t="s">
        <v>3629</v>
      </c>
      <c r="B294" s="22" t="s">
        <v>3630</v>
      </c>
      <c r="C294" s="22" t="s">
        <v>3631</v>
      </c>
      <c r="D294" s="22" t="s">
        <v>3632</v>
      </c>
      <c r="E294" s="31" t="str">
        <f>IFERROR(__xludf.DUMMYFUNCTION("GOOGLETRANSLATE(D294,""zh-CN"",""vi"")"),"Dạo này tôi bận rộn quá.")</f>
        <v>Dạo này tôi bận rộn quá.</v>
      </c>
      <c r="F294" s="30"/>
      <c r="G294" s="36" t="b">
        <f t="shared" si="1"/>
        <v>0</v>
      </c>
      <c r="H294" s="35" t="b">
        <v>0</v>
      </c>
      <c r="I294" s="35" t="b">
        <v>0</v>
      </c>
      <c r="J294" s="35" t="b">
        <v>0</v>
      </c>
      <c r="K294" s="35" t="b">
        <v>0</v>
      </c>
      <c r="L294" s="35" t="b">
        <v>0</v>
      </c>
      <c r="M294" s="35" t="b">
        <v>0</v>
      </c>
      <c r="N294" s="35" t="b">
        <v>0</v>
      </c>
      <c r="O294" s="35" t="b">
        <v>0</v>
      </c>
      <c r="P294" s="35" t="b">
        <v>0</v>
      </c>
      <c r="Q294" s="35" t="b">
        <v>0</v>
      </c>
      <c r="R294" s="14"/>
      <c r="S294" s="14"/>
      <c r="T294" s="14"/>
      <c r="U294" s="14"/>
      <c r="V294" s="14"/>
      <c r="W294" s="14"/>
    </row>
    <row r="295" ht="15.75" customHeight="1">
      <c r="A295" s="18" t="s">
        <v>3637</v>
      </c>
      <c r="B295" s="22" t="s">
        <v>3638</v>
      </c>
      <c r="C295" s="22" t="s">
        <v>3639</v>
      </c>
      <c r="D295" s="22" t="s">
        <v>3640</v>
      </c>
      <c r="E295" s="31" t="str">
        <f>IFERROR(__xludf.DUMMYFUNCTION("GOOGLETRANSLATE(D295,""zh-CN"",""vi"")"),"Tôi đã làm xong bài tập về nhà.")</f>
        <v>Tôi đã làm xong bài tập về nhà.</v>
      </c>
      <c r="F295" s="30"/>
      <c r="G295" s="36" t="b">
        <f t="shared" si="1"/>
        <v>0</v>
      </c>
      <c r="H295" s="35" t="b">
        <v>0</v>
      </c>
      <c r="I295" s="35" t="b">
        <v>0</v>
      </c>
      <c r="J295" s="35" t="b">
        <v>0</v>
      </c>
      <c r="K295" s="35" t="b">
        <v>0</v>
      </c>
      <c r="L295" s="35" t="b">
        <v>0</v>
      </c>
      <c r="M295" s="35" t="b">
        <v>0</v>
      </c>
      <c r="N295" s="35" t="b">
        <v>0</v>
      </c>
      <c r="O295" s="35" t="b">
        <v>0</v>
      </c>
      <c r="P295" s="35" t="b">
        <v>0</v>
      </c>
      <c r="Q295" s="35" t="b">
        <v>0</v>
      </c>
      <c r="R295" s="14"/>
      <c r="S295" s="14"/>
      <c r="T295" s="14"/>
      <c r="U295" s="14"/>
      <c r="V295" s="14"/>
      <c r="W295" s="14"/>
    </row>
    <row r="296" ht="15.75" customHeight="1">
      <c r="A296" s="18" t="s">
        <v>3645</v>
      </c>
      <c r="B296" s="22" t="s">
        <v>3646</v>
      </c>
      <c r="C296" s="22" t="s">
        <v>3647</v>
      </c>
      <c r="D296" s="22" t="s">
        <v>3648</v>
      </c>
      <c r="E296" s="31" t="str">
        <f>IFERROR(__xludf.DUMMYFUNCTION("GOOGLETRANSLATE(D296,""zh-CN"",""vi"")"),"Từ này có chức năng gì?")</f>
        <v>Từ này có chức năng gì?</v>
      </c>
      <c r="F296" s="30"/>
      <c r="G296" s="36" t="b">
        <f t="shared" si="1"/>
        <v>0</v>
      </c>
      <c r="H296" s="35" t="b">
        <v>0</v>
      </c>
      <c r="I296" s="35" t="b">
        <v>0</v>
      </c>
      <c r="J296" s="35" t="b">
        <v>0</v>
      </c>
      <c r="K296" s="35" t="b">
        <v>0</v>
      </c>
      <c r="L296" s="35" t="b">
        <v>0</v>
      </c>
      <c r="M296" s="35" t="b">
        <v>0</v>
      </c>
      <c r="N296" s="35" t="b">
        <v>0</v>
      </c>
      <c r="O296" s="35" t="b">
        <v>0</v>
      </c>
      <c r="P296" s="35" t="b">
        <v>0</v>
      </c>
      <c r="Q296" s="35" t="b">
        <v>0</v>
      </c>
      <c r="R296" s="14"/>
      <c r="S296" s="14"/>
      <c r="T296" s="14"/>
      <c r="U296" s="14"/>
      <c r="V296" s="14"/>
      <c r="W296" s="14"/>
    </row>
    <row r="297" ht="15.75" customHeight="1">
      <c r="A297" s="60"/>
      <c r="B297" s="14"/>
      <c r="C297" s="14"/>
      <c r="D297" s="14"/>
      <c r="E297" s="73"/>
      <c r="F297" s="74"/>
      <c r="G297" s="75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14"/>
      <c r="S297" s="14"/>
      <c r="T297" s="14"/>
      <c r="U297" s="14"/>
      <c r="V297" s="14"/>
      <c r="W297" s="14"/>
    </row>
    <row r="298" ht="15.75" customHeight="1">
      <c r="A298" s="60"/>
      <c r="B298" s="14"/>
      <c r="C298" s="14"/>
      <c r="D298" s="14"/>
      <c r="E298" s="73"/>
      <c r="F298" s="74"/>
      <c r="G298" s="75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14"/>
      <c r="S298" s="14"/>
      <c r="T298" s="14"/>
      <c r="U298" s="14"/>
      <c r="V298" s="14"/>
      <c r="W298" s="14"/>
    </row>
    <row r="299" ht="15.75" customHeight="1">
      <c r="A299" s="60"/>
      <c r="B299" s="14"/>
      <c r="C299" s="14"/>
      <c r="D299" s="14"/>
      <c r="E299" s="73"/>
      <c r="F299" s="74"/>
      <c r="G299" s="75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14"/>
      <c r="S299" s="14"/>
      <c r="T299" s="14"/>
      <c r="U299" s="14"/>
      <c r="V299" s="14"/>
      <c r="W299" s="14"/>
    </row>
    <row r="300" ht="15.75" customHeight="1">
      <c r="A300" s="60"/>
      <c r="B300" s="14"/>
      <c r="C300" s="14"/>
      <c r="D300" s="14"/>
      <c r="E300" s="73"/>
      <c r="F300" s="74"/>
      <c r="G300" s="7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ht="15.75" customHeight="1">
      <c r="A301" s="60"/>
      <c r="B301" s="14"/>
      <c r="C301" s="14"/>
      <c r="D301" s="14"/>
      <c r="E301" s="73"/>
      <c r="F301" s="74"/>
      <c r="G301" s="7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ht="15.75" customHeight="1">
      <c r="A302" s="60"/>
      <c r="B302" s="14"/>
      <c r="C302" s="14"/>
      <c r="D302" s="14"/>
      <c r="E302" s="73"/>
      <c r="F302" s="74"/>
      <c r="G302" s="7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 ht="15.75" customHeight="1">
      <c r="A303" s="60"/>
      <c r="B303" s="14"/>
      <c r="C303" s="14"/>
      <c r="D303" s="14"/>
      <c r="E303" s="73"/>
      <c r="F303" s="74"/>
      <c r="G303" s="7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 ht="15.75" customHeight="1">
      <c r="A304" s="60"/>
      <c r="B304" s="14"/>
      <c r="C304" s="14"/>
      <c r="D304" s="14"/>
      <c r="E304" s="73"/>
      <c r="F304" s="74"/>
      <c r="G304" s="7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 ht="15.75" customHeight="1">
      <c r="A305" s="60"/>
      <c r="B305" s="14"/>
      <c r="C305" s="14"/>
      <c r="D305" s="14"/>
      <c r="E305" s="73"/>
      <c r="F305" s="74"/>
      <c r="G305" s="7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ht="15.75" customHeight="1">
      <c r="A306" s="60"/>
      <c r="B306" s="14"/>
      <c r="C306" s="14"/>
      <c r="D306" s="14"/>
      <c r="E306" s="73"/>
      <c r="F306" s="74"/>
      <c r="G306" s="7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 ht="15.75" customHeight="1">
      <c r="A307" s="60"/>
      <c r="B307" s="14"/>
      <c r="C307" s="14"/>
      <c r="D307" s="14"/>
      <c r="E307" s="73"/>
      <c r="F307" s="74"/>
      <c r="G307" s="7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 ht="15.75" customHeight="1">
      <c r="A308" s="60"/>
      <c r="B308" s="14"/>
      <c r="C308" s="14"/>
      <c r="D308" s="14"/>
      <c r="E308" s="73"/>
      <c r="F308" s="74"/>
      <c r="G308" s="7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 ht="15.75" customHeight="1">
      <c r="A309" s="60"/>
      <c r="B309" s="14"/>
      <c r="C309" s="14"/>
      <c r="D309" s="14"/>
      <c r="E309" s="73"/>
      <c r="F309" s="74"/>
      <c r="G309" s="7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 ht="15.75" customHeight="1">
      <c r="A310" s="60"/>
      <c r="B310" s="14"/>
      <c r="C310" s="14"/>
      <c r="D310" s="14"/>
      <c r="E310" s="73"/>
      <c r="F310" s="74"/>
      <c r="G310" s="7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 ht="15.75" customHeight="1">
      <c r="A311" s="60"/>
      <c r="B311" s="14"/>
      <c r="C311" s="14"/>
      <c r="D311" s="14"/>
      <c r="E311" s="73"/>
      <c r="F311" s="74"/>
      <c r="G311" s="7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ht="15.75" customHeight="1">
      <c r="A312" s="60"/>
      <c r="B312" s="14"/>
      <c r="C312" s="14"/>
      <c r="D312" s="14"/>
      <c r="E312" s="73"/>
      <c r="F312" s="74"/>
      <c r="G312" s="7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 ht="15.75" customHeight="1">
      <c r="A313" s="60"/>
      <c r="B313" s="14"/>
      <c r="C313" s="14"/>
      <c r="D313" s="14"/>
      <c r="E313" s="73"/>
      <c r="F313" s="74"/>
      <c r="G313" s="7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ht="15.75" customHeight="1">
      <c r="A314" s="60"/>
      <c r="B314" s="14"/>
      <c r="C314" s="14"/>
      <c r="D314" s="14"/>
      <c r="E314" s="73"/>
      <c r="F314" s="74"/>
      <c r="G314" s="7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ht="15.75" customHeight="1">
      <c r="A315" s="60"/>
      <c r="B315" s="14"/>
      <c r="C315" s="14"/>
      <c r="D315" s="14"/>
      <c r="E315" s="73"/>
      <c r="F315" s="74"/>
      <c r="G315" s="75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 ht="15.75" customHeight="1">
      <c r="A316" s="60"/>
      <c r="B316" s="14"/>
      <c r="C316" s="14"/>
      <c r="D316" s="14"/>
      <c r="E316" s="73"/>
      <c r="F316" s="74"/>
      <c r="G316" s="75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 ht="15.75" customHeight="1">
      <c r="A317" s="60"/>
      <c r="B317" s="14"/>
      <c r="C317" s="14"/>
      <c r="D317" s="14"/>
      <c r="E317" s="73"/>
      <c r="F317" s="74"/>
      <c r="G317" s="75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 ht="15.75" customHeight="1">
      <c r="A318" s="60"/>
      <c r="B318" s="14"/>
      <c r="C318" s="14"/>
      <c r="D318" s="14"/>
      <c r="E318" s="73"/>
      <c r="F318" s="74"/>
      <c r="G318" s="7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ht="15.75" customHeight="1">
      <c r="A319" s="60"/>
      <c r="B319" s="14"/>
      <c r="C319" s="14"/>
      <c r="D319" s="14"/>
      <c r="E319" s="73"/>
      <c r="F319" s="74"/>
      <c r="G319" s="75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 ht="15.75" customHeight="1">
      <c r="A320" s="60"/>
      <c r="B320" s="14"/>
      <c r="C320" s="14"/>
      <c r="D320" s="14"/>
      <c r="E320" s="73"/>
      <c r="F320" s="74"/>
      <c r="G320" s="75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 ht="15.75" customHeight="1">
      <c r="A321" s="60"/>
      <c r="B321" s="14"/>
      <c r="C321" s="14"/>
      <c r="D321" s="14"/>
      <c r="E321" s="73"/>
      <c r="F321" s="74"/>
      <c r="G321" s="75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 ht="15.75" customHeight="1">
      <c r="A322" s="60"/>
      <c r="B322" s="14"/>
      <c r="C322" s="14"/>
      <c r="D322" s="14"/>
      <c r="E322" s="73"/>
      <c r="F322" s="74"/>
      <c r="G322" s="75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ht="15.75" customHeight="1">
      <c r="A323" s="60"/>
      <c r="B323" s="14"/>
      <c r="C323" s="14"/>
      <c r="D323" s="14"/>
      <c r="E323" s="73"/>
      <c r="F323" s="74"/>
      <c r="G323" s="75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 ht="15.75" customHeight="1">
      <c r="A324" s="60"/>
      <c r="B324" s="14"/>
      <c r="C324" s="14"/>
      <c r="D324" s="14"/>
      <c r="E324" s="73"/>
      <c r="F324" s="74"/>
      <c r="G324" s="75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ht="15.75" customHeight="1">
      <c r="A325" s="60"/>
      <c r="B325" s="14"/>
      <c r="C325" s="14"/>
      <c r="D325" s="14"/>
      <c r="E325" s="73"/>
      <c r="F325" s="74"/>
      <c r="G325" s="75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 ht="15.75" customHeight="1">
      <c r="A326" s="60"/>
      <c r="B326" s="14"/>
      <c r="C326" s="14"/>
      <c r="D326" s="14"/>
      <c r="E326" s="73"/>
      <c r="F326" s="74"/>
      <c r="G326" s="75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ht="15.75" customHeight="1">
      <c r="A327" s="60"/>
      <c r="B327" s="14"/>
      <c r="C327" s="14"/>
      <c r="D327" s="14"/>
      <c r="E327" s="73"/>
      <c r="F327" s="74"/>
      <c r="G327" s="75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ht="15.75" customHeight="1">
      <c r="A328" s="60"/>
      <c r="B328" s="14"/>
      <c r="C328" s="14"/>
      <c r="D328" s="14"/>
      <c r="E328" s="73"/>
      <c r="F328" s="74"/>
      <c r="G328" s="75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ht="15.75" customHeight="1">
      <c r="A329" s="60"/>
      <c r="B329" s="14"/>
      <c r="C329" s="14"/>
      <c r="D329" s="14"/>
      <c r="E329" s="73"/>
      <c r="F329" s="74"/>
      <c r="G329" s="75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ht="15.75" customHeight="1">
      <c r="A330" s="60"/>
      <c r="B330" s="14"/>
      <c r="C330" s="14"/>
      <c r="D330" s="14"/>
      <c r="E330" s="73"/>
      <c r="F330" s="74"/>
      <c r="G330" s="75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ht="15.75" customHeight="1">
      <c r="A331" s="60"/>
      <c r="B331" s="14"/>
      <c r="C331" s="14"/>
      <c r="D331" s="14"/>
      <c r="E331" s="73"/>
      <c r="F331" s="74"/>
      <c r="G331" s="75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 ht="15.75" customHeight="1">
      <c r="A332" s="60"/>
      <c r="B332" s="14"/>
      <c r="C332" s="14"/>
      <c r="D332" s="14"/>
      <c r="E332" s="73"/>
      <c r="F332" s="74"/>
      <c r="G332" s="75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 ht="15.75" customHeight="1">
      <c r="A333" s="60"/>
      <c r="B333" s="14"/>
      <c r="C333" s="14"/>
      <c r="D333" s="14"/>
      <c r="E333" s="73"/>
      <c r="F333" s="74"/>
      <c r="G333" s="75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ht="15.75" customHeight="1">
      <c r="A334" s="60"/>
      <c r="B334" s="14"/>
      <c r="C334" s="14"/>
      <c r="D334" s="14"/>
      <c r="E334" s="73"/>
      <c r="F334" s="74"/>
      <c r="G334" s="75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 ht="15.75" customHeight="1">
      <c r="A335" s="60"/>
      <c r="B335" s="14"/>
      <c r="C335" s="14"/>
      <c r="D335" s="14"/>
      <c r="E335" s="73"/>
      <c r="F335" s="74"/>
      <c r="G335" s="75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 ht="15.75" customHeight="1">
      <c r="A336" s="60"/>
      <c r="B336" s="14"/>
      <c r="C336" s="14"/>
      <c r="D336" s="14"/>
      <c r="E336" s="73"/>
      <c r="F336" s="74"/>
      <c r="G336" s="75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 ht="15.75" customHeight="1">
      <c r="A337" s="60"/>
      <c r="B337" s="14"/>
      <c r="C337" s="14"/>
      <c r="D337" s="14"/>
      <c r="E337" s="73"/>
      <c r="F337" s="74"/>
      <c r="G337" s="75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 ht="15.75" customHeight="1">
      <c r="A338" s="60"/>
      <c r="B338" s="14"/>
      <c r="C338" s="14"/>
      <c r="D338" s="14"/>
      <c r="E338" s="73"/>
      <c r="F338" s="74"/>
      <c r="G338" s="75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 ht="15.75" customHeight="1">
      <c r="A339" s="60"/>
      <c r="B339" s="14"/>
      <c r="C339" s="14"/>
      <c r="D339" s="14"/>
      <c r="E339" s="73"/>
      <c r="F339" s="74"/>
      <c r="G339" s="75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 ht="15.75" customHeight="1">
      <c r="A340" s="60"/>
      <c r="B340" s="14"/>
      <c r="C340" s="14"/>
      <c r="D340" s="14"/>
      <c r="E340" s="73"/>
      <c r="F340" s="74"/>
      <c r="G340" s="75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 ht="15.75" customHeight="1">
      <c r="A341" s="60"/>
      <c r="B341" s="14"/>
      <c r="C341" s="14"/>
      <c r="D341" s="14"/>
      <c r="E341" s="73"/>
      <c r="F341" s="74"/>
      <c r="G341" s="75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ht="15.75" customHeight="1">
      <c r="A342" s="60"/>
      <c r="B342" s="14"/>
      <c r="C342" s="14"/>
      <c r="D342" s="14"/>
      <c r="E342" s="73"/>
      <c r="F342" s="74"/>
      <c r="G342" s="75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ht="15.75" customHeight="1">
      <c r="A343" s="60"/>
      <c r="B343" s="14"/>
      <c r="C343" s="14"/>
      <c r="D343" s="14"/>
      <c r="E343" s="73"/>
      <c r="F343" s="74"/>
      <c r="G343" s="75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 ht="15.75" customHeight="1">
      <c r="A344" s="60"/>
      <c r="B344" s="14"/>
      <c r="C344" s="14"/>
      <c r="D344" s="14"/>
      <c r="E344" s="73"/>
      <c r="F344" s="74"/>
      <c r="G344" s="75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 ht="15.75" customHeight="1">
      <c r="A345" s="60"/>
      <c r="B345" s="14"/>
      <c r="C345" s="14"/>
      <c r="D345" s="14"/>
      <c r="E345" s="73"/>
      <c r="F345" s="74"/>
      <c r="G345" s="75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 ht="15.75" customHeight="1">
      <c r="A346" s="60"/>
      <c r="B346" s="14"/>
      <c r="C346" s="14"/>
      <c r="D346" s="14"/>
      <c r="E346" s="73"/>
      <c r="F346" s="74"/>
      <c r="G346" s="75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ht="15.75" customHeight="1">
      <c r="A347" s="60"/>
      <c r="B347" s="14"/>
      <c r="C347" s="14"/>
      <c r="D347" s="14"/>
      <c r="E347" s="73"/>
      <c r="F347" s="74"/>
      <c r="G347" s="75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 ht="15.75" customHeight="1">
      <c r="A348" s="60"/>
      <c r="B348" s="14"/>
      <c r="C348" s="14"/>
      <c r="D348" s="14"/>
      <c r="E348" s="73"/>
      <c r="F348" s="74"/>
      <c r="G348" s="75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 ht="15.75" customHeight="1">
      <c r="A349" s="60"/>
      <c r="B349" s="14"/>
      <c r="C349" s="14"/>
      <c r="D349" s="14"/>
      <c r="E349" s="73"/>
      <c r="F349" s="74"/>
      <c r="G349" s="75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 ht="15.75" customHeight="1">
      <c r="A350" s="60"/>
      <c r="B350" s="14"/>
      <c r="C350" s="14"/>
      <c r="D350" s="14"/>
      <c r="E350" s="73"/>
      <c r="F350" s="74"/>
      <c r="G350" s="75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 ht="15.75" customHeight="1">
      <c r="A351" s="60"/>
      <c r="B351" s="14"/>
      <c r="C351" s="14"/>
      <c r="D351" s="14"/>
      <c r="E351" s="73"/>
      <c r="F351" s="74"/>
      <c r="G351" s="75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ht="15.75" customHeight="1">
      <c r="A352" s="60"/>
      <c r="B352" s="14"/>
      <c r="C352" s="14"/>
      <c r="D352" s="14"/>
      <c r="E352" s="73"/>
      <c r="F352" s="74"/>
      <c r="G352" s="75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 ht="15.75" customHeight="1">
      <c r="A353" s="60"/>
      <c r="B353" s="14"/>
      <c r="C353" s="14"/>
      <c r="D353" s="14"/>
      <c r="E353" s="73"/>
      <c r="F353" s="74"/>
      <c r="G353" s="75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 ht="15.75" customHeight="1">
      <c r="A354" s="60"/>
      <c r="B354" s="14"/>
      <c r="C354" s="14"/>
      <c r="D354" s="14"/>
      <c r="E354" s="73"/>
      <c r="F354" s="74"/>
      <c r="G354" s="75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 ht="15.75" customHeight="1">
      <c r="A355" s="60"/>
      <c r="B355" s="14"/>
      <c r="C355" s="14"/>
      <c r="D355" s="14"/>
      <c r="E355" s="73"/>
      <c r="F355" s="74"/>
      <c r="G355" s="75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 ht="15.75" customHeight="1">
      <c r="A356" s="60"/>
      <c r="B356" s="14"/>
      <c r="C356" s="14"/>
      <c r="D356" s="14"/>
      <c r="E356" s="73"/>
      <c r="F356" s="74"/>
      <c r="G356" s="75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 ht="15.75" customHeight="1">
      <c r="A357" s="60"/>
      <c r="B357" s="14"/>
      <c r="C357" s="14"/>
      <c r="D357" s="14"/>
      <c r="E357" s="73"/>
      <c r="F357" s="74"/>
      <c r="G357" s="75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ht="15.75" customHeight="1">
      <c r="A358" s="60"/>
      <c r="B358" s="14"/>
      <c r="C358" s="14"/>
      <c r="D358" s="14"/>
      <c r="E358" s="73"/>
      <c r="F358" s="74"/>
      <c r="G358" s="75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 ht="15.75" customHeight="1">
      <c r="A359" s="60"/>
      <c r="B359" s="14"/>
      <c r="C359" s="14"/>
      <c r="D359" s="14"/>
      <c r="E359" s="73"/>
      <c r="F359" s="74"/>
      <c r="G359" s="75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 ht="15.75" customHeight="1">
      <c r="A360" s="60"/>
      <c r="B360" s="14"/>
      <c r="C360" s="14"/>
      <c r="D360" s="14"/>
      <c r="E360" s="73"/>
      <c r="F360" s="74"/>
      <c r="G360" s="75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 ht="15.75" customHeight="1">
      <c r="A361" s="60"/>
      <c r="B361" s="14"/>
      <c r="C361" s="14"/>
      <c r="D361" s="14"/>
      <c r="E361" s="73"/>
      <c r="F361" s="74"/>
      <c r="G361" s="75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 ht="15.75" customHeight="1">
      <c r="A362" s="60"/>
      <c r="B362" s="14"/>
      <c r="C362" s="14"/>
      <c r="D362" s="14"/>
      <c r="E362" s="73"/>
      <c r="F362" s="74"/>
      <c r="G362" s="75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 ht="15.75" customHeight="1">
      <c r="A363" s="60"/>
      <c r="B363" s="14"/>
      <c r="C363" s="14"/>
      <c r="D363" s="14"/>
      <c r="E363" s="73"/>
      <c r="F363" s="74"/>
      <c r="G363" s="75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 ht="15.75" customHeight="1">
      <c r="A364" s="60"/>
      <c r="B364" s="14"/>
      <c r="C364" s="14"/>
      <c r="D364" s="14"/>
      <c r="E364" s="73"/>
      <c r="F364" s="74"/>
      <c r="G364" s="75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 ht="15.75" customHeight="1">
      <c r="A365" s="60"/>
      <c r="B365" s="14"/>
      <c r="C365" s="14"/>
      <c r="D365" s="14"/>
      <c r="E365" s="73"/>
      <c r="F365" s="74"/>
      <c r="G365" s="75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 ht="15.75" customHeight="1">
      <c r="A366" s="60"/>
      <c r="B366" s="14"/>
      <c r="C366" s="14"/>
      <c r="D366" s="14"/>
      <c r="E366" s="73"/>
      <c r="F366" s="74"/>
      <c r="G366" s="75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 ht="15.75" customHeight="1">
      <c r="A367" s="60"/>
      <c r="B367" s="14"/>
      <c r="C367" s="14"/>
      <c r="D367" s="14"/>
      <c r="E367" s="73"/>
      <c r="F367" s="74"/>
      <c r="G367" s="75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 ht="15.75" customHeight="1">
      <c r="A368" s="60"/>
      <c r="B368" s="14"/>
      <c r="C368" s="14"/>
      <c r="D368" s="14"/>
      <c r="E368" s="73"/>
      <c r="F368" s="74"/>
      <c r="G368" s="75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 ht="15.75" customHeight="1">
      <c r="A369" s="60"/>
      <c r="B369" s="14"/>
      <c r="C369" s="14"/>
      <c r="D369" s="14"/>
      <c r="E369" s="73"/>
      <c r="F369" s="74"/>
      <c r="G369" s="75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ht="15.75" customHeight="1">
      <c r="A370" s="60"/>
      <c r="B370" s="14"/>
      <c r="C370" s="14"/>
      <c r="D370" s="14"/>
      <c r="E370" s="73"/>
      <c r="F370" s="74"/>
      <c r="G370" s="75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 ht="15.75" customHeight="1">
      <c r="A371" s="60"/>
      <c r="B371" s="14"/>
      <c r="C371" s="14"/>
      <c r="D371" s="14"/>
      <c r="E371" s="73"/>
      <c r="F371" s="74"/>
      <c r="G371" s="75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 ht="15.75" customHeight="1">
      <c r="A372" s="60"/>
      <c r="B372" s="14"/>
      <c r="C372" s="14"/>
      <c r="D372" s="14"/>
      <c r="E372" s="73"/>
      <c r="F372" s="74"/>
      <c r="G372" s="75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 ht="15.75" customHeight="1">
      <c r="A373" s="60"/>
      <c r="B373" s="14"/>
      <c r="C373" s="14"/>
      <c r="D373" s="14"/>
      <c r="E373" s="73"/>
      <c r="F373" s="74"/>
      <c r="G373" s="75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 ht="15.75" customHeight="1">
      <c r="A374" s="60"/>
      <c r="B374" s="14"/>
      <c r="C374" s="14"/>
      <c r="D374" s="14"/>
      <c r="E374" s="73"/>
      <c r="F374" s="74"/>
      <c r="G374" s="75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 ht="15.75" customHeight="1">
      <c r="A375" s="60"/>
      <c r="B375" s="14"/>
      <c r="C375" s="14"/>
      <c r="D375" s="14"/>
      <c r="E375" s="73"/>
      <c r="F375" s="74"/>
      <c r="G375" s="75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 ht="15.75" customHeight="1">
      <c r="A376" s="60"/>
      <c r="B376" s="14"/>
      <c r="C376" s="14"/>
      <c r="D376" s="14"/>
      <c r="E376" s="73"/>
      <c r="F376" s="74"/>
      <c r="G376" s="75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 ht="15.75" customHeight="1">
      <c r="A377" s="60"/>
      <c r="B377" s="14"/>
      <c r="C377" s="14"/>
      <c r="D377" s="14"/>
      <c r="E377" s="73"/>
      <c r="F377" s="74"/>
      <c r="G377" s="75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 ht="15.75" customHeight="1">
      <c r="A378" s="60"/>
      <c r="B378" s="14"/>
      <c r="C378" s="14"/>
      <c r="D378" s="14"/>
      <c r="E378" s="73"/>
      <c r="F378" s="74"/>
      <c r="G378" s="75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 ht="15.75" customHeight="1">
      <c r="A379" s="60"/>
      <c r="B379" s="14"/>
      <c r="C379" s="14"/>
      <c r="D379" s="14"/>
      <c r="E379" s="73"/>
      <c r="F379" s="74"/>
      <c r="G379" s="75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 ht="15.75" customHeight="1">
      <c r="A380" s="60"/>
      <c r="B380" s="14"/>
      <c r="C380" s="14"/>
      <c r="D380" s="14"/>
      <c r="E380" s="73"/>
      <c r="F380" s="74"/>
      <c r="G380" s="75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 ht="15.75" customHeight="1">
      <c r="A381" s="60"/>
      <c r="B381" s="14"/>
      <c r="C381" s="14"/>
      <c r="D381" s="14"/>
      <c r="E381" s="73"/>
      <c r="F381" s="74"/>
      <c r="G381" s="75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 ht="15.75" customHeight="1">
      <c r="A382" s="60"/>
      <c r="B382" s="14"/>
      <c r="C382" s="14"/>
      <c r="D382" s="14"/>
      <c r="E382" s="73"/>
      <c r="F382" s="74"/>
      <c r="G382" s="75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 ht="15.75" customHeight="1">
      <c r="A383" s="60"/>
      <c r="B383" s="14"/>
      <c r="C383" s="14"/>
      <c r="D383" s="14"/>
      <c r="E383" s="73"/>
      <c r="F383" s="74"/>
      <c r="G383" s="75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 ht="15.75" customHeight="1">
      <c r="A384" s="60"/>
      <c r="B384" s="14"/>
      <c r="C384" s="14"/>
      <c r="D384" s="14"/>
      <c r="E384" s="73"/>
      <c r="F384" s="74"/>
      <c r="G384" s="75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 ht="15.75" customHeight="1">
      <c r="A385" s="60"/>
      <c r="B385" s="14"/>
      <c r="C385" s="14"/>
      <c r="D385" s="14"/>
      <c r="E385" s="73"/>
      <c r="F385" s="74"/>
      <c r="G385" s="75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 ht="15.75" customHeight="1">
      <c r="A386" s="60"/>
      <c r="B386" s="14"/>
      <c r="C386" s="14"/>
      <c r="D386" s="14"/>
      <c r="E386" s="73"/>
      <c r="F386" s="74"/>
      <c r="G386" s="75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 ht="15.75" customHeight="1">
      <c r="A387" s="60"/>
      <c r="B387" s="14"/>
      <c r="C387" s="14"/>
      <c r="D387" s="14"/>
      <c r="E387" s="73"/>
      <c r="F387" s="74"/>
      <c r="G387" s="75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 ht="15.75" customHeight="1">
      <c r="A388" s="60"/>
      <c r="B388" s="14"/>
      <c r="C388" s="14"/>
      <c r="D388" s="14"/>
      <c r="E388" s="73"/>
      <c r="F388" s="74"/>
      <c r="G388" s="75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 ht="15.75" customHeight="1">
      <c r="A389" s="60"/>
      <c r="B389" s="14"/>
      <c r="C389" s="14"/>
      <c r="D389" s="14"/>
      <c r="E389" s="73"/>
      <c r="F389" s="74"/>
      <c r="G389" s="75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 ht="15.75" customHeight="1">
      <c r="A390" s="60"/>
      <c r="B390" s="14"/>
      <c r="C390" s="14"/>
      <c r="D390" s="14"/>
      <c r="E390" s="73"/>
      <c r="F390" s="74"/>
      <c r="G390" s="75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 ht="15.75" customHeight="1">
      <c r="A391" s="60"/>
      <c r="B391" s="14"/>
      <c r="C391" s="14"/>
      <c r="D391" s="14"/>
      <c r="E391" s="73"/>
      <c r="F391" s="74"/>
      <c r="G391" s="75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 ht="15.75" customHeight="1">
      <c r="A392" s="60"/>
      <c r="B392" s="14"/>
      <c r="C392" s="14"/>
      <c r="D392" s="14"/>
      <c r="E392" s="73"/>
      <c r="F392" s="74"/>
      <c r="G392" s="75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 ht="15.75" customHeight="1">
      <c r="A393" s="60"/>
      <c r="B393" s="14"/>
      <c r="C393" s="14"/>
      <c r="D393" s="14"/>
      <c r="E393" s="73"/>
      <c r="F393" s="74"/>
      <c r="G393" s="75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ht="15.75" customHeight="1">
      <c r="A394" s="60"/>
      <c r="B394" s="14"/>
      <c r="C394" s="14"/>
      <c r="D394" s="14"/>
      <c r="E394" s="73"/>
      <c r="F394" s="74"/>
      <c r="G394" s="75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 ht="15.75" customHeight="1">
      <c r="A395" s="60"/>
      <c r="B395" s="14"/>
      <c r="C395" s="14"/>
      <c r="D395" s="14"/>
      <c r="E395" s="73"/>
      <c r="F395" s="74"/>
      <c r="G395" s="75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 ht="15.75" customHeight="1">
      <c r="A396" s="60"/>
      <c r="B396" s="14"/>
      <c r="C396" s="14"/>
      <c r="D396" s="14"/>
      <c r="E396" s="73"/>
      <c r="F396" s="74"/>
      <c r="G396" s="75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 ht="15.75" customHeight="1">
      <c r="A397" s="60"/>
      <c r="B397" s="14"/>
      <c r="C397" s="14"/>
      <c r="D397" s="14"/>
      <c r="E397" s="73"/>
      <c r="F397" s="74"/>
      <c r="G397" s="75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 ht="15.75" customHeight="1">
      <c r="A398" s="60"/>
      <c r="B398" s="14"/>
      <c r="C398" s="14"/>
      <c r="D398" s="14"/>
      <c r="E398" s="73"/>
      <c r="F398" s="74"/>
      <c r="G398" s="75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ht="15.75" customHeight="1">
      <c r="A399" s="60"/>
      <c r="B399" s="14"/>
      <c r="C399" s="14"/>
      <c r="D399" s="14"/>
      <c r="E399" s="73"/>
      <c r="F399" s="74"/>
      <c r="G399" s="75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 ht="15.75" customHeight="1">
      <c r="A400" s="60"/>
      <c r="B400" s="14"/>
      <c r="C400" s="14"/>
      <c r="D400" s="14"/>
      <c r="E400" s="73"/>
      <c r="F400" s="74"/>
      <c r="G400" s="75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 ht="15.75" customHeight="1">
      <c r="A401" s="60"/>
      <c r="B401" s="14"/>
      <c r="C401" s="14"/>
      <c r="D401" s="14"/>
      <c r="E401" s="73"/>
      <c r="F401" s="74"/>
      <c r="G401" s="75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 ht="15.75" customHeight="1">
      <c r="A402" s="60"/>
      <c r="B402" s="14"/>
      <c r="C402" s="14"/>
      <c r="D402" s="14"/>
      <c r="E402" s="73"/>
      <c r="F402" s="74"/>
      <c r="G402" s="75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 ht="15.75" customHeight="1">
      <c r="A403" s="60"/>
      <c r="B403" s="14"/>
      <c r="C403" s="14"/>
      <c r="D403" s="14"/>
      <c r="E403" s="73"/>
      <c r="F403" s="74"/>
      <c r="G403" s="75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 ht="15.75" customHeight="1">
      <c r="A404" s="60"/>
      <c r="B404" s="14"/>
      <c r="C404" s="14"/>
      <c r="D404" s="14"/>
      <c r="E404" s="73"/>
      <c r="F404" s="74"/>
      <c r="G404" s="75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 ht="15.75" customHeight="1">
      <c r="A405" s="60"/>
      <c r="B405" s="14"/>
      <c r="C405" s="14"/>
      <c r="D405" s="14"/>
      <c r="E405" s="73"/>
      <c r="F405" s="74"/>
      <c r="G405" s="75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 ht="15.75" customHeight="1">
      <c r="A406" s="60"/>
      <c r="B406" s="14"/>
      <c r="C406" s="14"/>
      <c r="D406" s="14"/>
      <c r="E406" s="73"/>
      <c r="F406" s="74"/>
      <c r="G406" s="75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 ht="15.75" customHeight="1">
      <c r="A407" s="60"/>
      <c r="B407" s="14"/>
      <c r="C407" s="14"/>
      <c r="D407" s="14"/>
      <c r="E407" s="73"/>
      <c r="F407" s="74"/>
      <c r="G407" s="75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 ht="15.75" customHeight="1">
      <c r="A408" s="60"/>
      <c r="B408" s="14"/>
      <c r="C408" s="14"/>
      <c r="D408" s="14"/>
      <c r="E408" s="73"/>
      <c r="F408" s="74"/>
      <c r="G408" s="75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 ht="15.75" customHeight="1">
      <c r="A409" s="60"/>
      <c r="B409" s="14"/>
      <c r="C409" s="14"/>
      <c r="D409" s="14"/>
      <c r="E409" s="73"/>
      <c r="F409" s="74"/>
      <c r="G409" s="75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 ht="15.75" customHeight="1">
      <c r="A410" s="60"/>
      <c r="B410" s="14"/>
      <c r="C410" s="14"/>
      <c r="D410" s="14"/>
      <c r="E410" s="73"/>
      <c r="F410" s="74"/>
      <c r="G410" s="75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ht="15.75" customHeight="1">
      <c r="A411" s="60"/>
      <c r="B411" s="14"/>
      <c r="C411" s="14"/>
      <c r="D411" s="14"/>
      <c r="E411" s="73"/>
      <c r="F411" s="74"/>
      <c r="G411" s="75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ht="15.75" customHeight="1">
      <c r="A412" s="60"/>
      <c r="B412" s="14"/>
      <c r="C412" s="14"/>
      <c r="D412" s="14"/>
      <c r="E412" s="73"/>
      <c r="F412" s="74"/>
      <c r="G412" s="75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ht="15.75" customHeight="1">
      <c r="A413" s="60"/>
      <c r="B413" s="14"/>
      <c r="C413" s="14"/>
      <c r="D413" s="14"/>
      <c r="E413" s="73"/>
      <c r="F413" s="74"/>
      <c r="G413" s="75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ht="15.75" customHeight="1">
      <c r="A414" s="60"/>
      <c r="B414" s="14"/>
      <c r="C414" s="14"/>
      <c r="D414" s="14"/>
      <c r="E414" s="73"/>
      <c r="F414" s="74"/>
      <c r="G414" s="75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 ht="15.75" customHeight="1">
      <c r="A415" s="60"/>
      <c r="B415" s="14"/>
      <c r="C415" s="14"/>
      <c r="D415" s="14"/>
      <c r="E415" s="73"/>
      <c r="F415" s="74"/>
      <c r="G415" s="75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 ht="15.75" customHeight="1">
      <c r="A416" s="60"/>
      <c r="B416" s="14"/>
      <c r="C416" s="14"/>
      <c r="D416" s="14"/>
      <c r="E416" s="73"/>
      <c r="F416" s="74"/>
      <c r="G416" s="75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 ht="15.75" customHeight="1">
      <c r="A417" s="60"/>
      <c r="B417" s="14"/>
      <c r="C417" s="14"/>
      <c r="D417" s="14"/>
      <c r="E417" s="73"/>
      <c r="F417" s="74"/>
      <c r="G417" s="75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ht="15.75" customHeight="1">
      <c r="A418" s="60"/>
      <c r="B418" s="14"/>
      <c r="C418" s="14"/>
      <c r="D418" s="14"/>
      <c r="E418" s="73"/>
      <c r="F418" s="74"/>
      <c r="G418" s="75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 ht="15.75" customHeight="1">
      <c r="A419" s="60"/>
      <c r="B419" s="14"/>
      <c r="C419" s="14"/>
      <c r="D419" s="14"/>
      <c r="E419" s="73"/>
      <c r="F419" s="74"/>
      <c r="G419" s="75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ht="15.75" customHeight="1">
      <c r="A420" s="60"/>
      <c r="B420" s="14"/>
      <c r="C420" s="14"/>
      <c r="D420" s="14"/>
      <c r="E420" s="73"/>
      <c r="F420" s="74"/>
      <c r="G420" s="75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 ht="15.75" customHeight="1">
      <c r="A421" s="60"/>
      <c r="B421" s="14"/>
      <c r="C421" s="14"/>
      <c r="D421" s="14"/>
      <c r="E421" s="73"/>
      <c r="F421" s="74"/>
      <c r="G421" s="75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ht="15.75" customHeight="1">
      <c r="A422" s="60"/>
      <c r="B422" s="14"/>
      <c r="C422" s="14"/>
      <c r="D422" s="14"/>
      <c r="E422" s="73"/>
      <c r="F422" s="74"/>
      <c r="G422" s="75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 ht="15.75" customHeight="1">
      <c r="A423" s="60"/>
      <c r="B423" s="14"/>
      <c r="C423" s="14"/>
      <c r="D423" s="14"/>
      <c r="E423" s="73"/>
      <c r="F423" s="74"/>
      <c r="G423" s="75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ht="15.75" customHeight="1">
      <c r="A424" s="60"/>
      <c r="B424" s="14"/>
      <c r="C424" s="14"/>
      <c r="D424" s="14"/>
      <c r="E424" s="73"/>
      <c r="F424" s="74"/>
      <c r="G424" s="75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 ht="15.75" customHeight="1">
      <c r="A425" s="60"/>
      <c r="B425" s="14"/>
      <c r="C425" s="14"/>
      <c r="D425" s="14"/>
      <c r="E425" s="73"/>
      <c r="F425" s="74"/>
      <c r="G425" s="75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ht="15.75" customHeight="1">
      <c r="A426" s="60"/>
      <c r="B426" s="14"/>
      <c r="C426" s="14"/>
      <c r="D426" s="14"/>
      <c r="E426" s="73"/>
      <c r="F426" s="74"/>
      <c r="G426" s="75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ht="15.75" customHeight="1">
      <c r="A427" s="60"/>
      <c r="B427" s="14"/>
      <c r="C427" s="14"/>
      <c r="D427" s="14"/>
      <c r="E427" s="73"/>
      <c r="F427" s="74"/>
      <c r="G427" s="75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 ht="15.75" customHeight="1">
      <c r="A428" s="60"/>
      <c r="B428" s="14"/>
      <c r="C428" s="14"/>
      <c r="D428" s="14"/>
      <c r="E428" s="73"/>
      <c r="F428" s="74"/>
      <c r="G428" s="75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ht="15.75" customHeight="1">
      <c r="A429" s="60"/>
      <c r="B429" s="14"/>
      <c r="C429" s="14"/>
      <c r="D429" s="14"/>
      <c r="E429" s="73"/>
      <c r="F429" s="74"/>
      <c r="G429" s="75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 ht="15.75" customHeight="1">
      <c r="A430" s="60"/>
      <c r="B430" s="14"/>
      <c r="C430" s="14"/>
      <c r="D430" s="14"/>
      <c r="E430" s="73"/>
      <c r="F430" s="74"/>
      <c r="G430" s="75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ht="15.75" customHeight="1">
      <c r="A431" s="60"/>
      <c r="B431" s="14"/>
      <c r="C431" s="14"/>
      <c r="D431" s="14"/>
      <c r="E431" s="73"/>
      <c r="F431" s="74"/>
      <c r="G431" s="75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ht="15.75" customHeight="1">
      <c r="A432" s="60"/>
      <c r="B432" s="14"/>
      <c r="C432" s="14"/>
      <c r="D432" s="14"/>
      <c r="E432" s="73"/>
      <c r="F432" s="74"/>
      <c r="G432" s="75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ht="15.75" customHeight="1">
      <c r="A433" s="60"/>
      <c r="B433" s="14"/>
      <c r="C433" s="14"/>
      <c r="D433" s="14"/>
      <c r="E433" s="73"/>
      <c r="F433" s="74"/>
      <c r="G433" s="75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 ht="15.75" customHeight="1">
      <c r="A434" s="60"/>
      <c r="B434" s="14"/>
      <c r="C434" s="14"/>
      <c r="D434" s="14"/>
      <c r="E434" s="73"/>
      <c r="F434" s="74"/>
      <c r="G434" s="75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 ht="15.75" customHeight="1">
      <c r="A435" s="60"/>
      <c r="B435" s="14"/>
      <c r="C435" s="14"/>
      <c r="D435" s="14"/>
      <c r="E435" s="73"/>
      <c r="F435" s="74"/>
      <c r="G435" s="75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 ht="15.75" customHeight="1">
      <c r="A436" s="60"/>
      <c r="B436" s="14"/>
      <c r="C436" s="14"/>
      <c r="D436" s="14"/>
      <c r="E436" s="73"/>
      <c r="F436" s="74"/>
      <c r="G436" s="75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 ht="15.75" customHeight="1">
      <c r="A437" s="60"/>
      <c r="B437" s="14"/>
      <c r="C437" s="14"/>
      <c r="D437" s="14"/>
      <c r="E437" s="73"/>
      <c r="F437" s="74"/>
      <c r="G437" s="75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 ht="15.75" customHeight="1">
      <c r="A438" s="60"/>
      <c r="B438" s="14"/>
      <c r="C438" s="14"/>
      <c r="D438" s="14"/>
      <c r="E438" s="73"/>
      <c r="F438" s="74"/>
      <c r="G438" s="75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ht="15.75" customHeight="1">
      <c r="A439" s="60"/>
      <c r="B439" s="14"/>
      <c r="C439" s="14"/>
      <c r="D439" s="14"/>
      <c r="E439" s="73"/>
      <c r="F439" s="74"/>
      <c r="G439" s="7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 ht="15.75" customHeight="1">
      <c r="A440" s="60"/>
      <c r="B440" s="14"/>
      <c r="C440" s="14"/>
      <c r="D440" s="14"/>
      <c r="E440" s="73"/>
      <c r="F440" s="74"/>
      <c r="G440" s="75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ht="15.75" customHeight="1">
      <c r="A441" s="60"/>
      <c r="B441" s="14"/>
      <c r="C441" s="14"/>
      <c r="D441" s="14"/>
      <c r="E441" s="73"/>
      <c r="F441" s="74"/>
      <c r="G441" s="75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 ht="15.75" customHeight="1">
      <c r="A442" s="60"/>
      <c r="B442" s="14"/>
      <c r="C442" s="14"/>
      <c r="D442" s="14"/>
      <c r="E442" s="73"/>
      <c r="F442" s="74"/>
      <c r="G442" s="75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 ht="15.75" customHeight="1">
      <c r="A443" s="60"/>
      <c r="B443" s="14"/>
      <c r="C443" s="14"/>
      <c r="D443" s="14"/>
      <c r="E443" s="73"/>
      <c r="F443" s="74"/>
      <c r="G443" s="75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 ht="15.75" customHeight="1">
      <c r="A444" s="60"/>
      <c r="B444" s="14"/>
      <c r="C444" s="14"/>
      <c r="D444" s="14"/>
      <c r="E444" s="73"/>
      <c r="F444" s="74"/>
      <c r="G444" s="75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ht="15.75" customHeight="1">
      <c r="A445" s="60"/>
      <c r="B445" s="14"/>
      <c r="C445" s="14"/>
      <c r="D445" s="14"/>
      <c r="E445" s="73"/>
      <c r="F445" s="74"/>
      <c r="G445" s="75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 ht="15.75" customHeight="1">
      <c r="A446" s="60"/>
      <c r="B446" s="14"/>
      <c r="C446" s="14"/>
      <c r="D446" s="14"/>
      <c r="E446" s="73"/>
      <c r="F446" s="74"/>
      <c r="G446" s="75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 ht="15.75" customHeight="1">
      <c r="A447" s="60"/>
      <c r="B447" s="14"/>
      <c r="C447" s="14"/>
      <c r="D447" s="14"/>
      <c r="E447" s="73"/>
      <c r="F447" s="74"/>
      <c r="G447" s="75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 ht="15.75" customHeight="1">
      <c r="A448" s="60"/>
      <c r="B448" s="14"/>
      <c r="C448" s="14"/>
      <c r="D448" s="14"/>
      <c r="E448" s="73"/>
      <c r="F448" s="74"/>
      <c r="G448" s="75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 ht="15.75" customHeight="1">
      <c r="A449" s="60"/>
      <c r="B449" s="14"/>
      <c r="C449" s="14"/>
      <c r="D449" s="14"/>
      <c r="E449" s="73"/>
      <c r="F449" s="74"/>
      <c r="G449" s="75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 ht="15.75" customHeight="1">
      <c r="A450" s="60"/>
      <c r="B450" s="14"/>
      <c r="C450" s="14"/>
      <c r="D450" s="14"/>
      <c r="E450" s="73"/>
      <c r="F450" s="74"/>
      <c r="G450" s="75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 ht="15.75" customHeight="1">
      <c r="A451" s="60"/>
      <c r="B451" s="14"/>
      <c r="C451" s="14"/>
      <c r="D451" s="14"/>
      <c r="E451" s="73"/>
      <c r="F451" s="74"/>
      <c r="G451" s="7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 ht="15.75" customHeight="1">
      <c r="A452" s="60"/>
      <c r="B452" s="14"/>
      <c r="C452" s="14"/>
      <c r="D452" s="14"/>
      <c r="E452" s="73"/>
      <c r="F452" s="74"/>
      <c r="G452" s="75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 ht="15.75" customHeight="1">
      <c r="A453" s="60"/>
      <c r="B453" s="14"/>
      <c r="C453" s="14"/>
      <c r="D453" s="14"/>
      <c r="E453" s="73"/>
      <c r="F453" s="74"/>
      <c r="G453" s="75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 ht="15.75" customHeight="1">
      <c r="A454" s="60"/>
      <c r="B454" s="14"/>
      <c r="C454" s="14"/>
      <c r="D454" s="14"/>
      <c r="E454" s="73"/>
      <c r="F454" s="74"/>
      <c r="G454" s="75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 ht="15.75" customHeight="1">
      <c r="A455" s="60"/>
      <c r="B455" s="14"/>
      <c r="C455" s="14"/>
      <c r="D455" s="14"/>
      <c r="E455" s="73"/>
      <c r="F455" s="74"/>
      <c r="G455" s="75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 ht="15.75" customHeight="1">
      <c r="A456" s="60"/>
      <c r="B456" s="14"/>
      <c r="C456" s="14"/>
      <c r="D456" s="14"/>
      <c r="E456" s="73"/>
      <c r="F456" s="74"/>
      <c r="G456" s="75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 ht="15.75" customHeight="1">
      <c r="A457" s="60"/>
      <c r="B457" s="14"/>
      <c r="C457" s="14"/>
      <c r="D457" s="14"/>
      <c r="E457" s="73"/>
      <c r="F457" s="74"/>
      <c r="G457" s="75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 ht="15.75" customHeight="1">
      <c r="A458" s="60"/>
      <c r="B458" s="14"/>
      <c r="C458" s="14"/>
      <c r="D458" s="14"/>
      <c r="E458" s="73"/>
      <c r="F458" s="74"/>
      <c r="G458" s="75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 ht="15.75" customHeight="1">
      <c r="A459" s="60"/>
      <c r="B459" s="14"/>
      <c r="C459" s="14"/>
      <c r="D459" s="14"/>
      <c r="E459" s="73"/>
      <c r="F459" s="74"/>
      <c r="G459" s="75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ht="15.75" customHeight="1">
      <c r="A460" s="60"/>
      <c r="B460" s="14"/>
      <c r="C460" s="14"/>
      <c r="D460" s="14"/>
      <c r="E460" s="73"/>
      <c r="F460" s="74"/>
      <c r="G460" s="75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 ht="15.75" customHeight="1">
      <c r="A461" s="60"/>
      <c r="B461" s="14"/>
      <c r="C461" s="14"/>
      <c r="D461" s="14"/>
      <c r="E461" s="73"/>
      <c r="F461" s="74"/>
      <c r="G461" s="75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 ht="15.75" customHeight="1">
      <c r="A462" s="60"/>
      <c r="B462" s="14"/>
      <c r="C462" s="14"/>
      <c r="D462" s="14"/>
      <c r="E462" s="73"/>
      <c r="F462" s="74"/>
      <c r="G462" s="75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 ht="15.75" customHeight="1">
      <c r="A463" s="60"/>
      <c r="B463" s="14"/>
      <c r="C463" s="14"/>
      <c r="D463" s="14"/>
      <c r="E463" s="73"/>
      <c r="F463" s="74"/>
      <c r="G463" s="7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 ht="15.75" customHeight="1">
      <c r="A464" s="60"/>
      <c r="B464" s="14"/>
      <c r="C464" s="14"/>
      <c r="D464" s="14"/>
      <c r="E464" s="73"/>
      <c r="F464" s="74"/>
      <c r="G464" s="75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 ht="15.75" customHeight="1">
      <c r="A465" s="60"/>
      <c r="B465" s="14"/>
      <c r="C465" s="14"/>
      <c r="D465" s="14"/>
      <c r="E465" s="73"/>
      <c r="F465" s="74"/>
      <c r="G465" s="75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 ht="15.75" customHeight="1">
      <c r="A466" s="60"/>
      <c r="B466" s="14"/>
      <c r="C466" s="14"/>
      <c r="D466" s="14"/>
      <c r="E466" s="73"/>
      <c r="F466" s="74"/>
      <c r="G466" s="75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 ht="15.75" customHeight="1">
      <c r="A467" s="60"/>
      <c r="B467" s="14"/>
      <c r="C467" s="14"/>
      <c r="D467" s="14"/>
      <c r="E467" s="73"/>
      <c r="F467" s="74"/>
      <c r="G467" s="75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 ht="15.75" customHeight="1">
      <c r="A468" s="60"/>
      <c r="B468" s="14"/>
      <c r="C468" s="14"/>
      <c r="D468" s="14"/>
      <c r="E468" s="73"/>
      <c r="F468" s="74"/>
      <c r="G468" s="75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 ht="15.75" customHeight="1">
      <c r="A469" s="60"/>
      <c r="B469" s="14"/>
      <c r="C469" s="14"/>
      <c r="D469" s="14"/>
      <c r="E469" s="73"/>
      <c r="F469" s="74"/>
      <c r="G469" s="75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 ht="15.75" customHeight="1">
      <c r="A470" s="60"/>
      <c r="B470" s="14"/>
      <c r="C470" s="14"/>
      <c r="D470" s="14"/>
      <c r="E470" s="73"/>
      <c r="F470" s="74"/>
      <c r="G470" s="75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 ht="15.75" customHeight="1">
      <c r="A471" s="60"/>
      <c r="B471" s="14"/>
      <c r="C471" s="14"/>
      <c r="D471" s="14"/>
      <c r="E471" s="73"/>
      <c r="F471" s="74"/>
      <c r="G471" s="75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 ht="15.75" customHeight="1">
      <c r="A472" s="60"/>
      <c r="B472" s="14"/>
      <c r="C472" s="14"/>
      <c r="D472" s="14"/>
      <c r="E472" s="73"/>
      <c r="F472" s="74"/>
      <c r="G472" s="75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 ht="15.75" customHeight="1">
      <c r="A473" s="60"/>
      <c r="B473" s="14"/>
      <c r="C473" s="14"/>
      <c r="D473" s="14"/>
      <c r="E473" s="73"/>
      <c r="F473" s="74"/>
      <c r="G473" s="75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 ht="15.75" customHeight="1">
      <c r="A474" s="60"/>
      <c r="B474" s="14"/>
      <c r="C474" s="14"/>
      <c r="D474" s="14"/>
      <c r="E474" s="73"/>
      <c r="F474" s="74"/>
      <c r="G474" s="75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 ht="15.75" customHeight="1">
      <c r="A475" s="60"/>
      <c r="B475" s="14"/>
      <c r="C475" s="14"/>
      <c r="D475" s="14"/>
      <c r="E475" s="73"/>
      <c r="F475" s="74"/>
      <c r="G475" s="7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 ht="15.75" customHeight="1">
      <c r="A476" s="60"/>
      <c r="B476" s="14"/>
      <c r="C476" s="14"/>
      <c r="D476" s="14"/>
      <c r="E476" s="73"/>
      <c r="F476" s="74"/>
      <c r="G476" s="75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 ht="15.75" customHeight="1">
      <c r="A477" s="60"/>
      <c r="B477" s="14"/>
      <c r="C477" s="14"/>
      <c r="D477" s="14"/>
      <c r="E477" s="73"/>
      <c r="F477" s="74"/>
      <c r="G477" s="75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 ht="15.75" customHeight="1">
      <c r="A478" s="60"/>
      <c r="B478" s="14"/>
      <c r="C478" s="14"/>
      <c r="D478" s="14"/>
      <c r="E478" s="73"/>
      <c r="F478" s="74"/>
      <c r="G478" s="75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 ht="15.75" customHeight="1">
      <c r="A479" s="60"/>
      <c r="B479" s="14"/>
      <c r="C479" s="14"/>
      <c r="D479" s="14"/>
      <c r="E479" s="73"/>
      <c r="F479" s="74"/>
      <c r="G479" s="75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 ht="15.75" customHeight="1">
      <c r="A480" s="60"/>
      <c r="B480" s="14"/>
      <c r="C480" s="14"/>
      <c r="D480" s="14"/>
      <c r="E480" s="73"/>
      <c r="F480" s="74"/>
      <c r="G480" s="75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 ht="15.75" customHeight="1">
      <c r="A481" s="60"/>
      <c r="B481" s="14"/>
      <c r="C481" s="14"/>
      <c r="D481" s="14"/>
      <c r="E481" s="73"/>
      <c r="F481" s="74"/>
      <c r="G481" s="75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 ht="15.75" customHeight="1">
      <c r="A482" s="60"/>
      <c r="B482" s="14"/>
      <c r="C482" s="14"/>
      <c r="D482" s="14"/>
      <c r="E482" s="73"/>
      <c r="F482" s="74"/>
      <c r="G482" s="75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 ht="15.75" customHeight="1">
      <c r="A483" s="60"/>
      <c r="B483" s="14"/>
      <c r="C483" s="14"/>
      <c r="D483" s="14"/>
      <c r="E483" s="73"/>
      <c r="F483" s="74"/>
      <c r="G483" s="75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 ht="15.75" customHeight="1">
      <c r="A484" s="60"/>
      <c r="B484" s="14"/>
      <c r="C484" s="14"/>
      <c r="D484" s="14"/>
      <c r="E484" s="73"/>
      <c r="F484" s="74"/>
      <c r="G484" s="75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 ht="15.75" customHeight="1">
      <c r="A485" s="60"/>
      <c r="B485" s="14"/>
      <c r="C485" s="14"/>
      <c r="D485" s="14"/>
      <c r="E485" s="73"/>
      <c r="F485" s="74"/>
      <c r="G485" s="75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 ht="15.75" customHeight="1">
      <c r="A486" s="60"/>
      <c r="B486" s="14"/>
      <c r="C486" s="14"/>
      <c r="D486" s="14"/>
      <c r="E486" s="73"/>
      <c r="F486" s="74"/>
      <c r="G486" s="75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 ht="15.75" customHeight="1">
      <c r="A487" s="60"/>
      <c r="B487" s="14"/>
      <c r="C487" s="14"/>
      <c r="D487" s="14"/>
      <c r="E487" s="73"/>
      <c r="F487" s="74"/>
      <c r="G487" s="7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 ht="15.75" customHeight="1">
      <c r="A488" s="60"/>
      <c r="B488" s="14"/>
      <c r="C488" s="14"/>
      <c r="D488" s="14"/>
      <c r="E488" s="73"/>
      <c r="F488" s="74"/>
      <c r="G488" s="75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 ht="15.75" customHeight="1">
      <c r="A489" s="60"/>
      <c r="B489" s="14"/>
      <c r="C489" s="14"/>
      <c r="D489" s="14"/>
      <c r="E489" s="73"/>
      <c r="F489" s="74"/>
      <c r="G489" s="75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 ht="15.75" customHeight="1">
      <c r="A490" s="60"/>
      <c r="B490" s="14"/>
      <c r="C490" s="14"/>
      <c r="D490" s="14"/>
      <c r="E490" s="73"/>
      <c r="F490" s="74"/>
      <c r="G490" s="75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 ht="15.75" customHeight="1">
      <c r="A491" s="60"/>
      <c r="B491" s="14"/>
      <c r="C491" s="14"/>
      <c r="D491" s="14"/>
      <c r="E491" s="73"/>
      <c r="F491" s="74"/>
      <c r="G491" s="75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 ht="15.75" customHeight="1">
      <c r="A492" s="60"/>
      <c r="B492" s="14"/>
      <c r="C492" s="14"/>
      <c r="D492" s="14"/>
      <c r="E492" s="73"/>
      <c r="F492" s="74"/>
      <c r="G492" s="75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 ht="15.75" customHeight="1">
      <c r="A493" s="60"/>
      <c r="B493" s="14"/>
      <c r="C493" s="14"/>
      <c r="D493" s="14"/>
      <c r="E493" s="73"/>
      <c r="F493" s="74"/>
      <c r="G493" s="75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 ht="15.75" customHeight="1">
      <c r="A494" s="60"/>
      <c r="B494" s="14"/>
      <c r="C494" s="14"/>
      <c r="D494" s="14"/>
      <c r="E494" s="73"/>
      <c r="F494" s="74"/>
      <c r="G494" s="75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 ht="15.75" customHeight="1">
      <c r="A495" s="60"/>
      <c r="B495" s="14"/>
      <c r="C495" s="14"/>
      <c r="D495" s="14"/>
      <c r="E495" s="73"/>
      <c r="F495" s="74"/>
      <c r="G495" s="75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 ht="15.75" customHeight="1">
      <c r="A496" s="60"/>
      <c r="B496" s="14"/>
      <c r="C496" s="14"/>
      <c r="D496" s="14"/>
      <c r="E496" s="73"/>
      <c r="F496" s="74"/>
      <c r="G496" s="75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 ht="15.75" customHeight="1">
      <c r="A497" s="67"/>
      <c r="E497" s="83"/>
      <c r="F497" s="84"/>
    </row>
    <row r="498" ht="15.75" customHeight="1">
      <c r="A498" s="67"/>
      <c r="E498" s="83"/>
      <c r="F498" s="84"/>
    </row>
    <row r="499" ht="15.75" customHeight="1">
      <c r="A499" s="67"/>
      <c r="E499" s="83"/>
      <c r="F499" s="84"/>
    </row>
    <row r="500" ht="15.75" customHeight="1">
      <c r="A500" s="67"/>
      <c r="E500" s="83"/>
      <c r="F500" s="84"/>
    </row>
    <row r="501" ht="15.75" customHeight="1">
      <c r="A501" s="67"/>
      <c r="E501" s="83"/>
      <c r="F501" s="84"/>
    </row>
    <row r="502" ht="15.75" customHeight="1">
      <c r="A502" s="67"/>
      <c r="E502" s="83"/>
      <c r="F502" s="84"/>
    </row>
    <row r="503" ht="15.75" customHeight="1">
      <c r="A503" s="67"/>
      <c r="E503" s="83"/>
      <c r="F503" s="84"/>
    </row>
    <row r="504" ht="15.75" customHeight="1">
      <c r="A504" s="67"/>
      <c r="E504" s="83"/>
      <c r="F504" s="84"/>
    </row>
    <row r="505" ht="15.75" customHeight="1">
      <c r="A505" s="67"/>
      <c r="E505" s="83"/>
      <c r="F505" s="84"/>
    </row>
    <row r="506" ht="15.75" customHeight="1">
      <c r="A506" s="67"/>
      <c r="E506" s="83"/>
      <c r="F506" s="84"/>
    </row>
    <row r="507" ht="15.75" customHeight="1">
      <c r="A507" s="67"/>
      <c r="E507" s="83"/>
      <c r="F507" s="84"/>
    </row>
    <row r="508" ht="15.75" customHeight="1">
      <c r="A508" s="67"/>
      <c r="E508" s="83"/>
      <c r="F508" s="84"/>
    </row>
    <row r="509" ht="15.75" customHeight="1">
      <c r="A509" s="67"/>
      <c r="E509" s="83"/>
      <c r="F509" s="84"/>
    </row>
    <row r="510" ht="15.75" customHeight="1">
      <c r="A510" s="67"/>
      <c r="E510" s="83"/>
      <c r="F510" s="84"/>
    </row>
    <row r="511" ht="15.75" customHeight="1">
      <c r="A511" s="67"/>
      <c r="E511" s="83"/>
      <c r="F511" s="84"/>
    </row>
    <row r="512" ht="15.75" customHeight="1">
      <c r="A512" s="67"/>
      <c r="E512" s="83"/>
      <c r="F512" s="84"/>
    </row>
    <row r="513" ht="15.75" customHeight="1">
      <c r="A513" s="67"/>
      <c r="E513" s="83"/>
      <c r="F513" s="84"/>
    </row>
    <row r="514" ht="15.75" customHeight="1">
      <c r="A514" s="67"/>
      <c r="E514" s="83"/>
      <c r="F514" s="84"/>
    </row>
    <row r="515" ht="15.75" customHeight="1">
      <c r="A515" s="67"/>
      <c r="E515" s="83"/>
      <c r="F515" s="84"/>
    </row>
    <row r="516" ht="15.75" customHeight="1">
      <c r="A516" s="67"/>
      <c r="E516" s="83"/>
      <c r="F516" s="84"/>
    </row>
    <row r="517" ht="15.75" customHeight="1">
      <c r="A517" s="67"/>
      <c r="E517" s="83"/>
      <c r="F517" s="84"/>
    </row>
    <row r="518" ht="15.75" customHeight="1">
      <c r="A518" s="67"/>
      <c r="E518" s="83"/>
      <c r="F518" s="84"/>
    </row>
    <row r="519" ht="15.75" customHeight="1">
      <c r="A519" s="67"/>
      <c r="E519" s="83"/>
      <c r="F519" s="84"/>
    </row>
    <row r="520" ht="15.75" customHeight="1">
      <c r="A520" s="67"/>
      <c r="E520" s="83"/>
      <c r="F520" s="84"/>
    </row>
    <row r="521" ht="15.75" customHeight="1">
      <c r="A521" s="67"/>
      <c r="E521" s="83"/>
      <c r="F521" s="84"/>
    </row>
    <row r="522" ht="15.75" customHeight="1">
      <c r="A522" s="67"/>
      <c r="E522" s="83"/>
      <c r="F522" s="84"/>
    </row>
    <row r="523" ht="15.75" customHeight="1">
      <c r="A523" s="67"/>
      <c r="E523" s="83"/>
      <c r="F523" s="84"/>
    </row>
    <row r="524" ht="15.75" customHeight="1">
      <c r="A524" s="67"/>
      <c r="E524" s="83"/>
      <c r="F524" s="84"/>
    </row>
    <row r="525" ht="15.75" customHeight="1">
      <c r="A525" s="67"/>
      <c r="E525" s="83"/>
      <c r="F525" s="84"/>
    </row>
    <row r="526" ht="15.75" customHeight="1">
      <c r="A526" s="67"/>
      <c r="E526" s="83"/>
      <c r="F526" s="84"/>
    </row>
    <row r="527" ht="15.75" customHeight="1">
      <c r="A527" s="67"/>
      <c r="E527" s="83"/>
      <c r="F527" s="84"/>
    </row>
    <row r="528" ht="15.75" customHeight="1">
      <c r="A528" s="67"/>
      <c r="E528" s="83"/>
      <c r="F528" s="84"/>
    </row>
    <row r="529" ht="15.75" customHeight="1">
      <c r="A529" s="67"/>
      <c r="E529" s="83"/>
      <c r="F529" s="84"/>
    </row>
    <row r="530" ht="15.75" customHeight="1">
      <c r="A530" s="67"/>
      <c r="E530" s="83"/>
      <c r="F530" s="84"/>
    </row>
    <row r="531" ht="15.75" customHeight="1">
      <c r="A531" s="67"/>
      <c r="E531" s="83"/>
      <c r="F531" s="84"/>
    </row>
    <row r="532" ht="15.75" customHeight="1">
      <c r="A532" s="67"/>
      <c r="E532" s="83"/>
      <c r="F532" s="84"/>
    </row>
    <row r="533" ht="15.75" customHeight="1">
      <c r="A533" s="67"/>
      <c r="E533" s="83"/>
      <c r="F533" s="84"/>
    </row>
    <row r="534" ht="15.75" customHeight="1">
      <c r="A534" s="67"/>
      <c r="E534" s="83"/>
      <c r="F534" s="84"/>
    </row>
    <row r="535" ht="15.75" customHeight="1">
      <c r="A535" s="67"/>
      <c r="E535" s="83"/>
      <c r="F535" s="84"/>
    </row>
    <row r="536" ht="15.75" customHeight="1">
      <c r="A536" s="67"/>
      <c r="E536" s="83"/>
      <c r="F536" s="84"/>
    </row>
    <row r="537" ht="15.75" customHeight="1">
      <c r="A537" s="67"/>
      <c r="E537" s="83"/>
      <c r="F537" s="84"/>
    </row>
    <row r="538" ht="15.75" customHeight="1">
      <c r="A538" s="67"/>
      <c r="E538" s="83"/>
      <c r="F538" s="84"/>
    </row>
    <row r="539" ht="15.75" customHeight="1">
      <c r="A539" s="67"/>
      <c r="E539" s="83"/>
      <c r="F539" s="84"/>
    </row>
    <row r="540" ht="15.75" customHeight="1">
      <c r="A540" s="67"/>
      <c r="E540" s="83"/>
      <c r="F540" s="84"/>
    </row>
    <row r="541" ht="15.75" customHeight="1">
      <c r="A541" s="67"/>
      <c r="E541" s="83"/>
      <c r="F541" s="84"/>
    </row>
    <row r="542" ht="15.75" customHeight="1">
      <c r="A542" s="67"/>
      <c r="E542" s="83"/>
      <c r="F542" s="84"/>
    </row>
    <row r="543" ht="15.75" customHeight="1">
      <c r="A543" s="67"/>
      <c r="E543" s="83"/>
      <c r="F543" s="84"/>
    </row>
    <row r="544" ht="15.75" customHeight="1">
      <c r="A544" s="67"/>
      <c r="E544" s="83"/>
      <c r="F544" s="84"/>
    </row>
    <row r="545" ht="15.75" customHeight="1">
      <c r="A545" s="67"/>
      <c r="E545" s="83"/>
      <c r="F545" s="84"/>
    </row>
    <row r="546" ht="15.75" customHeight="1">
      <c r="A546" s="67"/>
      <c r="E546" s="83"/>
      <c r="F546" s="84"/>
    </row>
    <row r="547" ht="15.75" customHeight="1">
      <c r="A547" s="67"/>
      <c r="E547" s="83"/>
      <c r="F547" s="84"/>
    </row>
    <row r="548" ht="15.75" customHeight="1">
      <c r="A548" s="67"/>
      <c r="E548" s="83"/>
      <c r="F548" s="84"/>
    </row>
    <row r="549" ht="15.75" customHeight="1">
      <c r="A549" s="67"/>
      <c r="E549" s="83"/>
      <c r="F549" s="84"/>
    </row>
    <row r="550" ht="15.75" customHeight="1">
      <c r="A550" s="67"/>
      <c r="E550" s="83"/>
      <c r="F550" s="84"/>
    </row>
    <row r="551" ht="15.75" customHeight="1">
      <c r="A551" s="67"/>
      <c r="E551" s="83"/>
      <c r="F551" s="84"/>
    </row>
    <row r="552" ht="15.75" customHeight="1">
      <c r="A552" s="67"/>
      <c r="E552" s="83"/>
      <c r="F552" s="84"/>
    </row>
    <row r="553" ht="15.75" customHeight="1">
      <c r="A553" s="67"/>
      <c r="E553" s="83"/>
      <c r="F553" s="84"/>
    </row>
    <row r="554" ht="15.75" customHeight="1">
      <c r="A554" s="67"/>
      <c r="E554" s="83"/>
      <c r="F554" s="84"/>
    </row>
    <row r="555" ht="15.75" customHeight="1">
      <c r="A555" s="67"/>
      <c r="E555" s="83"/>
      <c r="F555" s="84"/>
    </row>
    <row r="556" ht="15.75" customHeight="1">
      <c r="A556" s="67"/>
      <c r="E556" s="83"/>
      <c r="F556" s="84"/>
    </row>
    <row r="557" ht="15.75" customHeight="1">
      <c r="A557" s="67"/>
      <c r="E557" s="83"/>
      <c r="F557" s="84"/>
    </row>
    <row r="558" ht="15.75" customHeight="1">
      <c r="A558" s="67"/>
      <c r="E558" s="83"/>
      <c r="F558" s="84"/>
    </row>
    <row r="559" ht="15.75" customHeight="1">
      <c r="A559" s="67"/>
      <c r="E559" s="83"/>
      <c r="F559" s="84"/>
    </row>
    <row r="560" ht="15.75" customHeight="1">
      <c r="A560" s="67"/>
      <c r="E560" s="83"/>
      <c r="F560" s="84"/>
    </row>
    <row r="561" ht="15.75" customHeight="1">
      <c r="A561" s="67"/>
      <c r="E561" s="83"/>
      <c r="F561" s="84"/>
    </row>
    <row r="562" ht="15.75" customHeight="1">
      <c r="A562" s="67"/>
      <c r="E562" s="83"/>
      <c r="F562" s="84"/>
    </row>
    <row r="563" ht="15.75" customHeight="1">
      <c r="A563" s="67"/>
      <c r="E563" s="83"/>
      <c r="F563" s="84"/>
    </row>
    <row r="564" ht="15.75" customHeight="1">
      <c r="A564" s="67"/>
      <c r="E564" s="83"/>
      <c r="F564" s="84"/>
    </row>
    <row r="565" ht="15.75" customHeight="1">
      <c r="A565" s="67"/>
      <c r="E565" s="83"/>
      <c r="F565" s="84"/>
    </row>
    <row r="566" ht="15.75" customHeight="1">
      <c r="A566" s="67"/>
      <c r="E566" s="83"/>
      <c r="F566" s="84"/>
    </row>
    <row r="567" ht="15.75" customHeight="1">
      <c r="A567" s="67"/>
      <c r="E567" s="83"/>
      <c r="F567" s="84"/>
    </row>
    <row r="568" ht="15.75" customHeight="1">
      <c r="A568" s="67"/>
      <c r="E568" s="83"/>
      <c r="F568" s="84"/>
    </row>
    <row r="569" ht="15.75" customHeight="1">
      <c r="A569" s="67"/>
      <c r="E569" s="83"/>
      <c r="F569" s="84"/>
    </row>
    <row r="570" ht="15.75" customHeight="1">
      <c r="A570" s="67"/>
      <c r="E570" s="83"/>
      <c r="F570" s="84"/>
    </row>
    <row r="571" ht="15.75" customHeight="1">
      <c r="A571" s="67"/>
      <c r="E571" s="83"/>
      <c r="F571" s="84"/>
    </row>
    <row r="572" ht="15.75" customHeight="1">
      <c r="A572" s="67"/>
      <c r="E572" s="83"/>
      <c r="F572" s="84"/>
    </row>
    <row r="573" ht="15.75" customHeight="1">
      <c r="A573" s="67"/>
      <c r="E573" s="83"/>
      <c r="F573" s="84"/>
    </row>
    <row r="574" ht="15.75" customHeight="1">
      <c r="A574" s="67"/>
      <c r="E574" s="83"/>
      <c r="F574" s="84"/>
    </row>
    <row r="575" ht="15.75" customHeight="1">
      <c r="A575" s="67"/>
      <c r="E575" s="83"/>
      <c r="F575" s="84"/>
    </row>
    <row r="576" ht="15.75" customHeight="1">
      <c r="A576" s="67"/>
      <c r="E576" s="83"/>
      <c r="F576" s="84"/>
    </row>
    <row r="577" ht="15.75" customHeight="1">
      <c r="A577" s="67"/>
      <c r="E577" s="83"/>
      <c r="F577" s="84"/>
    </row>
    <row r="578" ht="15.75" customHeight="1">
      <c r="A578" s="67"/>
      <c r="E578" s="83"/>
      <c r="F578" s="84"/>
    </row>
    <row r="579" ht="15.75" customHeight="1">
      <c r="A579" s="67"/>
      <c r="E579" s="83"/>
      <c r="F579" s="84"/>
    </row>
    <row r="580" ht="15.75" customHeight="1">
      <c r="A580" s="67"/>
      <c r="E580" s="83"/>
      <c r="F580" s="84"/>
    </row>
    <row r="581" ht="15.75" customHeight="1">
      <c r="A581" s="67"/>
      <c r="E581" s="83"/>
      <c r="F581" s="84"/>
    </row>
    <row r="582" ht="15.75" customHeight="1">
      <c r="A582" s="67"/>
      <c r="E582" s="83"/>
      <c r="F582" s="84"/>
    </row>
    <row r="583" ht="15.75" customHeight="1">
      <c r="A583" s="67"/>
      <c r="E583" s="83"/>
      <c r="F583" s="84"/>
    </row>
    <row r="584" ht="15.75" customHeight="1">
      <c r="A584" s="67"/>
      <c r="E584" s="83"/>
      <c r="F584" s="84"/>
    </row>
    <row r="585" ht="15.75" customHeight="1">
      <c r="A585" s="67"/>
      <c r="E585" s="83"/>
      <c r="F585" s="84"/>
    </row>
    <row r="586" ht="15.75" customHeight="1">
      <c r="A586" s="67"/>
      <c r="E586" s="83"/>
      <c r="F586" s="84"/>
    </row>
    <row r="587" ht="15.75" customHeight="1">
      <c r="A587" s="67"/>
      <c r="E587" s="83"/>
      <c r="F587" s="84"/>
    </row>
    <row r="588" ht="15.75" customHeight="1">
      <c r="A588" s="67"/>
      <c r="E588" s="83"/>
      <c r="F588" s="84"/>
    </row>
    <row r="589" ht="15.75" customHeight="1">
      <c r="A589" s="67"/>
      <c r="E589" s="83"/>
      <c r="F589" s="84"/>
    </row>
    <row r="590" ht="15.75" customHeight="1">
      <c r="A590" s="67"/>
      <c r="E590" s="83"/>
      <c r="F590" s="84"/>
    </row>
    <row r="591" ht="15.75" customHeight="1">
      <c r="A591" s="67"/>
      <c r="E591" s="83"/>
      <c r="F591" s="84"/>
    </row>
    <row r="592" ht="15.75" customHeight="1">
      <c r="A592" s="67"/>
      <c r="E592" s="83"/>
      <c r="F592" s="84"/>
    </row>
    <row r="593" ht="15.75" customHeight="1">
      <c r="A593" s="67"/>
      <c r="E593" s="83"/>
      <c r="F593" s="84"/>
    </row>
    <row r="594" ht="15.75" customHeight="1">
      <c r="A594" s="67"/>
      <c r="E594" s="83"/>
      <c r="F594" s="84"/>
    </row>
    <row r="595" ht="15.75" customHeight="1">
      <c r="A595" s="67"/>
      <c r="E595" s="83"/>
      <c r="F595" s="84"/>
    </row>
    <row r="596" ht="15.75" customHeight="1">
      <c r="A596" s="67"/>
      <c r="E596" s="83"/>
      <c r="F596" s="84"/>
    </row>
    <row r="597" ht="15.75" customHeight="1">
      <c r="A597" s="67"/>
      <c r="E597" s="83"/>
      <c r="F597" s="84"/>
    </row>
    <row r="598" ht="15.75" customHeight="1">
      <c r="A598" s="67"/>
      <c r="E598" s="83"/>
      <c r="F598" s="84"/>
    </row>
    <row r="599" ht="15.75" customHeight="1">
      <c r="A599" s="67"/>
      <c r="E599" s="83"/>
      <c r="F599" s="84"/>
    </row>
    <row r="600" ht="15.75" customHeight="1">
      <c r="A600" s="67"/>
      <c r="E600" s="83"/>
      <c r="F600" s="84"/>
    </row>
    <row r="601" ht="15.75" customHeight="1">
      <c r="A601" s="67"/>
      <c r="E601" s="83"/>
      <c r="F601" s="84"/>
    </row>
    <row r="602" ht="15.75" customHeight="1">
      <c r="A602" s="67"/>
      <c r="E602" s="83"/>
      <c r="F602" s="84"/>
    </row>
    <row r="603" ht="15.75" customHeight="1">
      <c r="A603" s="67"/>
      <c r="E603" s="83"/>
      <c r="F603" s="84"/>
    </row>
    <row r="604" ht="15.75" customHeight="1">
      <c r="A604" s="67"/>
      <c r="E604" s="83"/>
      <c r="F604" s="84"/>
    </row>
    <row r="605" ht="15.75" customHeight="1">
      <c r="A605" s="67"/>
      <c r="E605" s="83"/>
      <c r="F605" s="84"/>
    </row>
    <row r="606" ht="15.75" customHeight="1">
      <c r="A606" s="67"/>
      <c r="E606" s="83"/>
      <c r="F606" s="84"/>
    </row>
    <row r="607" ht="15.75" customHeight="1">
      <c r="A607" s="67"/>
      <c r="E607" s="83"/>
      <c r="F607" s="84"/>
    </row>
    <row r="608" ht="15.75" customHeight="1">
      <c r="A608" s="67"/>
      <c r="E608" s="83"/>
      <c r="F608" s="84"/>
    </row>
    <row r="609" ht="15.75" customHeight="1">
      <c r="A609" s="67"/>
      <c r="E609" s="83"/>
      <c r="F609" s="84"/>
    </row>
    <row r="610" ht="15.75" customHeight="1">
      <c r="A610" s="67"/>
      <c r="E610" s="83"/>
      <c r="F610" s="84"/>
    </row>
    <row r="611" ht="15.75" customHeight="1">
      <c r="A611" s="67"/>
      <c r="E611" s="83"/>
      <c r="F611" s="84"/>
    </row>
    <row r="612" ht="15.75" customHeight="1">
      <c r="A612" s="67"/>
      <c r="E612" s="83"/>
      <c r="F612" s="84"/>
    </row>
    <row r="613" ht="15.75" customHeight="1">
      <c r="A613" s="67"/>
      <c r="E613" s="83"/>
      <c r="F613" s="84"/>
    </row>
    <row r="614" ht="15.75" customHeight="1">
      <c r="A614" s="67"/>
      <c r="E614" s="83"/>
      <c r="F614" s="84"/>
    </row>
    <row r="615" ht="15.75" customHeight="1">
      <c r="A615" s="67"/>
      <c r="E615" s="83"/>
      <c r="F615" s="84"/>
    </row>
    <row r="616" ht="15.75" customHeight="1">
      <c r="A616" s="67"/>
      <c r="E616" s="83"/>
      <c r="F616" s="84"/>
    </row>
    <row r="617" ht="15.75" customHeight="1">
      <c r="A617" s="67"/>
      <c r="E617" s="83"/>
      <c r="F617" s="84"/>
    </row>
    <row r="618" ht="15.75" customHeight="1">
      <c r="A618" s="67"/>
      <c r="E618" s="83"/>
      <c r="F618" s="84"/>
    </row>
    <row r="619" ht="15.75" customHeight="1">
      <c r="A619" s="67"/>
      <c r="E619" s="83"/>
      <c r="F619" s="84"/>
    </row>
    <row r="620" ht="15.75" customHeight="1">
      <c r="A620" s="67"/>
      <c r="E620" s="83"/>
      <c r="F620" s="84"/>
    </row>
    <row r="621" ht="15.75" customHeight="1">
      <c r="A621" s="67"/>
      <c r="E621" s="83"/>
      <c r="F621" s="84"/>
    </row>
    <row r="622" ht="15.75" customHeight="1">
      <c r="A622" s="67"/>
      <c r="E622" s="83"/>
      <c r="F622" s="84"/>
    </row>
    <row r="623" ht="15.75" customHeight="1">
      <c r="A623" s="67"/>
      <c r="E623" s="83"/>
      <c r="F623" s="84"/>
    </row>
    <row r="624" ht="15.75" customHeight="1">
      <c r="A624" s="67"/>
      <c r="E624" s="83"/>
      <c r="F624" s="84"/>
    </row>
    <row r="625" ht="15.75" customHeight="1">
      <c r="A625" s="67"/>
      <c r="E625" s="83"/>
      <c r="F625" s="84"/>
    </row>
    <row r="626" ht="15.75" customHeight="1">
      <c r="A626" s="67"/>
      <c r="E626" s="83"/>
      <c r="F626" s="84"/>
    </row>
    <row r="627" ht="15.75" customHeight="1">
      <c r="A627" s="67"/>
      <c r="E627" s="83"/>
      <c r="F627" s="84"/>
    </row>
    <row r="628" ht="15.75" customHeight="1">
      <c r="A628" s="67"/>
      <c r="E628" s="83"/>
      <c r="F628" s="84"/>
    </row>
    <row r="629" ht="15.75" customHeight="1">
      <c r="A629" s="67"/>
      <c r="E629" s="83"/>
      <c r="F629" s="84"/>
    </row>
    <row r="630" ht="15.75" customHeight="1">
      <c r="A630" s="67"/>
      <c r="E630" s="83"/>
      <c r="F630" s="84"/>
    </row>
    <row r="631" ht="15.75" customHeight="1">
      <c r="A631" s="67"/>
      <c r="E631" s="83"/>
      <c r="F631" s="84"/>
    </row>
    <row r="632" ht="15.75" customHeight="1">
      <c r="A632" s="67"/>
      <c r="E632" s="83"/>
      <c r="F632" s="84"/>
    </row>
    <row r="633" ht="15.75" customHeight="1">
      <c r="A633" s="67"/>
      <c r="E633" s="83"/>
      <c r="F633" s="84"/>
    </row>
    <row r="634" ht="15.75" customHeight="1">
      <c r="A634" s="67"/>
      <c r="E634" s="83"/>
      <c r="F634" s="84"/>
    </row>
    <row r="635" ht="15.75" customHeight="1">
      <c r="A635" s="67"/>
      <c r="E635" s="83"/>
      <c r="F635" s="84"/>
    </row>
    <row r="636" ht="15.75" customHeight="1">
      <c r="A636" s="67"/>
      <c r="E636" s="83"/>
      <c r="F636" s="84"/>
    </row>
    <row r="637" ht="15.75" customHeight="1">
      <c r="A637" s="67"/>
      <c r="E637" s="83"/>
      <c r="F637" s="84"/>
    </row>
    <row r="638" ht="15.75" customHeight="1">
      <c r="A638" s="67"/>
      <c r="E638" s="83"/>
      <c r="F638" s="84"/>
    </row>
    <row r="639" ht="15.75" customHeight="1">
      <c r="A639" s="67"/>
      <c r="E639" s="83"/>
      <c r="F639" s="84"/>
    </row>
    <row r="640" ht="15.75" customHeight="1">
      <c r="A640" s="67"/>
      <c r="E640" s="83"/>
      <c r="F640" s="84"/>
    </row>
    <row r="641" ht="15.75" customHeight="1">
      <c r="A641" s="67"/>
      <c r="E641" s="83"/>
      <c r="F641" s="84"/>
    </row>
    <row r="642" ht="15.75" customHeight="1">
      <c r="A642" s="67"/>
      <c r="E642" s="83"/>
      <c r="F642" s="84"/>
    </row>
    <row r="643" ht="15.75" customHeight="1">
      <c r="A643" s="67"/>
      <c r="E643" s="83"/>
      <c r="F643" s="84"/>
    </row>
    <row r="644" ht="15.75" customHeight="1">
      <c r="A644" s="67"/>
      <c r="E644" s="83"/>
      <c r="F644" s="84"/>
    </row>
    <row r="645" ht="15.75" customHeight="1">
      <c r="A645" s="67"/>
      <c r="E645" s="83"/>
      <c r="F645" s="84"/>
    </row>
    <row r="646" ht="15.75" customHeight="1">
      <c r="A646" s="67"/>
      <c r="E646" s="83"/>
      <c r="F646" s="84"/>
    </row>
    <row r="647" ht="15.75" customHeight="1">
      <c r="A647" s="67"/>
      <c r="E647" s="83"/>
      <c r="F647" s="84"/>
    </row>
    <row r="648" ht="15.75" customHeight="1">
      <c r="A648" s="67"/>
      <c r="E648" s="83"/>
      <c r="F648" s="84"/>
    </row>
    <row r="649" ht="15.75" customHeight="1">
      <c r="A649" s="67"/>
      <c r="E649" s="83"/>
      <c r="F649" s="84"/>
    </row>
    <row r="650" ht="15.75" customHeight="1">
      <c r="A650" s="67"/>
      <c r="E650" s="83"/>
      <c r="F650" s="84"/>
    </row>
    <row r="651" ht="15.75" customHeight="1">
      <c r="A651" s="67"/>
      <c r="E651" s="83"/>
      <c r="F651" s="84"/>
    </row>
    <row r="652" ht="15.75" customHeight="1">
      <c r="A652" s="67"/>
      <c r="E652" s="83"/>
      <c r="F652" s="84"/>
    </row>
    <row r="653" ht="15.75" customHeight="1">
      <c r="A653" s="67"/>
      <c r="E653" s="83"/>
      <c r="F653" s="84"/>
    </row>
    <row r="654" ht="15.75" customHeight="1">
      <c r="A654" s="67"/>
      <c r="E654" s="83"/>
      <c r="F654" s="84"/>
    </row>
    <row r="655" ht="15.75" customHeight="1">
      <c r="A655" s="67"/>
      <c r="E655" s="83"/>
      <c r="F655" s="84"/>
    </row>
    <row r="656" ht="15.75" customHeight="1">
      <c r="A656" s="67"/>
      <c r="E656" s="83"/>
      <c r="F656" s="84"/>
    </row>
    <row r="657" ht="15.75" customHeight="1">
      <c r="A657" s="67"/>
      <c r="E657" s="83"/>
      <c r="F657" s="84"/>
    </row>
    <row r="658" ht="15.75" customHeight="1">
      <c r="A658" s="67"/>
      <c r="E658" s="83"/>
      <c r="F658" s="84"/>
    </row>
    <row r="659" ht="15.75" customHeight="1">
      <c r="A659" s="67"/>
      <c r="E659" s="83"/>
      <c r="F659" s="84"/>
    </row>
    <row r="660" ht="15.75" customHeight="1">
      <c r="A660" s="67"/>
      <c r="E660" s="83"/>
      <c r="F660" s="84"/>
    </row>
    <row r="661" ht="15.75" customHeight="1">
      <c r="A661" s="67"/>
      <c r="E661" s="83"/>
      <c r="F661" s="84"/>
    </row>
    <row r="662" ht="15.75" customHeight="1">
      <c r="A662" s="67"/>
      <c r="E662" s="83"/>
      <c r="F662" s="84"/>
    </row>
    <row r="663" ht="15.75" customHeight="1">
      <c r="A663" s="67"/>
      <c r="E663" s="83"/>
      <c r="F663" s="84"/>
    </row>
    <row r="664" ht="15.75" customHeight="1">
      <c r="A664" s="67"/>
      <c r="E664" s="83"/>
      <c r="F664" s="84"/>
    </row>
    <row r="665" ht="15.75" customHeight="1">
      <c r="A665" s="67"/>
      <c r="E665" s="83"/>
      <c r="F665" s="84"/>
    </row>
    <row r="666" ht="15.75" customHeight="1">
      <c r="A666" s="67"/>
      <c r="E666" s="83"/>
      <c r="F666" s="84"/>
    </row>
    <row r="667" ht="15.75" customHeight="1">
      <c r="A667" s="67"/>
      <c r="E667" s="83"/>
      <c r="F667" s="84"/>
    </row>
    <row r="668" ht="15.75" customHeight="1">
      <c r="A668" s="67"/>
      <c r="E668" s="83"/>
      <c r="F668" s="84"/>
    </row>
    <row r="669" ht="15.75" customHeight="1">
      <c r="A669" s="67"/>
      <c r="E669" s="83"/>
      <c r="F669" s="84"/>
    </row>
    <row r="670" ht="15.75" customHeight="1">
      <c r="A670" s="67"/>
      <c r="E670" s="83"/>
      <c r="F670" s="84"/>
    </row>
    <row r="671" ht="15.75" customHeight="1">
      <c r="A671" s="67"/>
      <c r="E671" s="83"/>
      <c r="F671" s="84"/>
    </row>
    <row r="672" ht="15.75" customHeight="1">
      <c r="A672" s="67"/>
      <c r="E672" s="83"/>
      <c r="F672" s="84"/>
    </row>
    <row r="673" ht="15.75" customHeight="1">
      <c r="A673" s="67"/>
      <c r="E673" s="83"/>
      <c r="F673" s="84"/>
    </row>
    <row r="674" ht="15.75" customHeight="1">
      <c r="A674" s="67"/>
      <c r="E674" s="83"/>
      <c r="F674" s="84"/>
    </row>
    <row r="675" ht="15.75" customHeight="1">
      <c r="A675" s="67"/>
      <c r="E675" s="83"/>
      <c r="F675" s="84"/>
    </row>
    <row r="676" ht="15.75" customHeight="1">
      <c r="A676" s="67"/>
      <c r="E676" s="83"/>
      <c r="F676" s="84"/>
    </row>
    <row r="677" ht="15.75" customHeight="1">
      <c r="A677" s="67"/>
      <c r="E677" s="83"/>
      <c r="F677" s="84"/>
    </row>
    <row r="678" ht="15.75" customHeight="1">
      <c r="A678" s="67"/>
      <c r="E678" s="83"/>
      <c r="F678" s="84"/>
    </row>
    <row r="679" ht="15.75" customHeight="1">
      <c r="A679" s="67"/>
      <c r="E679" s="83"/>
      <c r="F679" s="84"/>
    </row>
    <row r="680" ht="15.75" customHeight="1">
      <c r="A680" s="67"/>
      <c r="E680" s="83"/>
      <c r="F680" s="84"/>
    </row>
    <row r="681" ht="15.75" customHeight="1">
      <c r="A681" s="67"/>
      <c r="E681" s="83"/>
      <c r="F681" s="84"/>
    </row>
    <row r="682" ht="15.75" customHeight="1">
      <c r="A682" s="67"/>
      <c r="E682" s="83"/>
      <c r="F682" s="84"/>
    </row>
    <row r="683" ht="15.75" customHeight="1">
      <c r="A683" s="67"/>
      <c r="E683" s="83"/>
      <c r="F683" s="84"/>
    </row>
    <row r="684" ht="15.75" customHeight="1">
      <c r="A684" s="67"/>
      <c r="E684" s="83"/>
      <c r="F684" s="84"/>
    </row>
    <row r="685" ht="15.75" customHeight="1">
      <c r="A685" s="67"/>
      <c r="E685" s="83"/>
      <c r="F685" s="84"/>
    </row>
    <row r="686" ht="15.75" customHeight="1">
      <c r="A686" s="67"/>
      <c r="E686" s="83"/>
      <c r="F686" s="84"/>
    </row>
    <row r="687" ht="15.75" customHeight="1">
      <c r="A687" s="67"/>
      <c r="E687" s="83"/>
      <c r="F687" s="84"/>
    </row>
    <row r="688" ht="15.75" customHeight="1">
      <c r="A688" s="67"/>
      <c r="E688" s="83"/>
      <c r="F688" s="84"/>
    </row>
    <row r="689" ht="15.75" customHeight="1">
      <c r="A689" s="67"/>
      <c r="E689" s="83"/>
      <c r="F689" s="84"/>
    </row>
    <row r="690" ht="15.75" customHeight="1">
      <c r="A690" s="67"/>
      <c r="E690" s="83"/>
      <c r="F690" s="84"/>
    </row>
    <row r="691" ht="15.75" customHeight="1">
      <c r="A691" s="67"/>
      <c r="E691" s="83"/>
      <c r="F691" s="84"/>
    </row>
    <row r="692" ht="15.75" customHeight="1">
      <c r="A692" s="67"/>
      <c r="E692" s="83"/>
      <c r="F692" s="84"/>
    </row>
    <row r="693" ht="15.75" customHeight="1">
      <c r="A693" s="67"/>
      <c r="E693" s="83"/>
      <c r="F693" s="84"/>
    </row>
    <row r="694" ht="15.75" customHeight="1">
      <c r="A694" s="67"/>
      <c r="E694" s="83"/>
      <c r="F694" s="84"/>
    </row>
    <row r="695" ht="15.75" customHeight="1">
      <c r="A695" s="67"/>
      <c r="E695" s="83"/>
      <c r="F695" s="84"/>
    </row>
    <row r="696" ht="15.75" customHeight="1">
      <c r="A696" s="67"/>
      <c r="E696" s="83"/>
      <c r="F696" s="84"/>
    </row>
    <row r="697" ht="15.75" customHeight="1">
      <c r="A697" s="67"/>
      <c r="E697" s="83"/>
      <c r="F697" s="84"/>
    </row>
    <row r="698" ht="15.75" customHeight="1">
      <c r="A698" s="67"/>
      <c r="E698" s="83"/>
      <c r="F698" s="84"/>
    </row>
    <row r="699" ht="15.75" customHeight="1">
      <c r="A699" s="67"/>
      <c r="E699" s="83"/>
      <c r="F699" s="84"/>
    </row>
    <row r="700" ht="15.75" customHeight="1">
      <c r="A700" s="67"/>
      <c r="E700" s="83"/>
      <c r="F700" s="84"/>
    </row>
    <row r="701" ht="15.75" customHeight="1">
      <c r="A701" s="67"/>
      <c r="E701" s="83"/>
      <c r="F701" s="84"/>
    </row>
    <row r="702" ht="15.75" customHeight="1">
      <c r="A702" s="67"/>
      <c r="E702" s="83"/>
      <c r="F702" s="84"/>
    </row>
    <row r="703" ht="15.75" customHeight="1">
      <c r="A703" s="67"/>
      <c r="E703" s="83"/>
      <c r="F703" s="84"/>
    </row>
    <row r="704" ht="15.75" customHeight="1">
      <c r="A704" s="67"/>
      <c r="E704" s="83"/>
      <c r="F704" s="84"/>
    </row>
    <row r="705" ht="15.75" customHeight="1">
      <c r="A705" s="67"/>
      <c r="E705" s="83"/>
      <c r="F705" s="84"/>
    </row>
    <row r="706" ht="15.75" customHeight="1">
      <c r="A706" s="67"/>
      <c r="E706" s="83"/>
      <c r="F706" s="84"/>
    </row>
    <row r="707" ht="15.75" customHeight="1">
      <c r="A707" s="67"/>
      <c r="E707" s="83"/>
      <c r="F707" s="84"/>
    </row>
    <row r="708" ht="15.75" customHeight="1">
      <c r="A708" s="67"/>
      <c r="E708" s="83"/>
      <c r="F708" s="84"/>
    </row>
    <row r="709" ht="15.75" customHeight="1">
      <c r="A709" s="67"/>
      <c r="E709" s="83"/>
      <c r="F709" s="84"/>
    </row>
    <row r="710" ht="15.75" customHeight="1">
      <c r="A710" s="67"/>
      <c r="E710" s="83"/>
      <c r="F710" s="84"/>
    </row>
    <row r="711" ht="15.75" customHeight="1">
      <c r="A711" s="67"/>
      <c r="E711" s="83"/>
      <c r="F711" s="84"/>
    </row>
    <row r="712" ht="15.75" customHeight="1">
      <c r="A712" s="67"/>
      <c r="E712" s="83"/>
      <c r="F712" s="84"/>
    </row>
    <row r="713" ht="15.75" customHeight="1">
      <c r="A713" s="67"/>
      <c r="E713" s="83"/>
      <c r="F713" s="84"/>
    </row>
    <row r="714" ht="15.75" customHeight="1">
      <c r="A714" s="67"/>
      <c r="E714" s="83"/>
      <c r="F714" s="84"/>
    </row>
    <row r="715" ht="15.75" customHeight="1">
      <c r="A715" s="67"/>
      <c r="E715" s="83"/>
      <c r="F715" s="84"/>
    </row>
    <row r="716" ht="15.75" customHeight="1">
      <c r="A716" s="67"/>
      <c r="E716" s="83"/>
      <c r="F716" s="84"/>
    </row>
    <row r="717" ht="15.75" customHeight="1">
      <c r="A717" s="67"/>
      <c r="E717" s="83"/>
      <c r="F717" s="84"/>
    </row>
    <row r="718" ht="15.75" customHeight="1">
      <c r="A718" s="67"/>
      <c r="E718" s="83"/>
      <c r="F718" s="84"/>
    </row>
    <row r="719" ht="15.75" customHeight="1">
      <c r="A719" s="67"/>
      <c r="E719" s="83"/>
      <c r="F719" s="84"/>
    </row>
    <row r="720" ht="15.75" customHeight="1">
      <c r="A720" s="67"/>
      <c r="E720" s="83"/>
      <c r="F720" s="84"/>
    </row>
    <row r="721" ht="15.75" customHeight="1">
      <c r="A721" s="67"/>
      <c r="E721" s="83"/>
      <c r="F721" s="84"/>
    </row>
    <row r="722" ht="15.75" customHeight="1">
      <c r="A722" s="67"/>
      <c r="E722" s="83"/>
      <c r="F722" s="84"/>
    </row>
    <row r="723" ht="15.75" customHeight="1">
      <c r="A723" s="67"/>
      <c r="E723" s="83"/>
      <c r="F723" s="84"/>
    </row>
    <row r="724" ht="15.75" customHeight="1">
      <c r="A724" s="67"/>
      <c r="E724" s="83"/>
      <c r="F724" s="84"/>
    </row>
    <row r="725" ht="15.75" customHeight="1">
      <c r="A725" s="67"/>
      <c r="E725" s="83"/>
      <c r="F725" s="84"/>
    </row>
    <row r="726" ht="15.75" customHeight="1">
      <c r="A726" s="67"/>
      <c r="E726" s="83"/>
      <c r="F726" s="84"/>
    </row>
    <row r="727" ht="15.75" customHeight="1">
      <c r="A727" s="67"/>
      <c r="E727" s="83"/>
      <c r="F727" s="84"/>
    </row>
    <row r="728" ht="15.75" customHeight="1">
      <c r="A728" s="67"/>
      <c r="E728" s="83"/>
      <c r="F728" s="84"/>
    </row>
    <row r="729" ht="15.75" customHeight="1">
      <c r="A729" s="67"/>
      <c r="E729" s="83"/>
      <c r="F729" s="84"/>
    </row>
    <row r="730" ht="15.75" customHeight="1">
      <c r="A730" s="67"/>
      <c r="E730" s="83"/>
      <c r="F730" s="84"/>
    </row>
    <row r="731" ht="15.75" customHeight="1">
      <c r="A731" s="67"/>
      <c r="E731" s="83"/>
      <c r="F731" s="84"/>
    </row>
    <row r="732" ht="15.75" customHeight="1">
      <c r="A732" s="67"/>
      <c r="E732" s="83"/>
      <c r="F732" s="84"/>
    </row>
    <row r="733" ht="15.75" customHeight="1">
      <c r="A733" s="67"/>
      <c r="E733" s="83"/>
      <c r="F733" s="84"/>
    </row>
    <row r="734" ht="15.75" customHeight="1">
      <c r="A734" s="67"/>
      <c r="E734" s="83"/>
      <c r="F734" s="84"/>
    </row>
    <row r="735" ht="15.75" customHeight="1">
      <c r="A735" s="67"/>
      <c r="E735" s="83"/>
      <c r="F735" s="84"/>
    </row>
    <row r="736" ht="15.75" customHeight="1">
      <c r="A736" s="67"/>
      <c r="E736" s="83"/>
      <c r="F736" s="84"/>
    </row>
    <row r="737" ht="15.75" customHeight="1">
      <c r="A737" s="67"/>
      <c r="E737" s="83"/>
      <c r="F737" s="84"/>
    </row>
    <row r="738" ht="15.75" customHeight="1">
      <c r="A738" s="67"/>
      <c r="E738" s="83"/>
      <c r="F738" s="84"/>
    </row>
    <row r="739" ht="15.75" customHeight="1">
      <c r="A739" s="67"/>
      <c r="E739" s="83"/>
      <c r="F739" s="84"/>
    </row>
    <row r="740" ht="15.75" customHeight="1">
      <c r="A740" s="67"/>
      <c r="E740" s="83"/>
      <c r="F740" s="84"/>
    </row>
    <row r="741" ht="15.75" customHeight="1">
      <c r="A741" s="67"/>
      <c r="E741" s="83"/>
      <c r="F741" s="84"/>
    </row>
    <row r="742" ht="15.75" customHeight="1">
      <c r="A742" s="67"/>
      <c r="E742" s="83"/>
      <c r="F742" s="84"/>
    </row>
    <row r="743" ht="15.75" customHeight="1">
      <c r="A743" s="67"/>
      <c r="E743" s="83"/>
      <c r="F743" s="84"/>
    </row>
    <row r="744" ht="15.75" customHeight="1">
      <c r="A744" s="67"/>
      <c r="E744" s="83"/>
      <c r="F744" s="84"/>
    </row>
    <row r="745" ht="15.75" customHeight="1">
      <c r="A745" s="67"/>
      <c r="E745" s="83"/>
      <c r="F745" s="84"/>
    </row>
    <row r="746" ht="15.75" customHeight="1">
      <c r="A746" s="67"/>
      <c r="E746" s="83"/>
      <c r="F746" s="84"/>
    </row>
    <row r="747" ht="15.75" customHeight="1">
      <c r="A747" s="67"/>
      <c r="E747" s="83"/>
      <c r="F747" s="84"/>
    </row>
    <row r="748" ht="15.75" customHeight="1">
      <c r="A748" s="67"/>
      <c r="E748" s="83"/>
      <c r="F748" s="84"/>
    </row>
    <row r="749" ht="15.75" customHeight="1">
      <c r="A749" s="67"/>
      <c r="E749" s="83"/>
      <c r="F749" s="84"/>
    </row>
    <row r="750" ht="15.75" customHeight="1">
      <c r="A750" s="67"/>
      <c r="E750" s="83"/>
      <c r="F750" s="84"/>
    </row>
    <row r="751" ht="15.75" customHeight="1">
      <c r="A751" s="67"/>
      <c r="E751" s="83"/>
      <c r="F751" s="84"/>
    </row>
    <row r="752" ht="15.75" customHeight="1">
      <c r="A752" s="67"/>
      <c r="E752" s="83"/>
      <c r="F752" s="84"/>
    </row>
    <row r="753" ht="15.75" customHeight="1">
      <c r="A753" s="67"/>
      <c r="E753" s="83"/>
      <c r="F753" s="84"/>
    </row>
    <row r="754" ht="15.75" customHeight="1">
      <c r="A754" s="67"/>
      <c r="E754" s="83"/>
      <c r="F754" s="84"/>
    </row>
    <row r="755" ht="15.75" customHeight="1">
      <c r="A755" s="67"/>
      <c r="E755" s="83"/>
      <c r="F755" s="84"/>
    </row>
    <row r="756" ht="15.75" customHeight="1">
      <c r="A756" s="67"/>
      <c r="E756" s="83"/>
      <c r="F756" s="84"/>
    </row>
    <row r="757" ht="15.75" customHeight="1">
      <c r="A757" s="67"/>
      <c r="E757" s="83"/>
      <c r="F757" s="84"/>
    </row>
    <row r="758" ht="15.75" customHeight="1">
      <c r="A758" s="67"/>
      <c r="E758" s="83"/>
      <c r="F758" s="84"/>
    </row>
    <row r="759" ht="15.75" customHeight="1">
      <c r="A759" s="67"/>
      <c r="E759" s="83"/>
      <c r="F759" s="84"/>
    </row>
    <row r="760" ht="15.75" customHeight="1">
      <c r="A760" s="67"/>
      <c r="E760" s="83"/>
      <c r="F760" s="84"/>
    </row>
    <row r="761" ht="15.75" customHeight="1">
      <c r="A761" s="67"/>
      <c r="E761" s="83"/>
      <c r="F761" s="84"/>
    </row>
    <row r="762" ht="15.75" customHeight="1">
      <c r="A762" s="67"/>
      <c r="E762" s="83"/>
      <c r="F762" s="84"/>
    </row>
    <row r="763" ht="15.75" customHeight="1">
      <c r="A763" s="67"/>
      <c r="E763" s="83"/>
      <c r="F763" s="84"/>
    </row>
    <row r="764" ht="15.75" customHeight="1">
      <c r="A764" s="67"/>
      <c r="E764" s="83"/>
      <c r="F764" s="84"/>
    </row>
    <row r="765" ht="15.75" customHeight="1">
      <c r="A765" s="67"/>
      <c r="E765" s="83"/>
      <c r="F765" s="84"/>
    </row>
    <row r="766" ht="15.75" customHeight="1">
      <c r="A766" s="67"/>
      <c r="E766" s="83"/>
      <c r="F766" s="84"/>
    </row>
    <row r="767" ht="15.75" customHeight="1">
      <c r="A767" s="67"/>
      <c r="E767" s="83"/>
      <c r="F767" s="84"/>
    </row>
    <row r="768" ht="15.75" customHeight="1">
      <c r="A768" s="67"/>
      <c r="E768" s="83"/>
      <c r="F768" s="84"/>
    </row>
    <row r="769" ht="15.75" customHeight="1">
      <c r="A769" s="67"/>
      <c r="E769" s="83"/>
      <c r="F769" s="84"/>
    </row>
    <row r="770" ht="15.75" customHeight="1">
      <c r="A770" s="67"/>
      <c r="E770" s="83"/>
      <c r="F770" s="84"/>
    </row>
    <row r="771" ht="15.75" customHeight="1">
      <c r="A771" s="67"/>
      <c r="E771" s="83"/>
      <c r="F771" s="84"/>
    </row>
    <row r="772" ht="15.75" customHeight="1">
      <c r="A772" s="67"/>
      <c r="E772" s="83"/>
      <c r="F772" s="84"/>
    </row>
    <row r="773" ht="15.75" customHeight="1">
      <c r="A773" s="67"/>
      <c r="E773" s="83"/>
      <c r="F773" s="84"/>
    </row>
    <row r="774" ht="15.75" customHeight="1">
      <c r="A774" s="67"/>
      <c r="E774" s="83"/>
      <c r="F774" s="84"/>
    </row>
    <row r="775" ht="15.75" customHeight="1">
      <c r="A775" s="67"/>
      <c r="E775" s="83"/>
      <c r="F775" s="84"/>
    </row>
    <row r="776" ht="15.75" customHeight="1">
      <c r="A776" s="67"/>
      <c r="E776" s="83"/>
      <c r="F776" s="84"/>
    </row>
    <row r="777" ht="15.75" customHeight="1">
      <c r="A777" s="67"/>
      <c r="E777" s="83"/>
      <c r="F777" s="84"/>
    </row>
    <row r="778" ht="15.75" customHeight="1">
      <c r="A778" s="67"/>
      <c r="E778" s="83"/>
      <c r="F778" s="84"/>
    </row>
    <row r="779" ht="15.75" customHeight="1">
      <c r="A779" s="67"/>
      <c r="E779" s="83"/>
      <c r="F779" s="84"/>
    </row>
    <row r="780" ht="15.75" customHeight="1">
      <c r="A780" s="67"/>
      <c r="E780" s="83"/>
      <c r="F780" s="84"/>
    </row>
    <row r="781" ht="15.75" customHeight="1">
      <c r="A781" s="67"/>
      <c r="E781" s="83"/>
      <c r="F781" s="84"/>
    </row>
    <row r="782" ht="15.75" customHeight="1">
      <c r="A782" s="67"/>
      <c r="E782" s="83"/>
      <c r="F782" s="84"/>
    </row>
    <row r="783" ht="15.75" customHeight="1">
      <c r="A783" s="67"/>
      <c r="E783" s="83"/>
      <c r="F783" s="84"/>
    </row>
    <row r="784" ht="15.75" customHeight="1">
      <c r="A784" s="67"/>
      <c r="E784" s="83"/>
      <c r="F784" s="84"/>
    </row>
    <row r="785" ht="15.75" customHeight="1">
      <c r="A785" s="67"/>
      <c r="E785" s="83"/>
      <c r="F785" s="84"/>
    </row>
    <row r="786" ht="15.75" customHeight="1">
      <c r="A786" s="67"/>
      <c r="E786" s="83"/>
      <c r="F786" s="84"/>
    </row>
    <row r="787" ht="15.75" customHeight="1">
      <c r="A787" s="67"/>
      <c r="E787" s="83"/>
      <c r="F787" s="84"/>
    </row>
    <row r="788" ht="15.75" customHeight="1">
      <c r="A788" s="67"/>
      <c r="E788" s="83"/>
      <c r="F788" s="84"/>
    </row>
    <row r="789" ht="15.75" customHeight="1">
      <c r="A789" s="67"/>
      <c r="E789" s="83"/>
      <c r="F789" s="84"/>
    </row>
    <row r="790" ht="15.75" customHeight="1">
      <c r="A790" s="67"/>
      <c r="E790" s="83"/>
      <c r="F790" s="84"/>
    </row>
    <row r="791" ht="15.75" customHeight="1">
      <c r="A791" s="67"/>
      <c r="E791" s="83"/>
      <c r="F791" s="84"/>
    </row>
    <row r="792" ht="15.75" customHeight="1">
      <c r="A792" s="67"/>
      <c r="E792" s="83"/>
      <c r="F792" s="84"/>
    </row>
    <row r="793" ht="15.75" customHeight="1">
      <c r="A793" s="67"/>
      <c r="E793" s="83"/>
      <c r="F793" s="84"/>
    </row>
    <row r="794" ht="15.75" customHeight="1">
      <c r="A794" s="67"/>
      <c r="E794" s="83"/>
      <c r="F794" s="84"/>
    </row>
    <row r="795" ht="15.75" customHeight="1">
      <c r="A795" s="67"/>
      <c r="E795" s="83"/>
      <c r="F795" s="84"/>
    </row>
    <row r="796" ht="15.75" customHeight="1">
      <c r="A796" s="67"/>
      <c r="E796" s="83"/>
      <c r="F796" s="84"/>
    </row>
    <row r="797" ht="15.75" customHeight="1">
      <c r="A797" s="67"/>
      <c r="E797" s="83"/>
      <c r="F797" s="84"/>
    </row>
    <row r="798" ht="15.75" customHeight="1">
      <c r="A798" s="67"/>
      <c r="E798" s="83"/>
      <c r="F798" s="84"/>
    </row>
    <row r="799" ht="15.75" customHeight="1">
      <c r="A799" s="67"/>
      <c r="E799" s="83"/>
      <c r="F799" s="84"/>
    </row>
    <row r="800" ht="15.75" customHeight="1">
      <c r="A800" s="67"/>
      <c r="E800" s="83"/>
      <c r="F800" s="84"/>
    </row>
    <row r="801" ht="15.75" customHeight="1">
      <c r="A801" s="67"/>
      <c r="E801" s="83"/>
      <c r="F801" s="84"/>
    </row>
    <row r="802" ht="15.75" customHeight="1">
      <c r="A802" s="67"/>
      <c r="E802" s="83"/>
      <c r="F802" s="84"/>
    </row>
    <row r="803" ht="15.75" customHeight="1">
      <c r="A803" s="67"/>
      <c r="E803" s="83"/>
      <c r="F803" s="84"/>
    </row>
    <row r="804" ht="15.75" customHeight="1">
      <c r="A804" s="67"/>
      <c r="E804" s="83"/>
      <c r="F804" s="84"/>
    </row>
    <row r="805" ht="15.75" customHeight="1">
      <c r="A805" s="67"/>
      <c r="E805" s="83"/>
      <c r="F805" s="84"/>
    </row>
    <row r="806" ht="15.75" customHeight="1">
      <c r="A806" s="67"/>
      <c r="E806" s="83"/>
      <c r="F806" s="84"/>
    </row>
    <row r="807" ht="15.75" customHeight="1">
      <c r="A807" s="67"/>
      <c r="E807" s="83"/>
      <c r="F807" s="84"/>
    </row>
    <row r="808" ht="15.75" customHeight="1">
      <c r="A808" s="67"/>
      <c r="E808" s="83"/>
      <c r="F808" s="84"/>
    </row>
    <row r="809" ht="15.75" customHeight="1">
      <c r="A809" s="67"/>
      <c r="E809" s="83"/>
      <c r="F809" s="84"/>
    </row>
    <row r="810" ht="15.75" customHeight="1">
      <c r="A810" s="67"/>
      <c r="E810" s="83"/>
      <c r="F810" s="84"/>
    </row>
    <row r="811" ht="15.75" customHeight="1">
      <c r="A811" s="67"/>
      <c r="E811" s="83"/>
      <c r="F811" s="84"/>
    </row>
    <row r="812" ht="15.75" customHeight="1">
      <c r="A812" s="67"/>
      <c r="E812" s="83"/>
      <c r="F812" s="84"/>
    </row>
    <row r="813" ht="15.75" customHeight="1">
      <c r="A813" s="67"/>
      <c r="E813" s="83"/>
      <c r="F813" s="84"/>
    </row>
    <row r="814" ht="15.75" customHeight="1">
      <c r="A814" s="67"/>
      <c r="E814" s="83"/>
      <c r="F814" s="84"/>
    </row>
    <row r="815" ht="15.75" customHeight="1">
      <c r="A815" s="67"/>
      <c r="E815" s="83"/>
      <c r="F815" s="84"/>
    </row>
    <row r="816" ht="15.75" customHeight="1">
      <c r="A816" s="67"/>
      <c r="E816" s="83"/>
      <c r="F816" s="84"/>
    </row>
    <row r="817" ht="15.75" customHeight="1">
      <c r="A817" s="67"/>
      <c r="E817" s="83"/>
      <c r="F817" s="84"/>
    </row>
    <row r="818" ht="15.75" customHeight="1">
      <c r="A818" s="67"/>
      <c r="E818" s="83"/>
      <c r="F818" s="84"/>
    </row>
    <row r="819" ht="15.75" customHeight="1">
      <c r="A819" s="67"/>
      <c r="E819" s="83"/>
      <c r="F819" s="84"/>
    </row>
    <row r="820" ht="15.75" customHeight="1">
      <c r="A820" s="67"/>
      <c r="E820" s="83"/>
      <c r="F820" s="84"/>
    </row>
    <row r="821" ht="15.75" customHeight="1">
      <c r="A821" s="67"/>
      <c r="E821" s="83"/>
      <c r="F821" s="84"/>
    </row>
    <row r="822" ht="15.75" customHeight="1">
      <c r="A822" s="67"/>
      <c r="E822" s="83"/>
      <c r="F822" s="84"/>
    </row>
    <row r="823" ht="15.75" customHeight="1">
      <c r="A823" s="67"/>
      <c r="E823" s="83"/>
      <c r="F823" s="84"/>
    </row>
    <row r="824" ht="15.75" customHeight="1">
      <c r="A824" s="67"/>
      <c r="E824" s="83"/>
      <c r="F824" s="84"/>
    </row>
    <row r="825" ht="15.75" customHeight="1">
      <c r="A825" s="67"/>
      <c r="E825" s="83"/>
      <c r="F825" s="84"/>
    </row>
    <row r="826" ht="15.75" customHeight="1">
      <c r="A826" s="67"/>
      <c r="E826" s="83"/>
      <c r="F826" s="84"/>
    </row>
    <row r="827" ht="15.75" customHeight="1">
      <c r="A827" s="67"/>
      <c r="E827" s="83"/>
      <c r="F827" s="84"/>
    </row>
    <row r="828" ht="15.75" customHeight="1">
      <c r="A828" s="67"/>
      <c r="E828" s="83"/>
      <c r="F828" s="84"/>
    </row>
    <row r="829" ht="15.75" customHeight="1">
      <c r="A829" s="67"/>
      <c r="E829" s="83"/>
      <c r="F829" s="84"/>
    </row>
    <row r="830" ht="15.75" customHeight="1">
      <c r="A830" s="67"/>
      <c r="E830" s="83"/>
      <c r="F830" s="84"/>
    </row>
    <row r="831" ht="15.75" customHeight="1">
      <c r="A831" s="67"/>
      <c r="E831" s="83"/>
      <c r="F831" s="84"/>
    </row>
    <row r="832" ht="15.75" customHeight="1">
      <c r="A832" s="67"/>
      <c r="E832" s="83"/>
      <c r="F832" s="84"/>
    </row>
    <row r="833" ht="15.75" customHeight="1">
      <c r="A833" s="67"/>
      <c r="E833" s="83"/>
      <c r="F833" s="84"/>
    </row>
    <row r="834" ht="15.75" customHeight="1">
      <c r="A834" s="67"/>
      <c r="E834" s="83"/>
      <c r="F834" s="84"/>
    </row>
    <row r="835" ht="15.75" customHeight="1">
      <c r="A835" s="67"/>
      <c r="E835" s="83"/>
      <c r="F835" s="84"/>
    </row>
    <row r="836" ht="15.75" customHeight="1">
      <c r="A836" s="67"/>
      <c r="E836" s="83"/>
      <c r="F836" s="84"/>
    </row>
    <row r="837" ht="15.75" customHeight="1">
      <c r="A837" s="67"/>
      <c r="E837" s="83"/>
      <c r="F837" s="84"/>
    </row>
    <row r="838" ht="15.75" customHeight="1">
      <c r="A838" s="67"/>
      <c r="E838" s="83"/>
      <c r="F838" s="84"/>
    </row>
    <row r="839" ht="15.75" customHeight="1">
      <c r="A839" s="67"/>
      <c r="E839" s="83"/>
      <c r="F839" s="84"/>
    </row>
    <row r="840" ht="15.75" customHeight="1">
      <c r="A840" s="67"/>
      <c r="E840" s="83"/>
      <c r="F840" s="84"/>
    </row>
    <row r="841" ht="15.75" customHeight="1">
      <c r="A841" s="67"/>
      <c r="E841" s="83"/>
      <c r="F841" s="84"/>
    </row>
    <row r="842" ht="15.75" customHeight="1">
      <c r="A842" s="67"/>
      <c r="E842" s="83"/>
      <c r="F842" s="84"/>
    </row>
    <row r="843" ht="15.75" customHeight="1">
      <c r="A843" s="67"/>
      <c r="E843" s="83"/>
      <c r="F843" s="84"/>
    </row>
    <row r="844" ht="15.75" customHeight="1">
      <c r="A844" s="67"/>
      <c r="E844" s="83"/>
      <c r="F844" s="84"/>
    </row>
    <row r="845" ht="15.75" customHeight="1">
      <c r="A845" s="67"/>
      <c r="E845" s="83"/>
      <c r="F845" s="84"/>
    </row>
    <row r="846" ht="15.75" customHeight="1">
      <c r="A846" s="67"/>
      <c r="E846" s="83"/>
      <c r="F846" s="84"/>
    </row>
    <row r="847" ht="15.75" customHeight="1">
      <c r="A847" s="67"/>
      <c r="E847" s="83"/>
      <c r="F847" s="84"/>
    </row>
    <row r="848" ht="15.75" customHeight="1">
      <c r="A848" s="67"/>
      <c r="E848" s="83"/>
      <c r="F848" s="84"/>
    </row>
    <row r="849" ht="15.75" customHeight="1">
      <c r="A849" s="67"/>
      <c r="E849" s="83"/>
      <c r="F849" s="84"/>
    </row>
    <row r="850" ht="15.75" customHeight="1">
      <c r="A850" s="67"/>
      <c r="E850" s="83"/>
      <c r="F850" s="84"/>
    </row>
    <row r="851" ht="15.75" customHeight="1">
      <c r="A851" s="67"/>
      <c r="E851" s="83"/>
      <c r="F851" s="84"/>
    </row>
    <row r="852" ht="15.75" customHeight="1">
      <c r="A852" s="67"/>
      <c r="E852" s="83"/>
      <c r="F852" s="84"/>
    </row>
    <row r="853" ht="15.75" customHeight="1">
      <c r="A853" s="67"/>
      <c r="E853" s="83"/>
      <c r="F853" s="84"/>
    </row>
    <row r="854" ht="15.75" customHeight="1">
      <c r="A854" s="67"/>
      <c r="E854" s="83"/>
      <c r="F854" s="84"/>
    </row>
    <row r="855" ht="15.75" customHeight="1">
      <c r="A855" s="67"/>
      <c r="E855" s="83"/>
      <c r="F855" s="84"/>
    </row>
    <row r="856" ht="15.75" customHeight="1">
      <c r="A856" s="67"/>
      <c r="E856" s="83"/>
      <c r="F856" s="84"/>
    </row>
    <row r="857" ht="15.75" customHeight="1">
      <c r="A857" s="67"/>
      <c r="E857" s="83"/>
      <c r="F857" s="84"/>
    </row>
    <row r="858" ht="15.75" customHeight="1">
      <c r="A858" s="67"/>
      <c r="E858" s="83"/>
      <c r="F858" s="84"/>
    </row>
    <row r="859" ht="15.75" customHeight="1">
      <c r="A859" s="67"/>
      <c r="E859" s="83"/>
      <c r="F859" s="84"/>
    </row>
    <row r="860" ht="15.75" customHeight="1">
      <c r="A860" s="67"/>
      <c r="E860" s="83"/>
      <c r="F860" s="84"/>
    </row>
    <row r="861" ht="15.75" customHeight="1">
      <c r="A861" s="67"/>
      <c r="E861" s="83"/>
      <c r="F861" s="84"/>
    </row>
    <row r="862" ht="15.75" customHeight="1">
      <c r="A862" s="67"/>
      <c r="E862" s="83"/>
      <c r="F862" s="84"/>
    </row>
    <row r="863" ht="15.75" customHeight="1">
      <c r="A863" s="67"/>
      <c r="E863" s="83"/>
      <c r="F863" s="84"/>
    </row>
    <row r="864" ht="15.75" customHeight="1">
      <c r="A864" s="67"/>
      <c r="E864" s="83"/>
      <c r="F864" s="84"/>
    </row>
    <row r="865" ht="15.75" customHeight="1">
      <c r="A865" s="67"/>
      <c r="E865" s="83"/>
      <c r="F865" s="84"/>
    </row>
    <row r="866" ht="15.75" customHeight="1">
      <c r="A866" s="67"/>
      <c r="E866" s="83"/>
      <c r="F866" s="84"/>
    </row>
    <row r="867" ht="15.75" customHeight="1">
      <c r="A867" s="67"/>
      <c r="E867" s="83"/>
      <c r="F867" s="84"/>
    </row>
    <row r="868" ht="15.75" customHeight="1">
      <c r="A868" s="67"/>
      <c r="E868" s="83"/>
      <c r="F868" s="84"/>
    </row>
    <row r="869" ht="15.75" customHeight="1">
      <c r="A869" s="67"/>
      <c r="E869" s="83"/>
      <c r="F869" s="84"/>
    </row>
    <row r="870" ht="15.75" customHeight="1">
      <c r="A870" s="67"/>
      <c r="E870" s="83"/>
      <c r="F870" s="84"/>
    </row>
    <row r="871" ht="15.75" customHeight="1">
      <c r="A871" s="67"/>
      <c r="E871" s="83"/>
      <c r="F871" s="84"/>
    </row>
    <row r="872" ht="15.75" customHeight="1">
      <c r="A872" s="67"/>
      <c r="E872" s="83"/>
      <c r="F872" s="84"/>
    </row>
    <row r="873" ht="15.75" customHeight="1">
      <c r="A873" s="67"/>
      <c r="E873" s="83"/>
      <c r="F873" s="84"/>
    </row>
    <row r="874" ht="15.75" customHeight="1">
      <c r="A874" s="67"/>
      <c r="E874" s="83"/>
      <c r="F874" s="84"/>
    </row>
    <row r="875" ht="15.75" customHeight="1">
      <c r="A875" s="67"/>
      <c r="E875" s="83"/>
      <c r="F875" s="84"/>
    </row>
    <row r="876" ht="15.75" customHeight="1">
      <c r="A876" s="67"/>
      <c r="E876" s="83"/>
      <c r="F876" s="84"/>
    </row>
    <row r="877" ht="15.75" customHeight="1">
      <c r="A877" s="67"/>
      <c r="E877" s="83"/>
      <c r="F877" s="84"/>
    </row>
    <row r="878" ht="15.75" customHeight="1">
      <c r="A878" s="67"/>
      <c r="E878" s="83"/>
      <c r="F878" s="84"/>
    </row>
    <row r="879" ht="15.75" customHeight="1">
      <c r="A879" s="67"/>
      <c r="E879" s="83"/>
      <c r="F879" s="84"/>
    </row>
    <row r="880" ht="15.75" customHeight="1">
      <c r="A880" s="67"/>
      <c r="E880" s="83"/>
      <c r="F880" s="84"/>
    </row>
    <row r="881" ht="15.75" customHeight="1">
      <c r="A881" s="67"/>
      <c r="E881" s="83"/>
      <c r="F881" s="84"/>
    </row>
    <row r="882" ht="15.75" customHeight="1">
      <c r="A882" s="67"/>
      <c r="E882" s="83"/>
      <c r="F882" s="84"/>
    </row>
    <row r="883" ht="15.75" customHeight="1">
      <c r="A883" s="67"/>
      <c r="E883" s="83"/>
      <c r="F883" s="84"/>
    </row>
    <row r="884" ht="15.75" customHeight="1">
      <c r="A884" s="67"/>
      <c r="E884" s="83"/>
      <c r="F884" s="84"/>
    </row>
    <row r="885" ht="15.75" customHeight="1">
      <c r="A885" s="67"/>
      <c r="E885" s="83"/>
      <c r="F885" s="84"/>
    </row>
    <row r="886" ht="15.75" customHeight="1">
      <c r="A886" s="67"/>
      <c r="E886" s="83"/>
      <c r="F886" s="84"/>
    </row>
    <row r="887" ht="15.75" customHeight="1">
      <c r="A887" s="67"/>
      <c r="E887" s="83"/>
      <c r="F887" s="84"/>
    </row>
    <row r="888" ht="15.75" customHeight="1">
      <c r="A888" s="67"/>
      <c r="E888" s="83"/>
      <c r="F888" s="84"/>
    </row>
    <row r="889" ht="15.75" customHeight="1">
      <c r="A889" s="67"/>
      <c r="E889" s="83"/>
      <c r="F889" s="84"/>
    </row>
    <row r="890" ht="15.75" customHeight="1">
      <c r="A890" s="67"/>
      <c r="E890" s="83"/>
      <c r="F890" s="84"/>
    </row>
    <row r="891" ht="15.75" customHeight="1">
      <c r="A891" s="67"/>
      <c r="E891" s="83"/>
      <c r="F891" s="84"/>
    </row>
    <row r="892" ht="15.75" customHeight="1">
      <c r="A892" s="67"/>
      <c r="E892" s="83"/>
      <c r="F892" s="84"/>
    </row>
    <row r="893" ht="15.75" customHeight="1">
      <c r="A893" s="67"/>
      <c r="E893" s="83"/>
      <c r="F893" s="84"/>
    </row>
    <row r="894" ht="15.75" customHeight="1">
      <c r="A894" s="67"/>
      <c r="E894" s="83"/>
      <c r="F894" s="84"/>
    </row>
    <row r="895" ht="15.75" customHeight="1">
      <c r="A895" s="67"/>
      <c r="E895" s="83"/>
      <c r="F895" s="84"/>
    </row>
    <row r="896" ht="15.75" customHeight="1">
      <c r="A896" s="67"/>
      <c r="E896" s="83"/>
      <c r="F896" s="84"/>
    </row>
    <row r="897" ht="15.75" customHeight="1">
      <c r="A897" s="67"/>
      <c r="E897" s="83"/>
      <c r="F897" s="84"/>
    </row>
    <row r="898" ht="15.75" customHeight="1">
      <c r="A898" s="67"/>
      <c r="E898" s="83"/>
      <c r="F898" s="84"/>
    </row>
    <row r="899" ht="15.75" customHeight="1">
      <c r="A899" s="67"/>
      <c r="E899" s="83"/>
      <c r="F899" s="84"/>
    </row>
    <row r="900" ht="15.75" customHeight="1">
      <c r="A900" s="67"/>
      <c r="E900" s="83"/>
      <c r="F900" s="84"/>
    </row>
    <row r="901" ht="15.75" customHeight="1">
      <c r="A901" s="67"/>
      <c r="E901" s="83"/>
      <c r="F901" s="84"/>
    </row>
    <row r="902" ht="15.75" customHeight="1">
      <c r="A902" s="67"/>
      <c r="E902" s="83"/>
      <c r="F902" s="84"/>
    </row>
    <row r="903" ht="15.75" customHeight="1">
      <c r="A903" s="67"/>
      <c r="E903" s="83"/>
      <c r="F903" s="84"/>
    </row>
    <row r="904" ht="15.75" customHeight="1">
      <c r="A904" s="67"/>
      <c r="E904" s="83"/>
      <c r="F904" s="84"/>
    </row>
    <row r="905" ht="15.75" customHeight="1">
      <c r="A905" s="67"/>
      <c r="E905" s="83"/>
      <c r="F905" s="84"/>
    </row>
    <row r="906" ht="15.75" customHeight="1">
      <c r="A906" s="67"/>
      <c r="E906" s="83"/>
      <c r="F906" s="84"/>
    </row>
    <row r="907" ht="15.75" customHeight="1">
      <c r="A907" s="67"/>
      <c r="E907" s="83"/>
      <c r="F907" s="84"/>
    </row>
    <row r="908" ht="15.75" customHeight="1">
      <c r="A908" s="67"/>
      <c r="E908" s="83"/>
      <c r="F908" s="84"/>
    </row>
    <row r="909" ht="15.75" customHeight="1">
      <c r="A909" s="67"/>
      <c r="E909" s="83"/>
      <c r="F909" s="84"/>
    </row>
    <row r="910" ht="15.75" customHeight="1">
      <c r="A910" s="67"/>
      <c r="E910" s="83"/>
      <c r="F910" s="84"/>
    </row>
    <row r="911" ht="15.75" customHeight="1">
      <c r="A911" s="67"/>
      <c r="E911" s="83"/>
      <c r="F911" s="84"/>
    </row>
    <row r="912" ht="15.75" customHeight="1">
      <c r="A912" s="67"/>
      <c r="E912" s="83"/>
      <c r="F912" s="84"/>
    </row>
    <row r="913" ht="15.75" customHeight="1">
      <c r="A913" s="67"/>
      <c r="E913" s="83"/>
      <c r="F913" s="84"/>
    </row>
    <row r="914" ht="15.75" customHeight="1">
      <c r="A914" s="67"/>
      <c r="E914" s="83"/>
      <c r="F914" s="84"/>
    </row>
    <row r="915" ht="15.75" customHeight="1">
      <c r="A915" s="67"/>
      <c r="E915" s="83"/>
      <c r="F915" s="84"/>
    </row>
    <row r="916" ht="15.75" customHeight="1">
      <c r="A916" s="67"/>
      <c r="E916" s="83"/>
      <c r="F916" s="84"/>
    </row>
    <row r="917" ht="15.75" customHeight="1">
      <c r="A917" s="67"/>
      <c r="E917" s="83"/>
      <c r="F917" s="84"/>
    </row>
    <row r="918" ht="15.75" customHeight="1">
      <c r="A918" s="67"/>
      <c r="E918" s="83"/>
      <c r="F918" s="84"/>
    </row>
    <row r="919" ht="15.75" customHeight="1">
      <c r="A919" s="67"/>
      <c r="E919" s="83"/>
      <c r="F919" s="84"/>
    </row>
    <row r="920" ht="15.75" customHeight="1">
      <c r="A920" s="67"/>
      <c r="E920" s="83"/>
      <c r="F920" s="84"/>
    </row>
    <row r="921" ht="15.75" customHeight="1">
      <c r="A921" s="67"/>
      <c r="E921" s="83"/>
      <c r="F921" s="84"/>
    </row>
    <row r="922" ht="15.75" customHeight="1">
      <c r="A922" s="67"/>
      <c r="E922" s="83"/>
      <c r="F922" s="84"/>
    </row>
    <row r="923" ht="15.75" customHeight="1">
      <c r="A923" s="67"/>
      <c r="E923" s="83"/>
      <c r="F923" s="84"/>
    </row>
    <row r="924" ht="15.75" customHeight="1">
      <c r="A924" s="67"/>
      <c r="E924" s="83"/>
      <c r="F924" s="84"/>
    </row>
    <row r="925" ht="15.75" customHeight="1">
      <c r="A925" s="67"/>
      <c r="E925" s="83"/>
      <c r="F925" s="84"/>
    </row>
    <row r="926" ht="15.75" customHeight="1">
      <c r="A926" s="67"/>
      <c r="E926" s="83"/>
      <c r="F926" s="84"/>
    </row>
    <row r="927" ht="15.75" customHeight="1">
      <c r="A927" s="67"/>
      <c r="E927" s="83"/>
      <c r="F927" s="84"/>
    </row>
    <row r="928" ht="15.75" customHeight="1">
      <c r="A928" s="67"/>
      <c r="E928" s="83"/>
      <c r="F928" s="84"/>
    </row>
    <row r="929" ht="15.75" customHeight="1">
      <c r="A929" s="67"/>
      <c r="E929" s="83"/>
      <c r="F929" s="84"/>
    </row>
    <row r="930" ht="15.75" customHeight="1">
      <c r="A930" s="67"/>
      <c r="E930" s="83"/>
      <c r="F930" s="84"/>
    </row>
    <row r="931" ht="15.75" customHeight="1">
      <c r="A931" s="67"/>
      <c r="E931" s="83"/>
      <c r="F931" s="84"/>
    </row>
    <row r="932" ht="15.75" customHeight="1">
      <c r="A932" s="67"/>
      <c r="E932" s="83"/>
      <c r="F932" s="84"/>
    </row>
    <row r="933" ht="15.75" customHeight="1">
      <c r="A933" s="67"/>
      <c r="E933" s="83"/>
      <c r="F933" s="84"/>
    </row>
    <row r="934" ht="15.75" customHeight="1">
      <c r="A934" s="67"/>
      <c r="E934" s="83"/>
      <c r="F934" s="84"/>
    </row>
    <row r="935" ht="15.75" customHeight="1">
      <c r="A935" s="67"/>
      <c r="E935" s="83"/>
      <c r="F935" s="84"/>
    </row>
    <row r="936" ht="15.75" customHeight="1">
      <c r="A936" s="67"/>
      <c r="E936" s="83"/>
      <c r="F936" s="84"/>
    </row>
    <row r="937" ht="15.75" customHeight="1">
      <c r="A937" s="67"/>
      <c r="E937" s="83"/>
      <c r="F937" s="84"/>
    </row>
    <row r="938" ht="15.75" customHeight="1">
      <c r="A938" s="67"/>
      <c r="E938" s="83"/>
      <c r="F938" s="84"/>
    </row>
    <row r="939" ht="15.75" customHeight="1">
      <c r="A939" s="67"/>
      <c r="E939" s="83"/>
      <c r="F939" s="84"/>
    </row>
    <row r="940" ht="15.75" customHeight="1">
      <c r="A940" s="67"/>
      <c r="E940" s="83"/>
      <c r="F940" s="84"/>
    </row>
    <row r="941" ht="15.75" customHeight="1">
      <c r="A941" s="67"/>
      <c r="E941" s="83"/>
      <c r="F941" s="84"/>
    </row>
    <row r="942" ht="15.75" customHeight="1">
      <c r="A942" s="67"/>
      <c r="E942" s="83"/>
      <c r="F942" s="84"/>
    </row>
    <row r="943" ht="15.75" customHeight="1">
      <c r="A943" s="67"/>
      <c r="E943" s="83"/>
      <c r="F943" s="84"/>
    </row>
    <row r="944" ht="15.75" customHeight="1">
      <c r="A944" s="67"/>
      <c r="E944" s="83"/>
      <c r="F944" s="84"/>
    </row>
    <row r="945" ht="15.75" customHeight="1">
      <c r="A945" s="67"/>
      <c r="E945" s="83"/>
      <c r="F945" s="84"/>
    </row>
    <row r="946" ht="15.75" customHeight="1">
      <c r="A946" s="67"/>
      <c r="E946" s="83"/>
      <c r="F946" s="84"/>
    </row>
    <row r="947" ht="15.75" customHeight="1">
      <c r="A947" s="67"/>
      <c r="E947" s="83"/>
      <c r="F947" s="84"/>
    </row>
    <row r="948" ht="15.75" customHeight="1">
      <c r="A948" s="67"/>
      <c r="E948" s="83"/>
      <c r="F948" s="84"/>
    </row>
    <row r="949" ht="15.75" customHeight="1">
      <c r="A949" s="67"/>
      <c r="E949" s="83"/>
      <c r="F949" s="84"/>
    </row>
    <row r="950" ht="15.75" customHeight="1">
      <c r="A950" s="67"/>
      <c r="E950" s="83"/>
      <c r="F950" s="84"/>
    </row>
    <row r="951" ht="15.75" customHeight="1">
      <c r="A951" s="67"/>
      <c r="E951" s="83"/>
      <c r="F951" s="84"/>
    </row>
    <row r="952" ht="15.75" customHeight="1">
      <c r="A952" s="67"/>
      <c r="E952" s="83"/>
      <c r="F952" s="84"/>
    </row>
    <row r="953" ht="15.75" customHeight="1">
      <c r="A953" s="67"/>
      <c r="E953" s="83"/>
      <c r="F953" s="84"/>
    </row>
    <row r="954" ht="15.75" customHeight="1">
      <c r="A954" s="67"/>
      <c r="E954" s="83"/>
      <c r="F954" s="84"/>
    </row>
    <row r="955" ht="15.75" customHeight="1">
      <c r="A955" s="67"/>
      <c r="E955" s="83"/>
      <c r="F955" s="84"/>
    </row>
    <row r="956" ht="15.75" customHeight="1">
      <c r="A956" s="67"/>
      <c r="E956" s="83"/>
      <c r="F956" s="84"/>
    </row>
    <row r="957" ht="15.75" customHeight="1">
      <c r="A957" s="67"/>
      <c r="E957" s="83"/>
      <c r="F957" s="84"/>
    </row>
    <row r="958" ht="15.75" customHeight="1">
      <c r="A958" s="67"/>
      <c r="E958" s="83"/>
      <c r="F958" s="84"/>
    </row>
    <row r="959" ht="15.75" customHeight="1">
      <c r="A959" s="67"/>
      <c r="E959" s="83"/>
      <c r="F959" s="84"/>
    </row>
    <row r="960" ht="15.75" customHeight="1">
      <c r="A960" s="67"/>
      <c r="E960" s="83"/>
      <c r="F960" s="84"/>
    </row>
    <row r="961" ht="15.75" customHeight="1">
      <c r="A961" s="67"/>
      <c r="E961" s="83"/>
      <c r="F961" s="84"/>
    </row>
    <row r="962" ht="15.75" customHeight="1">
      <c r="A962" s="67"/>
      <c r="E962" s="83"/>
      <c r="F962" s="84"/>
    </row>
    <row r="963" ht="15.75" customHeight="1">
      <c r="A963" s="67"/>
      <c r="E963" s="83"/>
      <c r="F963" s="84"/>
    </row>
    <row r="964" ht="15.75" customHeight="1">
      <c r="A964" s="67"/>
      <c r="E964" s="83"/>
      <c r="F964" s="84"/>
    </row>
    <row r="965" ht="15.75" customHeight="1">
      <c r="A965" s="67"/>
      <c r="E965" s="83"/>
      <c r="F965" s="84"/>
    </row>
    <row r="966" ht="15.75" customHeight="1">
      <c r="A966" s="67"/>
      <c r="E966" s="83"/>
      <c r="F966" s="84"/>
    </row>
    <row r="967" ht="15.75" customHeight="1">
      <c r="A967" s="67"/>
      <c r="E967" s="83"/>
      <c r="F967" s="84"/>
    </row>
    <row r="968" ht="15.75" customHeight="1">
      <c r="A968" s="67"/>
      <c r="E968" s="83"/>
      <c r="F968" s="84"/>
    </row>
    <row r="969" ht="15.75" customHeight="1">
      <c r="A969" s="67"/>
      <c r="E969" s="83"/>
      <c r="F969" s="84"/>
    </row>
    <row r="970" ht="15.75" customHeight="1">
      <c r="A970" s="67"/>
      <c r="E970" s="83"/>
      <c r="F970" s="84"/>
    </row>
    <row r="971" ht="15.75" customHeight="1">
      <c r="A971" s="67"/>
      <c r="E971" s="83"/>
      <c r="F971" s="84"/>
    </row>
    <row r="972" ht="15.75" customHeight="1">
      <c r="A972" s="67"/>
      <c r="E972" s="83"/>
      <c r="F972" s="84"/>
    </row>
    <row r="973" ht="15.75" customHeight="1">
      <c r="A973" s="67"/>
      <c r="E973" s="83"/>
      <c r="F973" s="84"/>
    </row>
    <row r="974" ht="15.75" customHeight="1">
      <c r="A974" s="67"/>
      <c r="E974" s="83"/>
      <c r="F974" s="84"/>
    </row>
    <row r="975" ht="15.75" customHeight="1">
      <c r="A975" s="67"/>
      <c r="E975" s="83"/>
      <c r="F975" s="84"/>
    </row>
    <row r="976" ht="15.75" customHeight="1">
      <c r="A976" s="67"/>
      <c r="E976" s="83"/>
      <c r="F976" s="84"/>
    </row>
    <row r="977" ht="15.75" customHeight="1">
      <c r="A977" s="67"/>
      <c r="E977" s="83"/>
      <c r="F977" s="84"/>
    </row>
    <row r="978" ht="15.75" customHeight="1">
      <c r="A978" s="67"/>
      <c r="E978" s="83"/>
      <c r="F978" s="84"/>
    </row>
    <row r="979" ht="15.75" customHeight="1">
      <c r="A979" s="67"/>
      <c r="E979" s="83"/>
      <c r="F979" s="84"/>
    </row>
    <row r="980" ht="15.75" customHeight="1">
      <c r="A980" s="67"/>
      <c r="E980" s="83"/>
      <c r="F980" s="84"/>
    </row>
    <row r="981" ht="15.75" customHeight="1">
      <c r="A981" s="67"/>
      <c r="E981" s="83"/>
      <c r="F981" s="84"/>
    </row>
    <row r="982" ht="15.75" customHeight="1">
      <c r="A982" s="67"/>
      <c r="E982" s="83"/>
      <c r="F982" s="84"/>
    </row>
    <row r="983" ht="15.75" customHeight="1">
      <c r="A983" s="67"/>
      <c r="E983" s="83"/>
      <c r="F983" s="84"/>
    </row>
    <row r="984" ht="15.75" customHeight="1">
      <c r="A984" s="67"/>
      <c r="E984" s="83"/>
      <c r="F984" s="84"/>
    </row>
    <row r="985" ht="15.75" customHeight="1">
      <c r="A985" s="67"/>
      <c r="E985" s="83"/>
      <c r="F985" s="84"/>
    </row>
    <row r="986" ht="15.75" customHeight="1">
      <c r="A986" s="67"/>
      <c r="E986" s="83"/>
      <c r="F986" s="84"/>
    </row>
    <row r="987" ht="15.75" customHeight="1">
      <c r="A987" s="67"/>
      <c r="E987" s="83"/>
      <c r="F987" s="84"/>
    </row>
    <row r="988" ht="15.75" customHeight="1">
      <c r="A988" s="67"/>
      <c r="E988" s="83"/>
      <c r="F988" s="84"/>
    </row>
    <row r="989" ht="15.75" customHeight="1">
      <c r="A989" s="67"/>
      <c r="E989" s="83"/>
      <c r="F989" s="84"/>
    </row>
    <row r="990" ht="15.75" customHeight="1">
      <c r="A990" s="67"/>
      <c r="E990" s="83"/>
      <c r="F990" s="84"/>
    </row>
    <row r="991" ht="15.75" customHeight="1">
      <c r="A991" s="67"/>
      <c r="E991" s="83"/>
      <c r="F991" s="84"/>
    </row>
    <row r="992" ht="15.75" customHeight="1">
      <c r="A992" s="67"/>
      <c r="E992" s="83"/>
      <c r="F992" s="84"/>
    </row>
    <row r="993" ht="15.75" customHeight="1">
      <c r="A993" s="67"/>
      <c r="E993" s="83"/>
      <c r="F993" s="84"/>
    </row>
    <row r="994" ht="15.75" customHeight="1">
      <c r="A994" s="67"/>
      <c r="E994" s="83"/>
      <c r="F994" s="84"/>
    </row>
    <row r="995" ht="15.75" customHeight="1">
      <c r="A995" s="67"/>
      <c r="E995" s="83"/>
      <c r="F995" s="84"/>
    </row>
    <row r="996" ht="15.75" customHeight="1">
      <c r="A996" s="67"/>
      <c r="E996" s="83"/>
      <c r="F996" s="84"/>
    </row>
    <row r="997" ht="15.75" customHeight="1">
      <c r="A997" s="67"/>
      <c r="E997" s="83"/>
      <c r="F997" s="84"/>
    </row>
    <row r="998" ht="15.75" customHeight="1">
      <c r="A998" s="67"/>
      <c r="E998" s="83"/>
      <c r="F998" s="84"/>
    </row>
    <row r="999" ht="15.75" customHeight="1">
      <c r="A999" s="67"/>
      <c r="E999" s="83"/>
      <c r="F999" s="84"/>
    </row>
    <row r="1000" ht="15.75" customHeight="1">
      <c r="A1000" s="67"/>
      <c r="E1000" s="83"/>
      <c r="F1000" s="84"/>
    </row>
  </sheetData>
  <autoFilter ref="$A$1:$G$999"/>
  <mergeCells count="1">
    <mergeCell ref="H1:Q1"/>
  </mergeCells>
  <conditionalFormatting sqref="G2:G296">
    <cfRule type="expression" dxfId="0" priority="1">
      <formula>$G2=TRUE</formula>
    </cfRule>
  </conditionalFormatting>
  <conditionalFormatting sqref="G2:G296">
    <cfRule type="expression" dxfId="1" priority="2">
      <formula>$G2=FALSE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13"/>
    <col customWidth="1" min="3" max="3" width="19.13"/>
    <col customWidth="1" min="4" max="4" width="23.75"/>
    <col customWidth="1" min="5" max="5" width="32.0"/>
    <col customWidth="1" min="6" max="7" width="24.5"/>
    <col customWidth="1" min="8" max="17" width="7.0"/>
    <col customWidth="1" min="18" max="27" width="11.0"/>
  </cols>
  <sheetData>
    <row r="1" ht="33.75" customHeight="1">
      <c r="A1" s="39" t="s">
        <v>0</v>
      </c>
      <c r="B1" s="40" t="s">
        <v>2</v>
      </c>
      <c r="C1" s="40" t="s">
        <v>3</v>
      </c>
      <c r="D1" s="13" t="s">
        <v>4</v>
      </c>
      <c r="E1" s="41" t="s">
        <v>5</v>
      </c>
      <c r="F1" s="42" t="s">
        <v>6</v>
      </c>
      <c r="G1" s="40" t="s">
        <v>7</v>
      </c>
      <c r="H1" s="43" t="s">
        <v>8</v>
      </c>
      <c r="I1" s="8"/>
      <c r="J1" s="8"/>
      <c r="K1" s="8"/>
      <c r="L1" s="8"/>
      <c r="M1" s="8"/>
      <c r="N1" s="8"/>
      <c r="O1" s="8"/>
      <c r="P1" s="8"/>
      <c r="Q1" s="11"/>
      <c r="R1" s="44"/>
      <c r="S1" s="44"/>
      <c r="T1" s="44"/>
      <c r="U1" s="44"/>
      <c r="V1" s="44"/>
      <c r="W1" s="44"/>
      <c r="X1" s="45"/>
      <c r="Y1" s="45"/>
      <c r="Z1" s="45"/>
      <c r="AA1" s="45"/>
    </row>
    <row r="2" ht="33.75" customHeight="1">
      <c r="A2" s="46" t="s">
        <v>236</v>
      </c>
      <c r="B2" s="47" t="s">
        <v>239</v>
      </c>
      <c r="C2" s="47" t="s">
        <v>245</v>
      </c>
      <c r="D2" s="29" t="s">
        <v>248</v>
      </c>
      <c r="E2" s="48" t="str">
        <f>IFERROR(__xludf.DUMMYFUNCTION("GOOGLETRANSLATE(D2,""zh-CN"",""vi"")"),"Tình yêu của họ thật đẹp.")</f>
        <v>Tình yêu của họ thật đẹp.</v>
      </c>
      <c r="F2" s="49" t="s">
        <v>236</v>
      </c>
      <c r="G2" s="50" t="b">
        <f t="shared" ref="G2:G601" si="1">EXACT(A2,F2)</f>
        <v>1</v>
      </c>
      <c r="H2" s="51" t="s">
        <v>236</v>
      </c>
      <c r="I2" s="52" t="b">
        <v>0</v>
      </c>
      <c r="J2" s="52" t="b">
        <v>0</v>
      </c>
      <c r="K2" s="52" t="b">
        <v>0</v>
      </c>
      <c r="L2" s="52" t="b">
        <v>0</v>
      </c>
      <c r="M2" s="52" t="b">
        <v>0</v>
      </c>
      <c r="N2" s="52" t="b">
        <v>0</v>
      </c>
      <c r="O2" s="52" t="b">
        <v>0</v>
      </c>
      <c r="P2" s="52" t="b">
        <v>0</v>
      </c>
      <c r="Q2" s="52" t="b">
        <v>0</v>
      </c>
      <c r="R2" s="44"/>
      <c r="S2" s="44"/>
      <c r="T2" s="44"/>
      <c r="U2" s="44"/>
      <c r="V2" s="44"/>
      <c r="W2" s="44"/>
      <c r="X2" s="45"/>
      <c r="Y2" s="45"/>
      <c r="Z2" s="45"/>
      <c r="AA2" s="45"/>
    </row>
    <row r="3" ht="33.75" customHeight="1">
      <c r="A3" s="46" t="s">
        <v>280</v>
      </c>
      <c r="B3" s="47" t="s">
        <v>282</v>
      </c>
      <c r="C3" s="47" t="s">
        <v>283</v>
      </c>
      <c r="D3" s="29" t="s">
        <v>284</v>
      </c>
      <c r="E3" s="48" t="str">
        <f>IFERROR(__xludf.DUMMYFUNCTION("GOOGLETRANSLATE(D3,""zh-CN"",""vi"")"),"Tôi đã sắp xếp xong lịch trình của mình rồi.")</f>
        <v>Tôi đã sắp xếp xong lịch trình của mình rồi.</v>
      </c>
      <c r="F3" s="49" t="s">
        <v>280</v>
      </c>
      <c r="G3" s="50" t="b">
        <f t="shared" si="1"/>
        <v>1</v>
      </c>
      <c r="H3" s="52"/>
      <c r="I3" s="52" t="b">
        <v>0</v>
      </c>
      <c r="J3" s="52" t="b">
        <v>0</v>
      </c>
      <c r="K3" s="52" t="b">
        <v>0</v>
      </c>
      <c r="L3" s="52" t="b">
        <v>0</v>
      </c>
      <c r="M3" s="52" t="b">
        <v>0</v>
      </c>
      <c r="N3" s="52" t="b">
        <v>0</v>
      </c>
      <c r="O3" s="52" t="b">
        <v>0</v>
      </c>
      <c r="P3" s="52" t="b">
        <v>0</v>
      </c>
      <c r="Q3" s="52" t="b">
        <v>0</v>
      </c>
      <c r="R3" s="44"/>
      <c r="S3" s="44"/>
      <c r="T3" s="44"/>
      <c r="U3" s="44"/>
      <c r="V3" s="44"/>
      <c r="W3" s="44"/>
      <c r="X3" s="45"/>
      <c r="Y3" s="45"/>
      <c r="Z3" s="45"/>
      <c r="AA3" s="45"/>
    </row>
    <row r="4" ht="33.75" customHeight="1">
      <c r="A4" s="46" t="s">
        <v>287</v>
      </c>
      <c r="B4" s="47" t="s">
        <v>289</v>
      </c>
      <c r="C4" s="47" t="s">
        <v>291</v>
      </c>
      <c r="D4" s="29" t="s">
        <v>294</v>
      </c>
      <c r="E4" s="48" t="str">
        <f>IFERROR(__xludf.DUMMYFUNCTION("GOOGLETRANSLATE(D4,""zh-CN"",""vi"")"),"Nơi này an toàn.")</f>
        <v>Nơi này an toàn.</v>
      </c>
      <c r="F4" s="49" t="s">
        <v>287</v>
      </c>
      <c r="G4" s="50" t="b">
        <f t="shared" si="1"/>
        <v>1</v>
      </c>
      <c r="H4" s="52" t="b">
        <v>0</v>
      </c>
      <c r="I4" s="52" t="b">
        <v>0</v>
      </c>
      <c r="J4" s="52" t="b">
        <v>0</v>
      </c>
      <c r="K4" s="52" t="b">
        <v>0</v>
      </c>
      <c r="L4" s="52" t="b">
        <v>0</v>
      </c>
      <c r="M4" s="52" t="b">
        <v>0</v>
      </c>
      <c r="N4" s="52" t="b">
        <v>0</v>
      </c>
      <c r="O4" s="52" t="b">
        <v>0</v>
      </c>
      <c r="P4" s="52" t="b">
        <v>0</v>
      </c>
      <c r="Q4" s="52" t="b">
        <v>0</v>
      </c>
      <c r="R4" s="44"/>
      <c r="S4" s="44"/>
      <c r="T4" s="44"/>
      <c r="U4" s="44"/>
      <c r="V4" s="44"/>
      <c r="W4" s="44"/>
      <c r="X4" s="45"/>
      <c r="Y4" s="45"/>
      <c r="Z4" s="45"/>
      <c r="AA4" s="45"/>
    </row>
    <row r="5" ht="33.75" customHeight="1">
      <c r="A5" s="46" t="s">
        <v>300</v>
      </c>
      <c r="B5" s="47" t="s">
        <v>301</v>
      </c>
      <c r="C5" s="47" t="s">
        <v>303</v>
      </c>
      <c r="D5" s="29" t="s">
        <v>304</v>
      </c>
      <c r="E5" s="48" t="str">
        <f>IFERROR(__xludf.DUMMYFUNCTION("GOOGLETRANSLATE(D5,""zh-CN"",""vi"")"),"Chúng ta phải hoàn thành nhiệm vụ đúng thời hạn.")</f>
        <v>Chúng ta phải hoàn thành nhiệm vụ đúng thời hạn.</v>
      </c>
      <c r="F5" s="49" t="s">
        <v>300</v>
      </c>
      <c r="G5" s="50" t="b">
        <f t="shared" si="1"/>
        <v>1</v>
      </c>
      <c r="H5" s="52" t="b">
        <v>0</v>
      </c>
      <c r="I5" s="52" t="b">
        <v>0</v>
      </c>
      <c r="J5" s="52" t="b">
        <v>0</v>
      </c>
      <c r="K5" s="52" t="b">
        <v>0</v>
      </c>
      <c r="L5" s="52" t="b">
        <v>0</v>
      </c>
      <c r="M5" s="52" t="b">
        <v>0</v>
      </c>
      <c r="N5" s="52" t="b">
        <v>0</v>
      </c>
      <c r="O5" s="52" t="b">
        <v>0</v>
      </c>
      <c r="P5" s="52" t="b">
        <v>0</v>
      </c>
      <c r="Q5" s="52" t="b">
        <v>0</v>
      </c>
      <c r="R5" s="44"/>
      <c r="S5" s="44"/>
      <c r="T5" s="44"/>
      <c r="U5" s="44"/>
      <c r="V5" s="44"/>
      <c r="W5" s="44"/>
      <c r="X5" s="45"/>
      <c r="Y5" s="45"/>
      <c r="Z5" s="45"/>
      <c r="AA5" s="45"/>
    </row>
    <row r="6" ht="33.75" customHeight="1">
      <c r="A6" s="46" t="s">
        <v>312</v>
      </c>
      <c r="B6" s="47" t="s">
        <v>314</v>
      </c>
      <c r="C6" s="47" t="s">
        <v>315</v>
      </c>
      <c r="D6" s="29" t="s">
        <v>316</v>
      </c>
      <c r="E6" s="48" t="str">
        <f>IFERROR(__xludf.DUMMYFUNCTION("GOOGLETRANSLATE(D6,""zh-CN"",""vi"")"),"Vui lòng làm theo hướng dẫn.")</f>
        <v>Vui lòng làm theo hướng dẫn.</v>
      </c>
      <c r="F6" s="49" t="s">
        <v>312</v>
      </c>
      <c r="G6" s="50" t="b">
        <f t="shared" si="1"/>
        <v>1</v>
      </c>
      <c r="H6" s="52" t="b">
        <v>0</v>
      </c>
      <c r="I6" s="52" t="b">
        <v>0</v>
      </c>
      <c r="J6" s="52" t="b">
        <v>0</v>
      </c>
      <c r="K6" s="52" t="b">
        <v>0</v>
      </c>
      <c r="L6" s="52" t="b">
        <v>0</v>
      </c>
      <c r="M6" s="52" t="b">
        <v>0</v>
      </c>
      <c r="N6" s="52" t="b">
        <v>0</v>
      </c>
      <c r="O6" s="52" t="b">
        <v>0</v>
      </c>
      <c r="P6" s="52" t="b">
        <v>0</v>
      </c>
      <c r="Q6" s="52" t="b">
        <v>0</v>
      </c>
      <c r="R6" s="44"/>
      <c r="S6" s="44"/>
      <c r="T6" s="44"/>
      <c r="U6" s="44"/>
      <c r="V6" s="44"/>
      <c r="W6" s="44"/>
      <c r="X6" s="45"/>
      <c r="Y6" s="45"/>
      <c r="Z6" s="45"/>
      <c r="AA6" s="45"/>
    </row>
    <row r="7" ht="33.75" customHeight="1">
      <c r="A7" s="46" t="s">
        <v>329</v>
      </c>
      <c r="B7" s="47" t="s">
        <v>331</v>
      </c>
      <c r="C7" s="47" t="s">
        <v>333</v>
      </c>
      <c r="D7" s="29" t="s">
        <v>335</v>
      </c>
      <c r="E7" s="48" t="str">
        <f>IFERROR(__xludf.DUMMYFUNCTION("GOOGLETRANSLATE(D7,""zh-CN"",""vi"")"),"Điểm thi của anh ấy là 90%.")</f>
        <v>Điểm thi của anh ấy là 90%.</v>
      </c>
      <c r="F7" s="49" t="s">
        <v>329</v>
      </c>
      <c r="G7" s="50" t="b">
        <f t="shared" si="1"/>
        <v>1</v>
      </c>
      <c r="H7" s="52" t="b">
        <v>0</v>
      </c>
      <c r="I7" s="52" t="b">
        <v>0</v>
      </c>
      <c r="J7" s="52" t="b">
        <v>0</v>
      </c>
      <c r="K7" s="52" t="b">
        <v>0</v>
      </c>
      <c r="L7" s="52" t="b">
        <v>0</v>
      </c>
      <c r="M7" s="52" t="b">
        <v>0</v>
      </c>
      <c r="N7" s="52" t="b">
        <v>0</v>
      </c>
      <c r="O7" s="52" t="b">
        <v>0</v>
      </c>
      <c r="P7" s="52" t="b">
        <v>0</v>
      </c>
      <c r="Q7" s="52" t="b">
        <v>0</v>
      </c>
      <c r="R7" s="44"/>
      <c r="S7" s="44"/>
      <c r="T7" s="44"/>
      <c r="U7" s="44"/>
      <c r="V7" s="44"/>
      <c r="W7" s="44"/>
      <c r="X7" s="45"/>
      <c r="Y7" s="45"/>
      <c r="Z7" s="45"/>
      <c r="AA7" s="45"/>
    </row>
    <row r="8" ht="33.75" customHeight="1">
      <c r="A8" s="46" t="s">
        <v>339</v>
      </c>
      <c r="B8" s="47" t="s">
        <v>343</v>
      </c>
      <c r="C8" s="47" t="s">
        <v>346</v>
      </c>
      <c r="D8" s="29" t="s">
        <v>348</v>
      </c>
      <c r="E8" s="48" t="str">
        <f>IFERROR(__xludf.DUMMYFUNCTION("GOOGLETRANSLATE(D8,""zh-CN"",""vi"")"),"Bạn thật tuyệt vời!")</f>
        <v>Bạn thật tuyệt vời!</v>
      </c>
      <c r="F8" s="49" t="s">
        <v>339</v>
      </c>
      <c r="G8" s="50" t="b">
        <f t="shared" si="1"/>
        <v>1</v>
      </c>
      <c r="H8" s="52" t="b">
        <v>0</v>
      </c>
      <c r="I8" s="52" t="b">
        <v>0</v>
      </c>
      <c r="J8" s="52" t="b">
        <v>0</v>
      </c>
      <c r="K8" s="52" t="b">
        <v>0</v>
      </c>
      <c r="L8" s="52" t="b">
        <v>0</v>
      </c>
      <c r="M8" s="52" t="b">
        <v>0</v>
      </c>
      <c r="N8" s="52" t="b">
        <v>0</v>
      </c>
      <c r="O8" s="52" t="b">
        <v>0</v>
      </c>
      <c r="P8" s="52" t="b">
        <v>0</v>
      </c>
      <c r="Q8" s="52" t="b">
        <v>0</v>
      </c>
      <c r="R8" s="44"/>
      <c r="S8" s="44"/>
      <c r="T8" s="44"/>
      <c r="U8" s="44"/>
      <c r="V8" s="44"/>
      <c r="W8" s="44"/>
      <c r="X8" s="45"/>
      <c r="Y8" s="45"/>
      <c r="Z8" s="45"/>
      <c r="AA8" s="45"/>
    </row>
    <row r="9" ht="33.75" customHeight="1">
      <c r="A9" s="46" t="s">
        <v>350</v>
      </c>
      <c r="B9" s="47" t="s">
        <v>352</v>
      </c>
      <c r="C9" s="47" t="s">
        <v>354</v>
      </c>
      <c r="D9" s="29" t="s">
        <v>356</v>
      </c>
      <c r="E9" s="48" t="str">
        <f>IFERROR(__xludf.DUMMYFUNCTION("GOOGLETRANSLATE(D9,""zh-CN"",""vi"")"),"Tôi thích ăn bánh bao hấp.")</f>
        <v>Tôi thích ăn bánh bao hấp.</v>
      </c>
      <c r="F9" s="49" t="s">
        <v>350</v>
      </c>
      <c r="G9" s="50" t="b">
        <f t="shared" si="1"/>
        <v>1</v>
      </c>
      <c r="H9" s="52" t="b">
        <v>0</v>
      </c>
      <c r="I9" s="52" t="b">
        <v>0</v>
      </c>
      <c r="J9" s="52" t="b">
        <v>0</v>
      </c>
      <c r="K9" s="52" t="b">
        <v>0</v>
      </c>
      <c r="L9" s="52" t="b">
        <v>0</v>
      </c>
      <c r="M9" s="52" t="b">
        <v>0</v>
      </c>
      <c r="N9" s="52" t="b">
        <v>0</v>
      </c>
      <c r="O9" s="52" t="b">
        <v>0</v>
      </c>
      <c r="P9" s="52" t="b">
        <v>0</v>
      </c>
      <c r="Q9" s="52" t="b">
        <v>0</v>
      </c>
      <c r="R9" s="44"/>
      <c r="S9" s="44"/>
      <c r="T9" s="44"/>
      <c r="U9" s="44"/>
      <c r="V9" s="44"/>
      <c r="W9" s="44"/>
      <c r="X9" s="45"/>
      <c r="Y9" s="45"/>
      <c r="Z9" s="45"/>
      <c r="AA9" s="45"/>
    </row>
    <row r="10" ht="33.75" customHeight="1">
      <c r="A10" s="46" t="s">
        <v>366</v>
      </c>
      <c r="B10" s="47" t="s">
        <v>368</v>
      </c>
      <c r="C10" s="47" t="s">
        <v>369</v>
      </c>
      <c r="D10" s="29" t="s">
        <v>371</v>
      </c>
      <c r="E10" s="48" t="str">
        <f>IFERROR(__xludf.DUMMYFUNCTION("GOOGLETRANSLATE(D10,""zh-CN"",""vi"")"),"Chúng ta phải bảo vệ môi trường.")</f>
        <v>Chúng ta phải bảo vệ môi trường.</v>
      </c>
      <c r="F10" s="49" t="s">
        <v>366</v>
      </c>
      <c r="G10" s="50" t="b">
        <f t="shared" si="1"/>
        <v>1</v>
      </c>
      <c r="H10" s="52" t="b">
        <v>0</v>
      </c>
      <c r="I10" s="52" t="b">
        <v>0</v>
      </c>
      <c r="J10" s="52" t="b">
        <v>0</v>
      </c>
      <c r="K10" s="52" t="b">
        <v>0</v>
      </c>
      <c r="L10" s="52" t="b">
        <v>0</v>
      </c>
      <c r="M10" s="52" t="b">
        <v>0</v>
      </c>
      <c r="N10" s="52" t="b">
        <v>0</v>
      </c>
      <c r="O10" s="52" t="b">
        <v>0</v>
      </c>
      <c r="P10" s="52" t="b">
        <v>0</v>
      </c>
      <c r="Q10" s="52" t="b">
        <v>0</v>
      </c>
      <c r="R10" s="44"/>
      <c r="S10" s="44"/>
      <c r="T10" s="44"/>
      <c r="U10" s="44"/>
      <c r="V10" s="44"/>
      <c r="W10" s="44"/>
      <c r="X10" s="45"/>
      <c r="Y10" s="45"/>
      <c r="Z10" s="45"/>
      <c r="AA10" s="45"/>
    </row>
    <row r="11" ht="33.75" customHeight="1">
      <c r="A11" s="46" t="s">
        <v>373</v>
      </c>
      <c r="B11" s="47" t="s">
        <v>374</v>
      </c>
      <c r="C11" s="47" t="s">
        <v>375</v>
      </c>
      <c r="D11" s="29" t="s">
        <v>376</v>
      </c>
      <c r="E11" s="48" t="str">
        <f>IFERROR(__xludf.DUMMYFUNCTION("GOOGLETRANSLATE(D11,""zh-CN"",""vi"")"),"Tôi hứa sẽ hoàn thành nhiệm vụ.")</f>
        <v>Tôi hứa sẽ hoàn thành nhiệm vụ.</v>
      </c>
      <c r="F11" s="49" t="s">
        <v>373</v>
      </c>
      <c r="G11" s="50" t="b">
        <f t="shared" si="1"/>
        <v>1</v>
      </c>
      <c r="H11" s="52" t="b">
        <v>0</v>
      </c>
      <c r="I11" s="52" t="b">
        <v>0</v>
      </c>
      <c r="J11" s="52" t="b">
        <v>0</v>
      </c>
      <c r="K11" s="52" t="b">
        <v>0</v>
      </c>
      <c r="L11" s="52" t="b">
        <v>0</v>
      </c>
      <c r="M11" s="52" t="b">
        <v>0</v>
      </c>
      <c r="N11" s="52" t="b">
        <v>0</v>
      </c>
      <c r="O11" s="52" t="b">
        <v>0</v>
      </c>
      <c r="P11" s="52" t="b">
        <v>0</v>
      </c>
      <c r="Q11" s="52" t="b">
        <v>0</v>
      </c>
      <c r="R11" s="44"/>
      <c r="S11" s="44"/>
      <c r="T11" s="44"/>
      <c r="U11" s="44"/>
      <c r="V11" s="44"/>
      <c r="W11" s="44"/>
      <c r="X11" s="45"/>
      <c r="Y11" s="45"/>
      <c r="Z11" s="45"/>
      <c r="AA11" s="45"/>
    </row>
    <row r="12" ht="33.75" customHeight="1">
      <c r="A12" s="46" t="s">
        <v>381</v>
      </c>
      <c r="B12" s="47" t="s">
        <v>382</v>
      </c>
      <c r="C12" s="47" t="s">
        <v>383</v>
      </c>
      <c r="D12" s="29" t="s">
        <v>384</v>
      </c>
      <c r="E12" s="48" t="str">
        <f>IFERROR(__xludf.DUMMYFUNCTION("GOOGLETRANSLATE(D12,""zh-CN"",""vi"")"),"Tôi đã đăng ký tham gia cuộc thi.")</f>
        <v>Tôi đã đăng ký tham gia cuộc thi.</v>
      </c>
      <c r="F12" s="49" t="s">
        <v>381</v>
      </c>
      <c r="G12" s="50" t="b">
        <f t="shared" si="1"/>
        <v>1</v>
      </c>
      <c r="H12" s="52" t="b">
        <v>0</v>
      </c>
      <c r="I12" s="52" t="b">
        <v>0</v>
      </c>
      <c r="J12" s="52" t="b">
        <v>0</v>
      </c>
      <c r="K12" s="52" t="b">
        <v>0</v>
      </c>
      <c r="L12" s="52" t="b">
        <v>0</v>
      </c>
      <c r="M12" s="52" t="b">
        <v>0</v>
      </c>
      <c r="N12" s="52" t="b">
        <v>0</v>
      </c>
      <c r="O12" s="52" t="b">
        <v>0</v>
      </c>
      <c r="P12" s="52" t="b">
        <v>0</v>
      </c>
      <c r="Q12" s="52" t="b">
        <v>0</v>
      </c>
      <c r="R12" s="44"/>
      <c r="S12" s="44"/>
      <c r="T12" s="44"/>
      <c r="U12" s="44"/>
      <c r="V12" s="44"/>
      <c r="W12" s="44"/>
      <c r="X12" s="45"/>
      <c r="Y12" s="45"/>
      <c r="Z12" s="45"/>
      <c r="AA12" s="45"/>
    </row>
    <row r="13" ht="33.75" customHeight="1">
      <c r="A13" s="46" t="s">
        <v>392</v>
      </c>
      <c r="B13" s="47" t="s">
        <v>393</v>
      </c>
      <c r="C13" s="47" t="s">
        <v>395</v>
      </c>
      <c r="D13" s="29" t="s">
        <v>396</v>
      </c>
      <c r="E13" s="48" t="str">
        <f>IFERROR(__xludf.DUMMYFUNCTION("GOOGLETRANSLATE(D13,""zh-CN"",""vi"")"),"Anh ấy ôm tôi.")</f>
        <v>Anh ấy ôm tôi.</v>
      </c>
      <c r="F13" s="49" t="s">
        <v>392</v>
      </c>
      <c r="G13" s="50" t="b">
        <f t="shared" si="1"/>
        <v>1</v>
      </c>
      <c r="H13" s="52" t="b">
        <v>0</v>
      </c>
      <c r="I13" s="52" t="b">
        <v>0</v>
      </c>
      <c r="J13" s="52" t="b">
        <v>0</v>
      </c>
      <c r="K13" s="52" t="b">
        <v>0</v>
      </c>
      <c r="L13" s="52" t="b">
        <v>0</v>
      </c>
      <c r="M13" s="52" t="b">
        <v>0</v>
      </c>
      <c r="N13" s="52" t="b">
        <v>0</v>
      </c>
      <c r="O13" s="52" t="b">
        <v>0</v>
      </c>
      <c r="P13" s="52" t="b">
        <v>0</v>
      </c>
      <c r="Q13" s="52" t="b">
        <v>0</v>
      </c>
      <c r="R13" s="44"/>
      <c r="S13" s="44"/>
      <c r="T13" s="44"/>
      <c r="U13" s="44"/>
      <c r="V13" s="44"/>
      <c r="W13" s="44"/>
      <c r="X13" s="45"/>
      <c r="Y13" s="45"/>
      <c r="Z13" s="45"/>
      <c r="AA13" s="45"/>
    </row>
    <row r="14" ht="33.75" customHeight="1">
      <c r="A14" s="46" t="s">
        <v>405</v>
      </c>
      <c r="B14" s="47" t="s">
        <v>406</v>
      </c>
      <c r="C14" s="47" t="s">
        <v>231</v>
      </c>
      <c r="D14" s="29" t="s">
        <v>407</v>
      </c>
      <c r="E14" s="48" t="str">
        <f>IFERROR(__xludf.DUMMYFUNCTION("GOOGLETRANSLATE(D14,""zh-CN"",""vi"")"),"Xin lỗi vì đến muộn.")</f>
        <v>Xin lỗi vì đến muộn.</v>
      </c>
      <c r="F14" s="49" t="s">
        <v>405</v>
      </c>
      <c r="G14" s="50" t="b">
        <f t="shared" si="1"/>
        <v>1</v>
      </c>
      <c r="H14" s="52" t="b">
        <v>0</v>
      </c>
      <c r="I14" s="52" t="b">
        <v>0</v>
      </c>
      <c r="J14" s="52" t="b">
        <v>0</v>
      </c>
      <c r="K14" s="52" t="b">
        <v>0</v>
      </c>
      <c r="L14" s="52" t="b">
        <v>0</v>
      </c>
      <c r="M14" s="52" t="b">
        <v>0</v>
      </c>
      <c r="N14" s="52" t="b">
        <v>0</v>
      </c>
      <c r="O14" s="52" t="b">
        <v>0</v>
      </c>
      <c r="P14" s="52" t="b">
        <v>0</v>
      </c>
      <c r="Q14" s="52" t="b">
        <v>0</v>
      </c>
      <c r="R14" s="44"/>
      <c r="S14" s="44"/>
      <c r="T14" s="44"/>
      <c r="U14" s="44"/>
      <c r="V14" s="44"/>
      <c r="W14" s="44"/>
      <c r="X14" s="45"/>
      <c r="Y14" s="45"/>
      <c r="Z14" s="45"/>
      <c r="AA14" s="45"/>
    </row>
    <row r="15" ht="33.75" customHeight="1">
      <c r="A15" s="46" t="s">
        <v>408</v>
      </c>
      <c r="B15" s="47" t="s">
        <v>197</v>
      </c>
      <c r="C15" s="47" t="s">
        <v>196</v>
      </c>
      <c r="D15" s="29" t="s">
        <v>412</v>
      </c>
      <c r="E15" s="48" t="str">
        <f>IFERROR(__xludf.DUMMYFUNCTION("GOOGLETRANSLATE(D15,""zh-CN"",""vi"")"),"Giá đã tăng gấp đôi.")</f>
        <v>Giá đã tăng gấp đôi.</v>
      </c>
      <c r="F15" s="49" t="s">
        <v>408</v>
      </c>
      <c r="G15" s="50" t="b">
        <f t="shared" si="1"/>
        <v>1</v>
      </c>
      <c r="H15" s="52" t="b">
        <v>0</v>
      </c>
      <c r="I15" s="52" t="b">
        <v>0</v>
      </c>
      <c r="J15" s="52" t="b">
        <v>0</v>
      </c>
      <c r="K15" s="52" t="b">
        <v>0</v>
      </c>
      <c r="L15" s="52" t="b">
        <v>0</v>
      </c>
      <c r="M15" s="52" t="b">
        <v>0</v>
      </c>
      <c r="N15" s="52" t="b">
        <v>0</v>
      </c>
      <c r="O15" s="52" t="b">
        <v>0</v>
      </c>
      <c r="P15" s="52" t="b">
        <v>0</v>
      </c>
      <c r="Q15" s="52" t="b">
        <v>0</v>
      </c>
      <c r="R15" s="44"/>
      <c r="S15" s="44"/>
      <c r="T15" s="44"/>
      <c r="U15" s="44"/>
      <c r="V15" s="44"/>
      <c r="W15" s="44"/>
      <c r="X15" s="45"/>
      <c r="Y15" s="45"/>
      <c r="Z15" s="45"/>
      <c r="AA15" s="45"/>
    </row>
    <row r="16" ht="33.75" customHeight="1">
      <c r="A16" s="46" t="s">
        <v>422</v>
      </c>
      <c r="B16" s="47" t="s">
        <v>423</v>
      </c>
      <c r="C16" s="56" t="s">
        <v>424</v>
      </c>
      <c r="D16" s="29" t="s">
        <v>429</v>
      </c>
      <c r="E16" s="48" t="str">
        <f>IFERROR(__xludf.DUMMYFUNCTION("GOOGLETRANSLATE(D16,""zh-CN"",""vi"")"),"Lúc đầu tôi không muốn đi.")</f>
        <v>Lúc đầu tôi không muốn đi.</v>
      </c>
      <c r="F16" s="49" t="s">
        <v>422</v>
      </c>
      <c r="G16" s="50" t="b">
        <f t="shared" si="1"/>
        <v>1</v>
      </c>
      <c r="H16" s="52" t="b">
        <v>0</v>
      </c>
      <c r="I16" s="52" t="b">
        <v>0</v>
      </c>
      <c r="J16" s="52" t="b">
        <v>0</v>
      </c>
      <c r="K16" s="52" t="b">
        <v>0</v>
      </c>
      <c r="L16" s="52" t="b">
        <v>0</v>
      </c>
      <c r="M16" s="52" t="b">
        <v>0</v>
      </c>
      <c r="N16" s="52" t="b">
        <v>0</v>
      </c>
      <c r="O16" s="52" t="b">
        <v>0</v>
      </c>
      <c r="P16" s="52" t="b">
        <v>0</v>
      </c>
      <c r="Q16" s="52" t="b">
        <v>0</v>
      </c>
      <c r="R16" s="44"/>
      <c r="S16" s="44"/>
      <c r="T16" s="44"/>
      <c r="U16" s="44"/>
      <c r="V16" s="44"/>
      <c r="W16" s="44"/>
      <c r="X16" s="45"/>
      <c r="Y16" s="45"/>
      <c r="Z16" s="45"/>
      <c r="AA16" s="45"/>
    </row>
    <row r="17" ht="33.75" customHeight="1">
      <c r="A17" s="46" t="s">
        <v>434</v>
      </c>
      <c r="B17" s="47" t="s">
        <v>435</v>
      </c>
      <c r="C17" s="47" t="s">
        <v>436</v>
      </c>
      <c r="D17" s="29" t="s">
        <v>437</v>
      </c>
      <c r="E17" s="48" t="str">
        <f>IFERROR(__xludf.DUMMYFUNCTION("GOOGLETRANSLATE(D17,""zh-CN"",""vi"")"),"Anh ấy hơi chậm chạp, nhưng anh ấy làm việc rất chăm chỉ.")</f>
        <v>Anh ấy hơi chậm chạp, nhưng anh ấy làm việc rất chăm chỉ.</v>
      </c>
      <c r="F17" s="49" t="s">
        <v>434</v>
      </c>
      <c r="G17" s="50" t="b">
        <f t="shared" si="1"/>
        <v>1</v>
      </c>
      <c r="H17" s="52" t="b">
        <v>0</v>
      </c>
      <c r="I17" s="52" t="b">
        <v>0</v>
      </c>
      <c r="J17" s="52" t="b">
        <v>0</v>
      </c>
      <c r="K17" s="52" t="b">
        <v>0</v>
      </c>
      <c r="L17" s="52" t="b">
        <v>0</v>
      </c>
      <c r="M17" s="52" t="b">
        <v>0</v>
      </c>
      <c r="N17" s="52" t="b">
        <v>0</v>
      </c>
      <c r="O17" s="52" t="b">
        <v>0</v>
      </c>
      <c r="P17" s="52" t="b">
        <v>0</v>
      </c>
      <c r="Q17" s="52" t="b">
        <v>0</v>
      </c>
      <c r="R17" s="44"/>
      <c r="S17" s="44"/>
      <c r="T17" s="44"/>
      <c r="U17" s="44"/>
      <c r="V17" s="44"/>
      <c r="W17" s="44"/>
      <c r="X17" s="45"/>
      <c r="Y17" s="45"/>
      <c r="Z17" s="45"/>
      <c r="AA17" s="45"/>
    </row>
    <row r="18" ht="33.75" customHeight="1">
      <c r="A18" s="46" t="s">
        <v>447</v>
      </c>
      <c r="B18" s="47" t="s">
        <v>449</v>
      </c>
      <c r="C18" s="47" t="s">
        <v>451</v>
      </c>
      <c r="D18" s="29" t="s">
        <v>452</v>
      </c>
      <c r="E18" s="48" t="str">
        <f>IFERROR(__xludf.DUMMYFUNCTION("GOOGLETRANSLATE(D18,""zh-CN"",""vi"")"),"Ví dụ, táo và chuối.")</f>
        <v>Ví dụ, táo và chuối.</v>
      </c>
      <c r="F18" s="49" t="s">
        <v>447</v>
      </c>
      <c r="G18" s="50" t="b">
        <f t="shared" si="1"/>
        <v>1</v>
      </c>
      <c r="H18" s="52" t="b">
        <v>0</v>
      </c>
      <c r="I18" s="52" t="b">
        <v>0</v>
      </c>
      <c r="J18" s="52" t="b">
        <v>0</v>
      </c>
      <c r="K18" s="52" t="b">
        <v>0</v>
      </c>
      <c r="L18" s="52" t="b">
        <v>0</v>
      </c>
      <c r="M18" s="52" t="b">
        <v>0</v>
      </c>
      <c r="N18" s="52" t="b">
        <v>0</v>
      </c>
      <c r="O18" s="52" t="b">
        <v>0</v>
      </c>
      <c r="P18" s="52" t="b">
        <v>0</v>
      </c>
      <c r="Q18" s="52" t="b">
        <v>0</v>
      </c>
      <c r="R18" s="44"/>
      <c r="S18" s="44"/>
      <c r="T18" s="44"/>
      <c r="U18" s="44"/>
      <c r="V18" s="44"/>
      <c r="W18" s="44"/>
      <c r="X18" s="45"/>
      <c r="Y18" s="45"/>
      <c r="Z18" s="45"/>
      <c r="AA18" s="45"/>
    </row>
    <row r="19" ht="33.75" customHeight="1">
      <c r="A19" s="46" t="s">
        <v>458</v>
      </c>
      <c r="B19" s="47" t="s">
        <v>459</v>
      </c>
      <c r="C19" s="47" t="s">
        <v>460</v>
      </c>
      <c r="D19" s="29" t="s">
        <v>461</v>
      </c>
      <c r="E19" s="48" t="str">
        <f>IFERROR(__xludf.DUMMYFUNCTION("GOOGLETRANSLATE(D19,""zh-CN"",""vi"")"),"Anh ấy tốt nghiệp đại học năm nay.")</f>
        <v>Anh ấy tốt nghiệp đại học năm nay.</v>
      </c>
      <c r="F19" s="49" t="s">
        <v>458</v>
      </c>
      <c r="G19" s="50" t="b">
        <f t="shared" si="1"/>
        <v>1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44"/>
      <c r="S19" s="44"/>
      <c r="T19" s="44"/>
      <c r="U19" s="44"/>
      <c r="V19" s="44"/>
      <c r="W19" s="44"/>
      <c r="X19" s="45"/>
      <c r="Y19" s="45"/>
      <c r="Z19" s="45"/>
      <c r="AA19" s="45"/>
    </row>
    <row r="20" ht="33.75" customHeight="1">
      <c r="A20" s="46" t="s">
        <v>467</v>
      </c>
      <c r="B20" s="47" t="s">
        <v>471</v>
      </c>
      <c r="C20" s="47" t="s">
        <v>472</v>
      </c>
      <c r="D20" s="29" t="s">
        <v>476</v>
      </c>
      <c r="E20" s="48" t="str">
        <f>IFERROR(__xludf.DUMMYFUNCTION("GOOGLETRANSLATE(D20,""zh-CN"",""vi"")"),"Tôi đã đọc cuốn sách này ba lần.")</f>
        <v>Tôi đã đọc cuốn sách này ba lần.</v>
      </c>
      <c r="F20" s="49" t="s">
        <v>467</v>
      </c>
      <c r="G20" s="50" t="b">
        <f t="shared" si="1"/>
        <v>1</v>
      </c>
      <c r="H20" s="52" t="b">
        <v>0</v>
      </c>
      <c r="I20" s="52" t="b">
        <v>0</v>
      </c>
      <c r="J20" s="52" t="b">
        <v>0</v>
      </c>
      <c r="K20" s="52" t="b">
        <v>0</v>
      </c>
      <c r="L20" s="52" t="b">
        <v>0</v>
      </c>
      <c r="M20" s="52" t="b">
        <v>0</v>
      </c>
      <c r="N20" s="52" t="b">
        <v>0</v>
      </c>
      <c r="O20" s="52" t="b">
        <v>0</v>
      </c>
      <c r="P20" s="52" t="b">
        <v>0</v>
      </c>
      <c r="Q20" s="52" t="b">
        <v>0</v>
      </c>
      <c r="R20" s="44"/>
      <c r="S20" s="44"/>
      <c r="T20" s="44"/>
      <c r="U20" s="44"/>
      <c r="V20" s="44"/>
      <c r="W20" s="44"/>
      <c r="X20" s="45"/>
      <c r="Y20" s="45"/>
      <c r="Z20" s="45"/>
      <c r="AA20" s="45"/>
    </row>
    <row r="21" ht="33.75" customHeight="1">
      <c r="A21" s="46" t="s">
        <v>478</v>
      </c>
      <c r="B21" s="47" t="s">
        <v>479</v>
      </c>
      <c r="C21" s="47" t="s">
        <v>480</v>
      </c>
      <c r="D21" s="29" t="s">
        <v>482</v>
      </c>
      <c r="E21" s="48" t="str">
        <f>IFERROR(__xludf.DUMMYFUNCTION("GOOGLETRANSLATE(D21,""zh-CN"",""vi"")"),"Cách phát âm tiếng Trung của anh ấy rất chuẩn.")</f>
        <v>Cách phát âm tiếng Trung của anh ấy rất chuẩn.</v>
      </c>
      <c r="F21" s="49" t="s">
        <v>478</v>
      </c>
      <c r="G21" s="50" t="b">
        <f t="shared" si="1"/>
        <v>1</v>
      </c>
      <c r="H21" s="52" t="b">
        <v>0</v>
      </c>
      <c r="I21" s="52" t="b">
        <v>0</v>
      </c>
      <c r="J21" s="52" t="b">
        <v>0</v>
      </c>
      <c r="K21" s="52" t="b">
        <v>0</v>
      </c>
      <c r="L21" s="52" t="b">
        <v>0</v>
      </c>
      <c r="M21" s="52" t="b">
        <v>0</v>
      </c>
      <c r="N21" s="52" t="b">
        <v>0</v>
      </c>
      <c r="O21" s="52" t="b">
        <v>0</v>
      </c>
      <c r="P21" s="52" t="b">
        <v>0</v>
      </c>
      <c r="Q21" s="52" t="b">
        <v>0</v>
      </c>
      <c r="R21" s="44"/>
      <c r="S21" s="44"/>
      <c r="T21" s="44"/>
      <c r="U21" s="44"/>
      <c r="V21" s="44"/>
      <c r="W21" s="44"/>
      <c r="X21" s="45"/>
      <c r="Y21" s="45"/>
      <c r="Z21" s="45"/>
      <c r="AA21" s="45"/>
    </row>
    <row r="22" ht="33.75" customHeight="1">
      <c r="A22" s="46" t="s">
        <v>491</v>
      </c>
      <c r="B22" s="47" t="s">
        <v>492</v>
      </c>
      <c r="C22" s="47" t="s">
        <v>494</v>
      </c>
      <c r="D22" s="29" t="s">
        <v>495</v>
      </c>
      <c r="E22" s="48" t="str">
        <f>IFERROR(__xludf.DUMMYFUNCTION("GOOGLETRANSLATE(D22,""zh-CN"",""vi"")"),"Vui lòng điền vào mẫu đơn này.")</f>
        <v>Vui lòng điền vào mẫu đơn này.</v>
      </c>
      <c r="F22" s="49" t="s">
        <v>491</v>
      </c>
      <c r="G22" s="50" t="b">
        <f t="shared" si="1"/>
        <v>1</v>
      </c>
      <c r="H22" s="52" t="b">
        <v>0</v>
      </c>
      <c r="I22" s="52" t="b">
        <v>0</v>
      </c>
      <c r="J22" s="52" t="b">
        <v>0</v>
      </c>
      <c r="K22" s="52" t="b">
        <v>0</v>
      </c>
      <c r="L22" s="52" t="b">
        <v>0</v>
      </c>
      <c r="M22" s="52" t="b">
        <v>0</v>
      </c>
      <c r="N22" s="52" t="b">
        <v>0</v>
      </c>
      <c r="O22" s="52" t="b">
        <v>0</v>
      </c>
      <c r="P22" s="52" t="b">
        <v>0</v>
      </c>
      <c r="Q22" s="52" t="b">
        <v>0</v>
      </c>
      <c r="R22" s="44"/>
      <c r="S22" s="44"/>
      <c r="T22" s="44"/>
      <c r="U22" s="44"/>
      <c r="V22" s="44"/>
      <c r="W22" s="44"/>
      <c r="X22" s="45"/>
      <c r="Y22" s="45"/>
      <c r="Z22" s="45"/>
      <c r="AA22" s="45"/>
    </row>
    <row r="23" ht="33.75" customHeight="1">
      <c r="A23" s="46" t="s">
        <v>249</v>
      </c>
      <c r="B23" s="47" t="s">
        <v>504</v>
      </c>
      <c r="C23" s="47" t="s">
        <v>506</v>
      </c>
      <c r="D23" s="29" t="s">
        <v>508</v>
      </c>
      <c r="E23" s="48" t="str">
        <f>IFERROR(__xludf.DUMMYFUNCTION("GOOGLETRANSLATE(D23,""zh-CN"",""vi"")"),"Ông ấy đồng ý.")</f>
        <v>Ông ấy đồng ý.</v>
      </c>
      <c r="F23" s="49" t="s">
        <v>249</v>
      </c>
      <c r="G23" s="50" t="b">
        <f t="shared" si="1"/>
        <v>1</v>
      </c>
      <c r="H23" s="52" t="b">
        <v>0</v>
      </c>
      <c r="I23" s="52" t="b">
        <v>0</v>
      </c>
      <c r="J23" s="52" t="b">
        <v>0</v>
      </c>
      <c r="K23" s="52" t="b">
        <v>0</v>
      </c>
      <c r="L23" s="52" t="b">
        <v>0</v>
      </c>
      <c r="M23" s="52" t="b">
        <v>0</v>
      </c>
      <c r="N23" s="52" t="b">
        <v>0</v>
      </c>
      <c r="O23" s="52" t="b">
        <v>0</v>
      </c>
      <c r="P23" s="52" t="b">
        <v>0</v>
      </c>
      <c r="Q23" s="52" t="b">
        <v>0</v>
      </c>
      <c r="R23" s="44"/>
      <c r="S23" s="44"/>
      <c r="T23" s="44"/>
      <c r="U23" s="44"/>
      <c r="V23" s="44"/>
      <c r="W23" s="44"/>
      <c r="X23" s="45"/>
      <c r="Y23" s="45"/>
      <c r="Z23" s="45"/>
      <c r="AA23" s="45"/>
    </row>
    <row r="24" ht="33.75" customHeight="1">
      <c r="A24" s="46" t="s">
        <v>264</v>
      </c>
      <c r="B24" s="47" t="s">
        <v>514</v>
      </c>
      <c r="C24" s="47" t="s">
        <v>267</v>
      </c>
      <c r="D24" s="29" t="s">
        <v>517</v>
      </c>
      <c r="E24" s="48" t="str">
        <f>IFERROR(__xludf.DUMMYFUNCTION("GOOGLETRANSLATE(D24,""zh-CN"",""vi"")"),"Màn trình diễn của cô ấy thật tuyệt vời.")</f>
        <v>Màn trình diễn của cô ấy thật tuyệt vời.</v>
      </c>
      <c r="F24" s="49" t="s">
        <v>264</v>
      </c>
      <c r="G24" s="50" t="b">
        <f t="shared" si="1"/>
        <v>1</v>
      </c>
      <c r="H24" s="52" t="b">
        <v>0</v>
      </c>
      <c r="I24" s="52" t="b">
        <v>0</v>
      </c>
      <c r="J24" s="52" t="b">
        <v>0</v>
      </c>
      <c r="K24" s="52" t="b">
        <v>0</v>
      </c>
      <c r="L24" s="52" t="b">
        <v>0</v>
      </c>
      <c r="M24" s="52" t="b">
        <v>0</v>
      </c>
      <c r="N24" s="52" t="b">
        <v>0</v>
      </c>
      <c r="O24" s="52" t="b">
        <v>0</v>
      </c>
      <c r="P24" s="52" t="b">
        <v>0</v>
      </c>
      <c r="Q24" s="52" t="b">
        <v>0</v>
      </c>
      <c r="R24" s="44"/>
      <c r="S24" s="44"/>
      <c r="T24" s="44"/>
      <c r="U24" s="44"/>
      <c r="V24" s="44"/>
      <c r="W24" s="44"/>
      <c r="X24" s="45"/>
      <c r="Y24" s="45"/>
      <c r="Z24" s="45"/>
      <c r="AA24" s="45"/>
    </row>
    <row r="25" ht="33.75" customHeight="1">
      <c r="A25" s="46" t="s">
        <v>524</v>
      </c>
      <c r="B25" s="47" t="s">
        <v>526</v>
      </c>
      <c r="C25" s="47" t="s">
        <v>528</v>
      </c>
      <c r="D25" s="29" t="s">
        <v>529</v>
      </c>
      <c r="E25" s="48" t="str">
        <f>IFERROR(__xludf.DUMMYFUNCTION("GOOGLETRANSLATE(D25,""zh-CN"",""vi"")"),"Giáo viên đã khen ngợi cậu ấy.")</f>
        <v>Giáo viên đã khen ngợi cậu ấy.</v>
      </c>
      <c r="F25" s="49" t="s">
        <v>524</v>
      </c>
      <c r="G25" s="50" t="b">
        <f t="shared" si="1"/>
        <v>1</v>
      </c>
      <c r="H25" s="52" t="b">
        <v>0</v>
      </c>
      <c r="I25" s="52" t="b">
        <v>0</v>
      </c>
      <c r="J25" s="52" t="b">
        <v>0</v>
      </c>
      <c r="K25" s="52" t="b">
        <v>0</v>
      </c>
      <c r="L25" s="52" t="b">
        <v>0</v>
      </c>
      <c r="M25" s="52" t="b">
        <v>0</v>
      </c>
      <c r="N25" s="52" t="b">
        <v>0</v>
      </c>
      <c r="O25" s="52" t="b">
        <v>0</v>
      </c>
      <c r="P25" s="52" t="b">
        <v>0</v>
      </c>
      <c r="Q25" s="52" t="b">
        <v>0</v>
      </c>
      <c r="R25" s="44"/>
      <c r="S25" s="44"/>
      <c r="T25" s="44"/>
      <c r="U25" s="44"/>
      <c r="V25" s="44"/>
      <c r="W25" s="44"/>
      <c r="X25" s="45"/>
      <c r="Y25" s="45"/>
      <c r="Z25" s="45"/>
      <c r="AA25" s="45"/>
    </row>
    <row r="26" ht="33.75" customHeight="1">
      <c r="A26" s="46" t="s">
        <v>539</v>
      </c>
      <c r="B26" s="47" t="s">
        <v>540</v>
      </c>
      <c r="C26" s="47" t="s">
        <v>541</v>
      </c>
      <c r="D26" s="29" t="s">
        <v>542</v>
      </c>
      <c r="E26" s="48" t="str">
        <f>IFERROR(__xludf.DUMMYFUNCTION("GOOGLETRANSLATE(D26,""zh-CN"",""vi"")"),"Tôi thích ăn bánh quy.")</f>
        <v>Tôi thích ăn bánh quy.</v>
      </c>
      <c r="F26" s="49" t="s">
        <v>539</v>
      </c>
      <c r="G26" s="50" t="b">
        <f t="shared" si="1"/>
        <v>1</v>
      </c>
      <c r="H26" s="52" t="b">
        <v>0</v>
      </c>
      <c r="I26" s="52" t="b">
        <v>0</v>
      </c>
      <c r="J26" s="52" t="b">
        <v>0</v>
      </c>
      <c r="K26" s="52" t="b">
        <v>0</v>
      </c>
      <c r="L26" s="52" t="b">
        <v>0</v>
      </c>
      <c r="M26" s="52" t="b">
        <v>0</v>
      </c>
      <c r="N26" s="52" t="b">
        <v>0</v>
      </c>
      <c r="O26" s="52" t="b">
        <v>0</v>
      </c>
      <c r="P26" s="52" t="b">
        <v>0</v>
      </c>
      <c r="Q26" s="52" t="b">
        <v>0</v>
      </c>
      <c r="R26" s="44"/>
      <c r="S26" s="44"/>
      <c r="T26" s="44"/>
      <c r="U26" s="44"/>
      <c r="V26" s="44"/>
      <c r="W26" s="44"/>
      <c r="X26" s="45"/>
      <c r="Y26" s="45"/>
      <c r="Z26" s="45"/>
      <c r="AA26" s="45"/>
    </row>
    <row r="27" ht="33.75" customHeight="1">
      <c r="A27" s="46" t="s">
        <v>547</v>
      </c>
      <c r="B27" s="47" t="s">
        <v>548</v>
      </c>
      <c r="C27" s="47" t="s">
        <v>549</v>
      </c>
      <c r="D27" s="29" t="s">
        <v>551</v>
      </c>
      <c r="E27" s="48" t="str">
        <f>IFERROR(__xludf.DUMMYFUNCTION("GOOGLETRANSLATE(D27,""zh-CN"",""vi"")"),"Cô ấy thông minh và chăm chỉ.")</f>
        <v>Cô ấy thông minh và chăm chỉ.</v>
      </c>
      <c r="F27" s="49" t="s">
        <v>547</v>
      </c>
      <c r="G27" s="50" t="b">
        <f t="shared" si="1"/>
        <v>1</v>
      </c>
      <c r="H27" s="52" t="b">
        <v>0</v>
      </c>
      <c r="I27" s="52" t="b">
        <v>0</v>
      </c>
      <c r="J27" s="52" t="b">
        <v>0</v>
      </c>
      <c r="K27" s="52" t="b">
        <v>0</v>
      </c>
      <c r="L27" s="52" t="b">
        <v>0</v>
      </c>
      <c r="M27" s="52" t="b">
        <v>0</v>
      </c>
      <c r="N27" s="52" t="b">
        <v>0</v>
      </c>
      <c r="O27" s="52" t="b">
        <v>0</v>
      </c>
      <c r="P27" s="52" t="b">
        <v>0</v>
      </c>
      <c r="Q27" s="52" t="b">
        <v>0</v>
      </c>
      <c r="R27" s="44"/>
      <c r="S27" s="44"/>
      <c r="T27" s="44"/>
      <c r="U27" s="44"/>
      <c r="V27" s="44"/>
      <c r="W27" s="44"/>
      <c r="X27" s="45"/>
      <c r="Y27" s="45"/>
      <c r="Z27" s="45"/>
      <c r="AA27" s="45"/>
    </row>
    <row r="28" ht="33.75" customHeight="1">
      <c r="A28" s="46" t="s">
        <v>558</v>
      </c>
      <c r="B28" s="47" t="s">
        <v>560</v>
      </c>
      <c r="C28" s="47" t="s">
        <v>562</v>
      </c>
      <c r="D28" s="29" t="s">
        <v>563</v>
      </c>
      <c r="E28" s="48" t="str">
        <f>IFERROR(__xludf.DUMMYFUNCTION("GOOGLETRANSLATE(D28,""zh-CN"",""vi"")"),"Ông ấy là tiến sĩ.")</f>
        <v>Ông ấy là tiến sĩ.</v>
      </c>
      <c r="F28" s="49" t="s">
        <v>558</v>
      </c>
      <c r="G28" s="50" t="b">
        <f t="shared" si="1"/>
        <v>1</v>
      </c>
      <c r="H28" s="52" t="b">
        <v>0</v>
      </c>
      <c r="I28" s="52" t="b">
        <v>0</v>
      </c>
      <c r="J28" s="52" t="b">
        <v>0</v>
      </c>
      <c r="K28" s="52" t="b">
        <v>0</v>
      </c>
      <c r="L28" s="52" t="b">
        <v>0</v>
      </c>
      <c r="M28" s="52" t="b">
        <v>0</v>
      </c>
      <c r="N28" s="52" t="b">
        <v>0</v>
      </c>
      <c r="O28" s="52" t="b">
        <v>0</v>
      </c>
      <c r="P28" s="52" t="b">
        <v>0</v>
      </c>
      <c r="Q28" s="52" t="b">
        <v>0</v>
      </c>
      <c r="R28" s="44"/>
      <c r="S28" s="44"/>
      <c r="T28" s="44"/>
      <c r="U28" s="44"/>
      <c r="V28" s="44"/>
      <c r="W28" s="44"/>
      <c r="X28" s="45"/>
      <c r="Y28" s="45"/>
      <c r="Z28" s="45"/>
      <c r="AA28" s="45"/>
    </row>
    <row r="29" ht="33.75" customHeight="1">
      <c r="A29" s="46" t="s">
        <v>567</v>
      </c>
      <c r="B29" s="47" t="s">
        <v>568</v>
      </c>
      <c r="C29" s="47" t="s">
        <v>569</v>
      </c>
      <c r="D29" s="29" t="s">
        <v>570</v>
      </c>
      <c r="E29" s="48" t="str">
        <f>IFERROR(__xludf.DUMMYFUNCTION("GOOGLETRANSLATE(D29,""zh-CN"",""vi"")"),"Tôi phải đi làm.")</f>
        <v>Tôi phải đi làm.</v>
      </c>
      <c r="F29" s="49" t="s">
        <v>567</v>
      </c>
      <c r="G29" s="50" t="b">
        <f t="shared" si="1"/>
        <v>1</v>
      </c>
      <c r="H29" s="52" t="b">
        <v>0</v>
      </c>
      <c r="I29" s="52" t="b">
        <v>0</v>
      </c>
      <c r="J29" s="52" t="b">
        <v>0</v>
      </c>
      <c r="K29" s="52" t="b">
        <v>0</v>
      </c>
      <c r="L29" s="52" t="b">
        <v>0</v>
      </c>
      <c r="M29" s="52" t="b">
        <v>0</v>
      </c>
      <c r="N29" s="52" t="b">
        <v>0</v>
      </c>
      <c r="O29" s="52" t="b">
        <v>0</v>
      </c>
      <c r="P29" s="52" t="b">
        <v>0</v>
      </c>
      <c r="Q29" s="52" t="b">
        <v>0</v>
      </c>
      <c r="R29" s="44"/>
      <c r="S29" s="44"/>
      <c r="T29" s="44"/>
      <c r="U29" s="44"/>
      <c r="V29" s="44"/>
      <c r="W29" s="44"/>
      <c r="X29" s="45"/>
      <c r="Y29" s="45"/>
      <c r="Z29" s="45"/>
      <c r="AA29" s="45"/>
    </row>
    <row r="30" ht="33.75" customHeight="1">
      <c r="A30" s="46" t="s">
        <v>575</v>
      </c>
      <c r="B30" s="47" t="s">
        <v>577</v>
      </c>
      <c r="C30" s="47" t="s">
        <v>578</v>
      </c>
      <c r="D30" s="29" t="s">
        <v>580</v>
      </c>
      <c r="E30" s="48" t="str">
        <f>IFERROR(__xludf.DUMMYFUNCTION("GOOGLETRANSLATE(D30,""zh-CN"",""vi"")"),"Dù thời tiết thế nào, tôi cũng sẽ đi.")</f>
        <v>Dù thời tiết thế nào, tôi cũng sẽ đi.</v>
      </c>
      <c r="F30" s="49" t="s">
        <v>575</v>
      </c>
      <c r="G30" s="50" t="b">
        <f t="shared" si="1"/>
        <v>1</v>
      </c>
      <c r="H30" s="52" t="b">
        <v>0</v>
      </c>
      <c r="I30" s="52" t="b">
        <v>0</v>
      </c>
      <c r="J30" s="52" t="b">
        <v>0</v>
      </c>
      <c r="K30" s="52" t="b">
        <v>0</v>
      </c>
      <c r="L30" s="52" t="b">
        <v>0</v>
      </c>
      <c r="M30" s="52" t="b">
        <v>0</v>
      </c>
      <c r="N30" s="52" t="b">
        <v>0</v>
      </c>
      <c r="O30" s="52" t="b">
        <v>0</v>
      </c>
      <c r="P30" s="52" t="b">
        <v>0</v>
      </c>
      <c r="Q30" s="52" t="b">
        <v>0</v>
      </c>
      <c r="R30" s="44"/>
      <c r="S30" s="44"/>
      <c r="T30" s="44"/>
      <c r="U30" s="44"/>
      <c r="V30" s="44"/>
      <c r="W30" s="44"/>
      <c r="X30" s="45"/>
      <c r="Y30" s="45"/>
      <c r="Z30" s="45"/>
      <c r="AA30" s="45"/>
    </row>
    <row r="31" ht="33.75" customHeight="1">
      <c r="A31" s="46" t="s">
        <v>585</v>
      </c>
      <c r="B31" s="47" t="s">
        <v>587</v>
      </c>
      <c r="C31" s="47" t="s">
        <v>589</v>
      </c>
      <c r="D31" s="29" t="s">
        <v>591</v>
      </c>
      <c r="E31" s="48" t="str">
        <f>IFERROR(__xludf.DUMMYFUNCTION("GOOGLETRANSLATE(D31,""zh-CN"",""vi"")"),"Tuy nhiên, như thế này thì tốt hơn.")</f>
        <v>Tuy nhiên, như thế này thì tốt hơn.</v>
      </c>
      <c r="F31" s="49" t="s">
        <v>585</v>
      </c>
      <c r="G31" s="50" t="b">
        <f t="shared" si="1"/>
        <v>1</v>
      </c>
      <c r="H31" s="52" t="b">
        <v>0</v>
      </c>
      <c r="I31" s="52" t="b">
        <v>0</v>
      </c>
      <c r="J31" s="52" t="b">
        <v>0</v>
      </c>
      <c r="K31" s="52" t="b">
        <v>0</v>
      </c>
      <c r="L31" s="52" t="b">
        <v>0</v>
      </c>
      <c r="M31" s="52" t="b">
        <v>0</v>
      </c>
      <c r="N31" s="52" t="b">
        <v>0</v>
      </c>
      <c r="O31" s="52" t="b">
        <v>0</v>
      </c>
      <c r="P31" s="52" t="b">
        <v>0</v>
      </c>
      <c r="Q31" s="52" t="b">
        <v>0</v>
      </c>
      <c r="R31" s="44"/>
      <c r="S31" s="44"/>
      <c r="T31" s="44"/>
      <c r="U31" s="44"/>
      <c r="V31" s="44"/>
      <c r="W31" s="44"/>
      <c r="X31" s="45"/>
      <c r="Y31" s="45"/>
      <c r="Z31" s="45"/>
      <c r="AA31" s="45"/>
    </row>
    <row r="32" ht="33.75" customHeight="1">
      <c r="A32" s="46" t="s">
        <v>596</v>
      </c>
      <c r="B32" s="47" t="s">
        <v>598</v>
      </c>
      <c r="C32" s="47" t="s">
        <v>600</v>
      </c>
      <c r="D32" s="29" t="s">
        <v>603</v>
      </c>
      <c r="E32" s="48" t="str">
        <f>IFERROR(__xludf.DUMMYFUNCTION("GOOGLETRANSLATE(D32,""zh-CN"",""vi"")"),"Anh ấy không chỉ thông minh mà còn rất chăm chỉ.")</f>
        <v>Anh ấy không chỉ thông minh mà còn rất chăm chỉ.</v>
      </c>
      <c r="F32" s="49" t="s">
        <v>596</v>
      </c>
      <c r="G32" s="50" t="b">
        <f t="shared" si="1"/>
        <v>1</v>
      </c>
      <c r="H32" s="52" t="b">
        <v>0</v>
      </c>
      <c r="I32" s="52" t="b">
        <v>0</v>
      </c>
      <c r="J32" s="52" t="b">
        <v>0</v>
      </c>
      <c r="K32" s="52" t="b">
        <v>0</v>
      </c>
      <c r="L32" s="52" t="b">
        <v>0</v>
      </c>
      <c r="M32" s="52" t="b">
        <v>0</v>
      </c>
      <c r="N32" s="52" t="b">
        <v>0</v>
      </c>
      <c r="O32" s="52" t="b">
        <v>0</v>
      </c>
      <c r="P32" s="52" t="b">
        <v>0</v>
      </c>
      <c r="Q32" s="52" t="b">
        <v>0</v>
      </c>
      <c r="R32" s="44"/>
      <c r="S32" s="44"/>
      <c r="T32" s="44"/>
      <c r="U32" s="44"/>
      <c r="V32" s="44"/>
      <c r="W32" s="44"/>
      <c r="X32" s="45"/>
      <c r="Y32" s="45"/>
      <c r="Z32" s="45"/>
      <c r="AA32" s="45"/>
    </row>
    <row r="33" ht="33.75" customHeight="1">
      <c r="A33" s="46" t="s">
        <v>611</v>
      </c>
      <c r="B33" s="47" t="s">
        <v>612</v>
      </c>
      <c r="C33" s="47" t="s">
        <v>613</v>
      </c>
      <c r="D33" s="29" t="s">
        <v>614</v>
      </c>
      <c r="E33" s="48" t="str">
        <f>IFERROR(__xludf.DUMMYFUNCTION("GOOGLETRANSLATE(D33,""zh-CN"",""vi"")"),"Đây chỉ là một phần của vấn đề.")</f>
        <v>Đây chỉ là một phần của vấn đề.</v>
      </c>
      <c r="F33" s="49" t="s">
        <v>611</v>
      </c>
      <c r="G33" s="50" t="b">
        <f t="shared" si="1"/>
        <v>1</v>
      </c>
      <c r="H33" s="52" t="b">
        <v>0</v>
      </c>
      <c r="I33" s="52" t="b">
        <v>0</v>
      </c>
      <c r="J33" s="52" t="b">
        <v>0</v>
      </c>
      <c r="K33" s="52" t="b">
        <v>0</v>
      </c>
      <c r="L33" s="52" t="b">
        <v>0</v>
      </c>
      <c r="M33" s="52" t="b">
        <v>0</v>
      </c>
      <c r="N33" s="52" t="b">
        <v>0</v>
      </c>
      <c r="O33" s="52" t="b">
        <v>0</v>
      </c>
      <c r="P33" s="52" t="b">
        <v>0</v>
      </c>
      <c r="Q33" s="52" t="b">
        <v>0</v>
      </c>
      <c r="R33" s="44"/>
      <c r="S33" s="44"/>
      <c r="T33" s="44"/>
      <c r="U33" s="44"/>
      <c r="V33" s="44"/>
      <c r="W33" s="44"/>
      <c r="X33" s="45"/>
      <c r="Y33" s="45"/>
      <c r="Z33" s="45"/>
      <c r="AA33" s="45"/>
    </row>
    <row r="34" ht="33.75" customHeight="1">
      <c r="A34" s="46" t="s">
        <v>621</v>
      </c>
      <c r="B34" s="47" t="s">
        <v>623</v>
      </c>
      <c r="C34" s="47" t="s">
        <v>625</v>
      </c>
      <c r="D34" s="29" t="s">
        <v>626</v>
      </c>
      <c r="E34" s="48" t="str">
        <f>IFERROR(__xludf.DUMMYFUNCTION("GOOGLETRANSLATE(D34,""zh-CN"",""vi"")"),"Vui lòng lau sạch bàn.")</f>
        <v>Vui lòng lau sạch bàn.</v>
      </c>
      <c r="F34" s="49" t="s">
        <v>621</v>
      </c>
      <c r="G34" s="50" t="b">
        <f t="shared" si="1"/>
        <v>1</v>
      </c>
      <c r="H34" s="52" t="b">
        <v>0</v>
      </c>
      <c r="I34" s="52" t="b">
        <v>0</v>
      </c>
      <c r="J34" s="52" t="b">
        <v>0</v>
      </c>
      <c r="K34" s="52" t="b">
        <v>0</v>
      </c>
      <c r="L34" s="52" t="b">
        <v>0</v>
      </c>
      <c r="M34" s="52" t="b">
        <v>0</v>
      </c>
      <c r="N34" s="52" t="b">
        <v>0</v>
      </c>
      <c r="O34" s="52" t="b">
        <v>0</v>
      </c>
      <c r="P34" s="52" t="b">
        <v>0</v>
      </c>
      <c r="Q34" s="52" t="b">
        <v>0</v>
      </c>
      <c r="R34" s="44"/>
      <c r="S34" s="44"/>
      <c r="T34" s="44"/>
      <c r="U34" s="44"/>
      <c r="V34" s="44"/>
      <c r="W34" s="44"/>
      <c r="X34" s="45"/>
      <c r="Y34" s="45"/>
      <c r="Z34" s="45"/>
      <c r="AA34" s="45"/>
    </row>
    <row r="35" ht="33.75" customHeight="1">
      <c r="A35" s="46" t="s">
        <v>634</v>
      </c>
      <c r="B35" s="47" t="s">
        <v>635</v>
      </c>
      <c r="C35" s="47" t="s">
        <v>636</v>
      </c>
      <c r="D35" s="29" t="s">
        <v>637</v>
      </c>
      <c r="E35" s="48" t="str">
        <f>IFERROR(__xludf.DUMMYFUNCTION("GOOGLETRANSLATE(D35,""zh-CN"",""vi"")"),"Tôi đoán là anh ấy sẽ không đến.")</f>
        <v>Tôi đoán là anh ấy sẽ không đến.</v>
      </c>
      <c r="F35" s="49" t="s">
        <v>634</v>
      </c>
      <c r="G35" s="50" t="b">
        <f t="shared" si="1"/>
        <v>1</v>
      </c>
      <c r="H35" s="52" t="b">
        <v>0</v>
      </c>
      <c r="I35" s="52" t="b">
        <v>0</v>
      </c>
      <c r="J35" s="52" t="b">
        <v>0</v>
      </c>
      <c r="K35" s="52" t="b">
        <v>0</v>
      </c>
      <c r="L35" s="52" t="b">
        <v>0</v>
      </c>
      <c r="M35" s="52" t="b">
        <v>0</v>
      </c>
      <c r="N35" s="52" t="b">
        <v>0</v>
      </c>
      <c r="O35" s="52" t="b">
        <v>0</v>
      </c>
      <c r="P35" s="52" t="b">
        <v>0</v>
      </c>
      <c r="Q35" s="52" t="b">
        <v>0</v>
      </c>
      <c r="R35" s="44"/>
      <c r="S35" s="44"/>
      <c r="T35" s="44"/>
      <c r="U35" s="44"/>
      <c r="V35" s="44"/>
      <c r="W35" s="44"/>
      <c r="X35" s="45"/>
      <c r="Y35" s="45"/>
      <c r="Z35" s="45"/>
      <c r="AA35" s="45"/>
    </row>
    <row r="36" ht="33.75" customHeight="1">
      <c r="A36" s="46" t="s">
        <v>647</v>
      </c>
      <c r="B36" s="47" t="s">
        <v>648</v>
      </c>
      <c r="C36" s="47" t="s">
        <v>650</v>
      </c>
      <c r="D36" s="29" t="s">
        <v>652</v>
      </c>
      <c r="E36" s="48" t="str">
        <f>IFERROR(__xludf.DUMMYFUNCTION("GOOGLETRANSLATE(D36,""zh-CN"",""vi"")"),"Vui lòng chuẩn bị các vật liệu.")</f>
        <v>Vui lòng chuẩn bị các vật liệu.</v>
      </c>
      <c r="F36" s="49" t="s">
        <v>647</v>
      </c>
      <c r="G36" s="50" t="b">
        <f t="shared" si="1"/>
        <v>1</v>
      </c>
      <c r="H36" s="52" t="b">
        <v>0</v>
      </c>
      <c r="I36" s="52" t="b">
        <v>0</v>
      </c>
      <c r="J36" s="52" t="b">
        <v>0</v>
      </c>
      <c r="K36" s="52" t="b">
        <v>0</v>
      </c>
      <c r="L36" s="52" t="b">
        <v>0</v>
      </c>
      <c r="M36" s="52" t="b">
        <v>0</v>
      </c>
      <c r="N36" s="52" t="b">
        <v>0</v>
      </c>
      <c r="O36" s="52" t="b">
        <v>0</v>
      </c>
      <c r="P36" s="52" t="b">
        <v>0</v>
      </c>
      <c r="Q36" s="52" t="b">
        <v>0</v>
      </c>
      <c r="R36" s="44"/>
      <c r="S36" s="44"/>
      <c r="T36" s="44"/>
      <c r="U36" s="44"/>
      <c r="V36" s="44"/>
      <c r="W36" s="44"/>
      <c r="X36" s="45"/>
      <c r="Y36" s="45"/>
      <c r="Z36" s="45"/>
      <c r="AA36" s="45"/>
    </row>
    <row r="37" ht="33.75" customHeight="1">
      <c r="A37" s="46" t="s">
        <v>655</v>
      </c>
      <c r="B37" s="47" t="s">
        <v>657</v>
      </c>
      <c r="C37" s="47" t="s">
        <v>659</v>
      </c>
      <c r="D37" s="29" t="s">
        <v>660</v>
      </c>
      <c r="E37" s="48" t="str">
        <f>IFERROR(__xludf.DUMMYFUNCTION("GOOGLETRANSLATE(D37,""zh-CN"",""vi"")"),"Chúng ta sẽ đi tham quan một bảo tàng.")</f>
        <v>Chúng ta sẽ đi tham quan một bảo tàng.</v>
      </c>
      <c r="F37" s="49" t="s">
        <v>655</v>
      </c>
      <c r="G37" s="50" t="b">
        <f t="shared" si="1"/>
        <v>1</v>
      </c>
      <c r="H37" s="52" t="b">
        <v>0</v>
      </c>
      <c r="I37" s="52" t="b">
        <v>0</v>
      </c>
      <c r="J37" s="52" t="b">
        <v>0</v>
      </c>
      <c r="K37" s="52" t="b">
        <v>0</v>
      </c>
      <c r="L37" s="52" t="b">
        <v>0</v>
      </c>
      <c r="M37" s="52" t="b">
        <v>0</v>
      </c>
      <c r="N37" s="52" t="b">
        <v>0</v>
      </c>
      <c r="O37" s="52" t="b">
        <v>0</v>
      </c>
      <c r="P37" s="52" t="b">
        <v>0</v>
      </c>
      <c r="Q37" s="52" t="b">
        <v>0</v>
      </c>
      <c r="R37" s="44"/>
      <c r="S37" s="44"/>
      <c r="T37" s="44"/>
      <c r="U37" s="44"/>
      <c r="V37" s="44"/>
      <c r="W37" s="44"/>
      <c r="X37" s="45"/>
      <c r="Y37" s="45"/>
      <c r="Z37" s="45"/>
      <c r="AA37" s="45"/>
    </row>
    <row r="38" ht="33.75" customHeight="1">
      <c r="A38" s="46" t="s">
        <v>668</v>
      </c>
      <c r="B38" s="47" t="s">
        <v>669</v>
      </c>
      <c r="C38" s="47" t="s">
        <v>670</v>
      </c>
      <c r="D38" s="29" t="s">
        <v>672</v>
      </c>
      <c r="E38" s="48" t="str">
        <f>IFERROR(__xludf.DUMMYFUNCTION("GOOGLETRANSLATE(D38,""zh-CN"",""vi"")"),"Chúng tôi đang ăn ở một nhà hàng.")</f>
        <v>Chúng tôi đang ăn ở một nhà hàng.</v>
      </c>
      <c r="F38" s="49" t="s">
        <v>668</v>
      </c>
      <c r="G38" s="50" t="b">
        <f t="shared" si="1"/>
        <v>1</v>
      </c>
      <c r="H38" s="52" t="b">
        <v>0</v>
      </c>
      <c r="I38" s="52" t="b">
        <v>0</v>
      </c>
      <c r="J38" s="52" t="b">
        <v>0</v>
      </c>
      <c r="K38" s="52" t="b">
        <v>0</v>
      </c>
      <c r="L38" s="52" t="b">
        <v>0</v>
      </c>
      <c r="M38" s="52" t="b">
        <v>0</v>
      </c>
      <c r="N38" s="52" t="b">
        <v>0</v>
      </c>
      <c r="O38" s="52" t="b">
        <v>0</v>
      </c>
      <c r="P38" s="52" t="b">
        <v>0</v>
      </c>
      <c r="Q38" s="52" t="b">
        <v>0</v>
      </c>
      <c r="R38" s="44"/>
      <c r="S38" s="44"/>
      <c r="T38" s="44"/>
      <c r="U38" s="44"/>
      <c r="V38" s="44"/>
      <c r="W38" s="44"/>
      <c r="X38" s="45"/>
      <c r="Y38" s="45"/>
      <c r="Z38" s="45"/>
      <c r="AA38" s="45"/>
    </row>
    <row r="39" ht="33.75" customHeight="1">
      <c r="A39" s="46" t="s">
        <v>679</v>
      </c>
      <c r="B39" s="47" t="s">
        <v>680</v>
      </c>
      <c r="C39" s="47" t="s">
        <v>682</v>
      </c>
      <c r="D39" s="29" t="s">
        <v>683</v>
      </c>
      <c r="E39" s="48" t="str">
        <f>IFERROR(__xludf.DUMMYFUNCTION("GOOGLETRANSLATE(D39,""zh-CN"",""vi"")"),"Nhà vệ sinh ở đằng kia.")</f>
        <v>Nhà vệ sinh ở đằng kia.</v>
      </c>
      <c r="F39" s="49" t="s">
        <v>679</v>
      </c>
      <c r="G39" s="50" t="b">
        <f t="shared" si="1"/>
        <v>1</v>
      </c>
      <c r="H39" s="52" t="b">
        <v>0</v>
      </c>
      <c r="I39" s="52" t="b">
        <v>0</v>
      </c>
      <c r="J39" s="52" t="b">
        <v>0</v>
      </c>
      <c r="K39" s="52" t="b">
        <v>0</v>
      </c>
      <c r="L39" s="52" t="b">
        <v>0</v>
      </c>
      <c r="M39" s="52" t="b">
        <v>0</v>
      </c>
      <c r="N39" s="52" t="b">
        <v>0</v>
      </c>
      <c r="O39" s="52" t="b">
        <v>0</v>
      </c>
      <c r="P39" s="52" t="b">
        <v>0</v>
      </c>
      <c r="Q39" s="52" t="b">
        <v>0</v>
      </c>
      <c r="R39" s="44"/>
      <c r="S39" s="44"/>
      <c r="T39" s="44"/>
      <c r="U39" s="44"/>
      <c r="V39" s="44"/>
      <c r="W39" s="44"/>
      <c r="X39" s="45"/>
      <c r="Y39" s="45"/>
      <c r="Z39" s="45"/>
      <c r="AA39" s="45"/>
    </row>
    <row r="40" ht="33.75" customHeight="1">
      <c r="A40" s="46" t="s">
        <v>689</v>
      </c>
      <c r="B40" s="47" t="s">
        <v>691</v>
      </c>
      <c r="C40" s="47" t="s">
        <v>692</v>
      </c>
      <c r="D40" s="29" t="s">
        <v>694</v>
      </c>
      <c r="E40" s="48" t="str">
        <f>IFERROR(__xludf.DUMMYFUNCTION("GOOGLETRANSLATE(D40,""zh-CN"",""vi"")"),"Chúng tôi trạc tuổi nhau.")</f>
        <v>Chúng tôi trạc tuổi nhau.</v>
      </c>
      <c r="F40" s="49" t="s">
        <v>689</v>
      </c>
      <c r="G40" s="50" t="b">
        <f t="shared" si="1"/>
        <v>1</v>
      </c>
      <c r="H40" s="52" t="b">
        <v>0</v>
      </c>
      <c r="I40" s="52" t="b">
        <v>0</v>
      </c>
      <c r="J40" s="52" t="b">
        <v>0</v>
      </c>
      <c r="K40" s="52" t="b">
        <v>0</v>
      </c>
      <c r="L40" s="52" t="b">
        <v>0</v>
      </c>
      <c r="M40" s="52" t="b">
        <v>0</v>
      </c>
      <c r="N40" s="52" t="b">
        <v>0</v>
      </c>
      <c r="O40" s="52" t="b">
        <v>0</v>
      </c>
      <c r="P40" s="52" t="b">
        <v>0</v>
      </c>
      <c r="Q40" s="52" t="b">
        <v>0</v>
      </c>
      <c r="R40" s="44"/>
      <c r="S40" s="44"/>
      <c r="T40" s="44"/>
      <c r="U40" s="44"/>
      <c r="V40" s="44"/>
      <c r="W40" s="44"/>
      <c r="X40" s="45"/>
      <c r="Y40" s="45"/>
      <c r="Z40" s="45"/>
      <c r="AA40" s="45"/>
    </row>
    <row r="41" ht="33.75" customHeight="1">
      <c r="A41" s="46" t="s">
        <v>700</v>
      </c>
      <c r="B41" s="47" t="s">
        <v>701</v>
      </c>
      <c r="C41" s="47" t="s">
        <v>702</v>
      </c>
      <c r="D41" s="29" t="s">
        <v>703</v>
      </c>
      <c r="E41" s="48" t="str">
        <f>IFERROR(__xludf.DUMMYFUNCTION("GOOGLETRANSLATE(D41,""zh-CN"",""vi"")"),"Chúng tôi đã đến thăm Vạn Lý Trường Thành.")</f>
        <v>Chúng tôi đã đến thăm Vạn Lý Trường Thành.</v>
      </c>
      <c r="F41" s="49" t="s">
        <v>700</v>
      </c>
      <c r="G41" s="50" t="b">
        <f t="shared" si="1"/>
        <v>1</v>
      </c>
      <c r="H41" s="52" t="b">
        <v>0</v>
      </c>
      <c r="I41" s="52" t="b">
        <v>0</v>
      </c>
      <c r="J41" s="52" t="b">
        <v>0</v>
      </c>
      <c r="K41" s="52" t="b">
        <v>0</v>
      </c>
      <c r="L41" s="52" t="b">
        <v>0</v>
      </c>
      <c r="M41" s="52" t="b">
        <v>0</v>
      </c>
      <c r="N41" s="52" t="b">
        <v>0</v>
      </c>
      <c r="O41" s="52" t="b">
        <v>0</v>
      </c>
      <c r="P41" s="52" t="b">
        <v>0</v>
      </c>
      <c r="Q41" s="52" t="b">
        <v>0</v>
      </c>
      <c r="R41" s="44"/>
      <c r="S41" s="44"/>
      <c r="T41" s="44"/>
      <c r="U41" s="44"/>
      <c r="V41" s="44"/>
      <c r="W41" s="44"/>
      <c r="X41" s="45"/>
      <c r="Y41" s="45"/>
      <c r="Z41" s="45"/>
      <c r="AA41" s="45"/>
    </row>
    <row r="42" ht="33.75" customHeight="1">
      <c r="A42" s="46" t="s">
        <v>711</v>
      </c>
      <c r="B42" s="47" t="s">
        <v>713</v>
      </c>
      <c r="C42" s="47" t="s">
        <v>715</v>
      </c>
      <c r="D42" s="29" t="s">
        <v>716</v>
      </c>
      <c r="E42" s="48" t="str">
        <f>IFERROR(__xludf.DUMMYFUNCTION("GOOGLETRANSLATE(D42,""zh-CN"",""vi"")"),"Sông Dương Tử là con sông dài nhất Trung Quốc.")</f>
        <v>Sông Dương Tử là con sông dài nhất Trung Quốc.</v>
      </c>
      <c r="F42" s="49" t="s">
        <v>711</v>
      </c>
      <c r="G42" s="50" t="b">
        <f t="shared" si="1"/>
        <v>1</v>
      </c>
      <c r="H42" s="52" t="b">
        <v>0</v>
      </c>
      <c r="I42" s="52" t="b">
        <v>0</v>
      </c>
      <c r="J42" s="52" t="b">
        <v>0</v>
      </c>
      <c r="K42" s="52" t="b">
        <v>0</v>
      </c>
      <c r="L42" s="52" t="b">
        <v>0</v>
      </c>
      <c r="M42" s="52" t="b">
        <v>0</v>
      </c>
      <c r="N42" s="52" t="b">
        <v>0</v>
      </c>
      <c r="O42" s="52" t="b">
        <v>0</v>
      </c>
      <c r="P42" s="52" t="b">
        <v>0</v>
      </c>
      <c r="Q42" s="52" t="b">
        <v>0</v>
      </c>
      <c r="R42" s="44"/>
      <c r="S42" s="44"/>
      <c r="T42" s="44"/>
      <c r="U42" s="44"/>
      <c r="V42" s="44"/>
      <c r="W42" s="44"/>
      <c r="X42" s="45"/>
      <c r="Y42" s="45"/>
      <c r="Z42" s="45"/>
      <c r="AA42" s="45"/>
    </row>
    <row r="43" ht="33.75" customHeight="1">
      <c r="A43" s="46" t="s">
        <v>719</v>
      </c>
      <c r="B43" s="47" t="s">
        <v>122</v>
      </c>
      <c r="C43" s="47" t="s">
        <v>720</v>
      </c>
      <c r="D43" s="29" t="s">
        <v>721</v>
      </c>
      <c r="E43" s="48" t="str">
        <f>IFERROR(__xludf.DUMMYFUNCTION("GOOGLETRANSLATE(D43,""zh-CN"",""vi"")"),"Bạn đã từng thử món này chưa?")</f>
        <v>Bạn đã từng thử món này chưa?</v>
      </c>
      <c r="F43" s="49" t="s">
        <v>719</v>
      </c>
      <c r="G43" s="50" t="b">
        <f t="shared" si="1"/>
        <v>1</v>
      </c>
      <c r="H43" s="52" t="b">
        <v>0</v>
      </c>
      <c r="I43" s="52" t="b">
        <v>0</v>
      </c>
      <c r="J43" s="52" t="b">
        <v>0</v>
      </c>
      <c r="K43" s="52" t="b">
        <v>0</v>
      </c>
      <c r="L43" s="52" t="b">
        <v>0</v>
      </c>
      <c r="M43" s="52" t="b">
        <v>0</v>
      </c>
      <c r="N43" s="52" t="b">
        <v>0</v>
      </c>
      <c r="O43" s="52" t="b">
        <v>0</v>
      </c>
      <c r="P43" s="52" t="b">
        <v>0</v>
      </c>
      <c r="Q43" s="52" t="b">
        <v>0</v>
      </c>
      <c r="R43" s="44"/>
      <c r="S43" s="44"/>
      <c r="T43" s="44"/>
      <c r="U43" s="44"/>
      <c r="V43" s="44"/>
      <c r="W43" s="44"/>
      <c r="X43" s="45"/>
      <c r="Y43" s="45"/>
      <c r="Z43" s="45"/>
      <c r="AA43" s="45"/>
    </row>
    <row r="44" ht="33.75" customHeight="1">
      <c r="A44" s="46" t="s">
        <v>734</v>
      </c>
      <c r="B44" s="47" t="s">
        <v>735</v>
      </c>
      <c r="C44" s="47" t="s">
        <v>736</v>
      </c>
      <c r="D44" s="29" t="s">
        <v>737</v>
      </c>
      <c r="E44" s="48" t="str">
        <f>IFERROR(__xludf.DUMMYFUNCTION("GOOGLETRANSLATE(D44,""zh-CN"",""vi"")"),"Trận đấu này rất quan trọng.")</f>
        <v>Trận đấu này rất quan trọng.</v>
      </c>
      <c r="F44" s="49" t="s">
        <v>734</v>
      </c>
      <c r="G44" s="50" t="b">
        <f t="shared" si="1"/>
        <v>1</v>
      </c>
      <c r="H44" s="52" t="b">
        <v>0</v>
      </c>
      <c r="I44" s="52" t="b">
        <v>0</v>
      </c>
      <c r="J44" s="52" t="b">
        <v>0</v>
      </c>
      <c r="K44" s="52" t="b">
        <v>0</v>
      </c>
      <c r="L44" s="52" t="b">
        <v>0</v>
      </c>
      <c r="M44" s="52" t="b">
        <v>0</v>
      </c>
      <c r="N44" s="52" t="b">
        <v>0</v>
      </c>
      <c r="O44" s="52" t="b">
        <v>0</v>
      </c>
      <c r="P44" s="52" t="b">
        <v>0</v>
      </c>
      <c r="Q44" s="52" t="b">
        <v>0</v>
      </c>
      <c r="R44" s="44"/>
      <c r="S44" s="44"/>
      <c r="T44" s="44"/>
      <c r="U44" s="44"/>
      <c r="V44" s="44"/>
      <c r="W44" s="44"/>
      <c r="X44" s="45"/>
      <c r="Y44" s="45"/>
      <c r="Z44" s="45"/>
      <c r="AA44" s="45"/>
    </row>
    <row r="45" ht="33.75" customHeight="1">
      <c r="A45" s="46" t="s">
        <v>738</v>
      </c>
      <c r="B45" s="47" t="s">
        <v>740</v>
      </c>
      <c r="C45" s="47" t="s">
        <v>742</v>
      </c>
      <c r="D45" s="29" t="s">
        <v>744</v>
      </c>
      <c r="E45" s="48" t="str">
        <f>IFERROR(__xludf.DUMMYFUNCTION("GOOGLETRANSLATE(D45,""zh-CN"",""vi"")"),"Anh ấy đã vượt qua tôi.")</f>
        <v>Anh ấy đã vượt qua tôi.</v>
      </c>
      <c r="F45" s="49" t="s">
        <v>738</v>
      </c>
      <c r="G45" s="50" t="b">
        <f t="shared" si="1"/>
        <v>1</v>
      </c>
      <c r="H45" s="52" t="b">
        <v>0</v>
      </c>
      <c r="I45" s="52" t="b">
        <v>0</v>
      </c>
      <c r="J45" s="52" t="b">
        <v>0</v>
      </c>
      <c r="K45" s="52" t="b">
        <v>0</v>
      </c>
      <c r="L45" s="52" t="b">
        <v>0</v>
      </c>
      <c r="M45" s="52" t="b">
        <v>0</v>
      </c>
      <c r="N45" s="52" t="b">
        <v>0</v>
      </c>
      <c r="O45" s="52" t="b">
        <v>0</v>
      </c>
      <c r="P45" s="52" t="b">
        <v>0</v>
      </c>
      <c r="Q45" s="52" t="b">
        <v>0</v>
      </c>
      <c r="R45" s="44"/>
      <c r="S45" s="44"/>
      <c r="T45" s="44"/>
      <c r="U45" s="44"/>
      <c r="V45" s="44"/>
      <c r="W45" s="44"/>
      <c r="X45" s="45"/>
      <c r="Y45" s="45"/>
      <c r="Z45" s="45"/>
      <c r="AA45" s="45"/>
    </row>
    <row r="46" ht="33.75" customHeight="1">
      <c r="A46" s="46" t="s">
        <v>750</v>
      </c>
      <c r="B46" s="47" t="s">
        <v>751</v>
      </c>
      <c r="C46" s="47" t="s">
        <v>752</v>
      </c>
      <c r="D46" s="29" t="s">
        <v>753</v>
      </c>
      <c r="E46" s="48" t="str">
        <f>IFERROR(__xludf.DUMMYFUNCTION("GOOGLETRANSLATE(D46,""zh-CN"",""vi"")"),"Cuối cùng cô ấy đã thành công.")</f>
        <v>Cuối cùng cô ấy đã thành công.</v>
      </c>
      <c r="F46" s="49" t="s">
        <v>750</v>
      </c>
      <c r="G46" s="50" t="b">
        <f t="shared" si="1"/>
        <v>1</v>
      </c>
      <c r="H46" s="52" t="b">
        <v>1</v>
      </c>
      <c r="I46" s="52" t="b">
        <v>0</v>
      </c>
      <c r="J46" s="52" t="b">
        <v>0</v>
      </c>
      <c r="K46" s="52" t="b">
        <v>0</v>
      </c>
      <c r="L46" s="52" t="b">
        <v>0</v>
      </c>
      <c r="M46" s="52" t="b">
        <v>0</v>
      </c>
      <c r="N46" s="52" t="b">
        <v>0</v>
      </c>
      <c r="O46" s="52" t="b">
        <v>0</v>
      </c>
      <c r="P46" s="52" t="b">
        <v>0</v>
      </c>
      <c r="Q46" s="52" t="b">
        <v>0</v>
      </c>
      <c r="R46" s="44"/>
      <c r="S46" s="44"/>
      <c r="T46" s="44"/>
      <c r="U46" s="44"/>
      <c r="V46" s="44"/>
      <c r="W46" s="44"/>
      <c r="X46" s="45"/>
      <c r="Y46" s="45"/>
      <c r="Z46" s="45"/>
      <c r="AA46" s="45"/>
    </row>
    <row r="47" ht="33.75" customHeight="1">
      <c r="A47" s="46" t="s">
        <v>761</v>
      </c>
      <c r="B47" s="47" t="s">
        <v>765</v>
      </c>
      <c r="C47" s="47" t="s">
        <v>767</v>
      </c>
      <c r="D47" s="29" t="s">
        <v>768</v>
      </c>
      <c r="E47" s="48" t="str">
        <f>IFERROR(__xludf.DUMMYFUNCTION("GOOGLETRANSLATE(D47,""zh-CN"",""vi"")"),"Cậu ấy muốn trở thành bác sĩ.")</f>
        <v>Cậu ấy muốn trở thành bác sĩ.</v>
      </c>
      <c r="F47" s="49" t="s">
        <v>761</v>
      </c>
      <c r="G47" s="50" t="b">
        <f t="shared" si="1"/>
        <v>1</v>
      </c>
      <c r="H47" s="52" t="b">
        <v>1</v>
      </c>
      <c r="I47" s="52" t="b">
        <v>0</v>
      </c>
      <c r="J47" s="52" t="b">
        <v>0</v>
      </c>
      <c r="K47" s="52" t="b">
        <v>0</v>
      </c>
      <c r="L47" s="52" t="b">
        <v>0</v>
      </c>
      <c r="M47" s="52" t="b">
        <v>0</v>
      </c>
      <c r="N47" s="52" t="b">
        <v>0</v>
      </c>
      <c r="O47" s="52" t="b">
        <v>0</v>
      </c>
      <c r="P47" s="52" t="b">
        <v>0</v>
      </c>
      <c r="Q47" s="52" t="b">
        <v>0</v>
      </c>
      <c r="R47" s="44"/>
      <c r="S47" s="44"/>
      <c r="T47" s="44"/>
      <c r="U47" s="44"/>
      <c r="V47" s="44"/>
      <c r="W47" s="44"/>
      <c r="X47" s="45"/>
      <c r="Y47" s="45"/>
      <c r="Z47" s="45"/>
      <c r="AA47" s="45"/>
    </row>
    <row r="48" ht="33.75" customHeight="1">
      <c r="A48" s="46" t="s">
        <v>770</v>
      </c>
      <c r="B48" s="47" t="s">
        <v>771</v>
      </c>
      <c r="C48" s="47" t="s">
        <v>772</v>
      </c>
      <c r="D48" s="29" t="s">
        <v>773</v>
      </c>
      <c r="E48" s="48" t="str">
        <f>IFERROR(__xludf.DUMMYFUNCTION("GOOGLETRANSLATE(D48,""zh-CN"",""vi"")"),"Ông ấy là một người trung thực.")</f>
        <v>Ông ấy là một người trung thực.</v>
      </c>
      <c r="F48" s="49" t="s">
        <v>770</v>
      </c>
      <c r="G48" s="50" t="b">
        <f t="shared" si="1"/>
        <v>1</v>
      </c>
      <c r="H48" s="52" t="b">
        <v>1</v>
      </c>
      <c r="I48" s="52" t="b">
        <v>0</v>
      </c>
      <c r="J48" s="52" t="b">
        <v>0</v>
      </c>
      <c r="K48" s="52" t="b">
        <v>0</v>
      </c>
      <c r="L48" s="52" t="b">
        <v>0</v>
      </c>
      <c r="M48" s="52" t="b">
        <v>0</v>
      </c>
      <c r="N48" s="52" t="b">
        <v>0</v>
      </c>
      <c r="O48" s="52" t="b">
        <v>0</v>
      </c>
      <c r="P48" s="52" t="b">
        <v>0</v>
      </c>
      <c r="Q48" s="52" t="b">
        <v>0</v>
      </c>
      <c r="R48" s="44"/>
      <c r="S48" s="44"/>
      <c r="T48" s="44"/>
      <c r="U48" s="44"/>
      <c r="V48" s="44"/>
      <c r="W48" s="44"/>
      <c r="X48" s="45"/>
      <c r="Y48" s="45"/>
      <c r="Z48" s="45"/>
      <c r="AA48" s="45"/>
    </row>
    <row r="49" ht="33.75" customHeight="1">
      <c r="A49" s="46" t="s">
        <v>774</v>
      </c>
      <c r="B49" s="47" t="s">
        <v>775</v>
      </c>
      <c r="C49" s="47" t="s">
        <v>776</v>
      </c>
      <c r="D49" s="29" t="s">
        <v>777</v>
      </c>
      <c r="E49" s="48" t="str">
        <f>IFERROR(__xludf.DUMMYFUNCTION("GOOGLETRANSLATE(D49,""zh-CN"",""vi"")"),"Chúng tôi bay đến Bắc Kinh.")</f>
        <v>Chúng tôi bay đến Bắc Kinh.</v>
      </c>
      <c r="F49" s="49" t="s">
        <v>774</v>
      </c>
      <c r="G49" s="50" t="b">
        <f t="shared" si="1"/>
        <v>1</v>
      </c>
      <c r="H49" s="52" t="b">
        <v>1</v>
      </c>
      <c r="I49" s="52" t="b">
        <v>0</v>
      </c>
      <c r="J49" s="52" t="b">
        <v>0</v>
      </c>
      <c r="K49" s="52" t="b">
        <v>0</v>
      </c>
      <c r="L49" s="52" t="b">
        <v>0</v>
      </c>
      <c r="M49" s="52" t="b">
        <v>0</v>
      </c>
      <c r="N49" s="52" t="b">
        <v>0</v>
      </c>
      <c r="O49" s="52" t="b">
        <v>0</v>
      </c>
      <c r="P49" s="52" t="b">
        <v>0</v>
      </c>
      <c r="Q49" s="52" t="b">
        <v>0</v>
      </c>
      <c r="R49" s="44"/>
      <c r="S49" s="44"/>
      <c r="T49" s="44"/>
      <c r="U49" s="44"/>
      <c r="V49" s="44"/>
      <c r="W49" s="44"/>
      <c r="X49" s="45"/>
      <c r="Y49" s="45"/>
      <c r="Z49" s="45"/>
      <c r="AA49" s="45"/>
    </row>
    <row r="50" ht="33.75" customHeight="1">
      <c r="A50" s="46" t="s">
        <v>778</v>
      </c>
      <c r="B50" s="47" t="s">
        <v>779</v>
      </c>
      <c r="C50" s="47" t="s">
        <v>780</v>
      </c>
      <c r="D50" s="29" t="s">
        <v>781</v>
      </c>
      <c r="E50" s="48" t="str">
        <f>IFERROR(__xludf.DUMMYFUNCTION("GOOGLETRANSLATE(D50,""zh-CN"",""vi"")"),"Tin tức của cô ấy khiến tôi bất ngờ.")</f>
        <v>Tin tức của cô ấy khiến tôi bất ngờ.</v>
      </c>
      <c r="F50" s="49" t="s">
        <v>778</v>
      </c>
      <c r="G50" s="50" t="b">
        <f t="shared" si="1"/>
        <v>1</v>
      </c>
      <c r="H50" s="52" t="b">
        <v>1</v>
      </c>
      <c r="I50" s="52" t="b">
        <v>0</v>
      </c>
      <c r="J50" s="52" t="b">
        <v>0</v>
      </c>
      <c r="K50" s="52" t="b">
        <v>0</v>
      </c>
      <c r="L50" s="52" t="b">
        <v>0</v>
      </c>
      <c r="M50" s="52" t="b">
        <v>0</v>
      </c>
      <c r="N50" s="52" t="b">
        <v>0</v>
      </c>
      <c r="O50" s="52" t="b">
        <v>0</v>
      </c>
      <c r="P50" s="52" t="b">
        <v>0</v>
      </c>
      <c r="Q50" s="52" t="b">
        <v>0</v>
      </c>
      <c r="R50" s="44"/>
      <c r="S50" s="44"/>
      <c r="T50" s="44"/>
      <c r="U50" s="44"/>
      <c r="V50" s="44"/>
      <c r="W50" s="44"/>
      <c r="X50" s="45"/>
      <c r="Y50" s="45"/>
      <c r="Z50" s="45"/>
      <c r="AA50" s="45"/>
    </row>
    <row r="51" ht="33.75" customHeight="1">
      <c r="A51" s="46" t="s">
        <v>785</v>
      </c>
      <c r="B51" s="47" t="s">
        <v>787</v>
      </c>
      <c r="C51" s="47" t="s">
        <v>788</v>
      </c>
      <c r="D51" s="29" t="s">
        <v>789</v>
      </c>
      <c r="E51" s="48" t="str">
        <f>IFERROR(__xludf.DUMMYFUNCTION("GOOGLETRANSLATE(D51,""zh-CN"",""vi"")"),"Tôi bắt đầu học tiếng Trung lại.")</f>
        <v>Tôi bắt đầu học tiếng Trung lại.</v>
      </c>
      <c r="F51" s="49" t="s">
        <v>785</v>
      </c>
      <c r="G51" s="50" t="b">
        <f t="shared" si="1"/>
        <v>1</v>
      </c>
      <c r="H51" s="52" t="b">
        <v>1</v>
      </c>
      <c r="I51" s="52" t="b">
        <v>0</v>
      </c>
      <c r="J51" s="52" t="b">
        <v>0</v>
      </c>
      <c r="K51" s="52" t="b">
        <v>0</v>
      </c>
      <c r="L51" s="52" t="b">
        <v>0</v>
      </c>
      <c r="M51" s="52" t="b">
        <v>0</v>
      </c>
      <c r="N51" s="52" t="b">
        <v>0</v>
      </c>
      <c r="O51" s="52" t="b">
        <v>0</v>
      </c>
      <c r="P51" s="52" t="b">
        <v>0</v>
      </c>
      <c r="Q51" s="52" t="b">
        <v>0</v>
      </c>
      <c r="R51" s="44"/>
      <c r="S51" s="44"/>
      <c r="T51" s="44"/>
      <c r="U51" s="44"/>
      <c r="V51" s="44"/>
      <c r="W51" s="44"/>
      <c r="X51" s="45"/>
      <c r="Y51" s="45"/>
      <c r="Z51" s="45"/>
      <c r="AA51" s="45"/>
    </row>
    <row r="52" ht="33.75" customHeight="1">
      <c r="A52" s="46" t="s">
        <v>790</v>
      </c>
      <c r="B52" s="47" t="s">
        <v>791</v>
      </c>
      <c r="C52" s="47" t="s">
        <v>792</v>
      </c>
      <c r="D52" s="29" t="s">
        <v>793</v>
      </c>
      <c r="E52" s="48" t="str">
        <f>IFERROR(__xludf.DUMMYFUNCTION("GOOGLETRANSLATE(D52,""zh-CN"",""vi"")"),"Vui lòng không hút thuốc tại đây.")</f>
        <v>Vui lòng không hút thuốc tại đây.</v>
      </c>
      <c r="F52" s="49" t="s">
        <v>790</v>
      </c>
      <c r="G52" s="50" t="b">
        <f t="shared" si="1"/>
        <v>1</v>
      </c>
      <c r="H52" s="52" t="b">
        <v>1</v>
      </c>
      <c r="I52" s="52" t="b">
        <v>0</v>
      </c>
      <c r="J52" s="52" t="b">
        <v>0</v>
      </c>
      <c r="K52" s="52" t="b">
        <v>0</v>
      </c>
      <c r="L52" s="52" t="b">
        <v>0</v>
      </c>
      <c r="M52" s="52" t="b">
        <v>0</v>
      </c>
      <c r="N52" s="52" t="b">
        <v>0</v>
      </c>
      <c r="O52" s="52" t="b">
        <v>0</v>
      </c>
      <c r="P52" s="52" t="b">
        <v>0</v>
      </c>
      <c r="Q52" s="52" t="b">
        <v>0</v>
      </c>
      <c r="R52" s="44"/>
      <c r="S52" s="44"/>
      <c r="T52" s="44"/>
      <c r="U52" s="44"/>
      <c r="V52" s="44"/>
      <c r="W52" s="44"/>
      <c r="X52" s="45"/>
      <c r="Y52" s="45"/>
      <c r="Z52" s="45"/>
      <c r="AA52" s="45"/>
    </row>
    <row r="53" ht="33.75" customHeight="1">
      <c r="A53" s="46" t="s">
        <v>794</v>
      </c>
      <c r="B53" s="47" t="s">
        <v>795</v>
      </c>
      <c r="C53" s="47" t="s">
        <v>796</v>
      </c>
      <c r="D53" s="29" t="s">
        <v>797</v>
      </c>
      <c r="E53" s="48" t="str">
        <f>IFERROR(__xludf.DUMMYFUNCTION("GOOGLETRANSLATE(D53,""zh-CN"",""vi"")"),"Anh ấy thường xuyên đi công tác.")</f>
        <v>Anh ấy thường xuyên đi công tác.</v>
      </c>
      <c r="F53" s="49" t="s">
        <v>794</v>
      </c>
      <c r="G53" s="50" t="b">
        <f t="shared" si="1"/>
        <v>1</v>
      </c>
      <c r="H53" s="52" t="b">
        <v>1</v>
      </c>
      <c r="I53" s="52" t="b">
        <v>0</v>
      </c>
      <c r="J53" s="52" t="b">
        <v>0</v>
      </c>
      <c r="K53" s="52" t="b">
        <v>0</v>
      </c>
      <c r="L53" s="52" t="b">
        <v>0</v>
      </c>
      <c r="M53" s="52" t="b">
        <v>0</v>
      </c>
      <c r="N53" s="52" t="b">
        <v>0</v>
      </c>
      <c r="O53" s="52" t="b">
        <v>0</v>
      </c>
      <c r="P53" s="52" t="b">
        <v>0</v>
      </c>
      <c r="Q53" s="52" t="b">
        <v>0</v>
      </c>
      <c r="R53" s="44"/>
      <c r="S53" s="44"/>
      <c r="T53" s="44"/>
      <c r="U53" s="44"/>
      <c r="V53" s="44"/>
      <c r="W53" s="44"/>
      <c r="X53" s="45"/>
      <c r="Y53" s="45"/>
      <c r="Z53" s="45"/>
      <c r="AA53" s="45"/>
    </row>
    <row r="54" ht="33.75" customHeight="1">
      <c r="A54" s="46" t="s">
        <v>801</v>
      </c>
      <c r="B54" s="47" t="s">
        <v>803</v>
      </c>
      <c r="C54" s="47" t="s">
        <v>804</v>
      </c>
      <c r="D54" s="29" t="s">
        <v>805</v>
      </c>
      <c r="E54" s="48" t="str">
        <f>IFERROR(__xludf.DUMMYFUNCTION("GOOGLETRANSLATE(D54,""zh-CN"",""vi"")"),"Chúng tôi khởi hành lúc bảy giờ sáng.")</f>
        <v>Chúng tôi khởi hành lúc bảy giờ sáng.</v>
      </c>
      <c r="F54" s="49" t="s">
        <v>801</v>
      </c>
      <c r="G54" s="50" t="b">
        <f t="shared" si="1"/>
        <v>1</v>
      </c>
      <c r="H54" s="52" t="b">
        <v>1</v>
      </c>
      <c r="I54" s="52" t="b">
        <v>0</v>
      </c>
      <c r="J54" s="52" t="b">
        <v>0</v>
      </c>
      <c r="K54" s="52" t="b">
        <v>0</v>
      </c>
      <c r="L54" s="52" t="b">
        <v>0</v>
      </c>
      <c r="M54" s="52" t="b">
        <v>0</v>
      </c>
      <c r="N54" s="52" t="b">
        <v>0</v>
      </c>
      <c r="O54" s="52" t="b">
        <v>0</v>
      </c>
      <c r="P54" s="52" t="b">
        <v>0</v>
      </c>
      <c r="Q54" s="52" t="b">
        <v>0</v>
      </c>
      <c r="R54" s="44"/>
      <c r="S54" s="44"/>
      <c r="T54" s="44"/>
      <c r="U54" s="44"/>
      <c r="V54" s="44"/>
      <c r="W54" s="44"/>
      <c r="X54" s="45"/>
      <c r="Y54" s="45"/>
      <c r="Z54" s="45"/>
      <c r="AA54" s="45"/>
    </row>
    <row r="55" ht="33.75" customHeight="1">
      <c r="A55" s="46" t="s">
        <v>806</v>
      </c>
      <c r="B55" s="47" t="s">
        <v>807</v>
      </c>
      <c r="C55" s="47" t="s">
        <v>808</v>
      </c>
      <c r="D55" s="29" t="s">
        <v>809</v>
      </c>
      <c r="E55" s="48" t="str">
        <f>IFERROR(__xludf.DUMMYFUNCTION("GOOGLETRANSLATE(D55,""zh-CN"",""vi"")"),"Tôi sinh ra ở Việt Nam.")</f>
        <v>Tôi sinh ra ở Việt Nam.</v>
      </c>
      <c r="F55" s="49" t="s">
        <v>806</v>
      </c>
      <c r="G55" s="50" t="b">
        <f t="shared" si="1"/>
        <v>1</v>
      </c>
      <c r="H55" s="52" t="b">
        <v>1</v>
      </c>
      <c r="I55" s="52" t="b">
        <v>0</v>
      </c>
      <c r="J55" s="52" t="b">
        <v>0</v>
      </c>
      <c r="K55" s="52" t="b">
        <v>0</v>
      </c>
      <c r="L55" s="52" t="b">
        <v>0</v>
      </c>
      <c r="M55" s="52" t="b">
        <v>0</v>
      </c>
      <c r="N55" s="52" t="b">
        <v>0</v>
      </c>
      <c r="O55" s="52" t="b">
        <v>0</v>
      </c>
      <c r="P55" s="52" t="b">
        <v>0</v>
      </c>
      <c r="Q55" s="52" t="b">
        <v>0</v>
      </c>
      <c r="R55" s="44"/>
      <c r="S55" s="44"/>
      <c r="T55" s="44"/>
      <c r="U55" s="44"/>
      <c r="V55" s="44"/>
      <c r="W55" s="44"/>
      <c r="X55" s="45"/>
      <c r="Y55" s="45"/>
      <c r="Z55" s="45"/>
      <c r="AA55" s="45"/>
    </row>
    <row r="56" ht="33.75" customHeight="1">
      <c r="A56" s="46" t="s">
        <v>531</v>
      </c>
      <c r="B56" s="47" t="s">
        <v>818</v>
      </c>
      <c r="C56" s="47" t="s">
        <v>533</v>
      </c>
      <c r="D56" s="29" t="s">
        <v>819</v>
      </c>
      <c r="E56" s="48" t="str">
        <f>IFERROR(__xludf.DUMMYFUNCTION("GOOGLETRANSLATE(D56,""zh-CN"",""vi"")"),"Vấn đề đột nhiên nảy sinh.")</f>
        <v>Vấn đề đột nhiên nảy sinh.</v>
      </c>
      <c r="F56" s="49" t="s">
        <v>531</v>
      </c>
      <c r="G56" s="50" t="b">
        <f t="shared" si="1"/>
        <v>1</v>
      </c>
      <c r="H56" s="52" t="b">
        <v>1</v>
      </c>
      <c r="I56" s="52" t="b">
        <v>0</v>
      </c>
      <c r="J56" s="52" t="b">
        <v>0</v>
      </c>
      <c r="K56" s="52" t="b">
        <v>0</v>
      </c>
      <c r="L56" s="52" t="b">
        <v>0</v>
      </c>
      <c r="M56" s="52" t="b">
        <v>0</v>
      </c>
      <c r="N56" s="52" t="b">
        <v>0</v>
      </c>
      <c r="O56" s="52" t="b">
        <v>0</v>
      </c>
      <c r="P56" s="52" t="b">
        <v>0</v>
      </c>
      <c r="Q56" s="52" t="b">
        <v>0</v>
      </c>
      <c r="R56" s="44"/>
      <c r="S56" s="44"/>
      <c r="T56" s="44"/>
      <c r="U56" s="44"/>
      <c r="V56" s="44"/>
      <c r="W56" s="44"/>
      <c r="X56" s="45"/>
      <c r="Y56" s="45"/>
      <c r="Z56" s="45"/>
      <c r="AA56" s="45"/>
    </row>
    <row r="57" ht="33.75" customHeight="1">
      <c r="A57" s="46" t="s">
        <v>543</v>
      </c>
      <c r="B57" s="47" t="s">
        <v>825</v>
      </c>
      <c r="C57" s="47" t="s">
        <v>827</v>
      </c>
      <c r="D57" s="29" t="s">
        <v>829</v>
      </c>
      <c r="E57" s="48" t="str">
        <f>IFERROR(__xludf.DUMMYFUNCTION("GOOGLETRANSLATE(D57,""zh-CN"",""vi"")"),"Cô ấy đang nấu ăn trong bếp.")</f>
        <v>Cô ấy đang nấu ăn trong bếp.</v>
      </c>
      <c r="F57" s="49" t="s">
        <v>543</v>
      </c>
      <c r="G57" s="50" t="b">
        <f t="shared" si="1"/>
        <v>1</v>
      </c>
      <c r="H57" s="52" t="b">
        <v>1</v>
      </c>
      <c r="I57" s="52" t="b">
        <v>0</v>
      </c>
      <c r="J57" s="52" t="b">
        <v>0</v>
      </c>
      <c r="K57" s="52" t="b">
        <v>0</v>
      </c>
      <c r="L57" s="52" t="b">
        <v>0</v>
      </c>
      <c r="M57" s="52" t="b">
        <v>0</v>
      </c>
      <c r="N57" s="52" t="b">
        <v>0</v>
      </c>
      <c r="O57" s="52" t="b">
        <v>0</v>
      </c>
      <c r="P57" s="52" t="b">
        <v>0</v>
      </c>
      <c r="Q57" s="52" t="b">
        <v>0</v>
      </c>
      <c r="R57" s="44"/>
      <c r="S57" s="44"/>
      <c r="T57" s="44"/>
      <c r="U57" s="44"/>
      <c r="V57" s="44"/>
      <c r="W57" s="44"/>
      <c r="X57" s="45"/>
      <c r="Y57" s="45"/>
      <c r="Z57" s="45"/>
      <c r="AA57" s="45"/>
    </row>
    <row r="58" ht="33.75" customHeight="1">
      <c r="A58" s="46" t="s">
        <v>831</v>
      </c>
      <c r="B58" s="47" t="s">
        <v>832</v>
      </c>
      <c r="C58" s="47" t="s">
        <v>833</v>
      </c>
      <c r="D58" s="29" t="s">
        <v>834</v>
      </c>
      <c r="E58" s="48" t="str">
        <f>IFERROR(__xludf.DUMMYFUNCTION("GOOGLETRANSLATE(D58,""zh-CN"",""vi"")"),"Vui lòng gửi fax.")</f>
        <v>Vui lòng gửi fax.</v>
      </c>
      <c r="F58" s="49" t="s">
        <v>831</v>
      </c>
      <c r="G58" s="50" t="b">
        <f t="shared" si="1"/>
        <v>1</v>
      </c>
      <c r="H58" s="52" t="b">
        <v>1</v>
      </c>
      <c r="I58" s="52" t="b">
        <v>0</v>
      </c>
      <c r="J58" s="52" t="b">
        <v>0</v>
      </c>
      <c r="K58" s="52" t="b">
        <v>0</v>
      </c>
      <c r="L58" s="52" t="b">
        <v>0</v>
      </c>
      <c r="M58" s="52" t="b">
        <v>0</v>
      </c>
      <c r="N58" s="52" t="b">
        <v>0</v>
      </c>
      <c r="O58" s="52" t="b">
        <v>0</v>
      </c>
      <c r="P58" s="52" t="b">
        <v>0</v>
      </c>
      <c r="Q58" s="52" t="b">
        <v>0</v>
      </c>
      <c r="R58" s="44"/>
      <c r="S58" s="44"/>
      <c r="T58" s="44"/>
      <c r="U58" s="44"/>
      <c r="V58" s="44"/>
      <c r="W58" s="44"/>
      <c r="X58" s="45"/>
      <c r="Y58" s="45"/>
      <c r="Z58" s="45"/>
      <c r="AA58" s="45"/>
    </row>
    <row r="59" ht="33.75" customHeight="1">
      <c r="A59" s="46" t="s">
        <v>843</v>
      </c>
      <c r="B59" s="47" t="s">
        <v>844</v>
      </c>
      <c r="C59" s="47" t="s">
        <v>845</v>
      </c>
      <c r="D59" s="29" t="s">
        <v>846</v>
      </c>
      <c r="E59" s="48" t="str">
        <f>IFERROR(__xludf.DUMMYFUNCTION("GOOGLETRANSLATE(D59,""zh-CN"",""vi"")"),"Cửa sổ đang mở.")</f>
        <v>Cửa sổ đang mở.</v>
      </c>
      <c r="F59" s="49" t="s">
        <v>843</v>
      </c>
      <c r="G59" s="50" t="b">
        <f t="shared" si="1"/>
        <v>1</v>
      </c>
      <c r="H59" s="52" t="b">
        <v>1</v>
      </c>
      <c r="I59" s="52" t="b">
        <v>0</v>
      </c>
      <c r="J59" s="52" t="b">
        <v>0</v>
      </c>
      <c r="K59" s="52" t="b">
        <v>0</v>
      </c>
      <c r="L59" s="52" t="b">
        <v>0</v>
      </c>
      <c r="M59" s="52" t="b">
        <v>0</v>
      </c>
      <c r="N59" s="52" t="b">
        <v>0</v>
      </c>
      <c r="O59" s="52" t="b">
        <v>0</v>
      </c>
      <c r="P59" s="52" t="b">
        <v>0</v>
      </c>
      <c r="Q59" s="52" t="b">
        <v>0</v>
      </c>
      <c r="R59" s="44"/>
      <c r="S59" s="44"/>
      <c r="T59" s="44"/>
      <c r="U59" s="44"/>
      <c r="V59" s="44"/>
      <c r="W59" s="44"/>
      <c r="X59" s="45"/>
      <c r="Y59" s="45"/>
      <c r="Z59" s="45"/>
      <c r="AA59" s="45"/>
    </row>
    <row r="60" ht="33.75" customHeight="1">
      <c r="A60" s="46" t="s">
        <v>583</v>
      </c>
      <c r="B60" s="47" t="s">
        <v>847</v>
      </c>
      <c r="C60" s="47" t="s">
        <v>588</v>
      </c>
      <c r="D60" s="29" t="s">
        <v>848</v>
      </c>
      <c r="E60" s="48" t="str">
        <f>IFERROR(__xludf.DUMMYFUNCTION("GOOGLETRANSLATE(D60,""zh-CN"",""vi"")"),"Hãy học thuộc những từ này.")</f>
        <v>Hãy học thuộc những từ này.</v>
      </c>
      <c r="F60" s="49" t="s">
        <v>583</v>
      </c>
      <c r="G60" s="50" t="b">
        <f t="shared" si="1"/>
        <v>1</v>
      </c>
      <c r="H60" s="52" t="b">
        <v>1</v>
      </c>
      <c r="I60" s="52" t="b">
        <v>0</v>
      </c>
      <c r="J60" s="52" t="b">
        <v>0</v>
      </c>
      <c r="K60" s="52" t="b">
        <v>0</v>
      </c>
      <c r="L60" s="52" t="b">
        <v>0</v>
      </c>
      <c r="M60" s="52" t="b">
        <v>0</v>
      </c>
      <c r="N60" s="52" t="b">
        <v>0</v>
      </c>
      <c r="O60" s="52" t="b">
        <v>0</v>
      </c>
      <c r="P60" s="52" t="b">
        <v>0</v>
      </c>
      <c r="Q60" s="52" t="b">
        <v>0</v>
      </c>
      <c r="R60" s="44"/>
      <c r="S60" s="44"/>
      <c r="T60" s="44"/>
      <c r="U60" s="44"/>
      <c r="V60" s="44"/>
      <c r="W60" s="44"/>
      <c r="X60" s="45"/>
      <c r="Y60" s="45"/>
      <c r="Z60" s="45"/>
      <c r="AA60" s="45"/>
    </row>
    <row r="61" ht="33.75" customHeight="1">
      <c r="A61" s="46" t="s">
        <v>858</v>
      </c>
      <c r="B61" s="47" t="s">
        <v>861</v>
      </c>
      <c r="C61" s="47" t="s">
        <v>863</v>
      </c>
      <c r="D61" s="29" t="s">
        <v>864</v>
      </c>
      <c r="E61" s="48" t="str">
        <f>IFERROR(__xludf.DUMMYFUNCTION("GOOGLETRANSLATE(D61,""zh-CN"",""vi"")"),"Tôi chưa từng gặp anh ta.")</f>
        <v>Tôi chưa từng gặp anh ta.</v>
      </c>
      <c r="F61" s="49" t="s">
        <v>858</v>
      </c>
      <c r="G61" s="50" t="b">
        <f t="shared" si="1"/>
        <v>1</v>
      </c>
      <c r="H61" s="52" t="b">
        <v>1</v>
      </c>
      <c r="I61" s="52" t="b">
        <v>0</v>
      </c>
      <c r="J61" s="52" t="b">
        <v>0</v>
      </c>
      <c r="K61" s="52" t="b">
        <v>0</v>
      </c>
      <c r="L61" s="52" t="b">
        <v>0</v>
      </c>
      <c r="M61" s="52" t="b">
        <v>0</v>
      </c>
      <c r="N61" s="52" t="b">
        <v>0</v>
      </c>
      <c r="O61" s="52" t="b">
        <v>0</v>
      </c>
      <c r="P61" s="52" t="b">
        <v>0</v>
      </c>
      <c r="Q61" s="52" t="b">
        <v>0</v>
      </c>
      <c r="R61" s="44"/>
      <c r="S61" s="44"/>
      <c r="T61" s="44"/>
      <c r="U61" s="44"/>
      <c r="V61" s="44"/>
      <c r="W61" s="44"/>
      <c r="X61" s="45"/>
      <c r="Y61" s="45"/>
      <c r="Z61" s="45"/>
      <c r="AA61" s="45"/>
    </row>
    <row r="62" ht="33.75" customHeight="1">
      <c r="A62" s="46" t="s">
        <v>866</v>
      </c>
      <c r="B62" s="47" t="s">
        <v>867</v>
      </c>
      <c r="C62" s="47" t="s">
        <v>869</v>
      </c>
      <c r="D62" s="29" t="s">
        <v>871</v>
      </c>
      <c r="E62" s="48" t="str">
        <f>IFERROR(__xludf.DUMMYFUNCTION("GOOGLETRANSLATE(D62,""zh-CN"",""vi"")"),"Anh ta rất bất cẩn.")</f>
        <v>Anh ta rất bất cẩn.</v>
      </c>
      <c r="F62" s="49" t="s">
        <v>866</v>
      </c>
      <c r="G62" s="50" t="b">
        <f t="shared" si="1"/>
        <v>1</v>
      </c>
      <c r="H62" s="52" t="b">
        <v>1</v>
      </c>
      <c r="I62" s="52" t="b">
        <v>0</v>
      </c>
      <c r="J62" s="52" t="b">
        <v>0</v>
      </c>
      <c r="K62" s="52" t="b">
        <v>0</v>
      </c>
      <c r="L62" s="52" t="b">
        <v>0</v>
      </c>
      <c r="M62" s="52" t="b">
        <v>0</v>
      </c>
      <c r="N62" s="52" t="b">
        <v>0</v>
      </c>
      <c r="O62" s="52" t="b">
        <v>0</v>
      </c>
      <c r="P62" s="52" t="b">
        <v>0</v>
      </c>
      <c r="Q62" s="52" t="b">
        <v>0</v>
      </c>
      <c r="R62" s="44"/>
      <c r="S62" s="44"/>
      <c r="T62" s="44"/>
      <c r="U62" s="44"/>
      <c r="V62" s="44"/>
      <c r="W62" s="44"/>
      <c r="X62" s="45"/>
      <c r="Y62" s="45"/>
      <c r="Z62" s="45"/>
      <c r="AA62" s="45"/>
    </row>
    <row r="63" ht="33.75" customHeight="1">
      <c r="A63" s="46" t="s">
        <v>881</v>
      </c>
      <c r="B63" s="47" t="s">
        <v>882</v>
      </c>
      <c r="C63" s="47" t="s">
        <v>883</v>
      </c>
      <c r="D63" s="29" t="s">
        <v>884</v>
      </c>
      <c r="E63" s="48" t="str">
        <f>IFERROR(__xludf.DUMMYFUNCTION("GOOGLETRANSLATE(D63,""zh-CN"",""vi"")"),"Tôi đã gửi tiền vào ngân hàng.")</f>
        <v>Tôi đã gửi tiền vào ngân hàng.</v>
      </c>
      <c r="F63" s="49" t="s">
        <v>881</v>
      </c>
      <c r="G63" s="50" t="b">
        <f t="shared" si="1"/>
        <v>1</v>
      </c>
      <c r="H63" s="52" t="b">
        <v>1</v>
      </c>
      <c r="I63" s="52" t="b">
        <v>0</v>
      </c>
      <c r="J63" s="52" t="b">
        <v>0</v>
      </c>
      <c r="K63" s="52" t="b">
        <v>0</v>
      </c>
      <c r="L63" s="52" t="b">
        <v>0</v>
      </c>
      <c r="M63" s="52" t="b">
        <v>0</v>
      </c>
      <c r="N63" s="52" t="b">
        <v>0</v>
      </c>
      <c r="O63" s="52" t="b">
        <v>0</v>
      </c>
      <c r="P63" s="52" t="b">
        <v>0</v>
      </c>
      <c r="Q63" s="52" t="b">
        <v>0</v>
      </c>
      <c r="R63" s="44"/>
      <c r="S63" s="44"/>
      <c r="T63" s="44"/>
      <c r="U63" s="44"/>
      <c r="V63" s="44"/>
      <c r="W63" s="44"/>
      <c r="X63" s="45"/>
      <c r="Y63" s="45"/>
      <c r="Z63" s="45"/>
      <c r="AA63" s="45"/>
    </row>
    <row r="64" ht="33.75" customHeight="1">
      <c r="A64" s="46" t="s">
        <v>890</v>
      </c>
      <c r="B64" s="47" t="s">
        <v>892</v>
      </c>
      <c r="C64" s="47" t="s">
        <v>893</v>
      </c>
      <c r="D64" s="29" t="s">
        <v>895</v>
      </c>
      <c r="E64" s="48" t="str">
        <f>IFERROR(__xludf.DUMMYFUNCTION("GOOGLETRANSLATE(D64,""zh-CN"",""vi"")"),"Đây là lỗi của chúng ta.")</f>
        <v>Đây là lỗi của chúng ta.</v>
      </c>
      <c r="F64" s="49" t="s">
        <v>890</v>
      </c>
      <c r="G64" s="50" t="b">
        <f t="shared" si="1"/>
        <v>1</v>
      </c>
      <c r="H64" s="52" t="b">
        <v>1</v>
      </c>
      <c r="I64" s="52" t="b">
        <v>0</v>
      </c>
      <c r="J64" s="52" t="b">
        <v>0</v>
      </c>
      <c r="K64" s="52" t="b">
        <v>0</v>
      </c>
      <c r="L64" s="52" t="b">
        <v>0</v>
      </c>
      <c r="M64" s="52" t="b">
        <v>0</v>
      </c>
      <c r="N64" s="52" t="b">
        <v>0</v>
      </c>
      <c r="O64" s="52" t="b">
        <v>0</v>
      </c>
      <c r="P64" s="52" t="b">
        <v>0</v>
      </c>
      <c r="Q64" s="52" t="b">
        <v>0</v>
      </c>
      <c r="R64" s="44"/>
      <c r="S64" s="44"/>
      <c r="T64" s="44"/>
      <c r="U64" s="44"/>
      <c r="V64" s="44"/>
      <c r="W64" s="44"/>
      <c r="X64" s="45"/>
      <c r="Y64" s="45"/>
      <c r="Z64" s="45"/>
      <c r="AA64" s="45"/>
    </row>
    <row r="65" ht="33.75" customHeight="1">
      <c r="A65" s="46" t="s">
        <v>901</v>
      </c>
      <c r="B65" s="47" t="s">
        <v>903</v>
      </c>
      <c r="C65" s="47" t="s">
        <v>904</v>
      </c>
      <c r="D65" s="29" t="s">
        <v>906</v>
      </c>
      <c r="E65" s="48" t="str">
        <f>IFERROR(__xludf.DUMMYFUNCTION("GOOGLETRANSLATE(D65,""zh-CN"",""vi"")"),"Đây là câu trả lời đúng.")</f>
        <v>Đây là câu trả lời đúng.</v>
      </c>
      <c r="F65" s="49" t="s">
        <v>901</v>
      </c>
      <c r="G65" s="50" t="b">
        <f t="shared" si="1"/>
        <v>1</v>
      </c>
      <c r="H65" s="52" t="b">
        <v>1</v>
      </c>
      <c r="I65" s="52" t="b">
        <v>0</v>
      </c>
      <c r="J65" s="52" t="b">
        <v>0</v>
      </c>
      <c r="K65" s="52" t="b">
        <v>0</v>
      </c>
      <c r="L65" s="52" t="b">
        <v>0</v>
      </c>
      <c r="M65" s="52" t="b">
        <v>0</v>
      </c>
      <c r="N65" s="52" t="b">
        <v>0</v>
      </c>
      <c r="O65" s="52" t="b">
        <v>0</v>
      </c>
      <c r="P65" s="52" t="b">
        <v>0</v>
      </c>
      <c r="Q65" s="52" t="b">
        <v>0</v>
      </c>
      <c r="R65" s="44"/>
      <c r="S65" s="44"/>
      <c r="T65" s="44"/>
      <c r="U65" s="44"/>
      <c r="V65" s="44"/>
      <c r="W65" s="44"/>
      <c r="X65" s="45"/>
      <c r="Y65" s="45"/>
      <c r="Z65" s="45"/>
      <c r="AA65" s="45"/>
    </row>
    <row r="66" ht="33.75" customHeight="1">
      <c r="A66" s="46" t="s">
        <v>912</v>
      </c>
      <c r="B66" s="47" t="s">
        <v>914</v>
      </c>
      <c r="C66" s="47" t="s">
        <v>916</v>
      </c>
      <c r="D66" s="29" t="s">
        <v>917</v>
      </c>
      <c r="E66" s="48" t="str">
        <f>IFERROR(__xludf.DUMMYFUNCTION("GOOGLETRANSLATE(D66,""zh-CN"",""vi"")"),"Cô ấy ăn mặc rất đẹp.")</f>
        <v>Cô ấy ăn mặc rất đẹp.</v>
      </c>
      <c r="F66" s="49" t="s">
        <v>912</v>
      </c>
      <c r="G66" s="50" t="b">
        <f t="shared" si="1"/>
        <v>1</v>
      </c>
      <c r="H66" s="52" t="b">
        <v>1</v>
      </c>
      <c r="I66" s="52" t="b">
        <v>0</v>
      </c>
      <c r="J66" s="52" t="b">
        <v>0</v>
      </c>
      <c r="K66" s="52" t="b">
        <v>0</v>
      </c>
      <c r="L66" s="52" t="b">
        <v>0</v>
      </c>
      <c r="M66" s="52" t="b">
        <v>0</v>
      </c>
      <c r="N66" s="52" t="b">
        <v>0</v>
      </c>
      <c r="O66" s="52" t="b">
        <v>0</v>
      </c>
      <c r="P66" s="52" t="b">
        <v>0</v>
      </c>
      <c r="Q66" s="52" t="b">
        <v>0</v>
      </c>
      <c r="R66" s="44"/>
      <c r="S66" s="44"/>
      <c r="T66" s="44"/>
      <c r="U66" s="44"/>
      <c r="V66" s="44"/>
      <c r="W66" s="44"/>
      <c r="X66" s="45"/>
      <c r="Y66" s="45"/>
      <c r="Z66" s="45"/>
      <c r="AA66" s="45"/>
    </row>
    <row r="67" ht="33.75" customHeight="1">
      <c r="A67" s="46" t="s">
        <v>927</v>
      </c>
      <c r="B67" s="47" t="s">
        <v>929</v>
      </c>
      <c r="C67" s="47" t="s">
        <v>930</v>
      </c>
      <c r="D67" s="29" t="s">
        <v>931</v>
      </c>
      <c r="E67" s="48" t="str">
        <f>IFERROR(__xludf.DUMMYFUNCTION("GOOGLETRANSLATE(D67,""zh-CN"",""vi"")"),"Xin lỗi, tôi có thể làm phiền bạn được không?")</f>
        <v>Xin lỗi, tôi có thể làm phiền bạn được không?</v>
      </c>
      <c r="F67" s="49" t="s">
        <v>927</v>
      </c>
      <c r="G67" s="50" t="b">
        <f t="shared" si="1"/>
        <v>1</v>
      </c>
      <c r="H67" s="52" t="b">
        <v>1</v>
      </c>
      <c r="I67" s="52" t="b">
        <v>0</v>
      </c>
      <c r="J67" s="52" t="b">
        <v>0</v>
      </c>
      <c r="K67" s="52" t="b">
        <v>0</v>
      </c>
      <c r="L67" s="52" t="b">
        <v>0</v>
      </c>
      <c r="M67" s="52" t="b">
        <v>0</v>
      </c>
      <c r="N67" s="52" t="b">
        <v>0</v>
      </c>
      <c r="O67" s="52" t="b">
        <v>0</v>
      </c>
      <c r="P67" s="52" t="b">
        <v>0</v>
      </c>
      <c r="Q67" s="52" t="b">
        <v>0</v>
      </c>
      <c r="R67" s="44"/>
      <c r="S67" s="44"/>
      <c r="T67" s="44"/>
      <c r="U67" s="44"/>
      <c r="V67" s="44"/>
      <c r="W67" s="44"/>
      <c r="X67" s="45"/>
      <c r="Y67" s="45"/>
      <c r="Z67" s="45"/>
      <c r="AA67" s="45"/>
    </row>
    <row r="68" ht="33.75" customHeight="1">
      <c r="A68" s="46" t="s">
        <v>937</v>
      </c>
      <c r="B68" s="47" t="s">
        <v>939</v>
      </c>
      <c r="C68" s="47" t="s">
        <v>942</v>
      </c>
      <c r="D68" s="29" t="s">
        <v>943</v>
      </c>
      <c r="E68" s="48" t="str">
        <f>IFERROR(__xludf.DUMMYFUNCTION("GOOGLETRANSLATE(D68,""zh-CN"",""vi"")"),"Vui lòng in tài liệu này giúp tôi.")</f>
        <v>Vui lòng in tài liệu này giúp tôi.</v>
      </c>
      <c r="F68" s="49" t="s">
        <v>937</v>
      </c>
      <c r="G68" s="50" t="b">
        <f t="shared" si="1"/>
        <v>1</v>
      </c>
      <c r="H68" s="52" t="b">
        <v>1</v>
      </c>
      <c r="I68" s="52" t="b">
        <v>0</v>
      </c>
      <c r="J68" s="52" t="b">
        <v>0</v>
      </c>
      <c r="K68" s="52" t="b">
        <v>0</v>
      </c>
      <c r="L68" s="52" t="b">
        <v>0</v>
      </c>
      <c r="M68" s="52" t="b">
        <v>0</v>
      </c>
      <c r="N68" s="52" t="b">
        <v>0</v>
      </c>
      <c r="O68" s="52" t="b">
        <v>0</v>
      </c>
      <c r="P68" s="52" t="b">
        <v>0</v>
      </c>
      <c r="Q68" s="52" t="b">
        <v>0</v>
      </c>
      <c r="R68" s="44"/>
      <c r="S68" s="44"/>
      <c r="T68" s="44"/>
      <c r="U68" s="44"/>
      <c r="V68" s="44"/>
      <c r="W68" s="44"/>
      <c r="X68" s="45"/>
      <c r="Y68" s="45"/>
      <c r="Z68" s="45"/>
      <c r="AA68" s="45"/>
    </row>
    <row r="69" ht="33.75" customHeight="1">
      <c r="A69" s="46" t="s">
        <v>948</v>
      </c>
      <c r="B69" s="47" t="s">
        <v>949</v>
      </c>
      <c r="C69" s="47" t="s">
        <v>950</v>
      </c>
      <c r="D69" s="29" t="s">
        <v>951</v>
      </c>
      <c r="E69" s="48" t="str">
        <f>IFERROR(__xludf.DUMMYFUNCTION("GOOGLETRANSLATE(D69,""zh-CN"",""vi"")"),"Anh ấy chào tôi.")</f>
        <v>Anh ấy chào tôi.</v>
      </c>
      <c r="F69" s="49" t="s">
        <v>948</v>
      </c>
      <c r="G69" s="50" t="b">
        <f t="shared" si="1"/>
        <v>1</v>
      </c>
      <c r="H69" s="52" t="b">
        <v>1</v>
      </c>
      <c r="I69" s="52" t="b">
        <v>0</v>
      </c>
      <c r="J69" s="52" t="b">
        <v>0</v>
      </c>
      <c r="K69" s="52" t="b">
        <v>0</v>
      </c>
      <c r="L69" s="52" t="b">
        <v>0</v>
      </c>
      <c r="M69" s="52" t="b">
        <v>0</v>
      </c>
      <c r="N69" s="52" t="b">
        <v>0</v>
      </c>
      <c r="O69" s="52" t="b">
        <v>0</v>
      </c>
      <c r="P69" s="52" t="b">
        <v>0</v>
      </c>
      <c r="Q69" s="52" t="b">
        <v>0</v>
      </c>
      <c r="R69" s="44"/>
      <c r="S69" s="44"/>
      <c r="T69" s="44"/>
      <c r="U69" s="44"/>
      <c r="V69" s="44"/>
      <c r="W69" s="44"/>
      <c r="X69" s="45"/>
      <c r="Y69" s="45"/>
      <c r="Z69" s="45"/>
      <c r="AA69" s="45"/>
    </row>
    <row r="70" ht="33.75" customHeight="1">
      <c r="A70" s="46" t="s">
        <v>963</v>
      </c>
      <c r="B70" s="47" t="s">
        <v>965</v>
      </c>
      <c r="C70" s="47" t="s">
        <v>966</v>
      </c>
      <c r="D70" s="29" t="s">
        <v>967</v>
      </c>
      <c r="E70" s="48" t="str">
        <f>IFERROR(__xludf.DUMMYFUNCTION("GOOGLETRANSLATE(D70,""zh-CN"",""vi"")"),"Cửa hàng đang có chương trình giảm giá.")</f>
        <v>Cửa hàng đang có chương trình giảm giá.</v>
      </c>
      <c r="F70" s="49" t="s">
        <v>963</v>
      </c>
      <c r="G70" s="50" t="b">
        <f t="shared" si="1"/>
        <v>1</v>
      </c>
      <c r="H70" s="52" t="b">
        <v>1</v>
      </c>
      <c r="I70" s="52" t="b">
        <v>0</v>
      </c>
      <c r="J70" s="52" t="b">
        <v>0</v>
      </c>
      <c r="K70" s="52" t="b">
        <v>0</v>
      </c>
      <c r="L70" s="52" t="b">
        <v>0</v>
      </c>
      <c r="M70" s="52" t="b">
        <v>0</v>
      </c>
      <c r="N70" s="52" t="b">
        <v>0</v>
      </c>
      <c r="O70" s="52" t="b">
        <v>0</v>
      </c>
      <c r="P70" s="52" t="b">
        <v>0</v>
      </c>
      <c r="Q70" s="52" t="b">
        <v>0</v>
      </c>
      <c r="R70" s="44"/>
      <c r="S70" s="44"/>
      <c r="T70" s="44"/>
      <c r="U70" s="44"/>
      <c r="V70" s="44"/>
      <c r="W70" s="44"/>
      <c r="X70" s="45"/>
      <c r="Y70" s="45"/>
      <c r="Z70" s="45"/>
      <c r="AA70" s="45"/>
    </row>
    <row r="71" ht="33.75" customHeight="1">
      <c r="A71" s="46" t="s">
        <v>972</v>
      </c>
      <c r="B71" s="47" t="s">
        <v>974</v>
      </c>
      <c r="C71" s="47" t="s">
        <v>975</v>
      </c>
      <c r="D71" s="29" t="s">
        <v>976</v>
      </c>
      <c r="E71" s="48" t="str">
        <f>IFERROR(__xludf.DUMMYFUNCTION("GOOGLETRANSLATE(D71,""zh-CN"",""vi"")"),"Tôi không thích tiêm.")</f>
        <v>Tôi không thích tiêm.</v>
      </c>
      <c r="F71" s="49" t="s">
        <v>972</v>
      </c>
      <c r="G71" s="50" t="b">
        <f t="shared" si="1"/>
        <v>1</v>
      </c>
      <c r="H71" s="52" t="b">
        <v>1</v>
      </c>
      <c r="I71" s="52" t="b">
        <v>0</v>
      </c>
      <c r="J71" s="52" t="b">
        <v>0</v>
      </c>
      <c r="K71" s="52" t="b">
        <v>0</v>
      </c>
      <c r="L71" s="52" t="b">
        <v>0</v>
      </c>
      <c r="M71" s="52" t="b">
        <v>0</v>
      </c>
      <c r="N71" s="52" t="b">
        <v>0</v>
      </c>
      <c r="O71" s="52" t="b">
        <v>0</v>
      </c>
      <c r="P71" s="52" t="b">
        <v>0</v>
      </c>
      <c r="Q71" s="52" t="b">
        <v>0</v>
      </c>
      <c r="R71" s="44"/>
      <c r="S71" s="44"/>
      <c r="T71" s="44"/>
      <c r="U71" s="44"/>
      <c r="V71" s="44"/>
      <c r="W71" s="44"/>
      <c r="X71" s="45"/>
      <c r="Y71" s="45"/>
      <c r="Z71" s="45"/>
      <c r="AA71" s="45"/>
    </row>
    <row r="72" ht="33.75" customHeight="1">
      <c r="A72" s="46" t="s">
        <v>985</v>
      </c>
      <c r="B72" s="47" t="s">
        <v>986</v>
      </c>
      <c r="C72" s="47" t="s">
        <v>987</v>
      </c>
      <c r="D72" s="29" t="s">
        <v>988</v>
      </c>
      <c r="E72" s="48" t="str">
        <f>IFERROR(__xludf.DUMMYFUNCTION("GOOGLETRANSLATE(D72,""zh-CN"",""vi"")"),"Cậu bé khoảng mười tuổi.")</f>
        <v>Cậu bé khoảng mười tuổi.</v>
      </c>
      <c r="F72" s="49" t="s">
        <v>985</v>
      </c>
      <c r="G72" s="50" t="b">
        <f t="shared" si="1"/>
        <v>1</v>
      </c>
      <c r="H72" s="52" t="b">
        <v>1</v>
      </c>
      <c r="I72" s="52" t="b">
        <v>0</v>
      </c>
      <c r="J72" s="52" t="b">
        <v>0</v>
      </c>
      <c r="K72" s="52" t="b">
        <v>0</v>
      </c>
      <c r="L72" s="52" t="b">
        <v>0</v>
      </c>
      <c r="M72" s="52" t="b">
        <v>0</v>
      </c>
      <c r="N72" s="52" t="b">
        <v>0</v>
      </c>
      <c r="O72" s="52" t="b">
        <v>0</v>
      </c>
      <c r="P72" s="52" t="b">
        <v>0</v>
      </c>
      <c r="Q72" s="52" t="b">
        <v>0</v>
      </c>
      <c r="R72" s="44"/>
      <c r="S72" s="44"/>
      <c r="T72" s="44"/>
      <c r="U72" s="44"/>
      <c r="V72" s="44"/>
      <c r="W72" s="44"/>
      <c r="X72" s="45"/>
      <c r="Y72" s="45"/>
      <c r="Z72" s="45"/>
      <c r="AA72" s="45"/>
    </row>
    <row r="73" ht="33.75" customHeight="1">
      <c r="A73" s="46" t="s">
        <v>995</v>
      </c>
      <c r="B73" s="47" t="s">
        <v>996</v>
      </c>
      <c r="C73" s="47" t="s">
        <v>997</v>
      </c>
      <c r="D73" s="29" t="s">
        <v>999</v>
      </c>
      <c r="E73" s="48" t="str">
        <f>IFERROR(__xludf.DUMMYFUNCTION("GOOGLETRANSLATE(D73,""zh-CN"",""vi"")"),"Chúng tôi đã đến đại sứ quán.")</f>
        <v>Chúng tôi đã đến đại sứ quán.</v>
      </c>
      <c r="F73" s="49" t="s">
        <v>995</v>
      </c>
      <c r="G73" s="50" t="b">
        <f t="shared" si="1"/>
        <v>1</v>
      </c>
      <c r="H73" s="52" t="b">
        <v>1</v>
      </c>
      <c r="I73" s="52" t="b">
        <v>0</v>
      </c>
      <c r="J73" s="52" t="b">
        <v>0</v>
      </c>
      <c r="K73" s="52" t="b">
        <v>0</v>
      </c>
      <c r="L73" s="52" t="b">
        <v>0</v>
      </c>
      <c r="M73" s="52" t="b">
        <v>0</v>
      </c>
      <c r="N73" s="52" t="b">
        <v>0</v>
      </c>
      <c r="O73" s="52" t="b">
        <v>0</v>
      </c>
      <c r="P73" s="52" t="b">
        <v>0</v>
      </c>
      <c r="Q73" s="52" t="b">
        <v>0</v>
      </c>
      <c r="R73" s="44"/>
      <c r="S73" s="44"/>
      <c r="T73" s="44"/>
      <c r="U73" s="44"/>
      <c r="V73" s="44"/>
      <c r="W73" s="44"/>
      <c r="X73" s="45"/>
      <c r="Y73" s="45"/>
      <c r="Z73" s="45"/>
      <c r="AA73" s="45"/>
    </row>
    <row r="74" ht="33.75" customHeight="1">
      <c r="A74" s="46" t="s">
        <v>1001</v>
      </c>
      <c r="B74" s="47" t="s">
        <v>1002</v>
      </c>
      <c r="C74" s="47" t="s">
        <v>987</v>
      </c>
      <c r="D74" s="29" t="s">
        <v>1004</v>
      </c>
      <c r="E74" s="48" t="str">
        <f>IFERROR(__xludf.DUMMYFUNCTION("GOOGLETRANSLATE(D74,""zh-CN"",""vi"")"),"Họ đến vào khoảng tám giờ.")</f>
        <v>Họ đến vào khoảng tám giờ.</v>
      </c>
      <c r="F74" s="49" t="s">
        <v>1001</v>
      </c>
      <c r="G74" s="50" t="b">
        <f t="shared" si="1"/>
        <v>1</v>
      </c>
      <c r="H74" s="52" t="b">
        <v>1</v>
      </c>
      <c r="I74" s="52" t="b">
        <v>0</v>
      </c>
      <c r="J74" s="52" t="b">
        <v>0</v>
      </c>
      <c r="K74" s="52" t="b">
        <v>0</v>
      </c>
      <c r="L74" s="52" t="b">
        <v>0</v>
      </c>
      <c r="M74" s="52" t="b">
        <v>0</v>
      </c>
      <c r="N74" s="52" t="b">
        <v>0</v>
      </c>
      <c r="O74" s="52" t="b">
        <v>0</v>
      </c>
      <c r="P74" s="52" t="b">
        <v>0</v>
      </c>
      <c r="Q74" s="52" t="b">
        <v>0</v>
      </c>
      <c r="R74" s="44"/>
      <c r="S74" s="44"/>
      <c r="T74" s="44"/>
      <c r="U74" s="44"/>
      <c r="V74" s="44"/>
      <c r="W74" s="44"/>
      <c r="X74" s="45"/>
      <c r="Y74" s="45"/>
      <c r="Z74" s="45"/>
      <c r="AA74" s="45"/>
    </row>
    <row r="75" ht="33.75" customHeight="1">
      <c r="A75" s="46" t="s">
        <v>1012</v>
      </c>
      <c r="B75" s="47" t="s">
        <v>1013</v>
      </c>
      <c r="C75" s="47" t="s">
        <v>1015</v>
      </c>
      <c r="D75" s="29" t="s">
        <v>1017</v>
      </c>
      <c r="E75" s="48" t="str">
        <f>IFERROR(__xludf.DUMMYFUNCTION("GOOGLETRANSLATE(D75,""zh-CN"",""vi"")"),"Bác sĩ Zhang làm việc tại bệnh viện.")</f>
        <v>Bác sĩ Zhang làm việc tại bệnh viện.</v>
      </c>
      <c r="F75" s="49" t="s">
        <v>1012</v>
      </c>
      <c r="G75" s="50" t="b">
        <f t="shared" si="1"/>
        <v>1</v>
      </c>
      <c r="H75" s="52" t="b">
        <v>1</v>
      </c>
      <c r="I75" s="52" t="b">
        <v>0</v>
      </c>
      <c r="J75" s="52" t="b">
        <v>0</v>
      </c>
      <c r="K75" s="52" t="b">
        <v>0</v>
      </c>
      <c r="L75" s="52" t="b">
        <v>0</v>
      </c>
      <c r="M75" s="52" t="b">
        <v>0</v>
      </c>
      <c r="N75" s="52" t="b">
        <v>0</v>
      </c>
      <c r="O75" s="52" t="b">
        <v>0</v>
      </c>
      <c r="P75" s="52" t="b">
        <v>0</v>
      </c>
      <c r="Q75" s="52" t="b">
        <v>0</v>
      </c>
      <c r="R75" s="44"/>
      <c r="S75" s="44"/>
      <c r="T75" s="44"/>
      <c r="U75" s="44"/>
      <c r="V75" s="44"/>
      <c r="W75" s="44"/>
      <c r="X75" s="45"/>
      <c r="Y75" s="45"/>
      <c r="Z75" s="45"/>
      <c r="AA75" s="45"/>
    </row>
    <row r="76" ht="33.75" customHeight="1">
      <c r="A76" s="46" t="s">
        <v>1025</v>
      </c>
      <c r="B76" s="47" t="s">
        <v>123</v>
      </c>
      <c r="C76" s="47" t="s">
        <v>1027</v>
      </c>
      <c r="D76" s="29" t="s">
        <v>1028</v>
      </c>
      <c r="E76" s="48" t="str">
        <f>IFERROR(__xludf.DUMMYFUNCTION("GOOGLETRANSLATE(D76,""zh-CN"",""vi"")"),"Cô ấy đội mũ.")</f>
        <v>Cô ấy đội mũ.</v>
      </c>
      <c r="F76" s="49" t="s">
        <v>1025</v>
      </c>
      <c r="G76" s="50" t="b">
        <f t="shared" si="1"/>
        <v>1</v>
      </c>
      <c r="H76" s="52" t="b">
        <v>1</v>
      </c>
      <c r="I76" s="52" t="b">
        <v>0</v>
      </c>
      <c r="J76" s="52" t="b">
        <v>0</v>
      </c>
      <c r="K76" s="52" t="b">
        <v>0</v>
      </c>
      <c r="L76" s="52" t="b">
        <v>0</v>
      </c>
      <c r="M76" s="52" t="b">
        <v>0</v>
      </c>
      <c r="N76" s="52" t="b">
        <v>0</v>
      </c>
      <c r="O76" s="52" t="b">
        <v>0</v>
      </c>
      <c r="P76" s="52" t="b">
        <v>0</v>
      </c>
      <c r="Q76" s="52" t="b">
        <v>0</v>
      </c>
      <c r="R76" s="44"/>
      <c r="S76" s="44"/>
      <c r="T76" s="44"/>
      <c r="U76" s="44"/>
      <c r="V76" s="44"/>
      <c r="W76" s="44"/>
      <c r="X76" s="45"/>
      <c r="Y76" s="45"/>
      <c r="Z76" s="45"/>
      <c r="AA76" s="45"/>
    </row>
    <row r="77" ht="33.75" customHeight="1">
      <c r="A77" s="46" t="s">
        <v>1032</v>
      </c>
      <c r="B77" s="47" t="s">
        <v>1033</v>
      </c>
      <c r="C77" s="47" t="s">
        <v>1035</v>
      </c>
      <c r="D77" s="29" t="s">
        <v>1037</v>
      </c>
      <c r="E77" s="48" t="str">
        <f>IFERROR(__xludf.DUMMYFUNCTION("GOOGLETRANSLATE(D77,""zh-CN"",""vi"")"),"Tôi đã trở thành một giáo viên.")</f>
        <v>Tôi đã trở thành một giáo viên.</v>
      </c>
      <c r="F77" s="49" t="s">
        <v>1032</v>
      </c>
      <c r="G77" s="50" t="b">
        <f t="shared" si="1"/>
        <v>1</v>
      </c>
      <c r="H77" s="52" t="b">
        <v>1</v>
      </c>
      <c r="I77" s="52" t="b">
        <v>0</v>
      </c>
      <c r="J77" s="52" t="b">
        <v>0</v>
      </c>
      <c r="K77" s="52" t="b">
        <v>0</v>
      </c>
      <c r="L77" s="52" t="b">
        <v>0</v>
      </c>
      <c r="M77" s="52" t="b">
        <v>0</v>
      </c>
      <c r="N77" s="52" t="b">
        <v>0</v>
      </c>
      <c r="O77" s="52" t="b">
        <v>0</v>
      </c>
      <c r="P77" s="52" t="b">
        <v>0</v>
      </c>
      <c r="Q77" s="52" t="b">
        <v>0</v>
      </c>
      <c r="R77" s="44"/>
      <c r="S77" s="44"/>
      <c r="T77" s="44"/>
      <c r="U77" s="44"/>
      <c r="V77" s="44"/>
      <c r="W77" s="44"/>
      <c r="X77" s="45"/>
      <c r="Y77" s="45"/>
      <c r="Z77" s="45"/>
      <c r="AA77" s="45"/>
    </row>
    <row r="78" ht="33.75" customHeight="1">
      <c r="A78" s="46" t="s">
        <v>1047</v>
      </c>
      <c r="B78" s="47" t="s">
        <v>1048</v>
      </c>
      <c r="C78" s="47" t="s">
        <v>1049</v>
      </c>
      <c r="D78" s="29" t="s">
        <v>1050</v>
      </c>
      <c r="E78" s="48" t="str">
        <f>IFERROR(__xludf.DUMMYFUNCTION("GOOGLETRANSLATE(D78,""zh-CN"",""vi"")"),"Lúc đó tôi đang ở trường.")</f>
        <v>Lúc đó tôi đang ở trường.</v>
      </c>
      <c r="F78" s="49" t="s">
        <v>1047</v>
      </c>
      <c r="G78" s="50" t="b">
        <f t="shared" si="1"/>
        <v>1</v>
      </c>
      <c r="H78" s="52" t="b">
        <v>1</v>
      </c>
      <c r="I78" s="52" t="b">
        <v>0</v>
      </c>
      <c r="J78" s="52" t="b">
        <v>0</v>
      </c>
      <c r="K78" s="52" t="b">
        <v>0</v>
      </c>
      <c r="L78" s="52" t="b">
        <v>0</v>
      </c>
      <c r="M78" s="52" t="b">
        <v>0</v>
      </c>
      <c r="N78" s="52" t="b">
        <v>0</v>
      </c>
      <c r="O78" s="52" t="b">
        <v>0</v>
      </c>
      <c r="P78" s="52" t="b">
        <v>0</v>
      </c>
      <c r="Q78" s="52" t="b">
        <v>0</v>
      </c>
      <c r="R78" s="44"/>
      <c r="S78" s="44"/>
      <c r="T78" s="44"/>
      <c r="U78" s="44"/>
      <c r="V78" s="44"/>
      <c r="W78" s="44"/>
      <c r="X78" s="45"/>
      <c r="Y78" s="45"/>
      <c r="Z78" s="45"/>
      <c r="AA78" s="45"/>
    </row>
    <row r="79" ht="33.75" customHeight="1">
      <c r="A79" s="46" t="s">
        <v>1058</v>
      </c>
      <c r="B79" s="47" t="s">
        <v>1060</v>
      </c>
      <c r="C79" s="47" t="s">
        <v>1061</v>
      </c>
      <c r="D79" s="29" t="s">
        <v>1062</v>
      </c>
      <c r="E79" s="48" t="str">
        <f>IFERROR(__xludf.DUMMYFUNCTION("GOOGLETRANSLATE(D79,""zh-CN"",""vi"")"),"Hãy cẩn thận với con dao đó.")</f>
        <v>Hãy cẩn thận với con dao đó.</v>
      </c>
      <c r="F79" s="49" t="s">
        <v>1058</v>
      </c>
      <c r="G79" s="50" t="b">
        <f t="shared" si="1"/>
        <v>1</v>
      </c>
      <c r="H79" s="52" t="b">
        <v>1</v>
      </c>
      <c r="I79" s="52" t="b">
        <v>0</v>
      </c>
      <c r="J79" s="52" t="b">
        <v>0</v>
      </c>
      <c r="K79" s="52" t="b">
        <v>0</v>
      </c>
      <c r="L79" s="52" t="b">
        <v>0</v>
      </c>
      <c r="M79" s="52" t="b">
        <v>0</v>
      </c>
      <c r="N79" s="52" t="b">
        <v>0</v>
      </c>
      <c r="O79" s="52" t="b">
        <v>0</v>
      </c>
      <c r="P79" s="52" t="b">
        <v>0</v>
      </c>
      <c r="Q79" s="52" t="b">
        <v>0</v>
      </c>
      <c r="R79" s="44"/>
      <c r="S79" s="44"/>
      <c r="T79" s="44"/>
      <c r="U79" s="44"/>
      <c r="V79" s="44"/>
      <c r="W79" s="44"/>
      <c r="X79" s="45"/>
      <c r="Y79" s="45"/>
      <c r="Z79" s="45"/>
      <c r="AA79" s="45"/>
    </row>
    <row r="80" ht="33.75" customHeight="1">
      <c r="A80" s="46" t="s">
        <v>1067</v>
      </c>
      <c r="B80" s="47" t="s">
        <v>1068</v>
      </c>
      <c r="C80" s="47" t="s">
        <v>1069</v>
      </c>
      <c r="D80" s="29" t="s">
        <v>1070</v>
      </c>
      <c r="E80" s="48" t="str">
        <f>IFERROR(__xludf.DUMMYFUNCTION("GOOGLETRANSLATE(D80,""zh-CN"",""vi"")"),"Hướng dẫn viên du lịch đã dẫn chúng tôi đi tham quan thành phố.")</f>
        <v>Hướng dẫn viên du lịch đã dẫn chúng tôi đi tham quan thành phố.</v>
      </c>
      <c r="F80" s="49" t="s">
        <v>1067</v>
      </c>
      <c r="G80" s="50" t="b">
        <f t="shared" si="1"/>
        <v>1</v>
      </c>
      <c r="H80" s="52" t="b">
        <v>1</v>
      </c>
      <c r="I80" s="52" t="b">
        <v>0</v>
      </c>
      <c r="J80" s="52" t="b">
        <v>0</v>
      </c>
      <c r="K80" s="52" t="b">
        <v>0</v>
      </c>
      <c r="L80" s="52" t="b">
        <v>0</v>
      </c>
      <c r="M80" s="52" t="b">
        <v>0</v>
      </c>
      <c r="N80" s="52" t="b">
        <v>0</v>
      </c>
      <c r="O80" s="52" t="b">
        <v>0</v>
      </c>
      <c r="P80" s="52" t="b">
        <v>0</v>
      </c>
      <c r="Q80" s="52" t="b">
        <v>0</v>
      </c>
      <c r="R80" s="44"/>
      <c r="S80" s="44"/>
      <c r="T80" s="44"/>
      <c r="U80" s="44"/>
      <c r="V80" s="44"/>
      <c r="W80" s="44"/>
      <c r="X80" s="45"/>
      <c r="Y80" s="45"/>
      <c r="Z80" s="45"/>
      <c r="AA80" s="45"/>
    </row>
    <row r="81" ht="33.75" customHeight="1">
      <c r="A81" s="46" t="s">
        <v>1081</v>
      </c>
      <c r="B81" s="47" t="s">
        <v>1082</v>
      </c>
      <c r="C81" s="47" t="s">
        <v>1083</v>
      </c>
      <c r="D81" s="29" t="s">
        <v>1085</v>
      </c>
      <c r="E81" s="48" t="str">
        <f>IFERROR(__xludf.DUMMYFUNCTION("GOOGLETRANSLATE(D81,""zh-CN"",""vi"")"),"Chúng tôi đã tìm bạn khắp mọi nơi.")</f>
        <v>Chúng tôi đã tìm bạn khắp mọi nơi.</v>
      </c>
      <c r="F81" s="49" t="s">
        <v>1081</v>
      </c>
      <c r="G81" s="50" t="b">
        <f t="shared" si="1"/>
        <v>1</v>
      </c>
      <c r="H81" s="52" t="b">
        <v>1</v>
      </c>
      <c r="I81" s="52" t="b">
        <v>0</v>
      </c>
      <c r="J81" s="52" t="b">
        <v>0</v>
      </c>
      <c r="K81" s="52" t="b">
        <v>0</v>
      </c>
      <c r="L81" s="52" t="b">
        <v>0</v>
      </c>
      <c r="M81" s="52" t="b">
        <v>0</v>
      </c>
      <c r="N81" s="52" t="b">
        <v>0</v>
      </c>
      <c r="O81" s="52" t="b">
        <v>0</v>
      </c>
      <c r="P81" s="52" t="b">
        <v>0</v>
      </c>
      <c r="Q81" s="52" t="b">
        <v>0</v>
      </c>
      <c r="R81" s="44"/>
      <c r="S81" s="44"/>
      <c r="T81" s="44"/>
      <c r="U81" s="44"/>
      <c r="V81" s="44"/>
      <c r="W81" s="44"/>
      <c r="X81" s="45"/>
      <c r="Y81" s="45"/>
      <c r="Z81" s="45"/>
      <c r="AA81" s="45"/>
    </row>
    <row r="82" ht="33.75" customHeight="1">
      <c r="A82" s="46" t="s">
        <v>1090</v>
      </c>
      <c r="B82" s="47" t="s">
        <v>1091</v>
      </c>
      <c r="C82" s="47" t="s">
        <v>1092</v>
      </c>
      <c r="D82" s="29" t="s">
        <v>1095</v>
      </c>
      <c r="E82" s="48" t="str">
        <f>IFERROR(__xludf.DUMMYFUNCTION("GOOGLETRANSLATE(D82,""zh-CN"",""vi"")"),"Bạn đang làm gì vậy?")</f>
        <v>Bạn đang làm gì vậy?</v>
      </c>
      <c r="F82" s="49" t="s">
        <v>1090</v>
      </c>
      <c r="G82" s="50" t="b">
        <f t="shared" si="1"/>
        <v>1</v>
      </c>
      <c r="H82" s="52" t="b">
        <v>1</v>
      </c>
      <c r="I82" s="52" t="b">
        <v>0</v>
      </c>
      <c r="J82" s="52" t="b">
        <v>0</v>
      </c>
      <c r="K82" s="52" t="b">
        <v>0</v>
      </c>
      <c r="L82" s="52" t="b">
        <v>0</v>
      </c>
      <c r="M82" s="52" t="b">
        <v>0</v>
      </c>
      <c r="N82" s="52" t="b">
        <v>0</v>
      </c>
      <c r="O82" s="52" t="b">
        <v>0</v>
      </c>
      <c r="P82" s="52" t="b">
        <v>0</v>
      </c>
      <c r="Q82" s="52" t="b">
        <v>0</v>
      </c>
      <c r="R82" s="44"/>
      <c r="S82" s="44"/>
      <c r="T82" s="44"/>
      <c r="U82" s="44"/>
      <c r="V82" s="44"/>
      <c r="W82" s="44"/>
      <c r="X82" s="45"/>
      <c r="Y82" s="45"/>
      <c r="Z82" s="45"/>
      <c r="AA82" s="45"/>
    </row>
    <row r="83" ht="33.75" customHeight="1">
      <c r="A83" s="46" t="s">
        <v>1102</v>
      </c>
      <c r="B83" s="47" t="s">
        <v>1103</v>
      </c>
      <c r="C83" s="47" t="s">
        <v>1105</v>
      </c>
      <c r="D83" s="29" t="s">
        <v>1106</v>
      </c>
      <c r="E83" s="48" t="str">
        <f>IFERROR(__xludf.DUMMYFUNCTION("GOOGLETRANSLATE(D83,""zh-CN"",""vi"")"),"Anh ta rót trà ra bàn.")</f>
        <v>Anh ta rót trà ra bàn.</v>
      </c>
      <c r="F83" s="49" t="s">
        <v>1102</v>
      </c>
      <c r="G83" s="50" t="b">
        <f t="shared" si="1"/>
        <v>1</v>
      </c>
      <c r="H83" s="52" t="b">
        <v>1</v>
      </c>
      <c r="I83" s="52" t="b">
        <v>0</v>
      </c>
      <c r="J83" s="52" t="b">
        <v>0</v>
      </c>
      <c r="K83" s="52" t="b">
        <v>0</v>
      </c>
      <c r="L83" s="52" t="b">
        <v>0</v>
      </c>
      <c r="M83" s="52" t="b">
        <v>0</v>
      </c>
      <c r="N83" s="52" t="b">
        <v>0</v>
      </c>
      <c r="O83" s="52" t="b">
        <v>0</v>
      </c>
      <c r="P83" s="52" t="b">
        <v>0</v>
      </c>
      <c r="Q83" s="52" t="b">
        <v>0</v>
      </c>
      <c r="R83" s="44"/>
      <c r="S83" s="44"/>
      <c r="T83" s="44"/>
      <c r="U83" s="44"/>
      <c r="V83" s="44"/>
      <c r="W83" s="44"/>
      <c r="X83" s="45"/>
      <c r="Y83" s="45"/>
      <c r="Z83" s="45"/>
      <c r="AA83" s="45"/>
    </row>
    <row r="84" ht="33.75" customHeight="1">
      <c r="A84" s="46" t="s">
        <v>1114</v>
      </c>
      <c r="B84" s="47" t="s">
        <v>1116</v>
      </c>
      <c r="C84" s="47" t="s">
        <v>231</v>
      </c>
      <c r="D84" s="29" t="s">
        <v>1119</v>
      </c>
      <c r="E84" s="48" t="str">
        <f>IFERROR(__xludf.DUMMYFUNCTION("GOOGLETRANSLATE(D84,""zh-CN"",""vi"")"),"Tôi xin lỗi bạn.")</f>
        <v>Tôi xin lỗi bạn.</v>
      </c>
      <c r="F84" s="49" t="s">
        <v>1114</v>
      </c>
      <c r="G84" s="50" t="b">
        <f t="shared" si="1"/>
        <v>1</v>
      </c>
      <c r="H84" s="52" t="b">
        <v>1</v>
      </c>
      <c r="I84" s="52" t="b">
        <v>0</v>
      </c>
      <c r="J84" s="52" t="b">
        <v>0</v>
      </c>
      <c r="K84" s="52" t="b">
        <v>0</v>
      </c>
      <c r="L84" s="52" t="b">
        <v>0</v>
      </c>
      <c r="M84" s="52" t="b">
        <v>0</v>
      </c>
      <c r="N84" s="52" t="b">
        <v>0</v>
      </c>
      <c r="O84" s="52" t="b">
        <v>0</v>
      </c>
      <c r="P84" s="52" t="b">
        <v>0</v>
      </c>
      <c r="Q84" s="52" t="b">
        <v>0</v>
      </c>
      <c r="R84" s="44"/>
      <c r="S84" s="44"/>
      <c r="T84" s="44"/>
      <c r="U84" s="44"/>
      <c r="V84" s="44"/>
      <c r="W84" s="44"/>
      <c r="X84" s="45"/>
      <c r="Y84" s="45"/>
      <c r="Z84" s="45"/>
      <c r="AA84" s="45"/>
    </row>
    <row r="85" ht="33.75" customHeight="1">
      <c r="A85" s="46" t="s">
        <v>1125</v>
      </c>
      <c r="B85" s="47" t="s">
        <v>1126</v>
      </c>
      <c r="C85" s="47" t="s">
        <v>1127</v>
      </c>
      <c r="D85" s="29" t="s">
        <v>1128</v>
      </c>
      <c r="E85" s="48" t="str">
        <f>IFERROR(__xludf.DUMMYFUNCTION("GOOGLETRANSLATE(D85,""zh-CN"",""vi"")"),"Ông ấy rất tự hào về những thành tích của mình.")</f>
        <v>Ông ấy rất tự hào về những thành tích của mình.</v>
      </c>
      <c r="F85" s="49" t="s">
        <v>1125</v>
      </c>
      <c r="G85" s="50" t="b">
        <f t="shared" si="1"/>
        <v>1</v>
      </c>
      <c r="H85" s="52" t="b">
        <v>1</v>
      </c>
      <c r="I85" s="52" t="b">
        <v>0</v>
      </c>
      <c r="J85" s="52" t="b">
        <v>0</v>
      </c>
      <c r="K85" s="52" t="b">
        <v>0</v>
      </c>
      <c r="L85" s="52" t="b">
        <v>0</v>
      </c>
      <c r="M85" s="52" t="b">
        <v>0</v>
      </c>
      <c r="N85" s="52" t="b">
        <v>0</v>
      </c>
      <c r="O85" s="52" t="b">
        <v>0</v>
      </c>
      <c r="P85" s="52" t="b">
        <v>0</v>
      </c>
      <c r="Q85" s="52" t="b">
        <v>0</v>
      </c>
      <c r="R85" s="44"/>
      <c r="S85" s="44"/>
      <c r="T85" s="44"/>
      <c r="U85" s="44"/>
      <c r="V85" s="44"/>
      <c r="W85" s="44"/>
      <c r="X85" s="45"/>
      <c r="Y85" s="45"/>
      <c r="Z85" s="45"/>
      <c r="AA85" s="45"/>
    </row>
    <row r="86" ht="33.75" customHeight="1">
      <c r="A86" s="46" t="s">
        <v>1137</v>
      </c>
      <c r="B86" s="47" t="s">
        <v>1138</v>
      </c>
      <c r="C86" s="47" t="s">
        <v>1139</v>
      </c>
      <c r="D86" s="29" t="s">
        <v>1140</v>
      </c>
      <c r="E86" s="48" t="str">
        <f>IFERROR(__xludf.DUMMYFUNCTION("GOOGLETRANSLATE(D86,""zh-CN"",""vi"")"),"Cô ấy học tiếng Trung rất giỏi.")</f>
        <v>Cô ấy học tiếng Trung rất giỏi.</v>
      </c>
      <c r="F86" s="49" t="s">
        <v>358</v>
      </c>
      <c r="G86" s="50" t="b">
        <f t="shared" si="1"/>
        <v>0</v>
      </c>
      <c r="H86" s="52" t="b">
        <v>1</v>
      </c>
      <c r="I86" s="52" t="b">
        <v>0</v>
      </c>
      <c r="J86" s="52" t="b">
        <v>0</v>
      </c>
      <c r="K86" s="52" t="b">
        <v>0</v>
      </c>
      <c r="L86" s="52" t="b">
        <v>0</v>
      </c>
      <c r="M86" s="52" t="b">
        <v>0</v>
      </c>
      <c r="N86" s="52" t="b">
        <v>0</v>
      </c>
      <c r="O86" s="52" t="b">
        <v>0</v>
      </c>
      <c r="P86" s="52" t="b">
        <v>0</v>
      </c>
      <c r="Q86" s="52" t="b">
        <v>0</v>
      </c>
      <c r="R86" s="44"/>
      <c r="S86" s="44"/>
      <c r="T86" s="44"/>
      <c r="U86" s="44"/>
      <c r="V86" s="44"/>
      <c r="W86" s="44"/>
      <c r="X86" s="45"/>
      <c r="Y86" s="45"/>
      <c r="Z86" s="45"/>
      <c r="AA86" s="45"/>
    </row>
    <row r="87" ht="33.75" customHeight="1">
      <c r="A87" s="46" t="s">
        <v>1145</v>
      </c>
      <c r="B87" s="47" t="s">
        <v>1146</v>
      </c>
      <c r="C87" s="47" t="s">
        <v>1147</v>
      </c>
      <c r="D87" s="29" t="s">
        <v>1148</v>
      </c>
      <c r="E87" s="48" t="str">
        <f>IFERROR(__xludf.DUMMYFUNCTION("GOOGLETRANSLATE(D87,""zh-CN"",""vi"")"),"Hãy giữ gìn thẻ lên máy bay của bạn cẩn thận.")</f>
        <v>Hãy giữ gìn thẻ lên máy bay của bạn cẩn thận.</v>
      </c>
      <c r="F87" s="49" t="s">
        <v>1145</v>
      </c>
      <c r="G87" s="50" t="b">
        <f t="shared" si="1"/>
        <v>1</v>
      </c>
      <c r="H87" s="52" t="b">
        <v>1</v>
      </c>
      <c r="I87" s="52" t="b">
        <v>0</v>
      </c>
      <c r="J87" s="52" t="b">
        <v>0</v>
      </c>
      <c r="K87" s="52" t="b">
        <v>0</v>
      </c>
      <c r="L87" s="52" t="b">
        <v>0</v>
      </c>
      <c r="M87" s="52" t="b">
        <v>0</v>
      </c>
      <c r="N87" s="52" t="b">
        <v>0</v>
      </c>
      <c r="O87" s="52" t="b">
        <v>0</v>
      </c>
      <c r="P87" s="52" t="b">
        <v>0</v>
      </c>
      <c r="Q87" s="52" t="b">
        <v>0</v>
      </c>
      <c r="R87" s="44"/>
      <c r="S87" s="44"/>
      <c r="T87" s="44"/>
      <c r="U87" s="44"/>
      <c r="V87" s="44"/>
      <c r="W87" s="44"/>
      <c r="X87" s="45"/>
      <c r="Y87" s="45"/>
      <c r="Z87" s="45"/>
      <c r="AA87" s="45"/>
    </row>
    <row r="88" ht="33.75" customHeight="1">
      <c r="A88" s="46" t="s">
        <v>1159</v>
      </c>
      <c r="B88" s="47" t="s">
        <v>1160</v>
      </c>
      <c r="C88" s="47" t="s">
        <v>1161</v>
      </c>
      <c r="D88" s="29" t="s">
        <v>1162</v>
      </c>
      <c r="E88" s="48" t="str">
        <f>IFERROR(__xludf.DUMMYFUNCTION("GOOGLETRANSLATE(D88,""zh-CN"",""vi"")"),"Tôi thích nghe nhạc, xem phim, vân vân.")</f>
        <v>Tôi thích nghe nhạc, xem phim, vân vân.</v>
      </c>
      <c r="F88" s="49" t="s">
        <v>1163</v>
      </c>
      <c r="G88" s="50" t="b">
        <f t="shared" si="1"/>
        <v>0</v>
      </c>
      <c r="H88" s="52" t="b">
        <v>1</v>
      </c>
      <c r="I88" s="52" t="b">
        <v>0</v>
      </c>
      <c r="J88" s="52" t="b">
        <v>0</v>
      </c>
      <c r="K88" s="52" t="b">
        <v>0</v>
      </c>
      <c r="L88" s="52" t="b">
        <v>0</v>
      </c>
      <c r="M88" s="52" t="b">
        <v>0</v>
      </c>
      <c r="N88" s="52" t="b">
        <v>0</v>
      </c>
      <c r="O88" s="52" t="b">
        <v>0</v>
      </c>
      <c r="P88" s="52" t="b">
        <v>0</v>
      </c>
      <c r="Q88" s="52" t="b">
        <v>0</v>
      </c>
      <c r="R88" s="44"/>
      <c r="S88" s="44"/>
      <c r="T88" s="44"/>
      <c r="U88" s="44"/>
      <c r="V88" s="44"/>
      <c r="W88" s="44"/>
      <c r="X88" s="45"/>
      <c r="Y88" s="45"/>
      <c r="Z88" s="45"/>
      <c r="AA88" s="45"/>
    </row>
    <row r="89" ht="33.75" customHeight="1">
      <c r="A89" s="46" t="s">
        <v>739</v>
      </c>
      <c r="B89" s="47" t="s">
        <v>741</v>
      </c>
      <c r="C89" s="47" t="s">
        <v>743</v>
      </c>
      <c r="D89" s="29" t="s">
        <v>1172</v>
      </c>
      <c r="E89" s="48" t="str">
        <f>IFERROR(__xludf.DUMMYFUNCTION("GOOGLETRANSLATE(D89,""zh-CN"",""vi"")"),"Sau trận mưa lớn, các khu vực trũng thấp bị ngập nước.")</f>
        <v>Sau trận mưa lớn, các khu vực trũng thấp bị ngập nước.</v>
      </c>
      <c r="F89" s="49" t="s">
        <v>739</v>
      </c>
      <c r="G89" s="50" t="b">
        <f t="shared" si="1"/>
        <v>1</v>
      </c>
      <c r="H89" s="52" t="b">
        <v>1</v>
      </c>
      <c r="I89" s="52" t="b">
        <v>0</v>
      </c>
      <c r="J89" s="52" t="b">
        <v>0</v>
      </c>
      <c r="K89" s="52" t="b">
        <v>0</v>
      </c>
      <c r="L89" s="52" t="b">
        <v>0</v>
      </c>
      <c r="M89" s="52" t="b">
        <v>0</v>
      </c>
      <c r="N89" s="52" t="b">
        <v>0</v>
      </c>
      <c r="O89" s="52" t="b">
        <v>0</v>
      </c>
      <c r="P89" s="52" t="b">
        <v>0</v>
      </c>
      <c r="Q89" s="52" t="b">
        <v>0</v>
      </c>
      <c r="R89" s="44"/>
      <c r="S89" s="44"/>
      <c r="T89" s="44"/>
      <c r="U89" s="44"/>
      <c r="V89" s="44"/>
      <c r="W89" s="44"/>
      <c r="X89" s="45"/>
      <c r="Y89" s="45"/>
      <c r="Z89" s="45"/>
      <c r="AA89" s="45"/>
    </row>
    <row r="90" ht="33.75" customHeight="1">
      <c r="A90" s="46" t="s">
        <v>1176</v>
      </c>
      <c r="B90" s="47" t="s">
        <v>1177</v>
      </c>
      <c r="C90" s="47" t="s">
        <v>1178</v>
      </c>
      <c r="D90" s="29" t="s">
        <v>1180</v>
      </c>
      <c r="E90" s="48" t="str">
        <f>IFERROR(__xludf.DUMMYFUNCTION("GOOGLETRANSLATE(D90,""zh-CN"",""vi"")"),"Khi năm sắp kết thúc, ai cũng trở nên bận rộn.")</f>
        <v>Khi năm sắp kết thúc, ai cũng trở nên bận rộn.</v>
      </c>
      <c r="F90" s="49" t="s">
        <v>1176</v>
      </c>
      <c r="G90" s="50" t="b">
        <f t="shared" si="1"/>
        <v>1</v>
      </c>
      <c r="H90" s="52" t="b">
        <v>1</v>
      </c>
      <c r="I90" s="52" t="b">
        <v>0</v>
      </c>
      <c r="J90" s="52" t="b">
        <v>0</v>
      </c>
      <c r="K90" s="52" t="b">
        <v>0</v>
      </c>
      <c r="L90" s="52" t="b">
        <v>0</v>
      </c>
      <c r="M90" s="52" t="b">
        <v>0</v>
      </c>
      <c r="N90" s="52" t="b">
        <v>0</v>
      </c>
      <c r="O90" s="52" t="b">
        <v>0</v>
      </c>
      <c r="P90" s="52" t="b">
        <v>0</v>
      </c>
      <c r="Q90" s="52" t="b">
        <v>0</v>
      </c>
      <c r="R90" s="44"/>
      <c r="S90" s="44"/>
      <c r="T90" s="44"/>
      <c r="U90" s="44"/>
      <c r="V90" s="44"/>
      <c r="W90" s="44"/>
      <c r="X90" s="45"/>
      <c r="Y90" s="45"/>
      <c r="Z90" s="45"/>
      <c r="AA90" s="45"/>
    </row>
    <row r="91" ht="33.75" customHeight="1">
      <c r="A91" s="46" t="s">
        <v>1191</v>
      </c>
      <c r="B91" s="47" t="s">
        <v>1192</v>
      </c>
      <c r="C91" s="47" t="s">
        <v>1194</v>
      </c>
      <c r="D91" s="29" t="s">
        <v>1195</v>
      </c>
      <c r="E91" s="48" t="str">
        <f>IFERROR(__xludf.DUMMYFUNCTION("GOOGLETRANSLATE(D91,""zh-CN"",""vi"")"),"Cuộc họp đang được tổ chức tại đây.")</f>
        <v>Cuộc họp đang được tổ chức tại đây.</v>
      </c>
      <c r="F91" s="49" t="s">
        <v>1191</v>
      </c>
      <c r="G91" s="50" t="b">
        <f t="shared" si="1"/>
        <v>1</v>
      </c>
      <c r="H91" s="52" t="b">
        <v>1</v>
      </c>
      <c r="I91" s="52" t="b">
        <v>0</v>
      </c>
      <c r="J91" s="52" t="b">
        <v>0</v>
      </c>
      <c r="K91" s="52" t="b">
        <v>0</v>
      </c>
      <c r="L91" s="52" t="b">
        <v>0</v>
      </c>
      <c r="M91" s="52" t="b">
        <v>0</v>
      </c>
      <c r="N91" s="52" t="b">
        <v>0</v>
      </c>
      <c r="O91" s="52" t="b">
        <v>0</v>
      </c>
      <c r="P91" s="52" t="b">
        <v>0</v>
      </c>
      <c r="Q91" s="52" t="b">
        <v>0</v>
      </c>
      <c r="R91" s="44"/>
      <c r="S91" s="44"/>
      <c r="T91" s="44"/>
      <c r="U91" s="44"/>
      <c r="V91" s="44"/>
      <c r="W91" s="44"/>
      <c r="X91" s="45"/>
      <c r="Y91" s="45"/>
      <c r="Z91" s="45"/>
      <c r="AA91" s="45"/>
    </row>
    <row r="92" ht="33.75" customHeight="1">
      <c r="A92" s="46" t="s">
        <v>1204</v>
      </c>
      <c r="B92" s="47" t="s">
        <v>1205</v>
      </c>
      <c r="C92" s="47" t="s">
        <v>1206</v>
      </c>
      <c r="D92" s="29" t="s">
        <v>1207</v>
      </c>
      <c r="E92" s="48" t="str">
        <f>IFERROR(__xludf.DUMMYFUNCTION("GOOGLETRANSLATE(D92,""zh-CN"",""vi"")"),"Trái đất hình tròn.")</f>
        <v>Trái đất hình tròn.</v>
      </c>
      <c r="F92" s="49" t="s">
        <v>1204</v>
      </c>
      <c r="G92" s="50" t="b">
        <f t="shared" si="1"/>
        <v>1</v>
      </c>
      <c r="H92" s="52" t="b">
        <v>1</v>
      </c>
      <c r="I92" s="52" t="b">
        <v>0</v>
      </c>
      <c r="J92" s="52" t="b">
        <v>0</v>
      </c>
      <c r="K92" s="52" t="b">
        <v>0</v>
      </c>
      <c r="L92" s="52" t="b">
        <v>0</v>
      </c>
      <c r="M92" s="52" t="b">
        <v>0</v>
      </c>
      <c r="N92" s="52" t="b">
        <v>0</v>
      </c>
      <c r="O92" s="52" t="b">
        <v>0</v>
      </c>
      <c r="P92" s="52" t="b">
        <v>0</v>
      </c>
      <c r="Q92" s="52" t="b">
        <v>0</v>
      </c>
      <c r="R92" s="44"/>
      <c r="S92" s="44"/>
      <c r="T92" s="44"/>
      <c r="U92" s="44"/>
      <c r="V92" s="44"/>
      <c r="W92" s="44"/>
      <c r="X92" s="45"/>
      <c r="Y92" s="45"/>
      <c r="Z92" s="45"/>
      <c r="AA92" s="45"/>
    </row>
    <row r="93" ht="33.75" customHeight="1">
      <c r="A93" s="46" t="s">
        <v>1217</v>
      </c>
      <c r="B93" s="47" t="s">
        <v>1219</v>
      </c>
      <c r="C93" s="47" t="s">
        <v>1220</v>
      </c>
      <c r="D93" s="29" t="s">
        <v>1222</v>
      </c>
      <c r="E93" s="48" t="str">
        <f>IFERROR(__xludf.DUMMYFUNCTION("GOOGLETRANSLATE(D93,""zh-CN"",""vi"")"),"Vui lòng cho tôi biết địa chỉ của bạn.")</f>
        <v>Vui lòng cho tôi biết địa chỉ của bạn.</v>
      </c>
      <c r="F93" s="49" t="s">
        <v>1217</v>
      </c>
      <c r="G93" s="50" t="b">
        <f t="shared" si="1"/>
        <v>1</v>
      </c>
      <c r="H93" s="52" t="b">
        <v>1</v>
      </c>
      <c r="I93" s="52" t="b">
        <v>0</v>
      </c>
      <c r="J93" s="52" t="b">
        <v>0</v>
      </c>
      <c r="K93" s="52" t="b">
        <v>0</v>
      </c>
      <c r="L93" s="52" t="b">
        <v>0</v>
      </c>
      <c r="M93" s="52" t="b">
        <v>0</v>
      </c>
      <c r="N93" s="52" t="b">
        <v>0</v>
      </c>
      <c r="O93" s="52" t="b">
        <v>0</v>
      </c>
      <c r="P93" s="52" t="b">
        <v>0</v>
      </c>
      <c r="Q93" s="52" t="b">
        <v>0</v>
      </c>
      <c r="R93" s="44"/>
      <c r="S93" s="44"/>
      <c r="T93" s="44"/>
      <c r="U93" s="44"/>
      <c r="V93" s="44"/>
      <c r="W93" s="44"/>
      <c r="X93" s="45"/>
      <c r="Y93" s="45"/>
      <c r="Z93" s="45"/>
      <c r="AA93" s="45"/>
    </row>
    <row r="94" ht="33.75" customHeight="1">
      <c r="A94" s="46" t="s">
        <v>1228</v>
      </c>
      <c r="B94" s="47" t="s">
        <v>1229</v>
      </c>
      <c r="C94" s="47" t="s">
        <v>1230</v>
      </c>
      <c r="D94" s="29" t="s">
        <v>1232</v>
      </c>
      <c r="E94" s="48" t="str">
        <f>IFERROR(__xludf.DUMMYFUNCTION("GOOGLETRANSLATE(D94,""zh-CN"",""vi"")"),"Chúng ta cần tiến hành điều tra.")</f>
        <v>Chúng ta cần tiến hành điều tra.</v>
      </c>
      <c r="F94" s="49" t="s">
        <v>1228</v>
      </c>
      <c r="G94" s="50" t="b">
        <f t="shared" si="1"/>
        <v>1</v>
      </c>
      <c r="H94" s="52" t="b">
        <v>1</v>
      </c>
      <c r="I94" s="52" t="b">
        <v>0</v>
      </c>
      <c r="J94" s="52" t="b">
        <v>0</v>
      </c>
      <c r="K94" s="52" t="b">
        <v>0</v>
      </c>
      <c r="L94" s="52" t="b">
        <v>0</v>
      </c>
      <c r="M94" s="52" t="b">
        <v>0</v>
      </c>
      <c r="N94" s="52" t="b">
        <v>0</v>
      </c>
      <c r="O94" s="52" t="b">
        <v>0</v>
      </c>
      <c r="P94" s="52" t="b">
        <v>0</v>
      </c>
      <c r="Q94" s="52" t="b">
        <v>0</v>
      </c>
      <c r="R94" s="44"/>
      <c r="S94" s="44"/>
      <c r="T94" s="44"/>
      <c r="U94" s="44"/>
      <c r="V94" s="44"/>
      <c r="W94" s="44"/>
      <c r="X94" s="45"/>
      <c r="Y94" s="45"/>
      <c r="Z94" s="45"/>
      <c r="AA94" s="45"/>
    </row>
    <row r="95" ht="33.75" customHeight="1">
      <c r="A95" s="46" t="s">
        <v>1244</v>
      </c>
      <c r="B95" s="47" t="s">
        <v>1245</v>
      </c>
      <c r="C95" s="47" t="s">
        <v>1246</v>
      </c>
      <c r="D95" s="29" t="s">
        <v>1247</v>
      </c>
      <c r="E95" s="48" t="str">
        <f>IFERROR(__xludf.DUMMYFUNCTION("GOOGLETRANSLATE(D95,""zh-CN"",""vi"")"),"Anh ấy làm mất chìa khóa rồi.")</f>
        <v>Anh ấy làm mất chìa khóa rồi.</v>
      </c>
      <c r="F95" s="49" t="s">
        <v>1244</v>
      </c>
      <c r="G95" s="50" t="b">
        <f t="shared" si="1"/>
        <v>1</v>
      </c>
      <c r="H95" s="52" t="b">
        <v>1</v>
      </c>
      <c r="I95" s="52" t="b">
        <v>0</v>
      </c>
      <c r="J95" s="52" t="b">
        <v>0</v>
      </c>
      <c r="K95" s="52" t="b">
        <v>0</v>
      </c>
      <c r="L95" s="52" t="b">
        <v>0</v>
      </c>
      <c r="M95" s="52" t="b">
        <v>0</v>
      </c>
      <c r="N95" s="52" t="b">
        <v>0</v>
      </c>
      <c r="O95" s="52" t="b">
        <v>0</v>
      </c>
      <c r="P95" s="52" t="b">
        <v>0</v>
      </c>
      <c r="Q95" s="52" t="b">
        <v>0</v>
      </c>
      <c r="R95" s="44"/>
      <c r="S95" s="44"/>
      <c r="T95" s="44"/>
      <c r="U95" s="44"/>
      <c r="V95" s="44"/>
      <c r="W95" s="44"/>
      <c r="X95" s="45"/>
      <c r="Y95" s="45"/>
      <c r="Z95" s="45"/>
      <c r="AA95" s="45"/>
    </row>
    <row r="96" ht="33.75" customHeight="1">
      <c r="A96" s="46" t="s">
        <v>1257</v>
      </c>
      <c r="B96" s="47" t="s">
        <v>1258</v>
      </c>
      <c r="C96" s="47" t="s">
        <v>1260</v>
      </c>
      <c r="D96" s="29" t="s">
        <v>1261</v>
      </c>
      <c r="E96" s="48" t="str">
        <f>IFERROR(__xludf.DUMMYFUNCTION("GOOGLETRANSLATE(D96,""zh-CN"",""vi"")"),"Sách của tôi bị mất rồi.")</f>
        <v>Sách của tôi bị mất rồi.</v>
      </c>
      <c r="F96" s="49" t="s">
        <v>1257</v>
      </c>
      <c r="G96" s="50" t="b">
        <f t="shared" si="1"/>
        <v>1</v>
      </c>
      <c r="H96" s="52" t="b">
        <v>1</v>
      </c>
      <c r="I96" s="52" t="b">
        <v>0</v>
      </c>
      <c r="J96" s="52" t="b">
        <v>0</v>
      </c>
      <c r="K96" s="52" t="b">
        <v>0</v>
      </c>
      <c r="L96" s="52" t="b">
        <v>0</v>
      </c>
      <c r="M96" s="52" t="b">
        <v>0</v>
      </c>
      <c r="N96" s="52" t="b">
        <v>0</v>
      </c>
      <c r="O96" s="52" t="b">
        <v>0</v>
      </c>
      <c r="P96" s="52" t="b">
        <v>0</v>
      </c>
      <c r="Q96" s="52" t="b">
        <v>0</v>
      </c>
      <c r="R96" s="44"/>
      <c r="S96" s="44"/>
      <c r="T96" s="44"/>
      <c r="U96" s="44"/>
      <c r="V96" s="44"/>
      <c r="W96" s="44"/>
      <c r="X96" s="45"/>
      <c r="Y96" s="45"/>
      <c r="Z96" s="45"/>
      <c r="AA96" s="45"/>
    </row>
    <row r="97" ht="33.75" customHeight="1">
      <c r="A97" s="46" t="s">
        <v>1267</v>
      </c>
      <c r="B97" s="47" t="s">
        <v>1269</v>
      </c>
      <c r="C97" s="47" t="s">
        <v>1270</v>
      </c>
      <c r="D97" s="29" t="s">
        <v>1271</v>
      </c>
      <c r="E97" s="48" t="str">
        <f>IFERROR(__xludf.DUMMYFUNCTION("GOOGLETRANSLATE(D97,""zh-CN"",""vi"")"),"Anh ta di chuyển rất nhanh.")</f>
        <v>Anh ta di chuyển rất nhanh.</v>
      </c>
      <c r="F97" s="49" t="s">
        <v>1267</v>
      </c>
      <c r="G97" s="50" t="b">
        <f t="shared" si="1"/>
        <v>1</v>
      </c>
      <c r="H97" s="52" t="b">
        <v>1</v>
      </c>
      <c r="I97" s="52" t="b">
        <v>0</v>
      </c>
      <c r="J97" s="52" t="b">
        <v>0</v>
      </c>
      <c r="K97" s="52" t="b">
        <v>0</v>
      </c>
      <c r="L97" s="52" t="b">
        <v>0</v>
      </c>
      <c r="M97" s="52" t="b">
        <v>0</v>
      </c>
      <c r="N97" s="52" t="b">
        <v>0</v>
      </c>
      <c r="O97" s="52" t="b">
        <v>0</v>
      </c>
      <c r="P97" s="52" t="b">
        <v>0</v>
      </c>
      <c r="Q97" s="52" t="b">
        <v>0</v>
      </c>
      <c r="R97" s="44"/>
      <c r="S97" s="44"/>
      <c r="T97" s="44"/>
      <c r="U97" s="44"/>
      <c r="V97" s="44"/>
      <c r="W97" s="44"/>
      <c r="X97" s="45"/>
      <c r="Y97" s="45"/>
      <c r="Z97" s="45"/>
      <c r="AA97" s="45"/>
    </row>
    <row r="98" ht="33.75" customHeight="1">
      <c r="A98" s="46" t="s">
        <v>1279</v>
      </c>
      <c r="B98" s="47" t="s">
        <v>1280</v>
      </c>
      <c r="C98" s="47" t="s">
        <v>1282</v>
      </c>
      <c r="D98" s="29" t="s">
        <v>1284</v>
      </c>
      <c r="E98" s="48" t="str">
        <f>IFERROR(__xludf.DUMMYFUNCTION("GOOGLETRANSLATE(D98,""zh-CN"",""vi"")"),"Tắc đường là hiện tượng thường gặp vào giờ cao điểm.")</f>
        <v>Tắc đường là hiện tượng thường gặp vào giờ cao điểm.</v>
      </c>
      <c r="F98" s="49" t="s">
        <v>1279</v>
      </c>
      <c r="G98" s="50" t="b">
        <f t="shared" si="1"/>
        <v>1</v>
      </c>
      <c r="H98" s="52" t="b">
        <v>1</v>
      </c>
      <c r="I98" s="52" t="b">
        <v>0</v>
      </c>
      <c r="J98" s="52" t="b">
        <v>0</v>
      </c>
      <c r="K98" s="52" t="b">
        <v>0</v>
      </c>
      <c r="L98" s="52" t="b">
        <v>0</v>
      </c>
      <c r="M98" s="52" t="b">
        <v>0</v>
      </c>
      <c r="N98" s="52" t="b">
        <v>0</v>
      </c>
      <c r="O98" s="52" t="b">
        <v>0</v>
      </c>
      <c r="P98" s="52" t="b">
        <v>0</v>
      </c>
      <c r="Q98" s="52" t="b">
        <v>0</v>
      </c>
      <c r="R98" s="44"/>
      <c r="S98" s="44"/>
      <c r="T98" s="44"/>
      <c r="U98" s="44"/>
      <c r="V98" s="44"/>
      <c r="W98" s="44"/>
      <c r="X98" s="45"/>
      <c r="Y98" s="45"/>
      <c r="Z98" s="45"/>
      <c r="AA98" s="45"/>
    </row>
    <row r="99" ht="33.75" customHeight="1">
      <c r="A99" s="46" t="s">
        <v>1293</v>
      </c>
      <c r="B99" s="47" t="s">
        <v>1294</v>
      </c>
      <c r="C99" s="47" t="s">
        <v>1297</v>
      </c>
      <c r="D99" s="29" t="s">
        <v>1299</v>
      </c>
      <c r="E99" s="48" t="str">
        <f>IFERROR(__xludf.DUMMYFUNCTION("GOOGLETRANSLATE(D99,""zh-CN"",""vi"")"),"Tôi bị đau bụng.")</f>
        <v>Tôi bị đau bụng.</v>
      </c>
      <c r="F99" s="49" t="s">
        <v>1293</v>
      </c>
      <c r="G99" s="50" t="b">
        <f t="shared" si="1"/>
        <v>1</v>
      </c>
      <c r="H99" s="52" t="b">
        <v>1</v>
      </c>
      <c r="I99" s="52" t="b">
        <v>0</v>
      </c>
      <c r="J99" s="52" t="b">
        <v>0</v>
      </c>
      <c r="K99" s="52" t="b">
        <v>0</v>
      </c>
      <c r="L99" s="52" t="b">
        <v>0</v>
      </c>
      <c r="M99" s="52" t="b">
        <v>0</v>
      </c>
      <c r="N99" s="52" t="b">
        <v>0</v>
      </c>
      <c r="O99" s="52" t="b">
        <v>0</v>
      </c>
      <c r="P99" s="52" t="b">
        <v>0</v>
      </c>
      <c r="Q99" s="52" t="b">
        <v>0</v>
      </c>
      <c r="R99" s="44"/>
      <c r="S99" s="44"/>
      <c r="T99" s="44"/>
      <c r="U99" s="44"/>
      <c r="V99" s="44"/>
      <c r="W99" s="44"/>
      <c r="X99" s="45"/>
      <c r="Y99" s="45"/>
      <c r="Z99" s="45"/>
      <c r="AA99" s="45"/>
    </row>
    <row r="100" ht="33.75" customHeight="1">
      <c r="A100" s="46" t="s">
        <v>1302</v>
      </c>
      <c r="B100" s="47" t="s">
        <v>1304</v>
      </c>
      <c r="C100" s="47" t="s">
        <v>1307</v>
      </c>
      <c r="D100" s="29" t="s">
        <v>1309</v>
      </c>
      <c r="E100" s="48" t="str">
        <f>IFERROR(__xludf.DUMMYFUNCTION("GOOGLETRANSLATE(D100,""zh-CN"",""vi"")"),"Anh ấy đã gửi một tin nhắn.")</f>
        <v>Anh ấy đã gửi một tin nhắn.</v>
      </c>
      <c r="F100" s="49" t="s">
        <v>1302</v>
      </c>
      <c r="G100" s="50" t="b">
        <f t="shared" si="1"/>
        <v>1</v>
      </c>
      <c r="H100" s="52" t="b">
        <v>1</v>
      </c>
      <c r="I100" s="52" t="b">
        <v>0</v>
      </c>
      <c r="J100" s="52" t="b">
        <v>0</v>
      </c>
      <c r="K100" s="52" t="b">
        <v>0</v>
      </c>
      <c r="L100" s="52" t="b">
        <v>0</v>
      </c>
      <c r="M100" s="52" t="b">
        <v>0</v>
      </c>
      <c r="N100" s="52" t="b">
        <v>0</v>
      </c>
      <c r="O100" s="52" t="b">
        <v>0</v>
      </c>
      <c r="P100" s="52" t="b">
        <v>0</v>
      </c>
      <c r="Q100" s="52" t="b">
        <v>0</v>
      </c>
      <c r="R100" s="44"/>
      <c r="S100" s="44"/>
      <c r="T100" s="44"/>
      <c r="U100" s="44"/>
      <c r="V100" s="44"/>
      <c r="W100" s="44"/>
      <c r="X100" s="45"/>
      <c r="Y100" s="45"/>
      <c r="Z100" s="45"/>
      <c r="AA100" s="45"/>
    </row>
    <row r="101" ht="33.75" customHeight="1">
      <c r="A101" s="46" t="s">
        <v>1317</v>
      </c>
      <c r="B101" s="47" t="s">
        <v>1318</v>
      </c>
      <c r="C101" s="47" t="s">
        <v>1320</v>
      </c>
      <c r="D101" s="29" t="s">
        <v>1322</v>
      </c>
      <c r="E101" s="48" t="str">
        <f>IFERROR(__xludf.DUMMYFUNCTION("GOOGLETRANSLATE(D101,""zh-CN"",""vi"")"),"Họ đang trò chuyện.")</f>
        <v>Họ đang trò chuyện.</v>
      </c>
      <c r="F101" s="49" t="s">
        <v>1317</v>
      </c>
      <c r="G101" s="50" t="b">
        <f t="shared" si="1"/>
        <v>1</v>
      </c>
      <c r="H101" s="52" t="b">
        <v>1</v>
      </c>
      <c r="I101" s="52" t="b">
        <v>0</v>
      </c>
      <c r="J101" s="52" t="b">
        <v>0</v>
      </c>
      <c r="K101" s="52" t="b">
        <v>0</v>
      </c>
      <c r="L101" s="52" t="b">
        <v>0</v>
      </c>
      <c r="M101" s="52" t="b">
        <v>0</v>
      </c>
      <c r="N101" s="52" t="b">
        <v>0</v>
      </c>
      <c r="O101" s="52" t="b">
        <v>0</v>
      </c>
      <c r="P101" s="52" t="b">
        <v>0</v>
      </c>
      <c r="Q101" s="52" t="b">
        <v>0</v>
      </c>
      <c r="R101" s="44"/>
      <c r="S101" s="44"/>
      <c r="T101" s="44"/>
      <c r="U101" s="44"/>
      <c r="V101" s="44"/>
      <c r="W101" s="44"/>
      <c r="X101" s="45"/>
      <c r="Y101" s="45"/>
      <c r="Z101" s="45"/>
      <c r="AA101" s="45"/>
    </row>
    <row r="102" ht="33.75" customHeight="1">
      <c r="A102" s="46" t="s">
        <v>1331</v>
      </c>
      <c r="B102" s="47" t="s">
        <v>1333</v>
      </c>
      <c r="C102" s="47" t="s">
        <v>1334</v>
      </c>
      <c r="D102" s="29" t="s">
        <v>1335</v>
      </c>
      <c r="E102" s="48" t="str">
        <f>IFERROR(__xludf.DUMMYFUNCTION("GOOGLETRANSLATE(D102,""zh-CN"",""vi"")"),"Ngân hàng nằm bên kia đường.")</f>
        <v>Ngân hàng nằm bên kia đường.</v>
      </c>
      <c r="F102" s="49" t="s">
        <v>1331</v>
      </c>
      <c r="G102" s="50" t="b">
        <f t="shared" si="1"/>
        <v>1</v>
      </c>
      <c r="H102" s="52" t="b">
        <v>1</v>
      </c>
      <c r="I102" s="52" t="b">
        <v>0</v>
      </c>
      <c r="J102" s="52" t="b">
        <v>0</v>
      </c>
      <c r="K102" s="52" t="b">
        <v>0</v>
      </c>
      <c r="L102" s="52" t="b">
        <v>0</v>
      </c>
      <c r="M102" s="52" t="b">
        <v>0</v>
      </c>
      <c r="N102" s="52" t="b">
        <v>0</v>
      </c>
      <c r="O102" s="52" t="b">
        <v>0</v>
      </c>
      <c r="P102" s="52" t="b">
        <v>0</v>
      </c>
      <c r="Q102" s="52" t="b">
        <v>0</v>
      </c>
      <c r="R102" s="44"/>
      <c r="S102" s="44"/>
      <c r="T102" s="44"/>
      <c r="U102" s="44"/>
      <c r="V102" s="44"/>
      <c r="W102" s="44"/>
      <c r="X102" s="45"/>
      <c r="Y102" s="45"/>
      <c r="Z102" s="45"/>
      <c r="AA102" s="45"/>
    </row>
    <row r="103" ht="33.75" customHeight="1">
      <c r="A103" s="46" t="s">
        <v>1344</v>
      </c>
      <c r="B103" s="47" t="s">
        <v>1345</v>
      </c>
      <c r="C103" s="47" t="s">
        <v>1346</v>
      </c>
      <c r="D103" s="29" t="s">
        <v>1347</v>
      </c>
      <c r="E103" s="48" t="str">
        <f>IFERROR(__xludf.DUMMYFUNCTION("GOOGLETRANSLATE(D103,""zh-CN"",""vi"")"),"Tôi có quan điểm khác về vấn đề này.")</f>
        <v>Tôi có quan điểm khác về vấn đề này.</v>
      </c>
      <c r="F103" s="49" t="s">
        <v>1344</v>
      </c>
      <c r="G103" s="50" t="b">
        <f t="shared" si="1"/>
        <v>1</v>
      </c>
      <c r="H103" s="52" t="b">
        <v>1</v>
      </c>
      <c r="I103" s="52" t="b">
        <v>0</v>
      </c>
      <c r="J103" s="52" t="b">
        <v>0</v>
      </c>
      <c r="K103" s="52" t="b">
        <v>0</v>
      </c>
      <c r="L103" s="52" t="b">
        <v>0</v>
      </c>
      <c r="M103" s="52" t="b">
        <v>0</v>
      </c>
      <c r="N103" s="52" t="b">
        <v>0</v>
      </c>
      <c r="O103" s="52" t="b">
        <v>0</v>
      </c>
      <c r="P103" s="52" t="b">
        <v>0</v>
      </c>
      <c r="Q103" s="52" t="b">
        <v>0</v>
      </c>
      <c r="R103" s="44"/>
      <c r="S103" s="44"/>
      <c r="T103" s="44"/>
      <c r="U103" s="44"/>
      <c r="V103" s="44"/>
      <c r="W103" s="44"/>
      <c r="X103" s="45"/>
      <c r="Y103" s="45"/>
      <c r="Z103" s="45"/>
      <c r="AA103" s="45"/>
    </row>
    <row r="104" ht="33.75" customHeight="1">
      <c r="A104" s="46" t="s">
        <v>1355</v>
      </c>
      <c r="B104" s="47" t="s">
        <v>1357</v>
      </c>
      <c r="C104" s="47" t="s">
        <v>860</v>
      </c>
      <c r="D104" s="29" t="s">
        <v>1358</v>
      </c>
      <c r="E104" s="48" t="str">
        <f>IFERROR(__xludf.DUMMYFUNCTION("GOOGLETRANSLATE(D104,""zh-CN"",""vi"")"),"Trẻ em cần rất nhiều tình yêu thương và sự chăm sóc.")</f>
        <v>Trẻ em cần rất nhiều tình yêu thương và sự chăm sóc.</v>
      </c>
      <c r="F104" s="49" t="s">
        <v>1355</v>
      </c>
      <c r="G104" s="50" t="b">
        <f t="shared" si="1"/>
        <v>1</v>
      </c>
      <c r="H104" s="52" t="b">
        <v>1</v>
      </c>
      <c r="I104" s="52" t="b">
        <v>0</v>
      </c>
      <c r="J104" s="52" t="b">
        <v>0</v>
      </c>
      <c r="K104" s="52" t="b">
        <v>0</v>
      </c>
      <c r="L104" s="52" t="b">
        <v>0</v>
      </c>
      <c r="M104" s="52" t="b">
        <v>0</v>
      </c>
      <c r="N104" s="52" t="b">
        <v>0</v>
      </c>
      <c r="O104" s="52" t="b">
        <v>0</v>
      </c>
      <c r="P104" s="52" t="b">
        <v>0</v>
      </c>
      <c r="Q104" s="52" t="b">
        <v>0</v>
      </c>
      <c r="R104" s="44"/>
      <c r="S104" s="44"/>
      <c r="T104" s="44"/>
      <c r="U104" s="44"/>
      <c r="V104" s="44"/>
      <c r="W104" s="44"/>
      <c r="X104" s="45"/>
      <c r="Y104" s="45"/>
      <c r="Z104" s="45"/>
      <c r="AA104" s="45"/>
    </row>
    <row r="105" ht="33.75" customHeight="1">
      <c r="A105" s="46" t="s">
        <v>1363</v>
      </c>
      <c r="B105" s="47" t="s">
        <v>1364</v>
      </c>
      <c r="C105" s="47" t="s">
        <v>1365</v>
      </c>
      <c r="D105" s="29" t="s">
        <v>1366</v>
      </c>
      <c r="E105" s="48" t="str">
        <f>IFERROR(__xludf.DUMMYFUNCTION("GOOGLETRANSLATE(D105,""zh-CN"",""vi"")"),"Anh ấy thông minh và chăm chỉ.")</f>
        <v>Anh ấy thông minh và chăm chỉ.</v>
      </c>
      <c r="F105" s="49" t="s">
        <v>1363</v>
      </c>
      <c r="G105" s="50" t="b">
        <f t="shared" si="1"/>
        <v>1</v>
      </c>
      <c r="H105" s="52" t="b">
        <v>1</v>
      </c>
      <c r="I105" s="52" t="b">
        <v>0</v>
      </c>
      <c r="J105" s="52" t="b">
        <v>0</v>
      </c>
      <c r="K105" s="52" t="b">
        <v>0</v>
      </c>
      <c r="L105" s="52" t="b">
        <v>0</v>
      </c>
      <c r="M105" s="52" t="b">
        <v>0</v>
      </c>
      <c r="N105" s="52" t="b">
        <v>0</v>
      </c>
      <c r="O105" s="52" t="b">
        <v>0</v>
      </c>
      <c r="P105" s="52" t="b">
        <v>0</v>
      </c>
      <c r="Q105" s="52" t="b">
        <v>0</v>
      </c>
      <c r="R105" s="44"/>
      <c r="S105" s="44"/>
      <c r="T105" s="44"/>
      <c r="U105" s="44"/>
      <c r="V105" s="44"/>
      <c r="W105" s="44"/>
      <c r="X105" s="45"/>
      <c r="Y105" s="45"/>
      <c r="Z105" s="45"/>
      <c r="AA105" s="45"/>
    </row>
    <row r="106" ht="33.75" customHeight="1">
      <c r="A106" s="46" t="s">
        <v>1375</v>
      </c>
      <c r="B106" s="47" t="s">
        <v>1376</v>
      </c>
      <c r="C106" s="47" t="s">
        <v>1377</v>
      </c>
      <c r="D106" s="29" t="s">
        <v>1378</v>
      </c>
      <c r="E106" s="48" t="str">
        <f>IFERROR(__xludf.DUMMYFUNCTION("GOOGLETRANSLATE(D106,""zh-CN"",""vi"")"),"Vụ tai nạn xảy ra vào ban đêm.")</f>
        <v>Vụ tai nạn xảy ra vào ban đêm.</v>
      </c>
      <c r="F106" s="49" t="s">
        <v>1375</v>
      </c>
      <c r="G106" s="50" t="b">
        <f t="shared" si="1"/>
        <v>1</v>
      </c>
      <c r="H106" s="52" t="b">
        <v>1</v>
      </c>
      <c r="I106" s="52" t="b">
        <v>0</v>
      </c>
      <c r="J106" s="52" t="b">
        <v>0</v>
      </c>
      <c r="K106" s="52" t="b">
        <v>0</v>
      </c>
      <c r="L106" s="52" t="b">
        <v>0</v>
      </c>
      <c r="M106" s="52" t="b">
        <v>0</v>
      </c>
      <c r="N106" s="52" t="b">
        <v>0</v>
      </c>
      <c r="O106" s="52" t="b">
        <v>0</v>
      </c>
      <c r="P106" s="52" t="b">
        <v>0</v>
      </c>
      <c r="Q106" s="52" t="b">
        <v>0</v>
      </c>
      <c r="R106" s="44"/>
      <c r="S106" s="44"/>
      <c r="T106" s="44"/>
      <c r="U106" s="44"/>
      <c r="V106" s="44"/>
      <c r="W106" s="44"/>
      <c r="X106" s="45"/>
      <c r="Y106" s="45"/>
      <c r="Z106" s="45"/>
      <c r="AA106" s="45"/>
    </row>
    <row r="107" ht="33.75" customHeight="1">
      <c r="A107" s="46" t="s">
        <v>1383</v>
      </c>
      <c r="B107" s="47" t="s">
        <v>1384</v>
      </c>
      <c r="C107" s="47" t="s">
        <v>1385</v>
      </c>
      <c r="D107" s="29" t="s">
        <v>1386</v>
      </c>
      <c r="E107" s="48" t="str">
        <f>IFERROR(__xludf.DUMMYFUNCTION("GOOGLETRANSLATE(D107,""zh-CN"",""vi"")"),"Thành phố đang phát triển nhanh chóng.")</f>
        <v>Thành phố đang phát triển nhanh chóng.</v>
      </c>
      <c r="F107" s="49" t="s">
        <v>1383</v>
      </c>
      <c r="G107" s="50" t="b">
        <f t="shared" si="1"/>
        <v>1</v>
      </c>
      <c r="H107" s="52" t="b">
        <v>1</v>
      </c>
      <c r="I107" s="52" t="b">
        <v>0</v>
      </c>
      <c r="J107" s="52" t="b">
        <v>0</v>
      </c>
      <c r="K107" s="52" t="b">
        <v>0</v>
      </c>
      <c r="L107" s="52" t="b">
        <v>0</v>
      </c>
      <c r="M107" s="52" t="b">
        <v>0</v>
      </c>
      <c r="N107" s="52" t="b">
        <v>0</v>
      </c>
      <c r="O107" s="52" t="b">
        <v>0</v>
      </c>
      <c r="P107" s="52" t="b">
        <v>0</v>
      </c>
      <c r="Q107" s="52" t="b">
        <v>0</v>
      </c>
      <c r="R107" s="44"/>
      <c r="S107" s="44"/>
      <c r="T107" s="44"/>
      <c r="U107" s="44"/>
      <c r="V107" s="44"/>
      <c r="W107" s="44"/>
      <c r="X107" s="45"/>
      <c r="Y107" s="45"/>
      <c r="Z107" s="45"/>
      <c r="AA107" s="45"/>
    </row>
    <row r="108" ht="33.75" customHeight="1">
      <c r="A108" s="46" t="s">
        <v>1392</v>
      </c>
      <c r="B108" s="47" t="s">
        <v>1394</v>
      </c>
      <c r="C108" s="47" t="s">
        <v>1395</v>
      </c>
      <c r="D108" s="29" t="s">
        <v>1396</v>
      </c>
      <c r="E108" s="48" t="str">
        <f>IFERROR(__xludf.DUMMYFUNCTION("GOOGLETRANSLATE(D108,""zh-CN"",""vi"")"),"Mọi người đều phải tuân thủ pháp luật.")</f>
        <v>Mọi người đều phải tuân thủ pháp luật.</v>
      </c>
      <c r="F108" s="49" t="s">
        <v>1392</v>
      </c>
      <c r="G108" s="50" t="b">
        <f t="shared" si="1"/>
        <v>1</v>
      </c>
      <c r="H108" s="52" t="b">
        <v>1</v>
      </c>
      <c r="I108" s="52" t="b">
        <v>0</v>
      </c>
      <c r="J108" s="52" t="b">
        <v>0</v>
      </c>
      <c r="K108" s="52" t="b">
        <v>0</v>
      </c>
      <c r="L108" s="52" t="b">
        <v>0</v>
      </c>
      <c r="M108" s="52" t="b">
        <v>0</v>
      </c>
      <c r="N108" s="52" t="b">
        <v>0</v>
      </c>
      <c r="O108" s="52" t="b">
        <v>0</v>
      </c>
      <c r="P108" s="52" t="b">
        <v>0</v>
      </c>
      <c r="Q108" s="52" t="b">
        <v>0</v>
      </c>
      <c r="R108" s="44"/>
      <c r="S108" s="44"/>
      <c r="T108" s="44"/>
      <c r="U108" s="44"/>
      <c r="V108" s="44"/>
      <c r="W108" s="44"/>
      <c r="X108" s="45"/>
      <c r="Y108" s="45"/>
      <c r="Z108" s="45"/>
      <c r="AA108" s="45"/>
    </row>
    <row r="109" ht="33.75" customHeight="1">
      <c r="A109" s="46" t="s">
        <v>1404</v>
      </c>
      <c r="B109" s="47" t="s">
        <v>1406</v>
      </c>
      <c r="C109" s="47" t="s">
        <v>1407</v>
      </c>
      <c r="D109" s="29" t="s">
        <v>1409</v>
      </c>
      <c r="E109" s="48" t="str">
        <f>IFERROR(__xludf.DUMMYFUNCTION("GOOGLETRANSLATE(D109,""zh-CN"",""vi"")"),"Vui lòng dịch sang tiếng Việt.")</f>
        <v>Vui lòng dịch sang tiếng Việt.</v>
      </c>
      <c r="F109" s="49" t="s">
        <v>1404</v>
      </c>
      <c r="G109" s="50" t="b">
        <f t="shared" si="1"/>
        <v>1</v>
      </c>
      <c r="H109" s="52" t="b">
        <v>1</v>
      </c>
      <c r="I109" s="52" t="b">
        <v>0</v>
      </c>
      <c r="J109" s="52" t="b">
        <v>0</v>
      </c>
      <c r="K109" s="52" t="b">
        <v>0</v>
      </c>
      <c r="L109" s="52" t="b">
        <v>0</v>
      </c>
      <c r="M109" s="52" t="b">
        <v>0</v>
      </c>
      <c r="N109" s="52" t="b">
        <v>0</v>
      </c>
      <c r="O109" s="52" t="b">
        <v>0</v>
      </c>
      <c r="P109" s="52" t="b">
        <v>0</v>
      </c>
      <c r="Q109" s="52" t="b">
        <v>0</v>
      </c>
      <c r="R109" s="44"/>
      <c r="S109" s="44"/>
      <c r="T109" s="44"/>
      <c r="U109" s="44"/>
      <c r="V109" s="44"/>
      <c r="W109" s="44"/>
      <c r="X109" s="45"/>
      <c r="Y109" s="45"/>
      <c r="Z109" s="45"/>
      <c r="AA109" s="45"/>
    </row>
    <row r="110" ht="33.75" customHeight="1">
      <c r="A110" s="46" t="s">
        <v>1411</v>
      </c>
      <c r="B110" s="47" t="s">
        <v>1412</v>
      </c>
      <c r="C110" s="47" t="s">
        <v>1414</v>
      </c>
      <c r="D110" s="29" t="s">
        <v>1416</v>
      </c>
      <c r="E110" s="48" t="str">
        <f>IFERROR(__xludf.DUMMYFUNCTION("GOOGLETRANSLATE(D110,""zh-CN"",""vi"")"),"Tôi hơi lo lắng.")</f>
        <v>Tôi hơi lo lắng.</v>
      </c>
      <c r="F110" s="49" t="s">
        <v>1411</v>
      </c>
      <c r="G110" s="50" t="b">
        <f t="shared" si="1"/>
        <v>1</v>
      </c>
      <c r="H110" s="52" t="b">
        <v>1</v>
      </c>
      <c r="I110" s="52" t="b">
        <v>0</v>
      </c>
      <c r="J110" s="52" t="b">
        <v>0</v>
      </c>
      <c r="K110" s="52" t="b">
        <v>0</v>
      </c>
      <c r="L110" s="52" t="b">
        <v>0</v>
      </c>
      <c r="M110" s="52" t="b">
        <v>0</v>
      </c>
      <c r="N110" s="52" t="b">
        <v>0</v>
      </c>
      <c r="O110" s="52" t="b">
        <v>0</v>
      </c>
      <c r="P110" s="52" t="b">
        <v>0</v>
      </c>
      <c r="Q110" s="52" t="b">
        <v>0</v>
      </c>
      <c r="R110" s="44"/>
      <c r="S110" s="44"/>
      <c r="T110" s="44"/>
      <c r="U110" s="44"/>
      <c r="V110" s="44"/>
      <c r="W110" s="44"/>
      <c r="X110" s="45"/>
      <c r="Y110" s="45"/>
      <c r="Z110" s="45"/>
      <c r="AA110" s="45"/>
    </row>
    <row r="111" ht="33.75" customHeight="1">
      <c r="A111" s="46" t="s">
        <v>1427</v>
      </c>
      <c r="B111" s="47" t="s">
        <v>1428</v>
      </c>
      <c r="C111" s="47" t="s">
        <v>1429</v>
      </c>
      <c r="D111" s="29" t="s">
        <v>1430</v>
      </c>
      <c r="E111" s="48" t="str">
        <f>IFERROR(__xludf.DUMMYFUNCTION("GOOGLETRANSLATE(D111,""zh-CN"",""vi"")"),"Ông ta phản đối kế hoạch đó.")</f>
        <v>Ông ta phản đối kế hoạch đó.</v>
      </c>
      <c r="F111" s="49" t="s">
        <v>1427</v>
      </c>
      <c r="G111" s="50" t="b">
        <f t="shared" si="1"/>
        <v>1</v>
      </c>
      <c r="H111" s="52" t="b">
        <v>1</v>
      </c>
      <c r="I111" s="52" t="b">
        <v>0</v>
      </c>
      <c r="J111" s="52" t="b">
        <v>0</v>
      </c>
      <c r="K111" s="52" t="b">
        <v>0</v>
      </c>
      <c r="L111" s="52" t="b">
        <v>0</v>
      </c>
      <c r="M111" s="52" t="b">
        <v>0</v>
      </c>
      <c r="N111" s="52" t="b">
        <v>0</v>
      </c>
      <c r="O111" s="52" t="b">
        <v>0</v>
      </c>
      <c r="P111" s="52" t="b">
        <v>0</v>
      </c>
      <c r="Q111" s="52" t="b">
        <v>0</v>
      </c>
      <c r="R111" s="44"/>
      <c r="S111" s="44"/>
      <c r="T111" s="44"/>
      <c r="U111" s="44"/>
      <c r="V111" s="44"/>
      <c r="W111" s="44"/>
      <c r="X111" s="45"/>
      <c r="Y111" s="45"/>
      <c r="Z111" s="45"/>
      <c r="AA111" s="45"/>
    </row>
    <row r="112" ht="33.75" customHeight="1">
      <c r="A112" s="46" t="s">
        <v>1432</v>
      </c>
      <c r="B112" s="47" t="s">
        <v>1433</v>
      </c>
      <c r="C112" s="47" t="s">
        <v>1439</v>
      </c>
      <c r="D112" s="29" t="s">
        <v>1441</v>
      </c>
      <c r="E112" s="48" t="str">
        <f>IFERROR(__xludf.DUMMYFUNCTION("GOOGLETRANSLATE(D112,""zh-CN"",""vi"")"),"Ông ấy có nhiều phương pháp.")</f>
        <v>Ông ấy có nhiều phương pháp.</v>
      </c>
      <c r="F112" s="49" t="s">
        <v>1432</v>
      </c>
      <c r="G112" s="50" t="b">
        <f t="shared" si="1"/>
        <v>1</v>
      </c>
      <c r="H112" s="52" t="b">
        <v>1</v>
      </c>
      <c r="I112" s="52" t="b">
        <v>0</v>
      </c>
      <c r="J112" s="52" t="b">
        <v>0</v>
      </c>
      <c r="K112" s="52" t="b">
        <v>0</v>
      </c>
      <c r="L112" s="52" t="b">
        <v>0</v>
      </c>
      <c r="M112" s="52" t="b">
        <v>0</v>
      </c>
      <c r="N112" s="52" t="b">
        <v>0</v>
      </c>
      <c r="O112" s="52" t="b">
        <v>0</v>
      </c>
      <c r="P112" s="52" t="b">
        <v>0</v>
      </c>
      <c r="Q112" s="52" t="b">
        <v>0</v>
      </c>
      <c r="R112" s="44"/>
      <c r="S112" s="44"/>
      <c r="T112" s="44"/>
      <c r="U112" s="44"/>
      <c r="V112" s="44"/>
      <c r="W112" s="44"/>
      <c r="X112" s="45"/>
      <c r="Y112" s="45"/>
      <c r="Z112" s="45"/>
      <c r="AA112" s="45"/>
    </row>
    <row r="113" ht="33.75" customHeight="1">
      <c r="A113" s="46" t="s">
        <v>1447</v>
      </c>
      <c r="B113" s="47" t="s">
        <v>1448</v>
      </c>
      <c r="C113" s="47" t="s">
        <v>1449</v>
      </c>
      <c r="D113" s="29" t="s">
        <v>1450</v>
      </c>
      <c r="E113" s="48" t="str">
        <f>IFERROR(__xludf.DUMMYFUNCTION("GOOGLETRANSLATE(D113,""zh-CN"",""vi"")"),"Chúng tôi có rất nhiều kinh nghiệm trong lĩnh vực này.")</f>
        <v>Chúng tôi có rất nhiều kinh nghiệm trong lĩnh vực này.</v>
      </c>
      <c r="F113" s="49" t="s">
        <v>1447</v>
      </c>
      <c r="G113" s="50" t="b">
        <f t="shared" si="1"/>
        <v>1</v>
      </c>
      <c r="H113" s="52" t="b">
        <v>1</v>
      </c>
      <c r="I113" s="52" t="b">
        <v>0</v>
      </c>
      <c r="J113" s="52" t="b">
        <v>0</v>
      </c>
      <c r="K113" s="52" t="b">
        <v>0</v>
      </c>
      <c r="L113" s="52" t="b">
        <v>0</v>
      </c>
      <c r="M113" s="52" t="b">
        <v>0</v>
      </c>
      <c r="N113" s="52" t="b">
        <v>0</v>
      </c>
      <c r="O113" s="52" t="b">
        <v>0</v>
      </c>
      <c r="P113" s="52" t="b">
        <v>0</v>
      </c>
      <c r="Q113" s="52" t="b">
        <v>0</v>
      </c>
      <c r="R113" s="44"/>
      <c r="S113" s="44"/>
      <c r="T113" s="44"/>
      <c r="U113" s="44"/>
      <c r="V113" s="44"/>
      <c r="W113" s="44"/>
      <c r="X113" s="45"/>
      <c r="Y113" s="45"/>
      <c r="Z113" s="45"/>
      <c r="AA113" s="45"/>
    </row>
    <row r="114" ht="33.75" customHeight="1">
      <c r="A114" s="46" t="s">
        <v>1455</v>
      </c>
      <c r="B114" s="47" t="s">
        <v>1458</v>
      </c>
      <c r="C114" s="47" t="s">
        <v>1460</v>
      </c>
      <c r="D114" s="29" t="s">
        <v>1462</v>
      </c>
      <c r="E114" s="48" t="str">
        <f>IFERROR(__xludf.DUMMYFUNCTION("GOOGLETRANSLATE(D114,""zh-CN"",""vi"")"),"Chúng ta đang đi về hướng bắc, đó là hướng đúng.")</f>
        <v>Chúng ta đang đi về hướng bắc, đó là hướng đúng.</v>
      </c>
      <c r="F114" s="49" t="s">
        <v>1455</v>
      </c>
      <c r="G114" s="50" t="b">
        <f t="shared" si="1"/>
        <v>1</v>
      </c>
      <c r="H114" s="52" t="b">
        <v>1</v>
      </c>
      <c r="I114" s="52" t="b">
        <v>0</v>
      </c>
      <c r="J114" s="52" t="b">
        <v>0</v>
      </c>
      <c r="K114" s="52" t="b">
        <v>0</v>
      </c>
      <c r="L114" s="52" t="b">
        <v>0</v>
      </c>
      <c r="M114" s="52" t="b">
        <v>0</v>
      </c>
      <c r="N114" s="52" t="b">
        <v>0</v>
      </c>
      <c r="O114" s="52" t="b">
        <v>0</v>
      </c>
      <c r="P114" s="52" t="b">
        <v>0</v>
      </c>
      <c r="Q114" s="52" t="b">
        <v>0</v>
      </c>
      <c r="R114" s="44"/>
      <c r="S114" s="44"/>
      <c r="T114" s="44"/>
      <c r="U114" s="44"/>
      <c r="V114" s="44"/>
      <c r="W114" s="44"/>
      <c r="X114" s="45"/>
      <c r="Y114" s="45"/>
      <c r="Z114" s="45"/>
      <c r="AA114" s="45"/>
    </row>
    <row r="115" ht="33.75" customHeight="1">
      <c r="A115" s="46" t="s">
        <v>1466</v>
      </c>
      <c r="B115" s="47" t="s">
        <v>1467</v>
      </c>
      <c r="C115" s="47" t="s">
        <v>1468</v>
      </c>
      <c r="D115" s="29" t="s">
        <v>1469</v>
      </c>
      <c r="E115" s="48" t="str">
        <f>IFERROR(__xludf.DUMMYFUNCTION("GOOGLETRANSLATE(D115,""zh-CN"",""vi"")"),"Chủ nhà đến mỗi sáng.")</f>
        <v>Chủ nhà đến mỗi sáng.</v>
      </c>
      <c r="F115" s="49" t="s">
        <v>1466</v>
      </c>
      <c r="G115" s="50" t="b">
        <f t="shared" si="1"/>
        <v>1</v>
      </c>
      <c r="H115" s="52" t="b">
        <v>1</v>
      </c>
      <c r="I115" s="52" t="b">
        <v>0</v>
      </c>
      <c r="J115" s="52" t="b">
        <v>0</v>
      </c>
      <c r="K115" s="52" t="b">
        <v>0</v>
      </c>
      <c r="L115" s="52" t="b">
        <v>0</v>
      </c>
      <c r="M115" s="52" t="b">
        <v>0</v>
      </c>
      <c r="N115" s="52" t="b">
        <v>0</v>
      </c>
      <c r="O115" s="52" t="b">
        <v>0</v>
      </c>
      <c r="P115" s="52" t="b">
        <v>0</v>
      </c>
      <c r="Q115" s="52" t="b">
        <v>0</v>
      </c>
      <c r="R115" s="44"/>
      <c r="S115" s="44"/>
      <c r="T115" s="44"/>
      <c r="U115" s="44"/>
      <c r="V115" s="44"/>
      <c r="W115" s="44"/>
      <c r="X115" s="45"/>
      <c r="Y115" s="45"/>
      <c r="Z115" s="45"/>
      <c r="AA115" s="45"/>
    </row>
    <row r="116" ht="33.75" customHeight="1">
      <c r="A116" s="46" t="s">
        <v>1478</v>
      </c>
      <c r="B116" s="47" t="s">
        <v>1479</v>
      </c>
      <c r="C116" s="47" t="s">
        <v>1480</v>
      </c>
      <c r="D116" s="29" t="s">
        <v>1482</v>
      </c>
      <c r="E116" s="48" t="str">
        <f>IFERROR(__xludf.DUMMYFUNCTION("GOOGLETRANSLATE(D116,""zh-CN"",""vi"")"),"Anh ấy đã bỏ lỡ cơ hội.")</f>
        <v>Anh ấy đã bỏ lỡ cơ hội.</v>
      </c>
      <c r="F116" s="49" t="s">
        <v>1478</v>
      </c>
      <c r="G116" s="50" t="b">
        <f t="shared" si="1"/>
        <v>1</v>
      </c>
      <c r="H116" s="52" t="b">
        <v>1</v>
      </c>
      <c r="I116" s="52" t="b">
        <v>0</v>
      </c>
      <c r="J116" s="52" t="b">
        <v>0</v>
      </c>
      <c r="K116" s="52" t="b">
        <v>0</v>
      </c>
      <c r="L116" s="52" t="b">
        <v>0</v>
      </c>
      <c r="M116" s="52" t="b">
        <v>0</v>
      </c>
      <c r="N116" s="52" t="b">
        <v>0</v>
      </c>
      <c r="O116" s="52" t="b">
        <v>0</v>
      </c>
      <c r="P116" s="52" t="b">
        <v>0</v>
      </c>
      <c r="Q116" s="52" t="b">
        <v>0</v>
      </c>
      <c r="R116" s="44"/>
      <c r="S116" s="44"/>
      <c r="T116" s="44"/>
      <c r="U116" s="44"/>
      <c r="V116" s="44"/>
      <c r="W116" s="44"/>
      <c r="X116" s="45"/>
      <c r="Y116" s="45"/>
      <c r="Z116" s="45"/>
      <c r="AA116" s="45"/>
    </row>
    <row r="117" ht="33.75" customHeight="1">
      <c r="A117" s="46" t="s">
        <v>1488</v>
      </c>
      <c r="B117" s="47" t="s">
        <v>1490</v>
      </c>
      <c r="C117" s="47" t="s">
        <v>1493</v>
      </c>
      <c r="D117" s="29" t="s">
        <v>1495</v>
      </c>
      <c r="E117" s="48" t="str">
        <f>IFERROR(__xludf.DUMMYFUNCTION("GOOGLETRANSLATE(D117,""zh-CN"",""vi"")"),"Chúng tôi đang trong kỳ nghỉ hè.")</f>
        <v>Chúng tôi đang trong kỳ nghỉ hè.</v>
      </c>
      <c r="F117" s="49" t="s">
        <v>1488</v>
      </c>
      <c r="G117" s="50" t="b">
        <f t="shared" si="1"/>
        <v>1</v>
      </c>
      <c r="H117" s="52" t="b">
        <v>1</v>
      </c>
      <c r="I117" s="52" t="b">
        <v>0</v>
      </c>
      <c r="J117" s="52" t="b">
        <v>0</v>
      </c>
      <c r="K117" s="52" t="b">
        <v>0</v>
      </c>
      <c r="L117" s="52" t="b">
        <v>0</v>
      </c>
      <c r="M117" s="52" t="b">
        <v>0</v>
      </c>
      <c r="N117" s="52" t="b">
        <v>0</v>
      </c>
      <c r="O117" s="52" t="b">
        <v>0</v>
      </c>
      <c r="P117" s="52" t="b">
        <v>0</v>
      </c>
      <c r="Q117" s="52" t="b">
        <v>0</v>
      </c>
      <c r="R117" s="44"/>
      <c r="S117" s="44"/>
      <c r="T117" s="44"/>
      <c r="U117" s="44"/>
      <c r="V117" s="44"/>
      <c r="W117" s="44"/>
      <c r="X117" s="45"/>
      <c r="Y117" s="45"/>
      <c r="Z117" s="45"/>
      <c r="AA117" s="45"/>
    </row>
    <row r="118" ht="33.75" customHeight="1">
      <c r="A118" s="46" t="s">
        <v>1499</v>
      </c>
      <c r="B118" s="47" t="s">
        <v>1500</v>
      </c>
      <c r="C118" s="56" t="s">
        <v>1502</v>
      </c>
      <c r="D118" s="29" t="s">
        <v>1505</v>
      </c>
      <c r="E118" s="48" t="str">
        <f>IFERROR(__xludf.DUMMYFUNCTION("GOOGLETRANSLATE(D118,""zh-CN"",""vi"")"),"Thư giãn đi, đừng lo lắng.")</f>
        <v>Thư giãn đi, đừng lo lắng.</v>
      </c>
      <c r="F118" s="49" t="s">
        <v>1499</v>
      </c>
      <c r="G118" s="50" t="b">
        <f t="shared" si="1"/>
        <v>1</v>
      </c>
      <c r="H118" s="52" t="b">
        <v>1</v>
      </c>
      <c r="I118" s="52" t="b">
        <v>0</v>
      </c>
      <c r="J118" s="52" t="b">
        <v>0</v>
      </c>
      <c r="K118" s="52" t="b">
        <v>0</v>
      </c>
      <c r="L118" s="52" t="b">
        <v>0</v>
      </c>
      <c r="M118" s="52" t="b">
        <v>0</v>
      </c>
      <c r="N118" s="52" t="b">
        <v>0</v>
      </c>
      <c r="O118" s="52" t="b">
        <v>0</v>
      </c>
      <c r="P118" s="52" t="b">
        <v>0</v>
      </c>
      <c r="Q118" s="52" t="b">
        <v>0</v>
      </c>
      <c r="R118" s="44"/>
      <c r="S118" s="44"/>
      <c r="T118" s="44"/>
      <c r="U118" s="44"/>
      <c r="V118" s="44"/>
      <c r="W118" s="44"/>
      <c r="X118" s="45"/>
      <c r="Y118" s="45"/>
      <c r="Z118" s="45"/>
      <c r="AA118" s="45"/>
    </row>
    <row r="119" ht="33.75" customHeight="1">
      <c r="A119" s="46" t="s">
        <v>1512</v>
      </c>
      <c r="B119" s="47" t="s">
        <v>1513</v>
      </c>
      <c r="C119" s="47" t="s">
        <v>1514</v>
      </c>
      <c r="D119" s="29" t="s">
        <v>1516</v>
      </c>
      <c r="E119" s="48" t="str">
        <f>IFERROR(__xludf.DUMMYFUNCTION("GOOGLETRANSLATE(D119,""zh-CN"",""vi"")"),"Đây là một món quà.")</f>
        <v>Đây là một món quà.</v>
      </c>
      <c r="F119" s="49" t="s">
        <v>1512</v>
      </c>
      <c r="G119" s="50" t="b">
        <f t="shared" si="1"/>
        <v>1</v>
      </c>
      <c r="H119" s="52" t="b">
        <v>1</v>
      </c>
      <c r="I119" s="52" t="b">
        <v>0</v>
      </c>
      <c r="J119" s="52" t="b">
        <v>0</v>
      </c>
      <c r="K119" s="52" t="b">
        <v>0</v>
      </c>
      <c r="L119" s="52" t="b">
        <v>0</v>
      </c>
      <c r="M119" s="52" t="b">
        <v>0</v>
      </c>
      <c r="N119" s="52" t="b">
        <v>0</v>
      </c>
      <c r="O119" s="52" t="b">
        <v>0</v>
      </c>
      <c r="P119" s="52" t="b">
        <v>0</v>
      </c>
      <c r="Q119" s="52" t="b">
        <v>0</v>
      </c>
      <c r="R119" s="44"/>
      <c r="S119" s="44"/>
      <c r="T119" s="44"/>
      <c r="U119" s="44"/>
      <c r="V119" s="44"/>
      <c r="W119" s="44"/>
      <c r="X119" s="45"/>
      <c r="Y119" s="45"/>
      <c r="Z119" s="45"/>
      <c r="AA119" s="45"/>
    </row>
    <row r="120" ht="33.75" customHeight="1">
      <c r="A120" s="46" t="s">
        <v>1519</v>
      </c>
      <c r="B120" s="47" t="s">
        <v>1520</v>
      </c>
      <c r="C120" s="47" t="s">
        <v>1522</v>
      </c>
      <c r="D120" s="29" t="s">
        <v>1524</v>
      </c>
      <c r="E120" s="48" t="str">
        <f>IFERROR(__xludf.DUMMYFUNCTION("GOOGLETRANSLATE(D120,""zh-CN"",""vi"")"),"Ông ấy có kinh nghiệm dày dặn.")</f>
        <v>Ông ấy có kinh nghiệm dày dặn.</v>
      </c>
      <c r="F120" s="49" t="s">
        <v>1519</v>
      </c>
      <c r="G120" s="50" t="b">
        <f t="shared" si="1"/>
        <v>1</v>
      </c>
      <c r="H120" s="52" t="b">
        <v>1</v>
      </c>
      <c r="I120" s="52" t="b">
        <v>0</v>
      </c>
      <c r="J120" s="52" t="b">
        <v>0</v>
      </c>
      <c r="K120" s="52" t="b">
        <v>0</v>
      </c>
      <c r="L120" s="52" t="b">
        <v>0</v>
      </c>
      <c r="M120" s="52" t="b">
        <v>0</v>
      </c>
      <c r="N120" s="52" t="b">
        <v>0</v>
      </c>
      <c r="O120" s="52" t="b">
        <v>0</v>
      </c>
      <c r="P120" s="52" t="b">
        <v>0</v>
      </c>
      <c r="Q120" s="52" t="b">
        <v>0</v>
      </c>
      <c r="R120" s="44"/>
      <c r="S120" s="44"/>
      <c r="T120" s="44"/>
      <c r="U120" s="44"/>
      <c r="V120" s="44"/>
      <c r="W120" s="44"/>
      <c r="X120" s="45"/>
      <c r="Y120" s="45"/>
      <c r="Z120" s="45"/>
      <c r="AA120" s="45"/>
    </row>
    <row r="121" ht="33.75" customHeight="1">
      <c r="A121" s="46" t="s">
        <v>1531</v>
      </c>
      <c r="B121" s="47" t="s">
        <v>1532</v>
      </c>
      <c r="C121" s="47" t="s">
        <v>1533</v>
      </c>
      <c r="D121" s="29" t="s">
        <v>1535</v>
      </c>
      <c r="E121" s="48" t="str">
        <f>IFERROR(__xludf.DUMMYFUNCTION("GOOGLETRANSLATE(D121,""zh-CN"",""vi"")"),"Bạn cần dậy sớm, nếu không sẽ bị muộn.")</f>
        <v>Bạn cần dậy sớm, nếu không sẽ bị muộn.</v>
      </c>
      <c r="F121" s="49" t="s">
        <v>1531</v>
      </c>
      <c r="G121" s="50" t="b">
        <f t="shared" si="1"/>
        <v>1</v>
      </c>
      <c r="H121" s="52" t="b">
        <v>1</v>
      </c>
      <c r="I121" s="52" t="b">
        <v>0</v>
      </c>
      <c r="J121" s="52" t="b">
        <v>0</v>
      </c>
      <c r="K121" s="52" t="b">
        <v>0</v>
      </c>
      <c r="L121" s="52" t="b">
        <v>0</v>
      </c>
      <c r="M121" s="52" t="b">
        <v>0</v>
      </c>
      <c r="N121" s="52" t="b">
        <v>0</v>
      </c>
      <c r="O121" s="52" t="b">
        <v>0</v>
      </c>
      <c r="P121" s="52" t="b">
        <v>0</v>
      </c>
      <c r="Q121" s="52" t="b">
        <v>0</v>
      </c>
      <c r="R121" s="44"/>
      <c r="S121" s="44"/>
      <c r="T121" s="44"/>
      <c r="U121" s="44"/>
      <c r="V121" s="44"/>
      <c r="W121" s="44"/>
      <c r="X121" s="45"/>
      <c r="Y121" s="45"/>
      <c r="Z121" s="45"/>
      <c r="AA121" s="45"/>
    </row>
    <row r="122" ht="33.75" customHeight="1">
      <c r="A122" s="46" t="s">
        <v>1539</v>
      </c>
      <c r="B122" s="47" t="s">
        <v>1540</v>
      </c>
      <c r="C122" s="47" t="s">
        <v>1541</v>
      </c>
      <c r="D122" s="29" t="s">
        <v>1542</v>
      </c>
      <c r="E122" s="48" t="str">
        <f>IFERROR(__xludf.DUMMYFUNCTION("GOOGLETRANSLATE(D122,""zh-CN"",""vi"")"),"Câu trả lời của bạn đáp ứng các yêu cầu.")</f>
        <v>Câu trả lời của bạn đáp ứng các yêu cầu.</v>
      </c>
      <c r="F122" s="49" t="s">
        <v>1539</v>
      </c>
      <c r="G122" s="50" t="b">
        <f t="shared" si="1"/>
        <v>1</v>
      </c>
      <c r="H122" s="52" t="b">
        <v>1</v>
      </c>
      <c r="I122" s="52" t="b">
        <v>0</v>
      </c>
      <c r="J122" s="52" t="b">
        <v>0</v>
      </c>
      <c r="K122" s="52" t="b">
        <v>0</v>
      </c>
      <c r="L122" s="52" t="b">
        <v>0</v>
      </c>
      <c r="M122" s="52" t="b">
        <v>0</v>
      </c>
      <c r="N122" s="52" t="b">
        <v>0</v>
      </c>
      <c r="O122" s="52" t="b">
        <v>0</v>
      </c>
      <c r="P122" s="52" t="b">
        <v>0</v>
      </c>
      <c r="Q122" s="52" t="b">
        <v>0</v>
      </c>
      <c r="R122" s="44"/>
      <c r="S122" s="44"/>
      <c r="T122" s="44"/>
      <c r="U122" s="44"/>
      <c r="V122" s="44"/>
      <c r="W122" s="44"/>
      <c r="X122" s="45"/>
      <c r="Y122" s="45"/>
      <c r="Z122" s="45"/>
      <c r="AA122" s="45"/>
    </row>
    <row r="123" ht="33.75" customHeight="1">
      <c r="A123" s="46" t="s">
        <v>1549</v>
      </c>
      <c r="B123" s="47" t="s">
        <v>1550</v>
      </c>
      <c r="C123" s="47" t="s">
        <v>36</v>
      </c>
      <c r="D123" s="29" t="s">
        <v>1551</v>
      </c>
      <c r="E123" s="48" t="str">
        <f>IFERROR(__xludf.DUMMYFUNCTION("GOOGLETRANSLATE(D123,""zh-CN"",""vi"")"),"Bố tôi rất chăm chỉ.")</f>
        <v>Bố tôi rất chăm chỉ.</v>
      </c>
      <c r="F123" s="49" t="s">
        <v>1549</v>
      </c>
      <c r="G123" s="50" t="b">
        <f t="shared" si="1"/>
        <v>1</v>
      </c>
      <c r="H123" s="52" t="b">
        <v>1</v>
      </c>
      <c r="I123" s="52" t="b">
        <v>0</v>
      </c>
      <c r="J123" s="52" t="b">
        <v>0</v>
      </c>
      <c r="K123" s="52" t="b">
        <v>0</v>
      </c>
      <c r="L123" s="52" t="b">
        <v>0</v>
      </c>
      <c r="M123" s="52" t="b">
        <v>0</v>
      </c>
      <c r="N123" s="52" t="b">
        <v>0</v>
      </c>
      <c r="O123" s="52" t="b">
        <v>0</v>
      </c>
      <c r="P123" s="52" t="b">
        <v>0</v>
      </c>
      <c r="Q123" s="52" t="b">
        <v>0</v>
      </c>
      <c r="R123" s="44"/>
      <c r="S123" s="44"/>
      <c r="T123" s="44"/>
      <c r="U123" s="44"/>
      <c r="V123" s="44"/>
      <c r="W123" s="44"/>
      <c r="X123" s="45"/>
      <c r="Y123" s="45"/>
      <c r="Z123" s="45"/>
      <c r="AA123" s="45"/>
    </row>
    <row r="124" ht="33.75" customHeight="1">
      <c r="A124" s="46" t="s">
        <v>1553</v>
      </c>
      <c r="B124" s="47" t="s">
        <v>1554</v>
      </c>
      <c r="C124" s="47" t="s">
        <v>1556</v>
      </c>
      <c r="D124" s="29" t="s">
        <v>1557</v>
      </c>
      <c r="E124" s="48" t="str">
        <f>IFERROR(__xludf.DUMMYFUNCTION("GOOGLETRANSLATE(D124,""zh-CN"",""vi"")"),"Chúng ta có thể thanh toán bằng thẻ tín dụng.")</f>
        <v>Chúng ta có thể thanh toán bằng thẻ tín dụng.</v>
      </c>
      <c r="F124" s="49" t="s">
        <v>1553</v>
      </c>
      <c r="G124" s="50" t="b">
        <f t="shared" si="1"/>
        <v>1</v>
      </c>
      <c r="H124" s="52" t="b">
        <v>1</v>
      </c>
      <c r="I124" s="52" t="b">
        <v>0</v>
      </c>
      <c r="J124" s="52" t="b">
        <v>0</v>
      </c>
      <c r="K124" s="52" t="b">
        <v>0</v>
      </c>
      <c r="L124" s="52" t="b">
        <v>0</v>
      </c>
      <c r="M124" s="52" t="b">
        <v>0</v>
      </c>
      <c r="N124" s="52" t="b">
        <v>0</v>
      </c>
      <c r="O124" s="52" t="b">
        <v>0</v>
      </c>
      <c r="P124" s="52" t="b">
        <v>0</v>
      </c>
      <c r="Q124" s="52" t="b">
        <v>0</v>
      </c>
      <c r="R124" s="44"/>
      <c r="S124" s="44"/>
      <c r="T124" s="44"/>
      <c r="U124" s="44"/>
      <c r="V124" s="44"/>
      <c r="W124" s="44"/>
      <c r="X124" s="45"/>
      <c r="Y124" s="45"/>
      <c r="Z124" s="45"/>
      <c r="AA124" s="45"/>
    </row>
    <row r="125" ht="33.75" customHeight="1">
      <c r="A125" s="46" t="s">
        <v>1564</v>
      </c>
      <c r="B125" s="47" t="s">
        <v>1565</v>
      </c>
      <c r="C125" s="47" t="s">
        <v>1566</v>
      </c>
      <c r="D125" s="29" t="s">
        <v>1567</v>
      </c>
      <c r="E125" s="48" t="str">
        <f>IFERROR(__xludf.DUMMYFUNCTION("GOOGLETRANSLATE(D125,""zh-CN"",""vi"")"),"Ông ấy phụ trách công việc này.")</f>
        <v>Ông ấy phụ trách công việc này.</v>
      </c>
      <c r="F125" s="49" t="s">
        <v>1564</v>
      </c>
      <c r="G125" s="50" t="b">
        <f t="shared" si="1"/>
        <v>1</v>
      </c>
      <c r="H125" s="52" t="b">
        <v>1</v>
      </c>
      <c r="I125" s="52" t="b">
        <v>0</v>
      </c>
      <c r="J125" s="52" t="b">
        <v>0</v>
      </c>
      <c r="K125" s="52" t="b">
        <v>0</v>
      </c>
      <c r="L125" s="52" t="b">
        <v>0</v>
      </c>
      <c r="M125" s="52" t="b">
        <v>0</v>
      </c>
      <c r="N125" s="52" t="b">
        <v>0</v>
      </c>
      <c r="O125" s="52" t="b">
        <v>0</v>
      </c>
      <c r="P125" s="52" t="b">
        <v>0</v>
      </c>
      <c r="Q125" s="52" t="b">
        <v>0</v>
      </c>
      <c r="R125" s="44"/>
      <c r="S125" s="44"/>
      <c r="T125" s="44"/>
      <c r="U125" s="44"/>
      <c r="V125" s="44"/>
      <c r="W125" s="44"/>
      <c r="X125" s="45"/>
      <c r="Y125" s="45"/>
      <c r="Z125" s="45"/>
      <c r="AA125" s="45"/>
    </row>
    <row r="126" ht="33.75" customHeight="1">
      <c r="A126" s="46" t="s">
        <v>1568</v>
      </c>
      <c r="B126" s="47" t="s">
        <v>1569</v>
      </c>
      <c r="C126" s="47" t="s">
        <v>1570</v>
      </c>
      <c r="D126" s="29" t="s">
        <v>1572</v>
      </c>
      <c r="E126" s="48" t="str">
        <f>IFERROR(__xludf.DUMMYFUNCTION("GOOGLETRANSLATE(D126,""zh-CN"",""vi"")"),"Vui lòng sao chép tài liệu này cho tôi.")</f>
        <v>Vui lòng sao chép tài liệu này cho tôi.</v>
      </c>
      <c r="F126" s="49" t="s">
        <v>1568</v>
      </c>
      <c r="G126" s="50" t="b">
        <f t="shared" si="1"/>
        <v>1</v>
      </c>
      <c r="H126" s="52" t="b">
        <v>1</v>
      </c>
      <c r="I126" s="52" t="b">
        <v>0</v>
      </c>
      <c r="J126" s="52" t="b">
        <v>0</v>
      </c>
      <c r="K126" s="52" t="b">
        <v>0</v>
      </c>
      <c r="L126" s="52" t="b">
        <v>0</v>
      </c>
      <c r="M126" s="52" t="b">
        <v>0</v>
      </c>
      <c r="N126" s="52" t="b">
        <v>0</v>
      </c>
      <c r="O126" s="52" t="b">
        <v>0</v>
      </c>
      <c r="P126" s="52" t="b">
        <v>0</v>
      </c>
      <c r="Q126" s="52" t="b">
        <v>0</v>
      </c>
      <c r="R126" s="44"/>
      <c r="S126" s="44"/>
      <c r="T126" s="44"/>
      <c r="U126" s="44"/>
      <c r="V126" s="44"/>
      <c r="W126" s="44"/>
      <c r="X126" s="45"/>
      <c r="Y126" s="45"/>
      <c r="Z126" s="45"/>
      <c r="AA126" s="45"/>
    </row>
    <row r="127" ht="33.75" customHeight="1">
      <c r="A127" s="46" t="s">
        <v>1576</v>
      </c>
      <c r="B127" s="47" t="s">
        <v>1578</v>
      </c>
      <c r="C127" s="47" t="s">
        <v>1579</v>
      </c>
      <c r="D127" s="29" t="s">
        <v>1580</v>
      </c>
      <c r="E127" s="48" t="str">
        <f>IFERROR(__xludf.DUMMYFUNCTION("GOOGLETRANSLATE(D127,""zh-CN"",""vi"")"),"Đây là một vấn đề phức tạp.")</f>
        <v>Đây là một vấn đề phức tạp.</v>
      </c>
      <c r="F127" s="49" t="s">
        <v>1576</v>
      </c>
      <c r="G127" s="50" t="b">
        <f t="shared" si="1"/>
        <v>1</v>
      </c>
      <c r="H127" s="52" t="b">
        <v>1</v>
      </c>
      <c r="I127" s="52" t="b">
        <v>0</v>
      </c>
      <c r="J127" s="52" t="b">
        <v>0</v>
      </c>
      <c r="K127" s="52" t="b">
        <v>0</v>
      </c>
      <c r="L127" s="52" t="b">
        <v>0</v>
      </c>
      <c r="M127" s="52" t="b">
        <v>0</v>
      </c>
      <c r="N127" s="52" t="b">
        <v>0</v>
      </c>
      <c r="O127" s="52" t="b">
        <v>0</v>
      </c>
      <c r="P127" s="52" t="b">
        <v>0</v>
      </c>
      <c r="Q127" s="52" t="b">
        <v>0</v>
      </c>
      <c r="R127" s="44"/>
      <c r="S127" s="44"/>
      <c r="T127" s="44"/>
      <c r="U127" s="44"/>
      <c r="V127" s="44"/>
      <c r="W127" s="44"/>
      <c r="X127" s="45"/>
      <c r="Y127" s="45"/>
      <c r="Z127" s="45"/>
      <c r="AA127" s="45"/>
    </row>
    <row r="128" ht="33.75" customHeight="1">
      <c r="A128" s="46" t="s">
        <v>1588</v>
      </c>
      <c r="B128" s="47" t="s">
        <v>1591</v>
      </c>
      <c r="C128" s="47" t="s">
        <v>1593</v>
      </c>
      <c r="D128" s="29" t="s">
        <v>1595</v>
      </c>
      <c r="E128" s="48" t="str">
        <f>IFERROR(__xludf.DUMMYFUNCTION("GOOGLETRANSLATE(D128,""zh-CN"",""vi"")"),"Gia đình họ rất giàu có.")</f>
        <v>Gia đình họ rất giàu có.</v>
      </c>
      <c r="F128" s="49" t="s">
        <v>1588</v>
      </c>
      <c r="G128" s="50" t="b">
        <f t="shared" si="1"/>
        <v>1</v>
      </c>
      <c r="H128" s="52" t="b">
        <v>1</v>
      </c>
      <c r="I128" s="52" t="b">
        <v>0</v>
      </c>
      <c r="J128" s="52" t="b">
        <v>0</v>
      </c>
      <c r="K128" s="52" t="b">
        <v>0</v>
      </c>
      <c r="L128" s="52" t="b">
        <v>0</v>
      </c>
      <c r="M128" s="52" t="b">
        <v>0</v>
      </c>
      <c r="N128" s="52" t="b">
        <v>0</v>
      </c>
      <c r="O128" s="52" t="b">
        <v>0</v>
      </c>
      <c r="P128" s="52" t="b">
        <v>0</v>
      </c>
      <c r="Q128" s="52" t="b">
        <v>0</v>
      </c>
      <c r="R128" s="44"/>
      <c r="S128" s="44"/>
      <c r="T128" s="44"/>
      <c r="U128" s="44"/>
      <c r="V128" s="44"/>
      <c r="W128" s="44"/>
      <c r="X128" s="45"/>
      <c r="Y128" s="45"/>
      <c r="Z128" s="45"/>
      <c r="AA128" s="45"/>
    </row>
    <row r="129" ht="33.75" customHeight="1">
      <c r="A129" s="46" t="s">
        <v>1596</v>
      </c>
      <c r="B129" s="47" t="s">
        <v>1597</v>
      </c>
      <c r="C129" s="47" t="s">
        <v>241</v>
      </c>
      <c r="D129" s="29" t="s">
        <v>1598</v>
      </c>
      <c r="E129" s="48" t="str">
        <f>IFERROR(__xludf.DUMMYFUNCTION("GOOGLETRANSLATE(D129,""zh-CN"",""vi"")"),"Chúng ta cần thay đổi kế hoạch.")</f>
        <v>Chúng ta cần thay đổi kế hoạch.</v>
      </c>
      <c r="F129" s="49" t="s">
        <v>1596</v>
      </c>
      <c r="G129" s="50" t="b">
        <f t="shared" si="1"/>
        <v>1</v>
      </c>
      <c r="H129" s="52" t="b">
        <v>1</v>
      </c>
      <c r="I129" s="52" t="b">
        <v>0</v>
      </c>
      <c r="J129" s="52" t="b">
        <v>0</v>
      </c>
      <c r="K129" s="52" t="b">
        <v>0</v>
      </c>
      <c r="L129" s="52" t="b">
        <v>0</v>
      </c>
      <c r="M129" s="52" t="b">
        <v>0</v>
      </c>
      <c r="N129" s="52" t="b">
        <v>0</v>
      </c>
      <c r="O129" s="52" t="b">
        <v>0</v>
      </c>
      <c r="P129" s="52" t="b">
        <v>0</v>
      </c>
      <c r="Q129" s="52" t="b">
        <v>0</v>
      </c>
      <c r="R129" s="44"/>
      <c r="S129" s="44"/>
      <c r="T129" s="44"/>
      <c r="U129" s="44"/>
      <c r="V129" s="44"/>
      <c r="W129" s="44"/>
      <c r="X129" s="45"/>
      <c r="Y129" s="45"/>
      <c r="Z129" s="45"/>
      <c r="AA129" s="45"/>
    </row>
    <row r="130" ht="33.75" customHeight="1">
      <c r="A130" s="46" t="s">
        <v>1607</v>
      </c>
      <c r="B130" s="47" t="s">
        <v>1609</v>
      </c>
      <c r="C130" s="47" t="s">
        <v>1611</v>
      </c>
      <c r="D130" s="29" t="s">
        <v>1612</v>
      </c>
      <c r="E130" s="48" t="str">
        <f>IFERROR(__xludf.DUMMYFUNCTION("GOOGLETRANSLATE(D130,""zh-CN"",""vi"")"),"Chúc mừng thành công của chúng ta!")</f>
        <v>Chúc mừng thành công của chúng ta!</v>
      </c>
      <c r="F130" s="49" t="s">
        <v>1607</v>
      </c>
      <c r="G130" s="50" t="b">
        <f t="shared" si="1"/>
        <v>1</v>
      </c>
      <c r="H130" s="52" t="b">
        <v>1</v>
      </c>
      <c r="I130" s="52" t="b">
        <v>0</v>
      </c>
      <c r="J130" s="52" t="b">
        <v>0</v>
      </c>
      <c r="K130" s="52" t="b">
        <v>0</v>
      </c>
      <c r="L130" s="52" t="b">
        <v>0</v>
      </c>
      <c r="M130" s="52" t="b">
        <v>0</v>
      </c>
      <c r="N130" s="52" t="b">
        <v>0</v>
      </c>
      <c r="O130" s="52" t="b">
        <v>0</v>
      </c>
      <c r="P130" s="52" t="b">
        <v>0</v>
      </c>
      <c r="Q130" s="52" t="b">
        <v>0</v>
      </c>
      <c r="R130" s="44"/>
      <c r="S130" s="44"/>
      <c r="T130" s="44"/>
      <c r="U130" s="44"/>
      <c r="V130" s="44"/>
      <c r="W130" s="44"/>
      <c r="X130" s="45"/>
      <c r="Y130" s="45"/>
      <c r="Z130" s="45"/>
      <c r="AA130" s="45"/>
    </row>
    <row r="131" ht="33.75" customHeight="1">
      <c r="A131" s="46" t="s">
        <v>1616</v>
      </c>
      <c r="B131" s="47" t="s">
        <v>1183</v>
      </c>
      <c r="C131" s="47" t="s">
        <v>1619</v>
      </c>
      <c r="D131" s="29" t="s">
        <v>1620</v>
      </c>
      <c r="E131" s="48" t="str">
        <f>IFERROR(__xludf.DUMMYFUNCTION("GOOGLETRANSLATE(D131,""zh-CN"",""vi"")"),"Chúng ta phải bắt kịp chuyến tàu.")</f>
        <v>Chúng ta phải bắt kịp chuyến tàu.</v>
      </c>
      <c r="F131" s="49" t="s">
        <v>1616</v>
      </c>
      <c r="G131" s="50" t="b">
        <f t="shared" si="1"/>
        <v>1</v>
      </c>
      <c r="H131" s="52" t="b">
        <v>1</v>
      </c>
      <c r="I131" s="52" t="b">
        <v>0</v>
      </c>
      <c r="J131" s="52" t="b">
        <v>0</v>
      </c>
      <c r="K131" s="52" t="b">
        <v>0</v>
      </c>
      <c r="L131" s="52" t="b">
        <v>0</v>
      </c>
      <c r="M131" s="52" t="b">
        <v>0</v>
      </c>
      <c r="N131" s="52" t="b">
        <v>0</v>
      </c>
      <c r="O131" s="52" t="b">
        <v>0</v>
      </c>
      <c r="P131" s="52" t="b">
        <v>0</v>
      </c>
      <c r="Q131" s="52" t="b">
        <v>0</v>
      </c>
      <c r="R131" s="44"/>
      <c r="S131" s="44"/>
      <c r="T131" s="44"/>
      <c r="U131" s="44"/>
      <c r="V131" s="44"/>
      <c r="W131" s="44"/>
      <c r="X131" s="45"/>
      <c r="Y131" s="45"/>
      <c r="Z131" s="45"/>
      <c r="AA131" s="45"/>
    </row>
    <row r="132" ht="33.75" customHeight="1">
      <c r="A132" s="46" t="s">
        <v>1181</v>
      </c>
      <c r="B132" s="47" t="s">
        <v>1183</v>
      </c>
      <c r="C132" s="47" t="s">
        <v>1184</v>
      </c>
      <c r="D132" s="29" t="s">
        <v>1628</v>
      </c>
      <c r="E132" s="48" t="str">
        <f>IFERROR(__xludf.DUMMYFUNCTION("GOOGLETRANSLATE(D132,""zh-CN"",""vi"")"),"Tôi không dám nói.")</f>
        <v>Tôi không dám nói.</v>
      </c>
      <c r="F132" s="49" t="s">
        <v>1181</v>
      </c>
      <c r="G132" s="50" t="b">
        <f t="shared" si="1"/>
        <v>1</v>
      </c>
      <c r="H132" s="52" t="b">
        <v>1</v>
      </c>
      <c r="I132" s="52" t="b">
        <v>0</v>
      </c>
      <c r="J132" s="52" t="b">
        <v>0</v>
      </c>
      <c r="K132" s="52" t="b">
        <v>0</v>
      </c>
      <c r="L132" s="52" t="b">
        <v>0</v>
      </c>
      <c r="M132" s="52" t="b">
        <v>0</v>
      </c>
      <c r="N132" s="52" t="b">
        <v>0</v>
      </c>
      <c r="O132" s="52" t="b">
        <v>0</v>
      </c>
      <c r="P132" s="52" t="b">
        <v>0</v>
      </c>
      <c r="Q132" s="52" t="b">
        <v>0</v>
      </c>
      <c r="R132" s="44"/>
      <c r="S132" s="44"/>
      <c r="T132" s="44"/>
      <c r="U132" s="44"/>
      <c r="V132" s="44"/>
      <c r="W132" s="44"/>
      <c r="X132" s="45"/>
      <c r="Y132" s="45"/>
      <c r="Z132" s="45"/>
      <c r="AA132" s="45"/>
    </row>
    <row r="133" ht="33.75" customHeight="1">
      <c r="A133" s="46" t="s">
        <v>1634</v>
      </c>
      <c r="B133" s="47" t="s">
        <v>1635</v>
      </c>
      <c r="C133" s="47" t="s">
        <v>1637</v>
      </c>
      <c r="D133" s="29" t="s">
        <v>1638</v>
      </c>
      <c r="E133" s="48" t="str">
        <f>IFERROR(__xludf.DUMMYFUNCTION("GOOGLETRANSLATE(D133,""zh-CN"",""vi"")"),"Câu chuyện của cô ấy đã chạm đến trái tim tôi sâu sắc.")</f>
        <v>Câu chuyện của cô ấy đã chạm đến trái tim tôi sâu sắc.</v>
      </c>
      <c r="F133" s="49" t="s">
        <v>1634</v>
      </c>
      <c r="G133" s="50" t="b">
        <f t="shared" si="1"/>
        <v>1</v>
      </c>
      <c r="H133" s="52" t="b">
        <v>1</v>
      </c>
      <c r="I133" s="52" t="b">
        <v>0</v>
      </c>
      <c r="J133" s="52" t="b">
        <v>0</v>
      </c>
      <c r="K133" s="52" t="b">
        <v>0</v>
      </c>
      <c r="L133" s="52" t="b">
        <v>0</v>
      </c>
      <c r="M133" s="52" t="b">
        <v>0</v>
      </c>
      <c r="N133" s="52" t="b">
        <v>0</v>
      </c>
      <c r="O133" s="52" t="b">
        <v>0</v>
      </c>
      <c r="P133" s="52" t="b">
        <v>0</v>
      </c>
      <c r="Q133" s="52" t="b">
        <v>0</v>
      </c>
      <c r="R133" s="44"/>
      <c r="S133" s="44"/>
      <c r="T133" s="44"/>
      <c r="U133" s="44"/>
      <c r="V133" s="44"/>
      <c r="W133" s="44"/>
      <c r="X133" s="45"/>
      <c r="Y133" s="45"/>
      <c r="Z133" s="45"/>
      <c r="AA133" s="45"/>
    </row>
    <row r="134" ht="33.75" customHeight="1">
      <c r="A134" s="46" t="s">
        <v>1642</v>
      </c>
      <c r="B134" s="47" t="s">
        <v>1643</v>
      </c>
      <c r="C134" s="47" t="s">
        <v>1645</v>
      </c>
      <c r="D134" s="29" t="s">
        <v>1646</v>
      </c>
      <c r="E134" s="48" t="str">
        <f>IFERROR(__xludf.DUMMYFUNCTION("GOOGLETRANSLATE(D134,""zh-CN"",""vi"")"),"Tôi cảm thấy rất mệt mỏi.")</f>
        <v>Tôi cảm thấy rất mệt mỏi.</v>
      </c>
      <c r="F134" s="49" t="s">
        <v>1642</v>
      </c>
      <c r="G134" s="50" t="b">
        <f t="shared" si="1"/>
        <v>1</v>
      </c>
      <c r="H134" s="52" t="b">
        <v>1</v>
      </c>
      <c r="I134" s="52" t="b">
        <v>0</v>
      </c>
      <c r="J134" s="52" t="b">
        <v>0</v>
      </c>
      <c r="K134" s="52" t="b">
        <v>0</v>
      </c>
      <c r="L134" s="52" t="b">
        <v>0</v>
      </c>
      <c r="M134" s="52" t="b">
        <v>0</v>
      </c>
      <c r="N134" s="52" t="b">
        <v>0</v>
      </c>
      <c r="O134" s="52" t="b">
        <v>0</v>
      </c>
      <c r="P134" s="52" t="b">
        <v>0</v>
      </c>
      <c r="Q134" s="52" t="b">
        <v>0</v>
      </c>
      <c r="R134" s="44"/>
      <c r="S134" s="44"/>
      <c r="T134" s="44"/>
      <c r="U134" s="44"/>
      <c r="V134" s="44"/>
      <c r="W134" s="44"/>
      <c r="X134" s="45"/>
      <c r="Y134" s="45"/>
      <c r="Z134" s="45"/>
      <c r="AA134" s="45"/>
    </row>
    <row r="135" ht="33.75" customHeight="1">
      <c r="A135" s="46" t="s">
        <v>1655</v>
      </c>
      <c r="B135" s="47" t="s">
        <v>1657</v>
      </c>
      <c r="C135" s="47" t="s">
        <v>1658</v>
      </c>
      <c r="D135" s="29" t="s">
        <v>1660</v>
      </c>
      <c r="E135" s="48" t="str">
        <f>IFERROR(__xludf.DUMMYFUNCTION("GOOGLETRANSLATE(D135,""zh-CN"",""vi"")"),"Họ có một mối liên kết sâu sắc.")</f>
        <v>Họ có một mối liên kết sâu sắc.</v>
      </c>
      <c r="F135" s="49" t="s">
        <v>1655</v>
      </c>
      <c r="G135" s="50" t="b">
        <f t="shared" si="1"/>
        <v>1</v>
      </c>
      <c r="H135" s="52" t="b">
        <v>1</v>
      </c>
      <c r="I135" s="52" t="b">
        <v>0</v>
      </c>
      <c r="J135" s="52" t="b">
        <v>0</v>
      </c>
      <c r="K135" s="52" t="b">
        <v>0</v>
      </c>
      <c r="L135" s="52" t="b">
        <v>0</v>
      </c>
      <c r="M135" s="52" t="b">
        <v>0</v>
      </c>
      <c r="N135" s="52" t="b">
        <v>0</v>
      </c>
      <c r="O135" s="52" t="b">
        <v>0</v>
      </c>
      <c r="P135" s="52" t="b">
        <v>0</v>
      </c>
      <c r="Q135" s="52" t="b">
        <v>0</v>
      </c>
      <c r="R135" s="44"/>
      <c r="S135" s="44"/>
      <c r="T135" s="44"/>
      <c r="U135" s="44"/>
      <c r="V135" s="44"/>
      <c r="W135" s="44"/>
      <c r="X135" s="45"/>
      <c r="Y135" s="45"/>
      <c r="Z135" s="45"/>
      <c r="AA135" s="45"/>
    </row>
    <row r="136" ht="33.75" customHeight="1">
      <c r="A136" s="46" t="s">
        <v>1665</v>
      </c>
      <c r="B136" s="47" t="s">
        <v>1667</v>
      </c>
      <c r="C136" s="47" t="s">
        <v>1669</v>
      </c>
      <c r="D136" s="29" t="s">
        <v>1670</v>
      </c>
      <c r="E136" s="48" t="str">
        <f>IFERROR(__xludf.DUMMYFUNCTION("GOOGLETRANSLATE(D136,""zh-CN"",""vi"")"),"Cảm ơn bạn rất nhiều vì sự giúp đỡ.")</f>
        <v>Cảm ơn bạn rất nhiều vì sự giúp đỡ.</v>
      </c>
      <c r="F136" s="49" t="s">
        <v>1665</v>
      </c>
      <c r="G136" s="50" t="b">
        <f t="shared" si="1"/>
        <v>1</v>
      </c>
      <c r="H136" s="52" t="b">
        <v>1</v>
      </c>
      <c r="I136" s="52" t="b">
        <v>0</v>
      </c>
      <c r="J136" s="52" t="b">
        <v>0</v>
      </c>
      <c r="K136" s="52" t="b">
        <v>0</v>
      </c>
      <c r="L136" s="52" t="b">
        <v>0</v>
      </c>
      <c r="M136" s="52" t="b">
        <v>0</v>
      </c>
      <c r="N136" s="52" t="b">
        <v>0</v>
      </c>
      <c r="O136" s="52" t="b">
        <v>0</v>
      </c>
      <c r="P136" s="52" t="b">
        <v>0</v>
      </c>
      <c r="Q136" s="52" t="b">
        <v>0</v>
      </c>
      <c r="R136" s="44"/>
      <c r="S136" s="44"/>
      <c r="T136" s="44"/>
      <c r="U136" s="44"/>
      <c r="V136" s="44"/>
      <c r="W136" s="44"/>
      <c r="X136" s="45"/>
      <c r="Y136" s="45"/>
      <c r="Z136" s="45"/>
      <c r="AA136" s="45"/>
    </row>
    <row r="137" ht="33.75" customHeight="1">
      <c r="A137" s="46" t="s">
        <v>1677</v>
      </c>
      <c r="B137" s="47" t="s">
        <v>1679</v>
      </c>
      <c r="C137" s="47" t="s">
        <v>1681</v>
      </c>
      <c r="D137" s="29" t="s">
        <v>1682</v>
      </c>
      <c r="E137" s="48" t="str">
        <f>IFERROR(__xludf.DUMMYFUNCTION("GOOGLETRANSLATE(D137,""zh-CN"",""vi"")"),"Thời tiết khô ráo.")</f>
        <v>Thời tiết khô ráo.</v>
      </c>
      <c r="F137" s="49" t="s">
        <v>1677</v>
      </c>
      <c r="G137" s="50" t="b">
        <f t="shared" si="1"/>
        <v>1</v>
      </c>
      <c r="H137" s="52" t="b">
        <v>1</v>
      </c>
      <c r="I137" s="52" t="b">
        <v>0</v>
      </c>
      <c r="J137" s="52" t="b">
        <v>0</v>
      </c>
      <c r="K137" s="52" t="b">
        <v>0</v>
      </c>
      <c r="L137" s="52" t="b">
        <v>0</v>
      </c>
      <c r="M137" s="52" t="b">
        <v>0</v>
      </c>
      <c r="N137" s="52" t="b">
        <v>0</v>
      </c>
      <c r="O137" s="52" t="b">
        <v>0</v>
      </c>
      <c r="P137" s="52" t="b">
        <v>0</v>
      </c>
      <c r="Q137" s="52" t="b">
        <v>0</v>
      </c>
      <c r="R137" s="44"/>
      <c r="S137" s="44"/>
      <c r="T137" s="44"/>
      <c r="U137" s="44"/>
      <c r="V137" s="44"/>
      <c r="W137" s="44"/>
      <c r="X137" s="45"/>
      <c r="Y137" s="45"/>
      <c r="Z137" s="45"/>
      <c r="AA137" s="45"/>
    </row>
    <row r="138" ht="33.75" customHeight="1">
      <c r="A138" s="46" t="s">
        <v>1689</v>
      </c>
      <c r="B138" s="47" t="s">
        <v>1690</v>
      </c>
      <c r="C138" s="47" t="s">
        <v>1214</v>
      </c>
      <c r="D138" s="29" t="s">
        <v>1692</v>
      </c>
      <c r="E138" s="48" t="str">
        <f>IFERROR(__xludf.DUMMYFUNCTION("GOOGLETRANSLATE(D138,""zh-CN"",""vi"")"),"Tôi vừa về đến nhà.")</f>
        <v>Tôi vừa về đến nhà.</v>
      </c>
      <c r="F138" s="49" t="s">
        <v>1689</v>
      </c>
      <c r="G138" s="50" t="b">
        <f t="shared" si="1"/>
        <v>1</v>
      </c>
      <c r="H138" s="52" t="b">
        <v>1</v>
      </c>
      <c r="I138" s="52" t="b">
        <v>0</v>
      </c>
      <c r="J138" s="52" t="b">
        <v>0</v>
      </c>
      <c r="K138" s="52" t="b">
        <v>0</v>
      </c>
      <c r="L138" s="52" t="b">
        <v>0</v>
      </c>
      <c r="M138" s="52" t="b">
        <v>0</v>
      </c>
      <c r="N138" s="52" t="b">
        <v>0</v>
      </c>
      <c r="O138" s="52" t="b">
        <v>0</v>
      </c>
      <c r="P138" s="52" t="b">
        <v>0</v>
      </c>
      <c r="Q138" s="52" t="b">
        <v>0</v>
      </c>
      <c r="R138" s="44"/>
      <c r="S138" s="44"/>
      <c r="T138" s="44"/>
      <c r="U138" s="44"/>
      <c r="V138" s="44"/>
      <c r="W138" s="44"/>
      <c r="X138" s="45"/>
      <c r="Y138" s="45"/>
      <c r="Z138" s="45"/>
      <c r="AA138" s="45"/>
    </row>
    <row r="139" ht="33.75" customHeight="1">
      <c r="A139" s="46" t="s">
        <v>1700</v>
      </c>
      <c r="B139" s="47" t="s">
        <v>1701</v>
      </c>
      <c r="C139" s="47" t="s">
        <v>1702</v>
      </c>
      <c r="D139" s="29" t="s">
        <v>1703</v>
      </c>
      <c r="E139" s="48" t="str">
        <f>IFERROR(__xludf.DUMMYFUNCTION("GOOGLETRANSLATE(D139,""zh-CN"",""vi"")"),"Chúng tôi đang lái xe trên đường cao tốc.")</f>
        <v>Chúng tôi đang lái xe trên đường cao tốc.</v>
      </c>
      <c r="F139" s="49" t="s">
        <v>1700</v>
      </c>
      <c r="G139" s="50" t="b">
        <f t="shared" si="1"/>
        <v>1</v>
      </c>
      <c r="H139" s="52" t="b">
        <v>1</v>
      </c>
      <c r="I139" s="52" t="b">
        <v>0</v>
      </c>
      <c r="J139" s="52" t="b">
        <v>0</v>
      </c>
      <c r="K139" s="52" t="b">
        <v>0</v>
      </c>
      <c r="L139" s="52" t="b">
        <v>0</v>
      </c>
      <c r="M139" s="52" t="b">
        <v>0</v>
      </c>
      <c r="N139" s="52" t="b">
        <v>0</v>
      </c>
      <c r="O139" s="52" t="b">
        <v>0</v>
      </c>
      <c r="P139" s="52" t="b">
        <v>0</v>
      </c>
      <c r="Q139" s="52" t="b">
        <v>0</v>
      </c>
      <c r="R139" s="44"/>
      <c r="S139" s="44"/>
      <c r="T139" s="44"/>
      <c r="U139" s="44"/>
      <c r="V139" s="44"/>
      <c r="W139" s="44"/>
      <c r="X139" s="45"/>
      <c r="Y139" s="45"/>
      <c r="Z139" s="45"/>
      <c r="AA139" s="45"/>
    </row>
    <row r="140" ht="33.75" customHeight="1">
      <c r="A140" s="46" t="s">
        <v>1710</v>
      </c>
      <c r="B140" s="47" t="s">
        <v>1713</v>
      </c>
      <c r="C140" s="47" t="s">
        <v>1715</v>
      </c>
      <c r="D140" s="29" t="s">
        <v>1717</v>
      </c>
      <c r="E140" s="48" t="str">
        <f>IFERROR(__xludf.DUMMYFUNCTION("GOOGLETRANSLATE(D140,""zh-CN"",""vi"")"),"Tay tôi bị đau.")</f>
        <v>Tay tôi bị đau.</v>
      </c>
      <c r="F140" s="49" t="s">
        <v>1710</v>
      </c>
      <c r="G140" s="50" t="b">
        <f t="shared" si="1"/>
        <v>1</v>
      </c>
      <c r="H140" s="52" t="b">
        <v>1</v>
      </c>
      <c r="I140" s="52" t="b">
        <v>0</v>
      </c>
      <c r="J140" s="52" t="b">
        <v>0</v>
      </c>
      <c r="K140" s="52" t="b">
        <v>0</v>
      </c>
      <c r="L140" s="52" t="b">
        <v>0</v>
      </c>
      <c r="M140" s="52" t="b">
        <v>0</v>
      </c>
      <c r="N140" s="52" t="b">
        <v>0</v>
      </c>
      <c r="O140" s="52" t="b">
        <v>0</v>
      </c>
      <c r="P140" s="52" t="b">
        <v>0</v>
      </c>
      <c r="Q140" s="52" t="b">
        <v>0</v>
      </c>
      <c r="R140" s="44"/>
      <c r="S140" s="44"/>
      <c r="T140" s="44"/>
      <c r="U140" s="44"/>
      <c r="V140" s="44"/>
      <c r="W140" s="44"/>
      <c r="X140" s="45"/>
      <c r="Y140" s="45"/>
      <c r="Z140" s="45"/>
      <c r="AA140" s="45"/>
    </row>
    <row r="141" ht="33.75" customHeight="1">
      <c r="A141" s="46" t="s">
        <v>1719</v>
      </c>
      <c r="B141" s="47" t="s">
        <v>340</v>
      </c>
      <c r="C141" s="47" t="s">
        <v>1720</v>
      </c>
      <c r="D141" s="29" t="s">
        <v>1721</v>
      </c>
      <c r="E141" s="48" t="str">
        <f>IFERROR(__xludf.DUMMYFUNCTION("GOOGLETRANSLATE(D141,""zh-CN"",""vi"")"),"Tất cả các loại trái cây đều ngon.")</f>
        <v>Tất cả các loại trái cây đều ngon.</v>
      </c>
      <c r="F141" s="49" t="s">
        <v>1719</v>
      </c>
      <c r="G141" s="50" t="b">
        <f t="shared" si="1"/>
        <v>1</v>
      </c>
      <c r="H141" s="52" t="b">
        <v>1</v>
      </c>
      <c r="I141" s="52" t="b">
        <v>0</v>
      </c>
      <c r="J141" s="52" t="b">
        <v>0</v>
      </c>
      <c r="K141" s="52" t="b">
        <v>0</v>
      </c>
      <c r="L141" s="52" t="b">
        <v>0</v>
      </c>
      <c r="M141" s="52" t="b">
        <v>0</v>
      </c>
      <c r="N141" s="52" t="b">
        <v>0</v>
      </c>
      <c r="O141" s="52" t="b">
        <v>0</v>
      </c>
      <c r="P141" s="52" t="b">
        <v>0</v>
      </c>
      <c r="Q141" s="52" t="b">
        <v>0</v>
      </c>
      <c r="R141" s="44"/>
      <c r="S141" s="44"/>
      <c r="T141" s="44"/>
      <c r="U141" s="44"/>
      <c r="V141" s="44"/>
      <c r="W141" s="44"/>
      <c r="X141" s="45"/>
      <c r="Y141" s="45"/>
      <c r="Z141" s="45"/>
      <c r="AA141" s="45"/>
    </row>
    <row r="142" ht="33.75" customHeight="1">
      <c r="A142" s="46" t="s">
        <v>1725</v>
      </c>
      <c r="B142" s="47" t="s">
        <v>1728</v>
      </c>
      <c r="C142" s="47" t="s">
        <v>1729</v>
      </c>
      <c r="D142" s="29" t="s">
        <v>1730</v>
      </c>
      <c r="E142" s="48" t="str">
        <f>IFERROR(__xludf.DUMMYFUNCTION("GOOGLETRANSLATE(D142,""zh-CN"",""vi"")"),"Lương tháng của anh ấy rất cao.")</f>
        <v>Lương tháng của anh ấy rất cao.</v>
      </c>
      <c r="F142" s="49" t="s">
        <v>1725</v>
      </c>
      <c r="G142" s="50" t="b">
        <f t="shared" si="1"/>
        <v>1</v>
      </c>
      <c r="H142" s="52" t="b">
        <v>1</v>
      </c>
      <c r="I142" s="52" t="b">
        <v>0</v>
      </c>
      <c r="J142" s="52" t="b">
        <v>0</v>
      </c>
      <c r="K142" s="52" t="b">
        <v>0</v>
      </c>
      <c r="L142" s="52" t="b">
        <v>0</v>
      </c>
      <c r="M142" s="52" t="b">
        <v>0</v>
      </c>
      <c r="N142" s="52" t="b">
        <v>0</v>
      </c>
      <c r="O142" s="52" t="b">
        <v>0</v>
      </c>
      <c r="P142" s="52" t="b">
        <v>0</v>
      </c>
      <c r="Q142" s="52" t="b">
        <v>0</v>
      </c>
      <c r="R142" s="44"/>
      <c r="S142" s="44"/>
      <c r="T142" s="44"/>
      <c r="U142" s="44"/>
      <c r="V142" s="44"/>
      <c r="W142" s="44"/>
      <c r="X142" s="45"/>
      <c r="Y142" s="45"/>
      <c r="Z142" s="45"/>
      <c r="AA142" s="45"/>
    </row>
    <row r="143" ht="33.75" customHeight="1">
      <c r="A143" s="46" t="s">
        <v>1735</v>
      </c>
      <c r="B143" s="47" t="s">
        <v>1736</v>
      </c>
      <c r="C143" s="47" t="s">
        <v>1737</v>
      </c>
      <c r="D143" s="29" t="s">
        <v>1738</v>
      </c>
      <c r="E143" s="48" t="str">
        <f>IFERROR(__xludf.DUMMYFUNCTION("GOOGLETRANSLATE(D143,""zh-CN"",""vi"")"),"Chúng tôi đã đi bộ một cây số.")</f>
        <v>Chúng tôi đã đi bộ một cây số.</v>
      </c>
      <c r="F143" s="49" t="s">
        <v>1735</v>
      </c>
      <c r="G143" s="50" t="b">
        <f t="shared" si="1"/>
        <v>1</v>
      </c>
      <c r="H143" s="52" t="b">
        <v>1</v>
      </c>
      <c r="I143" s="52" t="b">
        <v>0</v>
      </c>
      <c r="J143" s="52" t="b">
        <v>0</v>
      </c>
      <c r="K143" s="52" t="b">
        <v>0</v>
      </c>
      <c r="L143" s="52" t="b">
        <v>0</v>
      </c>
      <c r="M143" s="52" t="b">
        <v>0</v>
      </c>
      <c r="N143" s="52" t="b">
        <v>0</v>
      </c>
      <c r="O143" s="52" t="b">
        <v>0</v>
      </c>
      <c r="P143" s="52" t="b">
        <v>0</v>
      </c>
      <c r="Q143" s="52" t="b">
        <v>0</v>
      </c>
      <c r="R143" s="44"/>
      <c r="S143" s="44"/>
      <c r="T143" s="44"/>
      <c r="U143" s="44"/>
      <c r="V143" s="44"/>
      <c r="W143" s="44"/>
      <c r="X143" s="45"/>
      <c r="Y143" s="45"/>
      <c r="Z143" s="45"/>
      <c r="AA143" s="45"/>
    </row>
    <row r="144" ht="33.75" customHeight="1">
      <c r="A144" s="46" t="s">
        <v>1740</v>
      </c>
      <c r="B144" s="47" t="s">
        <v>1742</v>
      </c>
      <c r="C144" s="47" t="s">
        <v>1745</v>
      </c>
      <c r="D144" s="29" t="s">
        <v>1746</v>
      </c>
      <c r="E144" s="48" t="str">
        <f>IFERROR(__xludf.DUMMYFUNCTION("GOOGLETRANSLATE(D144,""zh-CN"",""vi"")"),"Anh ấy rất giỏi võ thuật.")</f>
        <v>Anh ấy rất giỏi võ thuật.</v>
      </c>
      <c r="F144" s="49" t="s">
        <v>1740</v>
      </c>
      <c r="G144" s="50" t="b">
        <f t="shared" si="1"/>
        <v>1</v>
      </c>
      <c r="H144" s="52" t="b">
        <v>1</v>
      </c>
      <c r="I144" s="52" t="b">
        <v>0</v>
      </c>
      <c r="J144" s="52" t="b">
        <v>0</v>
      </c>
      <c r="K144" s="52" t="b">
        <v>0</v>
      </c>
      <c r="L144" s="52" t="b">
        <v>0</v>
      </c>
      <c r="M144" s="52" t="b">
        <v>0</v>
      </c>
      <c r="N144" s="52" t="b">
        <v>0</v>
      </c>
      <c r="O144" s="52" t="b">
        <v>0</v>
      </c>
      <c r="P144" s="52" t="b">
        <v>0</v>
      </c>
      <c r="Q144" s="52" t="b">
        <v>0</v>
      </c>
      <c r="R144" s="44"/>
      <c r="S144" s="44"/>
      <c r="T144" s="44"/>
      <c r="U144" s="44"/>
      <c r="V144" s="44"/>
      <c r="W144" s="44"/>
      <c r="X144" s="45"/>
      <c r="Y144" s="45"/>
      <c r="Z144" s="45"/>
      <c r="AA144" s="45"/>
    </row>
    <row r="145" ht="33.75" customHeight="1">
      <c r="A145" s="46" t="s">
        <v>1754</v>
      </c>
      <c r="B145" s="47" t="s">
        <v>1755</v>
      </c>
      <c r="C145" s="47" t="s">
        <v>1756</v>
      </c>
      <c r="D145" s="29" t="s">
        <v>1757</v>
      </c>
      <c r="E145" s="48" t="str">
        <f>IFERROR(__xludf.DUMMYFUNCTION("GOOGLETRANSLATE(D145,""zh-CN"",""vi"")"),"Chúng ta có những sở thích chung.")</f>
        <v>Chúng ta có những sở thích chung.</v>
      </c>
      <c r="F145" s="49" t="s">
        <v>1754</v>
      </c>
      <c r="G145" s="50" t="b">
        <f t="shared" si="1"/>
        <v>1</v>
      </c>
      <c r="H145" s="52" t="b">
        <v>1</v>
      </c>
      <c r="I145" s="52" t="b">
        <v>0</v>
      </c>
      <c r="J145" s="52" t="b">
        <v>0</v>
      </c>
      <c r="K145" s="52" t="b">
        <v>0</v>
      </c>
      <c r="L145" s="52" t="b">
        <v>0</v>
      </c>
      <c r="M145" s="52" t="b">
        <v>0</v>
      </c>
      <c r="N145" s="52" t="b">
        <v>0</v>
      </c>
      <c r="O145" s="52" t="b">
        <v>0</v>
      </c>
      <c r="P145" s="52" t="b">
        <v>0</v>
      </c>
      <c r="Q145" s="52" t="b">
        <v>0</v>
      </c>
      <c r="R145" s="44"/>
      <c r="S145" s="44"/>
      <c r="T145" s="44"/>
      <c r="U145" s="44"/>
      <c r="V145" s="44"/>
      <c r="W145" s="44"/>
      <c r="X145" s="45"/>
      <c r="Y145" s="45"/>
      <c r="Z145" s="45"/>
      <c r="AA145" s="45"/>
    </row>
    <row r="146" ht="33.75" customHeight="1">
      <c r="A146" s="46" t="s">
        <v>1762</v>
      </c>
      <c r="B146" s="47" t="s">
        <v>1763</v>
      </c>
      <c r="C146" s="47" t="s">
        <v>1764</v>
      </c>
      <c r="D146" s="29" t="s">
        <v>1766</v>
      </c>
      <c r="E146" s="48" t="str">
        <f>IFERROR(__xludf.DUMMYFUNCTION("GOOGLETRANSLATE(D146,""zh-CN"",""vi"")"),"Tôi thích mua sắm.")</f>
        <v>Tôi thích mua sắm.</v>
      </c>
      <c r="F146" s="49" t="s">
        <v>1762</v>
      </c>
      <c r="G146" s="50" t="b">
        <f t="shared" si="1"/>
        <v>1</v>
      </c>
      <c r="H146" s="52" t="b">
        <v>1</v>
      </c>
      <c r="I146" s="52" t="b">
        <v>0</v>
      </c>
      <c r="J146" s="52" t="b">
        <v>0</v>
      </c>
      <c r="K146" s="52" t="b">
        <v>0</v>
      </c>
      <c r="L146" s="52" t="b">
        <v>0</v>
      </c>
      <c r="M146" s="52" t="b">
        <v>0</v>
      </c>
      <c r="N146" s="52" t="b">
        <v>0</v>
      </c>
      <c r="O146" s="52" t="b">
        <v>0</v>
      </c>
      <c r="P146" s="52" t="b">
        <v>0</v>
      </c>
      <c r="Q146" s="52" t="b">
        <v>0</v>
      </c>
      <c r="R146" s="44"/>
      <c r="S146" s="44"/>
      <c r="T146" s="44"/>
      <c r="U146" s="44"/>
      <c r="V146" s="44"/>
      <c r="W146" s="44"/>
      <c r="X146" s="45"/>
      <c r="Y146" s="45"/>
      <c r="Z146" s="45"/>
      <c r="AA146" s="45"/>
    </row>
    <row r="147" ht="33.75" customHeight="1">
      <c r="A147" s="46" t="s">
        <v>1774</v>
      </c>
      <c r="B147" s="47" t="s">
        <v>1775</v>
      </c>
      <c r="C147" s="47" t="s">
        <v>1776</v>
      </c>
      <c r="D147" s="29" t="s">
        <v>1777</v>
      </c>
      <c r="E147" s="48" t="str">
        <f>IFERROR(__xludf.DUMMYFUNCTION("GOOGLETRANSLATE(D147,""zh-CN"",""vi"")"),"Có đủ trái cây cho chúng ta ăn.")</f>
        <v>Có đủ trái cây cho chúng ta ăn.</v>
      </c>
      <c r="F147" s="49" t="s">
        <v>1774</v>
      </c>
      <c r="G147" s="50" t="b">
        <f t="shared" si="1"/>
        <v>1</v>
      </c>
      <c r="H147" s="52" t="b">
        <v>1</v>
      </c>
      <c r="I147" s="52" t="b">
        <v>0</v>
      </c>
      <c r="J147" s="52" t="b">
        <v>0</v>
      </c>
      <c r="K147" s="52" t="b">
        <v>0</v>
      </c>
      <c r="L147" s="52" t="b">
        <v>0</v>
      </c>
      <c r="M147" s="52" t="b">
        <v>0</v>
      </c>
      <c r="N147" s="52" t="b">
        <v>0</v>
      </c>
      <c r="O147" s="52" t="b">
        <v>0</v>
      </c>
      <c r="P147" s="52" t="b">
        <v>0</v>
      </c>
      <c r="Q147" s="52" t="b">
        <v>0</v>
      </c>
      <c r="R147" s="44"/>
      <c r="S147" s="44"/>
      <c r="T147" s="44"/>
      <c r="U147" s="44"/>
      <c r="V147" s="44"/>
      <c r="W147" s="44"/>
      <c r="X147" s="45"/>
      <c r="Y147" s="45"/>
      <c r="Z147" s="45"/>
      <c r="AA147" s="45"/>
    </row>
    <row r="148" ht="33.75" customHeight="1">
      <c r="A148" s="46" t="s">
        <v>1795</v>
      </c>
      <c r="B148" s="47" t="s">
        <v>1797</v>
      </c>
      <c r="C148" s="47" t="s">
        <v>1798</v>
      </c>
      <c r="D148" s="29" t="s">
        <v>1800</v>
      </c>
      <c r="E148" s="48" t="str">
        <f>IFERROR(__xludf.DUMMYFUNCTION("GOOGLETRANSLATE(D148,""zh-CN"",""vi"")"),"Tôi nghĩ hôm nay anh ấy sẽ không đến.")</f>
        <v>Tôi nghĩ hôm nay anh ấy sẽ không đến.</v>
      </c>
      <c r="F148" s="49" t="s">
        <v>1795</v>
      </c>
      <c r="G148" s="50" t="b">
        <f t="shared" si="1"/>
        <v>1</v>
      </c>
      <c r="H148" s="52" t="b">
        <v>1</v>
      </c>
      <c r="I148" s="52" t="b">
        <v>0</v>
      </c>
      <c r="J148" s="52" t="b">
        <v>0</v>
      </c>
      <c r="K148" s="52" t="b">
        <v>0</v>
      </c>
      <c r="L148" s="52" t="b">
        <v>0</v>
      </c>
      <c r="M148" s="52" t="b">
        <v>0</v>
      </c>
      <c r="N148" s="52" t="b">
        <v>0</v>
      </c>
      <c r="O148" s="52" t="b">
        <v>0</v>
      </c>
      <c r="P148" s="52" t="b">
        <v>0</v>
      </c>
      <c r="Q148" s="52" t="b">
        <v>0</v>
      </c>
      <c r="R148" s="44"/>
      <c r="S148" s="44"/>
      <c r="T148" s="44"/>
      <c r="U148" s="44"/>
      <c r="V148" s="44"/>
      <c r="W148" s="44"/>
      <c r="X148" s="45"/>
      <c r="Y148" s="45"/>
      <c r="Z148" s="45"/>
      <c r="AA148" s="45"/>
    </row>
    <row r="149" ht="33.75" customHeight="1">
      <c r="A149" s="46" t="s">
        <v>1802</v>
      </c>
      <c r="B149" s="47" t="s">
        <v>1804</v>
      </c>
      <c r="C149" s="47" t="s">
        <v>1806</v>
      </c>
      <c r="D149" s="29" t="s">
        <v>1807</v>
      </c>
      <c r="E149" s="48" t="str">
        <f>IFERROR(__xludf.DUMMYFUNCTION("GOOGLETRANSLATE(D149,""zh-CN"",""vi"")"),"Anh ấy thường động viên tôi.")</f>
        <v>Anh ấy thường động viên tôi.</v>
      </c>
      <c r="F149" s="49" t="s">
        <v>1802</v>
      </c>
      <c r="G149" s="50" t="b">
        <f t="shared" si="1"/>
        <v>1</v>
      </c>
      <c r="H149" s="52" t="b">
        <v>1</v>
      </c>
      <c r="I149" s="52" t="b">
        <v>0</v>
      </c>
      <c r="J149" s="52" t="b">
        <v>0</v>
      </c>
      <c r="K149" s="52" t="b">
        <v>0</v>
      </c>
      <c r="L149" s="52" t="b">
        <v>0</v>
      </c>
      <c r="M149" s="52" t="b">
        <v>0</v>
      </c>
      <c r="N149" s="52" t="b">
        <v>0</v>
      </c>
      <c r="O149" s="52" t="b">
        <v>0</v>
      </c>
      <c r="P149" s="52" t="b">
        <v>0</v>
      </c>
      <c r="Q149" s="52" t="b">
        <v>0</v>
      </c>
      <c r="R149" s="44"/>
      <c r="S149" s="44"/>
      <c r="T149" s="44"/>
      <c r="U149" s="44"/>
      <c r="V149" s="44"/>
      <c r="W149" s="44"/>
      <c r="X149" s="45"/>
      <c r="Y149" s="45"/>
      <c r="Z149" s="45"/>
      <c r="AA149" s="45"/>
    </row>
    <row r="150" ht="33.75" customHeight="1">
      <c r="A150" s="46" t="s">
        <v>1814</v>
      </c>
      <c r="B150" s="47" t="s">
        <v>1815</v>
      </c>
      <c r="C150" s="47" t="s">
        <v>1816</v>
      </c>
      <c r="D150" s="29" t="s">
        <v>1817</v>
      </c>
      <c r="E150" s="48" t="str">
        <f>IFERROR(__xludf.DUMMYFUNCTION("GOOGLETRANSLATE(D150,""zh-CN"",""vi"")"),"Anh ta cố tình tránh trả lời câu hỏi của tôi.")</f>
        <v>Anh ta cố tình tránh trả lời câu hỏi của tôi.</v>
      </c>
      <c r="F150" s="49" t="s">
        <v>1814</v>
      </c>
      <c r="G150" s="50" t="b">
        <f t="shared" si="1"/>
        <v>1</v>
      </c>
      <c r="H150" s="52" t="b">
        <v>1</v>
      </c>
      <c r="I150" s="52" t="b">
        <v>0</v>
      </c>
      <c r="J150" s="52" t="b">
        <v>0</v>
      </c>
      <c r="K150" s="52" t="b">
        <v>0</v>
      </c>
      <c r="L150" s="52" t="b">
        <v>0</v>
      </c>
      <c r="M150" s="52" t="b">
        <v>0</v>
      </c>
      <c r="N150" s="52" t="b">
        <v>0</v>
      </c>
      <c r="O150" s="52" t="b">
        <v>0</v>
      </c>
      <c r="P150" s="52" t="b">
        <v>0</v>
      </c>
      <c r="Q150" s="52" t="b">
        <v>0</v>
      </c>
      <c r="R150" s="44"/>
      <c r="S150" s="44"/>
      <c r="T150" s="44"/>
      <c r="U150" s="44"/>
      <c r="V150" s="44"/>
      <c r="W150" s="44"/>
      <c r="X150" s="45"/>
      <c r="Y150" s="45"/>
      <c r="Z150" s="45"/>
      <c r="AA150" s="45"/>
    </row>
    <row r="151" ht="33.75" customHeight="1">
      <c r="A151" s="46" t="s">
        <v>1826</v>
      </c>
      <c r="B151" s="47" t="s">
        <v>1827</v>
      </c>
      <c r="C151" s="47" t="s">
        <v>1828</v>
      </c>
      <c r="D151" s="29" t="s">
        <v>1829</v>
      </c>
      <c r="E151" s="48" t="str">
        <f>IFERROR(__xludf.DUMMYFUNCTION("GOOGLETRANSLATE(D151,""zh-CN"",""vi"")"),"Cửa hàng này có rất nhiều khách hàng.")</f>
        <v>Cửa hàng này có rất nhiều khách hàng.</v>
      </c>
      <c r="F151" s="49" t="s">
        <v>1826</v>
      </c>
      <c r="G151" s="50" t="b">
        <f t="shared" si="1"/>
        <v>1</v>
      </c>
      <c r="H151" s="52" t="b">
        <v>0</v>
      </c>
      <c r="I151" s="52" t="b">
        <v>0</v>
      </c>
      <c r="J151" s="52" t="b">
        <v>0</v>
      </c>
      <c r="K151" s="52" t="b">
        <v>0</v>
      </c>
      <c r="L151" s="52" t="b">
        <v>0</v>
      </c>
      <c r="M151" s="52" t="b">
        <v>0</v>
      </c>
      <c r="N151" s="52" t="b">
        <v>0</v>
      </c>
      <c r="O151" s="52" t="b">
        <v>0</v>
      </c>
      <c r="P151" s="52" t="b">
        <v>0</v>
      </c>
      <c r="Q151" s="52" t="b">
        <v>0</v>
      </c>
      <c r="R151" s="44"/>
      <c r="S151" s="44"/>
      <c r="T151" s="44"/>
      <c r="U151" s="44"/>
      <c r="V151" s="44"/>
      <c r="W151" s="44"/>
      <c r="X151" s="45"/>
      <c r="Y151" s="45"/>
      <c r="Z151" s="45"/>
      <c r="AA151" s="45"/>
    </row>
    <row r="152" ht="33.75" customHeight="1">
      <c r="A152" s="46" t="s">
        <v>1834</v>
      </c>
      <c r="B152" s="47" t="s">
        <v>1836</v>
      </c>
      <c r="C152" s="47" t="s">
        <v>1838</v>
      </c>
      <c r="D152" s="29" t="s">
        <v>1841</v>
      </c>
      <c r="E152" s="48" t="str">
        <f>IFERROR(__xludf.DUMMYFUNCTION("GOOGLETRANSLATE(D152,""zh-CN"",""vi"")"),"Hãy treo quần áo lên.")</f>
        <v>Hãy treo quần áo lên.</v>
      </c>
      <c r="F152" s="49" t="s">
        <v>1834</v>
      </c>
      <c r="G152" s="50" t="b">
        <f t="shared" si="1"/>
        <v>1</v>
      </c>
      <c r="H152" s="52" t="b">
        <v>0</v>
      </c>
      <c r="I152" s="52" t="b">
        <v>0</v>
      </c>
      <c r="J152" s="52" t="b">
        <v>0</v>
      </c>
      <c r="K152" s="52" t="b">
        <v>0</v>
      </c>
      <c r="L152" s="52" t="b">
        <v>0</v>
      </c>
      <c r="M152" s="52" t="b">
        <v>0</v>
      </c>
      <c r="N152" s="52" t="b">
        <v>0</v>
      </c>
      <c r="O152" s="52" t="b">
        <v>0</v>
      </c>
      <c r="P152" s="52" t="b">
        <v>0</v>
      </c>
      <c r="Q152" s="52" t="b">
        <v>0</v>
      </c>
      <c r="R152" s="44"/>
      <c r="S152" s="44"/>
      <c r="T152" s="44"/>
      <c r="U152" s="44"/>
      <c r="V152" s="44"/>
      <c r="W152" s="44"/>
      <c r="X152" s="45"/>
      <c r="Y152" s="45"/>
      <c r="Z152" s="45"/>
      <c r="AA152" s="45"/>
    </row>
    <row r="153" ht="33.75" customHeight="1">
      <c r="A153" s="46" t="s">
        <v>1850</v>
      </c>
      <c r="B153" s="47" t="s">
        <v>1852</v>
      </c>
      <c r="C153" s="47" t="s">
        <v>1854</v>
      </c>
      <c r="D153" s="29" t="s">
        <v>1855</v>
      </c>
      <c r="E153" s="48" t="str">
        <f>IFERROR(__xludf.DUMMYFUNCTION("GOOGLETRANSLATE(D153,""zh-CN"",""vi"")"),"Đây chính là mấu chốt của vấn đề.")</f>
        <v>Đây chính là mấu chốt của vấn đề.</v>
      </c>
      <c r="F153" s="49" t="s">
        <v>1850</v>
      </c>
      <c r="G153" s="50" t="b">
        <f t="shared" si="1"/>
        <v>1</v>
      </c>
      <c r="H153" s="52" t="b">
        <v>0</v>
      </c>
      <c r="I153" s="52" t="b">
        <v>0</v>
      </c>
      <c r="J153" s="52" t="b">
        <v>0</v>
      </c>
      <c r="K153" s="52" t="b">
        <v>0</v>
      </c>
      <c r="L153" s="52" t="b">
        <v>0</v>
      </c>
      <c r="M153" s="52" t="b">
        <v>0</v>
      </c>
      <c r="N153" s="52" t="b">
        <v>0</v>
      </c>
      <c r="O153" s="52" t="b">
        <v>0</v>
      </c>
      <c r="P153" s="52" t="b">
        <v>0</v>
      </c>
      <c r="Q153" s="52" t="b">
        <v>0</v>
      </c>
      <c r="R153" s="44"/>
      <c r="S153" s="44"/>
      <c r="T153" s="44"/>
      <c r="U153" s="44"/>
      <c r="V153" s="44"/>
      <c r="W153" s="44"/>
      <c r="X153" s="45"/>
      <c r="Y153" s="45"/>
      <c r="Z153" s="45"/>
      <c r="AA153" s="45"/>
    </row>
    <row r="154" ht="33.75" customHeight="1">
      <c r="A154" s="46" t="s">
        <v>1860</v>
      </c>
      <c r="B154" s="47" t="s">
        <v>1862</v>
      </c>
      <c r="C154" s="47" t="s">
        <v>1864</v>
      </c>
      <c r="D154" s="29" t="s">
        <v>1866</v>
      </c>
      <c r="E154" s="48" t="str">
        <f>IFERROR(__xludf.DUMMYFUNCTION("GOOGLETRANSLATE(D154,""zh-CN"",""vi"")"),"Khán giả rất hài lòng.")</f>
        <v>Khán giả rất hài lòng.</v>
      </c>
      <c r="F154" s="49" t="s">
        <v>1860</v>
      </c>
      <c r="G154" s="50" t="b">
        <f t="shared" si="1"/>
        <v>1</v>
      </c>
      <c r="H154" s="52" t="b">
        <v>0</v>
      </c>
      <c r="I154" s="52" t="b">
        <v>0</v>
      </c>
      <c r="J154" s="52" t="b">
        <v>0</v>
      </c>
      <c r="K154" s="52" t="b">
        <v>0</v>
      </c>
      <c r="L154" s="52" t="b">
        <v>0</v>
      </c>
      <c r="M154" s="52" t="b">
        <v>0</v>
      </c>
      <c r="N154" s="52" t="b">
        <v>0</v>
      </c>
      <c r="O154" s="52" t="b">
        <v>0</v>
      </c>
      <c r="P154" s="52" t="b">
        <v>0</v>
      </c>
      <c r="Q154" s="52" t="b">
        <v>0</v>
      </c>
      <c r="R154" s="44"/>
      <c r="S154" s="44"/>
      <c r="T154" s="44"/>
      <c r="U154" s="44"/>
      <c r="V154" s="44"/>
      <c r="W154" s="44"/>
      <c r="X154" s="45"/>
      <c r="Y154" s="45"/>
      <c r="Z154" s="45"/>
      <c r="AA154" s="45"/>
    </row>
    <row r="155" ht="33.75" customHeight="1">
      <c r="A155" s="46" t="s">
        <v>1874</v>
      </c>
      <c r="B155" s="47" t="s">
        <v>1875</v>
      </c>
      <c r="C155" s="47" t="s">
        <v>1876</v>
      </c>
      <c r="D155" s="29" t="s">
        <v>1877</v>
      </c>
      <c r="E155" s="48" t="str">
        <f>IFERROR(__xludf.DUMMYFUNCTION("GOOGLETRANSLATE(D155,""zh-CN"",""vi"")"),"Anh ấy chịu trách nhiệm quản lý dự án này.")</f>
        <v>Anh ấy chịu trách nhiệm quản lý dự án này.</v>
      </c>
      <c r="F155" s="49" t="s">
        <v>1874</v>
      </c>
      <c r="G155" s="50" t="b">
        <f t="shared" si="1"/>
        <v>1</v>
      </c>
      <c r="H155" s="52" t="b">
        <v>0</v>
      </c>
      <c r="I155" s="52" t="b">
        <v>0</v>
      </c>
      <c r="J155" s="52" t="b">
        <v>0</v>
      </c>
      <c r="K155" s="52" t="b">
        <v>0</v>
      </c>
      <c r="L155" s="52" t="b">
        <v>0</v>
      </c>
      <c r="M155" s="52" t="b">
        <v>0</v>
      </c>
      <c r="N155" s="52" t="b">
        <v>0</v>
      </c>
      <c r="O155" s="52" t="b">
        <v>0</v>
      </c>
      <c r="P155" s="52" t="b">
        <v>0</v>
      </c>
      <c r="Q155" s="52" t="b">
        <v>0</v>
      </c>
      <c r="R155" s="44"/>
      <c r="S155" s="44"/>
      <c r="T155" s="44"/>
      <c r="U155" s="44"/>
      <c r="V155" s="44"/>
      <c r="W155" s="44"/>
      <c r="X155" s="45"/>
      <c r="Y155" s="45"/>
      <c r="Z155" s="45"/>
      <c r="AA155" s="45"/>
    </row>
    <row r="156" ht="33.75" customHeight="1">
      <c r="A156" s="46" t="s">
        <v>1890</v>
      </c>
      <c r="B156" s="47" t="s">
        <v>1891</v>
      </c>
      <c r="C156" s="47" t="s">
        <v>1892</v>
      </c>
      <c r="D156" s="29" t="s">
        <v>1893</v>
      </c>
      <c r="E156" s="48" t="str">
        <f>IFERROR(__xludf.DUMMYFUNCTION("GOOGLETRANSLATE(D156,""zh-CN"",""vi"")"),"Chúng tôi đã ăn hết mọi thứ trước khi bạn đến.")</f>
        <v>Chúng tôi đã ăn hết mọi thứ trước khi bạn đến.</v>
      </c>
      <c r="F156" s="49" t="s">
        <v>1890</v>
      </c>
      <c r="G156" s="50" t="b">
        <f t="shared" si="1"/>
        <v>1</v>
      </c>
      <c r="H156" s="52" t="b">
        <v>0</v>
      </c>
      <c r="I156" s="52" t="b">
        <v>0</v>
      </c>
      <c r="J156" s="52" t="b">
        <v>0</v>
      </c>
      <c r="K156" s="52" t="b">
        <v>0</v>
      </c>
      <c r="L156" s="52" t="b">
        <v>0</v>
      </c>
      <c r="M156" s="52" t="b">
        <v>0</v>
      </c>
      <c r="N156" s="52" t="b">
        <v>0</v>
      </c>
      <c r="O156" s="52" t="b">
        <v>0</v>
      </c>
      <c r="P156" s="52" t="b">
        <v>0</v>
      </c>
      <c r="Q156" s="52" t="b">
        <v>0</v>
      </c>
      <c r="R156" s="44"/>
      <c r="S156" s="44"/>
      <c r="T156" s="44"/>
      <c r="U156" s="44"/>
      <c r="V156" s="44"/>
      <c r="W156" s="44"/>
      <c r="X156" s="45"/>
      <c r="Y156" s="45"/>
      <c r="Z156" s="45"/>
      <c r="AA156" s="45"/>
    </row>
    <row r="157" ht="33.75" customHeight="1">
      <c r="A157" s="46" t="s">
        <v>1897</v>
      </c>
      <c r="B157" s="47" t="s">
        <v>1898</v>
      </c>
      <c r="C157" s="47" t="s">
        <v>1899</v>
      </c>
      <c r="D157" s="29" t="s">
        <v>1900</v>
      </c>
      <c r="E157" s="48" t="str">
        <f>IFERROR(__xludf.DUMMYFUNCTION("GOOGLETRANSLATE(D157,""zh-CN"",""vi"")"),"Tôi nghe đài mỗi ngày.")</f>
        <v>Tôi nghe đài mỗi ngày.</v>
      </c>
      <c r="F157" s="49" t="s">
        <v>1897</v>
      </c>
      <c r="G157" s="50" t="b">
        <f t="shared" si="1"/>
        <v>1</v>
      </c>
      <c r="H157" s="52" t="b">
        <v>0</v>
      </c>
      <c r="I157" s="52" t="b">
        <v>0</v>
      </c>
      <c r="J157" s="52" t="b">
        <v>0</v>
      </c>
      <c r="K157" s="52" t="b">
        <v>0</v>
      </c>
      <c r="L157" s="52" t="b">
        <v>0</v>
      </c>
      <c r="M157" s="52" t="b">
        <v>0</v>
      </c>
      <c r="N157" s="52" t="b">
        <v>0</v>
      </c>
      <c r="O157" s="52" t="b">
        <v>0</v>
      </c>
      <c r="P157" s="52" t="b">
        <v>0</v>
      </c>
      <c r="Q157" s="52" t="b">
        <v>0</v>
      </c>
      <c r="R157" s="44"/>
      <c r="S157" s="44"/>
      <c r="T157" s="44"/>
      <c r="U157" s="44"/>
      <c r="V157" s="44"/>
      <c r="W157" s="44"/>
      <c r="X157" s="45"/>
      <c r="Y157" s="45"/>
      <c r="Z157" s="45"/>
      <c r="AA157" s="45"/>
    </row>
    <row r="158" ht="33.75" customHeight="1">
      <c r="A158" s="46" t="s">
        <v>1913</v>
      </c>
      <c r="B158" s="47" t="s">
        <v>1914</v>
      </c>
      <c r="C158" s="47" t="s">
        <v>1915</v>
      </c>
      <c r="D158" s="29" t="s">
        <v>1916</v>
      </c>
      <c r="E158" s="48" t="str">
        <f>IFERROR(__xludf.DUMMYFUNCTION("GOOGLETRANSLATE(D158,""zh-CN"",""vi"")"),"Trên truyền hình có rất nhiều quảng cáo.")</f>
        <v>Trên truyền hình có rất nhiều quảng cáo.</v>
      </c>
      <c r="F158" s="49" t="s">
        <v>1913</v>
      </c>
      <c r="G158" s="50" t="b">
        <f t="shared" si="1"/>
        <v>1</v>
      </c>
      <c r="H158" s="52" t="b">
        <v>0</v>
      </c>
      <c r="I158" s="52" t="b">
        <v>0</v>
      </c>
      <c r="J158" s="52" t="b">
        <v>0</v>
      </c>
      <c r="K158" s="52" t="b">
        <v>0</v>
      </c>
      <c r="L158" s="52" t="b">
        <v>0</v>
      </c>
      <c r="M158" s="52" t="b">
        <v>0</v>
      </c>
      <c r="N158" s="52" t="b">
        <v>0</v>
      </c>
      <c r="O158" s="52" t="b">
        <v>0</v>
      </c>
      <c r="P158" s="52" t="b">
        <v>0</v>
      </c>
      <c r="Q158" s="52" t="b">
        <v>0</v>
      </c>
      <c r="R158" s="44"/>
      <c r="S158" s="44"/>
      <c r="T158" s="44"/>
      <c r="U158" s="44"/>
      <c r="V158" s="44"/>
      <c r="W158" s="44"/>
      <c r="X158" s="45"/>
      <c r="Y158" s="45"/>
      <c r="Z158" s="45"/>
      <c r="AA158" s="45"/>
    </row>
    <row r="159" ht="33.75" customHeight="1">
      <c r="A159" s="46" t="s">
        <v>1924</v>
      </c>
      <c r="B159" s="47" t="s">
        <v>1925</v>
      </c>
      <c r="C159" s="47" t="s">
        <v>1927</v>
      </c>
      <c r="D159" s="29" t="s">
        <v>1929</v>
      </c>
      <c r="E159" s="48" t="str">
        <f>IFERROR(__xludf.DUMMYFUNCTION("GOOGLETRANSLATE(D159,""zh-CN"",""vi"")"),"Tôi thích mua sắm.")</f>
        <v>Tôi thích mua sắm.</v>
      </c>
      <c r="F159" s="49" t="s">
        <v>1924</v>
      </c>
      <c r="G159" s="50" t="b">
        <f t="shared" si="1"/>
        <v>1</v>
      </c>
      <c r="H159" s="52" t="b">
        <v>0</v>
      </c>
      <c r="I159" s="52" t="b">
        <v>0</v>
      </c>
      <c r="J159" s="52" t="b">
        <v>0</v>
      </c>
      <c r="K159" s="52" t="b">
        <v>0</v>
      </c>
      <c r="L159" s="52" t="b">
        <v>0</v>
      </c>
      <c r="M159" s="52" t="b">
        <v>0</v>
      </c>
      <c r="N159" s="52" t="b">
        <v>0</v>
      </c>
      <c r="O159" s="52" t="b">
        <v>0</v>
      </c>
      <c r="P159" s="52" t="b">
        <v>0</v>
      </c>
      <c r="Q159" s="52" t="b">
        <v>0</v>
      </c>
      <c r="R159" s="44"/>
      <c r="S159" s="44"/>
      <c r="T159" s="44"/>
      <c r="U159" s="44"/>
      <c r="V159" s="44"/>
      <c r="W159" s="44"/>
      <c r="X159" s="45"/>
      <c r="Y159" s="45"/>
      <c r="Z159" s="45"/>
      <c r="AA159" s="45"/>
    </row>
    <row r="160" ht="33.75" customHeight="1">
      <c r="A160" s="46" t="s">
        <v>1937</v>
      </c>
      <c r="B160" s="47" t="s">
        <v>1938</v>
      </c>
      <c r="C160" s="47" t="s">
        <v>1939</v>
      </c>
      <c r="D160" s="29" t="s">
        <v>1940</v>
      </c>
      <c r="E160" s="48" t="str">
        <f>IFERROR(__xludf.DUMMYFUNCTION("GOOGLETRANSLATE(D160,""zh-CN"",""vi"")"),"Chúng ta cần tuân thủ các quy tắc.")</f>
        <v>Chúng ta cần tuân thủ các quy tắc.</v>
      </c>
      <c r="F160" s="49" t="s">
        <v>1937</v>
      </c>
      <c r="G160" s="50" t="b">
        <f t="shared" si="1"/>
        <v>1</v>
      </c>
      <c r="H160" s="52" t="b">
        <v>0</v>
      </c>
      <c r="I160" s="52" t="b">
        <v>0</v>
      </c>
      <c r="J160" s="52" t="b">
        <v>0</v>
      </c>
      <c r="K160" s="52" t="b">
        <v>0</v>
      </c>
      <c r="L160" s="52" t="b">
        <v>0</v>
      </c>
      <c r="M160" s="52" t="b">
        <v>0</v>
      </c>
      <c r="N160" s="52" t="b">
        <v>0</v>
      </c>
      <c r="O160" s="52" t="b">
        <v>0</v>
      </c>
      <c r="P160" s="52" t="b">
        <v>0</v>
      </c>
      <c r="Q160" s="52" t="b">
        <v>0</v>
      </c>
      <c r="R160" s="44"/>
      <c r="S160" s="44"/>
      <c r="T160" s="44"/>
      <c r="U160" s="44"/>
      <c r="V160" s="44"/>
      <c r="W160" s="44"/>
      <c r="X160" s="45"/>
      <c r="Y160" s="45"/>
      <c r="Z160" s="45"/>
      <c r="AA160" s="45"/>
    </row>
    <row r="161" ht="33.75" customHeight="1">
      <c r="A161" s="46" t="s">
        <v>1949</v>
      </c>
      <c r="B161" s="47" t="s">
        <v>1950</v>
      </c>
      <c r="C161" s="47" t="s">
        <v>1951</v>
      </c>
      <c r="D161" s="29" t="s">
        <v>1952</v>
      </c>
      <c r="E161" s="48" t="str">
        <f>IFERROR(__xludf.DUMMYFUNCTION("GOOGLETRANSLATE(D161,""zh-CN"",""vi"")"),"Bạn mang quốc tịch gì?")</f>
        <v>Bạn mang quốc tịch gì?</v>
      </c>
      <c r="F161" s="49" t="s">
        <v>1949</v>
      </c>
      <c r="G161" s="50" t="b">
        <f t="shared" si="1"/>
        <v>1</v>
      </c>
      <c r="H161" s="52" t="b">
        <v>0</v>
      </c>
      <c r="I161" s="52" t="b">
        <v>0</v>
      </c>
      <c r="J161" s="52" t="b">
        <v>0</v>
      </c>
      <c r="K161" s="52" t="b">
        <v>0</v>
      </c>
      <c r="L161" s="52" t="b">
        <v>0</v>
      </c>
      <c r="M161" s="52" t="b">
        <v>0</v>
      </c>
      <c r="N161" s="52" t="b">
        <v>0</v>
      </c>
      <c r="O161" s="52" t="b">
        <v>0</v>
      </c>
      <c r="P161" s="52" t="b">
        <v>0</v>
      </c>
      <c r="Q161" s="52" t="b">
        <v>0</v>
      </c>
      <c r="R161" s="44"/>
      <c r="S161" s="44"/>
      <c r="T161" s="44"/>
      <c r="U161" s="44"/>
      <c r="V161" s="44"/>
      <c r="W161" s="44"/>
      <c r="X161" s="45"/>
      <c r="Y161" s="45"/>
      <c r="Z161" s="45"/>
      <c r="AA161" s="45"/>
    </row>
    <row r="162" ht="33.75" customHeight="1">
      <c r="A162" s="46" t="s">
        <v>1961</v>
      </c>
      <c r="B162" s="47" t="s">
        <v>1965</v>
      </c>
      <c r="C162" s="47" t="s">
        <v>1967</v>
      </c>
      <c r="D162" s="29" t="s">
        <v>1968</v>
      </c>
      <c r="E162" s="48" t="str">
        <f>IFERROR(__xludf.DUMMYFUNCTION("GOOGLETRANSLATE(D162,""zh-CN"",""vi"")"),"Đây là một hội nghị quốc tế.")</f>
        <v>Đây là một hội nghị quốc tế.</v>
      </c>
      <c r="F162" s="49" t="s">
        <v>1961</v>
      </c>
      <c r="G162" s="50" t="b">
        <f t="shared" si="1"/>
        <v>1</v>
      </c>
      <c r="H162" s="52" t="b">
        <v>0</v>
      </c>
      <c r="I162" s="52" t="b">
        <v>0</v>
      </c>
      <c r="J162" s="52" t="b">
        <v>0</v>
      </c>
      <c r="K162" s="52" t="b">
        <v>0</v>
      </c>
      <c r="L162" s="52" t="b">
        <v>0</v>
      </c>
      <c r="M162" s="52" t="b">
        <v>0</v>
      </c>
      <c r="N162" s="52" t="b">
        <v>0</v>
      </c>
      <c r="O162" s="52" t="b">
        <v>0</v>
      </c>
      <c r="P162" s="52" t="b">
        <v>0</v>
      </c>
      <c r="Q162" s="52" t="b">
        <v>0</v>
      </c>
      <c r="R162" s="44"/>
      <c r="S162" s="44"/>
      <c r="T162" s="44"/>
      <c r="U162" s="44"/>
      <c r="V162" s="44"/>
      <c r="W162" s="44"/>
      <c r="X162" s="45"/>
      <c r="Y162" s="45"/>
      <c r="Z162" s="45"/>
      <c r="AA162" s="45"/>
    </row>
    <row r="163" ht="33.75" customHeight="1">
      <c r="A163" s="46" t="s">
        <v>1387</v>
      </c>
      <c r="B163" s="47" t="s">
        <v>1970</v>
      </c>
      <c r="C163" s="47" t="s">
        <v>1972</v>
      </c>
      <c r="D163" s="29" t="s">
        <v>1975</v>
      </c>
      <c r="E163" s="48" t="str">
        <f>IFERROR(__xludf.DUMMYFUNCTION("GOOGLETRANSLATE(D163,""zh-CN"",""vi"")"),"Tôi thích uống nước ép trái cây.")</f>
        <v>Tôi thích uống nước ép trái cây.</v>
      </c>
      <c r="F163" s="49" t="s">
        <v>1387</v>
      </c>
      <c r="G163" s="50" t="b">
        <f t="shared" si="1"/>
        <v>1</v>
      </c>
      <c r="H163" s="52" t="b">
        <v>0</v>
      </c>
      <c r="I163" s="52" t="b">
        <v>0</v>
      </c>
      <c r="J163" s="52" t="b">
        <v>0</v>
      </c>
      <c r="K163" s="52" t="b">
        <v>0</v>
      </c>
      <c r="L163" s="52" t="b">
        <v>0</v>
      </c>
      <c r="M163" s="52" t="b">
        <v>0</v>
      </c>
      <c r="N163" s="52" t="b">
        <v>0</v>
      </c>
      <c r="O163" s="52" t="b">
        <v>0</v>
      </c>
      <c r="P163" s="52" t="b">
        <v>0</v>
      </c>
      <c r="Q163" s="52" t="b">
        <v>0</v>
      </c>
      <c r="R163" s="44"/>
      <c r="S163" s="44"/>
      <c r="T163" s="44"/>
      <c r="U163" s="44"/>
      <c r="V163" s="44"/>
      <c r="W163" s="44"/>
      <c r="X163" s="45"/>
      <c r="Y163" s="45"/>
      <c r="Z163" s="45"/>
      <c r="AA163" s="45"/>
    </row>
    <row r="164" ht="33.75" customHeight="1">
      <c r="A164" s="46" t="s">
        <v>1983</v>
      </c>
      <c r="B164" s="47" t="s">
        <v>1984</v>
      </c>
      <c r="C164" s="47" t="s">
        <v>1985</v>
      </c>
      <c r="D164" s="29" t="s">
        <v>1987</v>
      </c>
      <c r="E164" s="48" t="str">
        <f>IFERROR(__xludf.DUMMYFUNCTION("GOOGLETRANSLATE(D164,""zh-CN"",""vi"")"),"Toàn bộ quy trình rất phức tạp.")</f>
        <v>Toàn bộ quy trình rất phức tạp.</v>
      </c>
      <c r="F164" s="49" t="s">
        <v>1983</v>
      </c>
      <c r="G164" s="50" t="b">
        <f t="shared" si="1"/>
        <v>1</v>
      </c>
      <c r="H164" s="52" t="b">
        <v>0</v>
      </c>
      <c r="I164" s="52" t="b">
        <v>0</v>
      </c>
      <c r="J164" s="52" t="b">
        <v>0</v>
      </c>
      <c r="K164" s="52" t="b">
        <v>0</v>
      </c>
      <c r="L164" s="52" t="b">
        <v>0</v>
      </c>
      <c r="M164" s="52" t="b">
        <v>0</v>
      </c>
      <c r="N164" s="52" t="b">
        <v>0</v>
      </c>
      <c r="O164" s="52" t="b">
        <v>0</v>
      </c>
      <c r="P164" s="52" t="b">
        <v>0</v>
      </c>
      <c r="Q164" s="52" t="b">
        <v>0</v>
      </c>
      <c r="R164" s="44"/>
      <c r="S164" s="44"/>
      <c r="T164" s="44"/>
      <c r="U164" s="44"/>
      <c r="V164" s="44"/>
      <c r="W164" s="44"/>
      <c r="X164" s="45"/>
      <c r="Y164" s="45"/>
      <c r="Z164" s="45"/>
      <c r="AA164" s="45"/>
    </row>
    <row r="165" ht="33.75" customHeight="1">
      <c r="A165" s="46" t="s">
        <v>1997</v>
      </c>
      <c r="B165" s="47" t="s">
        <v>1999</v>
      </c>
      <c r="C165" s="47" t="s">
        <v>2001</v>
      </c>
      <c r="D165" s="29" t="s">
        <v>2002</v>
      </c>
      <c r="E165" s="48" t="str">
        <f>IFERROR(__xludf.DUMMYFUNCTION("GOOGLETRANSLATE(D165,""zh-CN"",""vi"")"),"Đại dương bao la.")</f>
        <v>Đại dương bao la.</v>
      </c>
      <c r="F165" s="49" t="s">
        <v>1997</v>
      </c>
      <c r="G165" s="50" t="b">
        <f t="shared" si="1"/>
        <v>1</v>
      </c>
      <c r="H165" s="52" t="b">
        <v>0</v>
      </c>
      <c r="I165" s="52" t="b">
        <v>0</v>
      </c>
      <c r="J165" s="52" t="b">
        <v>0</v>
      </c>
      <c r="K165" s="52" t="b">
        <v>0</v>
      </c>
      <c r="L165" s="52" t="b">
        <v>0</v>
      </c>
      <c r="M165" s="52" t="b">
        <v>0</v>
      </c>
      <c r="N165" s="52" t="b">
        <v>0</v>
      </c>
      <c r="O165" s="52" t="b">
        <v>0</v>
      </c>
      <c r="P165" s="52" t="b">
        <v>0</v>
      </c>
      <c r="Q165" s="52" t="b">
        <v>0</v>
      </c>
      <c r="R165" s="44"/>
      <c r="S165" s="44"/>
      <c r="T165" s="44"/>
      <c r="U165" s="44"/>
      <c r="V165" s="44"/>
      <c r="W165" s="44"/>
      <c r="X165" s="45"/>
      <c r="Y165" s="45"/>
      <c r="Z165" s="45"/>
      <c r="AA165" s="45"/>
    </row>
    <row r="166" ht="33.75" customHeight="1">
      <c r="A166" s="46" t="s">
        <v>2008</v>
      </c>
      <c r="B166" s="47" t="s">
        <v>2010</v>
      </c>
      <c r="C166" s="47" t="s">
        <v>2012</v>
      </c>
      <c r="D166" s="29" t="s">
        <v>2015</v>
      </c>
      <c r="E166" s="48" t="str">
        <f>IFERROR(__xludf.DUMMYFUNCTION("GOOGLETRANSLATE(D166,""zh-CN"",""vi"")"),"Anh ấy rất nhút nhát.")</f>
        <v>Anh ấy rất nhút nhát.</v>
      </c>
      <c r="F166" s="49" t="s">
        <v>2008</v>
      </c>
      <c r="G166" s="50" t="b">
        <f t="shared" si="1"/>
        <v>1</v>
      </c>
      <c r="H166" s="52" t="b">
        <v>0</v>
      </c>
      <c r="I166" s="52" t="b">
        <v>0</v>
      </c>
      <c r="J166" s="52" t="b">
        <v>0</v>
      </c>
      <c r="K166" s="52" t="b">
        <v>0</v>
      </c>
      <c r="L166" s="52" t="b">
        <v>0</v>
      </c>
      <c r="M166" s="52" t="b">
        <v>0</v>
      </c>
      <c r="N166" s="52" t="b">
        <v>0</v>
      </c>
      <c r="O166" s="52" t="b">
        <v>0</v>
      </c>
      <c r="P166" s="52" t="b">
        <v>0</v>
      </c>
      <c r="Q166" s="52" t="b">
        <v>0</v>
      </c>
      <c r="R166" s="44"/>
      <c r="S166" s="44"/>
      <c r="T166" s="44"/>
      <c r="U166" s="44"/>
      <c r="V166" s="44"/>
      <c r="W166" s="44"/>
      <c r="X166" s="45"/>
      <c r="Y166" s="45"/>
      <c r="Z166" s="45"/>
      <c r="AA166" s="45"/>
    </row>
    <row r="167" ht="33.75" customHeight="1">
      <c r="A167" s="46" t="s">
        <v>2023</v>
      </c>
      <c r="B167" s="47" t="s">
        <v>2024</v>
      </c>
      <c r="C167" s="47" t="s">
        <v>2025</v>
      </c>
      <c r="D167" s="29" t="s">
        <v>2026</v>
      </c>
      <c r="E167" s="48" t="str">
        <f>IFERROR(__xludf.DUMMYFUNCTION("GOOGLETRANSLATE(D167,""zh-CN"",""vi"")"),"Chúng tôi đã có một chuyến đi chơi trong kỳ nghỉ đông.")</f>
        <v>Chúng tôi đã có một chuyến đi chơi trong kỳ nghỉ đông.</v>
      </c>
      <c r="F167" s="49" t="s">
        <v>2023</v>
      </c>
      <c r="G167" s="50" t="b">
        <f t="shared" si="1"/>
        <v>1</v>
      </c>
      <c r="H167" s="52" t="b">
        <v>0</v>
      </c>
      <c r="I167" s="52" t="b">
        <v>0</v>
      </c>
      <c r="J167" s="52" t="b">
        <v>0</v>
      </c>
      <c r="K167" s="52" t="b">
        <v>0</v>
      </c>
      <c r="L167" s="52" t="b">
        <v>0</v>
      </c>
      <c r="M167" s="52" t="b">
        <v>0</v>
      </c>
      <c r="N167" s="52" t="b">
        <v>0</v>
      </c>
      <c r="O167" s="52" t="b">
        <v>0</v>
      </c>
      <c r="P167" s="52" t="b">
        <v>0</v>
      </c>
      <c r="Q167" s="52" t="b">
        <v>0</v>
      </c>
      <c r="R167" s="44"/>
      <c r="S167" s="44"/>
      <c r="T167" s="44"/>
      <c r="U167" s="44"/>
      <c r="V167" s="44"/>
      <c r="W167" s="44"/>
      <c r="X167" s="45"/>
      <c r="Y167" s="45"/>
      <c r="Z167" s="45"/>
      <c r="AA167" s="45"/>
    </row>
    <row r="168" ht="33.75" customHeight="1">
      <c r="A168" s="46" t="s">
        <v>2033</v>
      </c>
      <c r="B168" s="47" t="s">
        <v>2035</v>
      </c>
      <c r="C168" s="47" t="s">
        <v>2038</v>
      </c>
      <c r="D168" s="29" t="s">
        <v>2039</v>
      </c>
      <c r="E168" s="48" t="str">
        <f>IFERROR(__xludf.DUMMYFUNCTION("GOOGLETRANSLATE(D168,""zh-CN"",""vi"")"),"Anh ta đổ mồ hôi rất nhiều.")</f>
        <v>Anh ta đổ mồ hôi rất nhiều.</v>
      </c>
      <c r="F168" s="49" t="s">
        <v>2033</v>
      </c>
      <c r="G168" s="50" t="b">
        <f t="shared" si="1"/>
        <v>1</v>
      </c>
      <c r="H168" s="52" t="b">
        <v>0</v>
      </c>
      <c r="I168" s="52" t="b">
        <v>0</v>
      </c>
      <c r="J168" s="52" t="b">
        <v>0</v>
      </c>
      <c r="K168" s="52" t="b">
        <v>0</v>
      </c>
      <c r="L168" s="52" t="b">
        <v>0</v>
      </c>
      <c r="M168" s="52" t="b">
        <v>0</v>
      </c>
      <c r="N168" s="52" t="b">
        <v>0</v>
      </c>
      <c r="O168" s="52" t="b">
        <v>0</v>
      </c>
      <c r="P168" s="52" t="b">
        <v>0</v>
      </c>
      <c r="Q168" s="52" t="b">
        <v>0</v>
      </c>
      <c r="R168" s="44"/>
      <c r="S168" s="44"/>
      <c r="T168" s="44"/>
      <c r="U168" s="44"/>
      <c r="V168" s="44"/>
      <c r="W168" s="44"/>
      <c r="X168" s="45"/>
      <c r="Y168" s="45"/>
      <c r="Z168" s="45"/>
      <c r="AA168" s="45"/>
    </row>
    <row r="169" ht="33.75" customHeight="1">
      <c r="A169" s="46" t="s">
        <v>2042</v>
      </c>
      <c r="B169" s="47" t="s">
        <v>2043</v>
      </c>
      <c r="C169" s="47" t="s">
        <v>2044</v>
      </c>
      <c r="D169" s="29" t="s">
        <v>2045</v>
      </c>
      <c r="E169" s="48" t="str">
        <f>IFERROR(__xludf.DUMMYFUNCTION("GOOGLETRANSLATE(D169,""zh-CN"",""vi"")"),"Chuyến bay của chúng tôi bị hoãn.")</f>
        <v>Chuyến bay của chúng tôi bị hoãn.</v>
      </c>
      <c r="F169" s="49" t="s">
        <v>2042</v>
      </c>
      <c r="G169" s="50" t="b">
        <f t="shared" si="1"/>
        <v>1</v>
      </c>
      <c r="H169" s="52" t="b">
        <v>0</v>
      </c>
      <c r="I169" s="52" t="b">
        <v>0</v>
      </c>
      <c r="J169" s="52" t="b">
        <v>0</v>
      </c>
      <c r="K169" s="52" t="b">
        <v>0</v>
      </c>
      <c r="L169" s="52" t="b">
        <v>0</v>
      </c>
      <c r="M169" s="52" t="b">
        <v>0</v>
      </c>
      <c r="N169" s="52" t="b">
        <v>0</v>
      </c>
      <c r="O169" s="52" t="b">
        <v>0</v>
      </c>
      <c r="P169" s="52" t="b">
        <v>0</v>
      </c>
      <c r="Q169" s="52" t="b">
        <v>0</v>
      </c>
      <c r="R169" s="44"/>
      <c r="S169" s="44"/>
      <c r="T169" s="44"/>
      <c r="U169" s="44"/>
      <c r="V169" s="44"/>
      <c r="W169" s="44"/>
      <c r="X169" s="45"/>
      <c r="Y169" s="45"/>
      <c r="Z169" s="45"/>
      <c r="AA169" s="45"/>
    </row>
    <row r="170" ht="33.75" customHeight="1">
      <c r="A170" s="46" t="s">
        <v>2054</v>
      </c>
      <c r="B170" s="47" t="s">
        <v>2055</v>
      </c>
      <c r="C170" s="47" t="s">
        <v>2056</v>
      </c>
      <c r="D170" s="29" t="s">
        <v>2058</v>
      </c>
      <c r="E170" s="48" t="str">
        <f>IFERROR(__xludf.DUMMYFUNCTION("GOOGLETRANSLATE(D170,""zh-CN"",""vi"")"),"Việc này mang lại nhiều lợi ích.")</f>
        <v>Việc này mang lại nhiều lợi ích.</v>
      </c>
      <c r="F170" s="49" t="s">
        <v>2054</v>
      </c>
      <c r="G170" s="50" t="b">
        <f t="shared" si="1"/>
        <v>1</v>
      </c>
      <c r="H170" s="52" t="b">
        <v>0</v>
      </c>
      <c r="I170" s="52" t="b">
        <v>0</v>
      </c>
      <c r="J170" s="52" t="b">
        <v>0</v>
      </c>
      <c r="K170" s="52" t="b">
        <v>0</v>
      </c>
      <c r="L170" s="52" t="b">
        <v>0</v>
      </c>
      <c r="M170" s="52" t="b">
        <v>0</v>
      </c>
      <c r="N170" s="52" t="b">
        <v>0</v>
      </c>
      <c r="O170" s="52" t="b">
        <v>0</v>
      </c>
      <c r="P170" s="52" t="b">
        <v>0</v>
      </c>
      <c r="Q170" s="52" t="b">
        <v>0</v>
      </c>
      <c r="R170" s="44"/>
      <c r="S170" s="44"/>
      <c r="T170" s="44"/>
      <c r="U170" s="44"/>
      <c r="V170" s="44"/>
      <c r="W170" s="44"/>
      <c r="X170" s="45"/>
      <c r="Y170" s="45"/>
      <c r="Z170" s="45"/>
      <c r="AA170" s="45"/>
    </row>
    <row r="171" ht="33.75" customHeight="1">
      <c r="A171" s="46" t="s">
        <v>2066</v>
      </c>
      <c r="B171" s="47" t="s">
        <v>2067</v>
      </c>
      <c r="C171" s="47" t="s">
        <v>2068</v>
      </c>
      <c r="D171" s="29" t="s">
        <v>2069</v>
      </c>
      <c r="E171" s="48" t="str">
        <f>IFERROR(__xludf.DUMMYFUNCTION("GOOGLETRANSLATE(D171,""zh-CN"",""vi"")"),"Anh ấy có vẻ bị ốm.")</f>
        <v>Anh ấy có vẻ bị ốm.</v>
      </c>
      <c r="F171" s="49" t="s">
        <v>2066</v>
      </c>
      <c r="G171" s="50" t="b">
        <f t="shared" si="1"/>
        <v>1</v>
      </c>
      <c r="H171" s="52" t="b">
        <v>0</v>
      </c>
      <c r="I171" s="52" t="b">
        <v>0</v>
      </c>
      <c r="J171" s="52" t="b">
        <v>0</v>
      </c>
      <c r="K171" s="52" t="b">
        <v>0</v>
      </c>
      <c r="L171" s="52" t="b">
        <v>0</v>
      </c>
      <c r="M171" s="52" t="b">
        <v>0</v>
      </c>
      <c r="N171" s="52" t="b">
        <v>0</v>
      </c>
      <c r="O171" s="52" t="b">
        <v>0</v>
      </c>
      <c r="P171" s="52" t="b">
        <v>0</v>
      </c>
      <c r="Q171" s="52" t="b">
        <v>0</v>
      </c>
      <c r="R171" s="44"/>
      <c r="S171" s="44"/>
      <c r="T171" s="44"/>
      <c r="U171" s="44"/>
      <c r="V171" s="44"/>
      <c r="W171" s="44"/>
      <c r="X171" s="45"/>
      <c r="Y171" s="45"/>
      <c r="Z171" s="45"/>
      <c r="AA171" s="45"/>
    </row>
    <row r="172" ht="33.75" customHeight="1">
      <c r="A172" s="46" t="s">
        <v>2076</v>
      </c>
      <c r="B172" s="47" t="s">
        <v>2078</v>
      </c>
      <c r="C172" s="47" t="s">
        <v>2080</v>
      </c>
      <c r="D172" s="29" t="s">
        <v>2082</v>
      </c>
      <c r="E172" s="48" t="str">
        <f>IFERROR(__xludf.DUMMYFUNCTION("GOOGLETRANSLATE(D172,""zh-CN"",""vi"")"),"Vui lòng cho tôi biết số điện thoại của bạn.")</f>
        <v>Vui lòng cho tôi biết số điện thoại của bạn.</v>
      </c>
      <c r="F172" s="49" t="s">
        <v>2076</v>
      </c>
      <c r="G172" s="50" t="b">
        <f t="shared" si="1"/>
        <v>1</v>
      </c>
      <c r="H172" s="52" t="b">
        <v>0</v>
      </c>
      <c r="I172" s="52" t="b">
        <v>0</v>
      </c>
      <c r="J172" s="52" t="b">
        <v>0</v>
      </c>
      <c r="K172" s="52" t="b">
        <v>0</v>
      </c>
      <c r="L172" s="52" t="b">
        <v>0</v>
      </c>
      <c r="M172" s="52" t="b">
        <v>0</v>
      </c>
      <c r="N172" s="52" t="b">
        <v>0</v>
      </c>
      <c r="O172" s="52" t="b">
        <v>0</v>
      </c>
      <c r="P172" s="52" t="b">
        <v>0</v>
      </c>
      <c r="Q172" s="52" t="b">
        <v>0</v>
      </c>
      <c r="R172" s="44"/>
      <c r="S172" s="44"/>
      <c r="T172" s="44"/>
      <c r="U172" s="44"/>
      <c r="V172" s="44"/>
      <c r="W172" s="44"/>
      <c r="X172" s="45"/>
      <c r="Y172" s="45"/>
      <c r="Z172" s="45"/>
      <c r="AA172" s="45"/>
    </row>
    <row r="173" ht="33.75" customHeight="1">
      <c r="A173" s="46" t="s">
        <v>2089</v>
      </c>
      <c r="B173" s="47" t="s">
        <v>2090</v>
      </c>
      <c r="C173" s="47" t="s">
        <v>2091</v>
      </c>
      <c r="D173" s="29" t="s">
        <v>2092</v>
      </c>
      <c r="E173" s="48" t="str">
        <f>IFERROR(__xludf.DUMMYFUNCTION("GOOGLETRANSLATE(D173,""zh-CN"",""vi"")"),"Kết quả học tập của anh ấy khá tốt.")</f>
        <v>Kết quả học tập của anh ấy khá tốt.</v>
      </c>
      <c r="F173" s="49" t="s">
        <v>2089</v>
      </c>
      <c r="G173" s="50" t="b">
        <f t="shared" si="1"/>
        <v>1</v>
      </c>
      <c r="H173" s="52" t="b">
        <v>0</v>
      </c>
      <c r="I173" s="52" t="b">
        <v>0</v>
      </c>
      <c r="J173" s="52" t="b">
        <v>0</v>
      </c>
      <c r="K173" s="52" t="b">
        <v>0</v>
      </c>
      <c r="L173" s="52" t="b">
        <v>0</v>
      </c>
      <c r="M173" s="52" t="b">
        <v>0</v>
      </c>
      <c r="N173" s="52" t="b">
        <v>0</v>
      </c>
      <c r="O173" s="52" t="b">
        <v>0</v>
      </c>
      <c r="P173" s="52" t="b">
        <v>0</v>
      </c>
      <c r="Q173" s="52" t="b">
        <v>0</v>
      </c>
      <c r="R173" s="44"/>
      <c r="S173" s="44"/>
      <c r="T173" s="44"/>
      <c r="U173" s="44"/>
      <c r="V173" s="44"/>
      <c r="W173" s="44"/>
      <c r="X173" s="45"/>
      <c r="Y173" s="45"/>
      <c r="Z173" s="45"/>
      <c r="AA173" s="45"/>
    </row>
    <row r="174" ht="33.75" customHeight="1">
      <c r="A174" s="46" t="s">
        <v>2104</v>
      </c>
      <c r="B174" s="47" t="s">
        <v>2106</v>
      </c>
      <c r="C174" s="47" t="s">
        <v>2107</v>
      </c>
      <c r="D174" s="29" t="s">
        <v>2108</v>
      </c>
      <c r="E174" s="48" t="str">
        <f>IFERROR(__xludf.DUMMYFUNCTION("GOOGLETRANSLATE(D174,""zh-CN"",""vi"")"),"Bộ trang phục này rất hợp với bạn.")</f>
        <v>Bộ trang phục này rất hợp với bạn.</v>
      </c>
      <c r="F174" s="49" t="s">
        <v>2104</v>
      </c>
      <c r="G174" s="50" t="b">
        <f t="shared" si="1"/>
        <v>1</v>
      </c>
      <c r="H174" s="52" t="b">
        <v>0</v>
      </c>
      <c r="I174" s="52" t="b">
        <v>0</v>
      </c>
      <c r="J174" s="52" t="b">
        <v>0</v>
      </c>
      <c r="K174" s="52" t="b">
        <v>0</v>
      </c>
      <c r="L174" s="52" t="b">
        <v>0</v>
      </c>
      <c r="M174" s="52" t="b">
        <v>0</v>
      </c>
      <c r="N174" s="52" t="b">
        <v>0</v>
      </c>
      <c r="O174" s="52" t="b">
        <v>0</v>
      </c>
      <c r="P174" s="52" t="b">
        <v>0</v>
      </c>
      <c r="Q174" s="52" t="b">
        <v>0</v>
      </c>
      <c r="R174" s="44"/>
      <c r="S174" s="44"/>
      <c r="T174" s="44"/>
      <c r="U174" s="44"/>
      <c r="V174" s="44"/>
      <c r="W174" s="44"/>
      <c r="X174" s="45"/>
      <c r="Y174" s="45"/>
      <c r="Z174" s="45"/>
      <c r="AA174" s="45"/>
    </row>
    <row r="175" ht="33.75" customHeight="1">
      <c r="A175" s="46" t="s">
        <v>2110</v>
      </c>
      <c r="B175" s="47" t="s">
        <v>2112</v>
      </c>
      <c r="C175" s="47" t="s">
        <v>2114</v>
      </c>
      <c r="D175" s="29" t="s">
        <v>2116</v>
      </c>
      <c r="E175" s="48" t="str">
        <f>IFERROR(__xludf.DUMMYFUNCTION("GOOGLETRANSLATE(D175,""zh-CN"",""vi"")"),"Anh ta mở chiếc hộp.")</f>
        <v>Anh ta mở chiếc hộp.</v>
      </c>
      <c r="F175" s="49" t="s">
        <v>2110</v>
      </c>
      <c r="G175" s="50" t="b">
        <f t="shared" si="1"/>
        <v>1</v>
      </c>
      <c r="H175" s="52" t="b">
        <v>0</v>
      </c>
      <c r="I175" s="52" t="b">
        <v>0</v>
      </c>
      <c r="J175" s="52" t="b">
        <v>0</v>
      </c>
      <c r="K175" s="52" t="b">
        <v>0</v>
      </c>
      <c r="L175" s="52" t="b">
        <v>0</v>
      </c>
      <c r="M175" s="52" t="b">
        <v>0</v>
      </c>
      <c r="N175" s="52" t="b">
        <v>0</v>
      </c>
      <c r="O175" s="52" t="b">
        <v>0</v>
      </c>
      <c r="P175" s="52" t="b">
        <v>0</v>
      </c>
      <c r="Q175" s="52" t="b">
        <v>0</v>
      </c>
      <c r="R175" s="44"/>
      <c r="S175" s="44"/>
      <c r="T175" s="44"/>
      <c r="U175" s="44"/>
      <c r="V175" s="44"/>
      <c r="W175" s="44"/>
      <c r="X175" s="45"/>
      <c r="Y175" s="45"/>
      <c r="Z175" s="45"/>
      <c r="AA175" s="45"/>
    </row>
    <row r="176" ht="33.75" customHeight="1">
      <c r="A176" s="46" t="s">
        <v>2128</v>
      </c>
      <c r="B176" s="47" t="s">
        <v>2129</v>
      </c>
      <c r="C176" s="47" t="s">
        <v>2130</v>
      </c>
      <c r="D176" s="29" t="s">
        <v>2131</v>
      </c>
      <c r="E176" s="48" t="str">
        <f>IFERROR(__xludf.DUMMYFUNCTION("GOOGLETRANSLATE(D176,""zh-CN"",""vi"")"),"Tôi tiếc vì đã không đi du lịch.")</f>
        <v>Tôi tiếc vì đã không đi du lịch.</v>
      </c>
      <c r="F176" s="49" t="s">
        <v>2128</v>
      </c>
      <c r="G176" s="50" t="b">
        <f t="shared" si="1"/>
        <v>1</v>
      </c>
      <c r="H176" s="52" t="b">
        <v>0</v>
      </c>
      <c r="I176" s="52" t="b">
        <v>0</v>
      </c>
      <c r="J176" s="52" t="b">
        <v>0</v>
      </c>
      <c r="K176" s="52" t="b">
        <v>0</v>
      </c>
      <c r="L176" s="52" t="b">
        <v>0</v>
      </c>
      <c r="M176" s="52" t="b">
        <v>0</v>
      </c>
      <c r="N176" s="52" t="b">
        <v>0</v>
      </c>
      <c r="O176" s="52" t="b">
        <v>0</v>
      </c>
      <c r="P176" s="52" t="b">
        <v>0</v>
      </c>
      <c r="Q176" s="52" t="b">
        <v>0</v>
      </c>
      <c r="R176" s="44"/>
      <c r="S176" s="44"/>
      <c r="T176" s="44"/>
      <c r="U176" s="44"/>
      <c r="V176" s="44"/>
      <c r="W176" s="44"/>
      <c r="X176" s="45"/>
      <c r="Y176" s="45"/>
      <c r="Z176" s="45"/>
      <c r="AA176" s="45"/>
    </row>
    <row r="177" ht="33.75" customHeight="1">
      <c r="A177" s="46" t="s">
        <v>2135</v>
      </c>
      <c r="B177" s="47" t="s">
        <v>2138</v>
      </c>
      <c r="C177" s="47" t="s">
        <v>2140</v>
      </c>
      <c r="D177" s="29" t="s">
        <v>2141</v>
      </c>
      <c r="E177" s="48" t="str">
        <f>IFERROR(__xludf.DUMMYFUNCTION("GOOGLETRANSLATE(D177,""zh-CN"",""vi"")"),"Cuốn sách này rất dày.")</f>
        <v>Cuốn sách này rất dày.</v>
      </c>
      <c r="F177" s="49" t="s">
        <v>2135</v>
      </c>
      <c r="G177" s="50" t="b">
        <f t="shared" si="1"/>
        <v>1</v>
      </c>
      <c r="H177" s="52" t="b">
        <v>0</v>
      </c>
      <c r="I177" s="52" t="b">
        <v>0</v>
      </c>
      <c r="J177" s="52" t="b">
        <v>0</v>
      </c>
      <c r="K177" s="52" t="b">
        <v>0</v>
      </c>
      <c r="L177" s="52" t="b">
        <v>0</v>
      </c>
      <c r="M177" s="52" t="b">
        <v>0</v>
      </c>
      <c r="N177" s="52" t="b">
        <v>0</v>
      </c>
      <c r="O177" s="52" t="b">
        <v>0</v>
      </c>
      <c r="P177" s="52" t="b">
        <v>0</v>
      </c>
      <c r="Q177" s="52" t="b">
        <v>0</v>
      </c>
      <c r="R177" s="44"/>
      <c r="S177" s="44"/>
      <c r="T177" s="44"/>
      <c r="U177" s="44"/>
      <c r="V177" s="44"/>
      <c r="W177" s="44"/>
      <c r="X177" s="45"/>
      <c r="Y177" s="45"/>
      <c r="Z177" s="45"/>
      <c r="AA177" s="45"/>
    </row>
    <row r="178" ht="33.75" customHeight="1">
      <c r="A178" s="46" t="s">
        <v>2146</v>
      </c>
      <c r="B178" s="47" t="s">
        <v>2147</v>
      </c>
      <c r="C178" s="47" t="s">
        <v>2148</v>
      </c>
      <c r="D178" s="29" t="s">
        <v>2149</v>
      </c>
      <c r="E178" s="48" t="str">
        <f>IFERROR(__xludf.DUMMYFUNCTION("GOOGLETRANSLATE(D178,""zh-CN"",""vi"")"),"Internet đã thay đổi cuộc sống của chúng ta.")</f>
        <v>Internet đã thay đổi cuộc sống của chúng ta.</v>
      </c>
      <c r="F178" s="49" t="s">
        <v>2146</v>
      </c>
      <c r="G178" s="50" t="b">
        <f t="shared" si="1"/>
        <v>1</v>
      </c>
      <c r="H178" s="52" t="b">
        <v>0</v>
      </c>
      <c r="I178" s="52" t="b">
        <v>0</v>
      </c>
      <c r="J178" s="52" t="b">
        <v>0</v>
      </c>
      <c r="K178" s="52" t="b">
        <v>0</v>
      </c>
      <c r="L178" s="52" t="b">
        <v>0</v>
      </c>
      <c r="M178" s="52" t="b">
        <v>0</v>
      </c>
      <c r="N178" s="52" t="b">
        <v>0</v>
      </c>
      <c r="O178" s="52" t="b">
        <v>0</v>
      </c>
      <c r="P178" s="52" t="b">
        <v>0</v>
      </c>
      <c r="Q178" s="52" t="b">
        <v>0</v>
      </c>
      <c r="R178" s="44"/>
      <c r="S178" s="44"/>
      <c r="T178" s="44"/>
      <c r="U178" s="44"/>
      <c r="V178" s="44"/>
      <c r="W178" s="44"/>
      <c r="X178" s="45"/>
      <c r="Y178" s="45"/>
      <c r="Z178" s="45"/>
      <c r="AA178" s="45"/>
    </row>
    <row r="179" ht="33.75" customHeight="1">
      <c r="A179" s="46" t="s">
        <v>2161</v>
      </c>
      <c r="B179" s="47" t="s">
        <v>2163</v>
      </c>
      <c r="C179" s="47" t="s">
        <v>2164</v>
      </c>
      <c r="D179" s="29" t="s">
        <v>2165</v>
      </c>
      <c r="E179" s="48" t="str">
        <f>IFERROR(__xludf.DUMMYFUNCTION("GOOGLETRANSLATE(D179,""zh-CN"",""vi"")"),"Họ giúp đỡ lẫn nhau.")</f>
        <v>Họ giúp đỡ lẫn nhau.</v>
      </c>
      <c r="F179" s="49" t="s">
        <v>2161</v>
      </c>
      <c r="G179" s="50" t="b">
        <f t="shared" si="1"/>
        <v>1</v>
      </c>
      <c r="H179" s="52" t="b">
        <v>0</v>
      </c>
      <c r="I179" s="52" t="b">
        <v>0</v>
      </c>
      <c r="J179" s="52" t="b">
        <v>0</v>
      </c>
      <c r="K179" s="52" t="b">
        <v>0</v>
      </c>
      <c r="L179" s="52" t="b">
        <v>0</v>
      </c>
      <c r="M179" s="52" t="b">
        <v>0</v>
      </c>
      <c r="N179" s="52" t="b">
        <v>0</v>
      </c>
      <c r="O179" s="52" t="b">
        <v>0</v>
      </c>
      <c r="P179" s="52" t="b">
        <v>0</v>
      </c>
      <c r="Q179" s="52" t="b">
        <v>0</v>
      </c>
      <c r="R179" s="44"/>
      <c r="S179" s="44"/>
      <c r="T179" s="44"/>
      <c r="U179" s="44"/>
      <c r="V179" s="44"/>
      <c r="W179" s="44"/>
      <c r="X179" s="45"/>
      <c r="Y179" s="45"/>
      <c r="Z179" s="45"/>
      <c r="AA179" s="45"/>
    </row>
    <row r="180" ht="33.75" customHeight="1">
      <c r="A180" s="46" t="s">
        <v>2170</v>
      </c>
      <c r="B180" s="47" t="s">
        <v>2171</v>
      </c>
      <c r="C180" s="47" t="s">
        <v>2172</v>
      </c>
      <c r="D180" s="29" t="s">
        <v>2173</v>
      </c>
      <c r="E180" s="48" t="str">
        <f>IFERROR(__xludf.DUMMYFUNCTION("GOOGLETRANSLATE(D180,""zh-CN"",""vi"")"),"Các y tá làm việc rất vất vả.")</f>
        <v>Các y tá làm việc rất vất vả.</v>
      </c>
      <c r="F180" s="49" t="s">
        <v>2170</v>
      </c>
      <c r="G180" s="50" t="b">
        <f t="shared" si="1"/>
        <v>1</v>
      </c>
      <c r="H180" s="52" t="b">
        <v>0</v>
      </c>
      <c r="I180" s="52" t="b">
        <v>0</v>
      </c>
      <c r="J180" s="52" t="b">
        <v>0</v>
      </c>
      <c r="K180" s="52" t="b">
        <v>0</v>
      </c>
      <c r="L180" s="52" t="b">
        <v>0</v>
      </c>
      <c r="M180" s="52" t="b">
        <v>0</v>
      </c>
      <c r="N180" s="52" t="b">
        <v>0</v>
      </c>
      <c r="O180" s="52" t="b">
        <v>0</v>
      </c>
      <c r="P180" s="52" t="b">
        <v>0</v>
      </c>
      <c r="Q180" s="52" t="b">
        <v>0</v>
      </c>
      <c r="R180" s="44"/>
      <c r="S180" s="44"/>
      <c r="T180" s="44"/>
      <c r="U180" s="44"/>
      <c r="V180" s="44"/>
      <c r="W180" s="44"/>
      <c r="X180" s="45"/>
      <c r="Y180" s="45"/>
      <c r="Z180" s="45"/>
      <c r="AA180" s="45"/>
    </row>
    <row r="181" ht="33.75" customHeight="1">
      <c r="A181" s="46" t="s">
        <v>2183</v>
      </c>
      <c r="B181" s="47" t="s">
        <v>2187</v>
      </c>
      <c r="C181" s="47" t="s">
        <v>2188</v>
      </c>
      <c r="D181" s="29" t="s">
        <v>2189</v>
      </c>
      <c r="E181" s="48" t="str">
        <f>IFERROR(__xludf.DUMMYFUNCTION("GOOGLETRANSLATE(D181,""zh-CN"",""vi"")"),"Tôi nghi ngờ anh ta đang nói dối.")</f>
        <v>Tôi nghi ngờ anh ta đang nói dối.</v>
      </c>
      <c r="F181" s="49" t="s">
        <v>2183</v>
      </c>
      <c r="G181" s="50" t="b">
        <f t="shared" si="1"/>
        <v>1</v>
      </c>
      <c r="H181" s="52" t="b">
        <v>0</v>
      </c>
      <c r="I181" s="52" t="b">
        <v>0</v>
      </c>
      <c r="J181" s="52" t="b">
        <v>0</v>
      </c>
      <c r="K181" s="52" t="b">
        <v>0</v>
      </c>
      <c r="L181" s="52" t="b">
        <v>0</v>
      </c>
      <c r="M181" s="52" t="b">
        <v>0</v>
      </c>
      <c r="N181" s="52" t="b">
        <v>0</v>
      </c>
      <c r="O181" s="52" t="b">
        <v>0</v>
      </c>
      <c r="P181" s="52" t="b">
        <v>0</v>
      </c>
      <c r="Q181" s="52" t="b">
        <v>0</v>
      </c>
      <c r="R181" s="44"/>
      <c r="S181" s="44"/>
      <c r="T181" s="44"/>
      <c r="U181" s="44"/>
      <c r="V181" s="44"/>
      <c r="W181" s="44"/>
      <c r="X181" s="45"/>
      <c r="Y181" s="45"/>
      <c r="Z181" s="45"/>
      <c r="AA181" s="45"/>
    </row>
    <row r="182" ht="33.75" customHeight="1">
      <c r="A182" s="46" t="s">
        <v>2193</v>
      </c>
      <c r="B182" s="47" t="s">
        <v>2195</v>
      </c>
      <c r="C182" s="47" t="s">
        <v>2196</v>
      </c>
      <c r="D182" s="29" t="s">
        <v>2197</v>
      </c>
      <c r="E182" s="48" t="str">
        <f>IFERROR(__xludf.DUMMYFUNCTION("GOOGLETRANSLATE(D182,""zh-CN"",""vi"")"),"Đây đều là những kỷ niệm tuyệt vời.")</f>
        <v>Đây đều là những kỷ niệm tuyệt vời.</v>
      </c>
      <c r="F182" s="49" t="s">
        <v>2193</v>
      </c>
      <c r="G182" s="50" t="b">
        <f t="shared" si="1"/>
        <v>1</v>
      </c>
      <c r="H182" s="52" t="b">
        <v>0</v>
      </c>
      <c r="I182" s="52" t="b">
        <v>0</v>
      </c>
      <c r="J182" s="52" t="b">
        <v>0</v>
      </c>
      <c r="K182" s="52" t="b">
        <v>0</v>
      </c>
      <c r="L182" s="52" t="b">
        <v>0</v>
      </c>
      <c r="M182" s="52" t="b">
        <v>0</v>
      </c>
      <c r="N182" s="52" t="b">
        <v>0</v>
      </c>
      <c r="O182" s="52" t="b">
        <v>0</v>
      </c>
      <c r="P182" s="52" t="b">
        <v>0</v>
      </c>
      <c r="Q182" s="52" t="b">
        <v>0</v>
      </c>
      <c r="R182" s="44"/>
      <c r="S182" s="44"/>
      <c r="T182" s="44"/>
      <c r="U182" s="44"/>
      <c r="V182" s="44"/>
      <c r="W182" s="44"/>
      <c r="X182" s="45"/>
      <c r="Y182" s="45"/>
      <c r="Z182" s="45"/>
      <c r="AA182" s="45"/>
    </row>
    <row r="183" ht="33.75" customHeight="1">
      <c r="A183" s="46" t="s">
        <v>2206</v>
      </c>
      <c r="B183" s="47" t="s">
        <v>2208</v>
      </c>
      <c r="C183" s="47" t="s">
        <v>2210</v>
      </c>
      <c r="D183" s="29" t="s">
        <v>2212</v>
      </c>
      <c r="E183" s="48" t="str">
        <f>IFERROR(__xludf.DUMMYFUNCTION("GOOGLETRANSLATE(D183,""zh-CN"",""vi"")"),"Trường đã tổ chức nhiều hoạt động.")</f>
        <v>Trường đã tổ chức nhiều hoạt động.</v>
      </c>
      <c r="F183" s="49" t="s">
        <v>2206</v>
      </c>
      <c r="G183" s="50" t="b">
        <f t="shared" si="1"/>
        <v>1</v>
      </c>
      <c r="H183" s="52" t="b">
        <v>0</v>
      </c>
      <c r="I183" s="52" t="b">
        <v>0</v>
      </c>
      <c r="J183" s="52" t="b">
        <v>0</v>
      </c>
      <c r="K183" s="52" t="b">
        <v>0</v>
      </c>
      <c r="L183" s="52" t="b">
        <v>0</v>
      </c>
      <c r="M183" s="52" t="b">
        <v>0</v>
      </c>
      <c r="N183" s="52" t="b">
        <v>0</v>
      </c>
      <c r="O183" s="52" t="b">
        <v>0</v>
      </c>
      <c r="P183" s="52" t="b">
        <v>0</v>
      </c>
      <c r="Q183" s="52" t="b">
        <v>0</v>
      </c>
      <c r="R183" s="44"/>
      <c r="S183" s="44"/>
      <c r="T183" s="44"/>
      <c r="U183" s="44"/>
      <c r="V183" s="44"/>
      <c r="W183" s="44"/>
      <c r="X183" s="45"/>
      <c r="Y183" s="45"/>
      <c r="Z183" s="45"/>
      <c r="AA183" s="45"/>
    </row>
    <row r="184" ht="33.75" customHeight="1">
      <c r="A184" s="46" t="s">
        <v>2214</v>
      </c>
      <c r="B184" s="47" t="s">
        <v>2215</v>
      </c>
      <c r="C184" s="47" t="s">
        <v>2216</v>
      </c>
      <c r="D184" s="29" t="s">
        <v>2217</v>
      </c>
      <c r="E184" s="48" t="str">
        <f>IFERROR(__xludf.DUMMYFUNCTION("GOOGLETRANSLATE(D184,""zh-CN"",""vi"")"),"Cô ấy rất hoạt bát.")</f>
        <v>Cô ấy rất hoạt bát.</v>
      </c>
      <c r="F184" s="49" t="s">
        <v>2214</v>
      </c>
      <c r="G184" s="50" t="b">
        <f t="shared" si="1"/>
        <v>1</v>
      </c>
      <c r="H184" s="52" t="b">
        <v>0</v>
      </c>
      <c r="I184" s="52" t="b">
        <v>0</v>
      </c>
      <c r="J184" s="52" t="b">
        <v>0</v>
      </c>
      <c r="K184" s="52" t="b">
        <v>0</v>
      </c>
      <c r="L184" s="52" t="b">
        <v>0</v>
      </c>
      <c r="M184" s="52" t="b">
        <v>0</v>
      </c>
      <c r="N184" s="52" t="b">
        <v>0</v>
      </c>
      <c r="O184" s="52" t="b">
        <v>0</v>
      </c>
      <c r="P184" s="52" t="b">
        <v>0</v>
      </c>
      <c r="Q184" s="52" t="b">
        <v>0</v>
      </c>
      <c r="R184" s="44"/>
      <c r="S184" s="44"/>
      <c r="T184" s="44"/>
      <c r="U184" s="44"/>
      <c r="V184" s="44"/>
      <c r="W184" s="44"/>
      <c r="X184" s="45"/>
      <c r="Y184" s="45"/>
      <c r="Z184" s="45"/>
      <c r="AA184" s="45"/>
    </row>
    <row r="185" ht="33.75" customHeight="1">
      <c r="A185" s="46" t="s">
        <v>2224</v>
      </c>
      <c r="B185" s="47" t="s">
        <v>2226</v>
      </c>
      <c r="C185" s="47" t="s">
        <v>2228</v>
      </c>
      <c r="D185" s="29" t="s">
        <v>2231</v>
      </c>
      <c r="E185" s="48" t="str">
        <f>IFERROR(__xludf.DUMMYFUNCTION("GOOGLETRANSLATE(D185,""zh-CN"",""vi"")"),"Lửa rất nguy hiểm.")</f>
        <v>Lửa rất nguy hiểm.</v>
      </c>
      <c r="F185" s="49" t="s">
        <v>2224</v>
      </c>
      <c r="G185" s="50" t="b">
        <f t="shared" si="1"/>
        <v>1</v>
      </c>
      <c r="H185" s="52" t="b">
        <v>0</v>
      </c>
      <c r="I185" s="52" t="b">
        <v>0</v>
      </c>
      <c r="J185" s="52" t="b">
        <v>0</v>
      </c>
      <c r="K185" s="52" t="b">
        <v>0</v>
      </c>
      <c r="L185" s="52" t="b">
        <v>0</v>
      </c>
      <c r="M185" s="52" t="b">
        <v>0</v>
      </c>
      <c r="N185" s="52" t="b">
        <v>0</v>
      </c>
      <c r="O185" s="52" t="b">
        <v>0</v>
      </c>
      <c r="P185" s="52" t="b">
        <v>0</v>
      </c>
      <c r="Q185" s="52" t="b">
        <v>0</v>
      </c>
      <c r="R185" s="44"/>
      <c r="S185" s="44"/>
      <c r="T185" s="44"/>
      <c r="U185" s="44"/>
      <c r="V185" s="44"/>
      <c r="W185" s="44"/>
      <c r="X185" s="45"/>
      <c r="Y185" s="45"/>
      <c r="Z185" s="45"/>
      <c r="AA185" s="45"/>
    </row>
    <row r="186" ht="33.75" customHeight="1">
      <c r="A186" s="46" t="s">
        <v>2238</v>
      </c>
      <c r="B186" s="47" t="s">
        <v>2239</v>
      </c>
      <c r="C186" s="47" t="s">
        <v>2242</v>
      </c>
      <c r="D186" s="29" t="s">
        <v>2244</v>
      </c>
      <c r="E186" s="48" t="str">
        <f>IFERROR(__xludf.DUMMYFUNCTION("GOOGLETRANSLATE(D186,""zh-CN"",""vi"")"),"Anh ấy đã nhận được học bổng.")</f>
        <v>Anh ấy đã nhận được học bổng.</v>
      </c>
      <c r="F186" s="49" t="s">
        <v>2238</v>
      </c>
      <c r="G186" s="50" t="b">
        <f t="shared" si="1"/>
        <v>1</v>
      </c>
      <c r="H186" s="52" t="b">
        <v>0</v>
      </c>
      <c r="I186" s="52" t="b">
        <v>0</v>
      </c>
      <c r="J186" s="52" t="b">
        <v>0</v>
      </c>
      <c r="K186" s="52" t="b">
        <v>0</v>
      </c>
      <c r="L186" s="52" t="b">
        <v>0</v>
      </c>
      <c r="M186" s="52" t="b">
        <v>0</v>
      </c>
      <c r="N186" s="52" t="b">
        <v>0</v>
      </c>
      <c r="O186" s="52" t="b">
        <v>0</v>
      </c>
      <c r="P186" s="52" t="b">
        <v>0</v>
      </c>
      <c r="Q186" s="52" t="b">
        <v>0</v>
      </c>
      <c r="R186" s="44"/>
      <c r="S186" s="44"/>
      <c r="T186" s="44"/>
      <c r="U186" s="44"/>
      <c r="V186" s="44"/>
      <c r="W186" s="44"/>
      <c r="X186" s="45"/>
      <c r="Y186" s="45"/>
      <c r="Z186" s="45"/>
      <c r="AA186" s="45"/>
    </row>
    <row r="187" ht="33.75" customHeight="1">
      <c r="A187" s="46" t="s">
        <v>2255</v>
      </c>
      <c r="B187" s="47" t="s">
        <v>2257</v>
      </c>
      <c r="C187" s="47" t="s">
        <v>2259</v>
      </c>
      <c r="D187" s="29" t="s">
        <v>2261</v>
      </c>
      <c r="E187" s="48" t="str">
        <f>IFERROR(__xludf.DUMMYFUNCTION("GOOGLETRANSLATE(D187,""zh-CN"",""vi"")"),"Chúng ta nên đón nhận cuộc sống một cách tích cực.")</f>
        <v>Chúng ta nên đón nhận cuộc sống một cách tích cực.</v>
      </c>
      <c r="F187" s="49" t="s">
        <v>2255</v>
      </c>
      <c r="G187" s="50" t="b">
        <f t="shared" si="1"/>
        <v>1</v>
      </c>
      <c r="H187" s="52" t="b">
        <v>0</v>
      </c>
      <c r="I187" s="52" t="b">
        <v>0</v>
      </c>
      <c r="J187" s="52" t="b">
        <v>0</v>
      </c>
      <c r="K187" s="52" t="b">
        <v>0</v>
      </c>
      <c r="L187" s="52" t="b">
        <v>0</v>
      </c>
      <c r="M187" s="52" t="b">
        <v>0</v>
      </c>
      <c r="N187" s="52" t="b">
        <v>0</v>
      </c>
      <c r="O187" s="52" t="b">
        <v>0</v>
      </c>
      <c r="P187" s="52" t="b">
        <v>0</v>
      </c>
      <c r="Q187" s="52" t="b">
        <v>0</v>
      </c>
      <c r="R187" s="44"/>
      <c r="S187" s="44"/>
      <c r="T187" s="44"/>
      <c r="U187" s="44"/>
      <c r="V187" s="44"/>
      <c r="W187" s="44"/>
      <c r="X187" s="45"/>
      <c r="Y187" s="45"/>
      <c r="Z187" s="45"/>
      <c r="AA187" s="45"/>
    </row>
    <row r="188" ht="33.75" customHeight="1">
      <c r="A188" s="46" t="s">
        <v>2267</v>
      </c>
      <c r="B188" s="47" t="s">
        <v>2268</v>
      </c>
      <c r="C188" s="47" t="s">
        <v>2270</v>
      </c>
      <c r="D188" s="29" t="s">
        <v>2271</v>
      </c>
      <c r="E188" s="48" t="str">
        <f>IFERROR(__xludf.DUMMYFUNCTION("GOOGLETRANSLATE(D188,""zh-CN"",""vi"")"),"Anh ấy đã tích lũy được rất nhiều kinh nghiệm.")</f>
        <v>Anh ấy đã tích lũy được rất nhiều kinh nghiệm.</v>
      </c>
      <c r="F188" s="49" t="s">
        <v>2267</v>
      </c>
      <c r="G188" s="50" t="b">
        <f t="shared" si="1"/>
        <v>1</v>
      </c>
      <c r="H188" s="52" t="b">
        <v>0</v>
      </c>
      <c r="I188" s="52" t="b">
        <v>0</v>
      </c>
      <c r="J188" s="52" t="b">
        <v>0</v>
      </c>
      <c r="K188" s="52" t="b">
        <v>0</v>
      </c>
      <c r="L188" s="52" t="b">
        <v>0</v>
      </c>
      <c r="M188" s="52" t="b">
        <v>0</v>
      </c>
      <c r="N188" s="52" t="b">
        <v>0</v>
      </c>
      <c r="O188" s="52" t="b">
        <v>0</v>
      </c>
      <c r="P188" s="52" t="b">
        <v>0</v>
      </c>
      <c r="Q188" s="52" t="b">
        <v>0</v>
      </c>
      <c r="R188" s="44"/>
      <c r="S188" s="44"/>
      <c r="T188" s="44"/>
      <c r="U188" s="44"/>
      <c r="V188" s="44"/>
      <c r="W188" s="44"/>
      <c r="X188" s="45"/>
      <c r="Y188" s="45"/>
      <c r="Z188" s="45"/>
      <c r="AA188" s="45"/>
    </row>
    <row r="189" ht="33.75" customHeight="1">
      <c r="A189" s="46" t="s">
        <v>2278</v>
      </c>
      <c r="B189" s="47" t="s">
        <v>2280</v>
      </c>
      <c r="C189" s="47" t="s">
        <v>2281</v>
      </c>
      <c r="D189" s="29" t="s">
        <v>2283</v>
      </c>
      <c r="E189" s="48" t="str">
        <f>IFERROR(__xludf.DUMMYFUNCTION("GOOGLETRANSLATE(D189,""zh-CN"",""vi"")"),"Kiến thức cơ bản rất quan trọng.")</f>
        <v>Kiến thức cơ bản rất quan trọng.</v>
      </c>
      <c r="F189" s="49" t="s">
        <v>2278</v>
      </c>
      <c r="G189" s="50" t="b">
        <f t="shared" si="1"/>
        <v>1</v>
      </c>
      <c r="H189" s="52" t="b">
        <v>0</v>
      </c>
      <c r="I189" s="52" t="b">
        <v>0</v>
      </c>
      <c r="J189" s="52" t="b">
        <v>0</v>
      </c>
      <c r="K189" s="52" t="b">
        <v>0</v>
      </c>
      <c r="L189" s="52" t="b">
        <v>0</v>
      </c>
      <c r="M189" s="52" t="b">
        <v>0</v>
      </c>
      <c r="N189" s="52" t="b">
        <v>0</v>
      </c>
      <c r="O189" s="52" t="b">
        <v>0</v>
      </c>
      <c r="P189" s="52" t="b">
        <v>0</v>
      </c>
      <c r="Q189" s="52" t="b">
        <v>0</v>
      </c>
      <c r="R189" s="44"/>
      <c r="S189" s="44"/>
      <c r="T189" s="44"/>
      <c r="U189" s="44"/>
      <c r="V189" s="44"/>
      <c r="W189" s="44"/>
      <c r="X189" s="45"/>
      <c r="Y189" s="45"/>
      <c r="Z189" s="45"/>
      <c r="AA189" s="45"/>
    </row>
    <row r="190" ht="33.75" customHeight="1">
      <c r="A190" s="46" t="s">
        <v>2285</v>
      </c>
      <c r="B190" s="47" t="s">
        <v>2286</v>
      </c>
      <c r="C190" s="47" t="s">
        <v>2288</v>
      </c>
      <c r="D190" s="29" t="s">
        <v>2289</v>
      </c>
      <c r="E190" s="48" t="str">
        <f>IFERROR(__xludf.DUMMYFUNCTION("GOOGLETRANSLATE(D190,""zh-CN"",""vi"")"),"Tôi rất vui mừng khi nghe tin này.")</f>
        <v>Tôi rất vui mừng khi nghe tin này.</v>
      </c>
      <c r="F190" s="49" t="s">
        <v>2285</v>
      </c>
      <c r="G190" s="50" t="b">
        <f t="shared" si="1"/>
        <v>1</v>
      </c>
      <c r="H190" s="52" t="b">
        <v>0</v>
      </c>
      <c r="I190" s="52" t="b">
        <v>0</v>
      </c>
      <c r="J190" s="52" t="b">
        <v>0</v>
      </c>
      <c r="K190" s="52" t="b">
        <v>0</v>
      </c>
      <c r="L190" s="52" t="b">
        <v>0</v>
      </c>
      <c r="M190" s="52" t="b">
        <v>0</v>
      </c>
      <c r="N190" s="52" t="b">
        <v>0</v>
      </c>
      <c r="O190" s="52" t="b">
        <v>0</v>
      </c>
      <c r="P190" s="52" t="b">
        <v>0</v>
      </c>
      <c r="Q190" s="52" t="b">
        <v>0</v>
      </c>
      <c r="R190" s="44"/>
      <c r="S190" s="44"/>
      <c r="T190" s="44"/>
      <c r="U190" s="44"/>
      <c r="V190" s="44"/>
      <c r="W190" s="44"/>
      <c r="X190" s="45"/>
      <c r="Y190" s="45"/>
      <c r="Z190" s="45"/>
      <c r="AA190" s="45"/>
    </row>
    <row r="191" ht="33.75" customHeight="1">
      <c r="A191" s="46" t="s">
        <v>2301</v>
      </c>
      <c r="B191" s="47" t="s">
        <v>2302</v>
      </c>
      <c r="C191" s="47" t="s">
        <v>2303</v>
      </c>
      <c r="D191" s="29" t="s">
        <v>2304</v>
      </c>
      <c r="E191" s="48" t="str">
        <f>IFERROR(__xludf.DUMMYFUNCTION("GOOGLETRANSLATE(D191,""zh-CN"",""vi"")"),"Anh ấy đã hoàn thành nhiệm vụ đúng thời hạn.")</f>
        <v>Anh ấy đã hoàn thành nhiệm vụ đúng thời hạn.</v>
      </c>
      <c r="F191" s="49" t="s">
        <v>2301</v>
      </c>
      <c r="G191" s="50" t="b">
        <f t="shared" si="1"/>
        <v>1</v>
      </c>
      <c r="H191" s="52" t="b">
        <v>0</v>
      </c>
      <c r="I191" s="52" t="b">
        <v>0</v>
      </c>
      <c r="J191" s="52" t="b">
        <v>0</v>
      </c>
      <c r="K191" s="52" t="b">
        <v>0</v>
      </c>
      <c r="L191" s="52" t="b">
        <v>0</v>
      </c>
      <c r="M191" s="52" t="b">
        <v>0</v>
      </c>
      <c r="N191" s="52" t="b">
        <v>0</v>
      </c>
      <c r="O191" s="52" t="b">
        <v>0</v>
      </c>
      <c r="P191" s="52" t="b">
        <v>0</v>
      </c>
      <c r="Q191" s="52" t="b">
        <v>0</v>
      </c>
      <c r="R191" s="44"/>
      <c r="S191" s="44"/>
      <c r="T191" s="44"/>
      <c r="U191" s="44"/>
      <c r="V191" s="44"/>
      <c r="W191" s="44"/>
      <c r="X191" s="45"/>
      <c r="Y191" s="45"/>
      <c r="Z191" s="45"/>
      <c r="AA191" s="45"/>
    </row>
    <row r="192" ht="33.75" customHeight="1">
      <c r="A192" s="46" t="s">
        <v>2309</v>
      </c>
      <c r="B192" s="47" t="s">
        <v>2310</v>
      </c>
      <c r="C192" s="47" t="s">
        <v>2311</v>
      </c>
      <c r="D192" s="29" t="s">
        <v>2312</v>
      </c>
      <c r="E192" s="48" t="str">
        <f>IFERROR(__xludf.DUMMYFUNCTION("GOOGLETRANSLATE(D192,""zh-CN"",""vi"")"),"Chúng ta sẽ đi dù trời có mưa đi nữa.")</f>
        <v>Chúng ta sẽ đi dù trời có mưa đi nữa.</v>
      </c>
      <c r="F192" s="49" t="s">
        <v>2309</v>
      </c>
      <c r="G192" s="50" t="b">
        <f t="shared" si="1"/>
        <v>1</v>
      </c>
      <c r="H192" s="52" t="b">
        <v>0</v>
      </c>
      <c r="I192" s="52" t="b">
        <v>0</v>
      </c>
      <c r="J192" s="52" t="b">
        <v>0</v>
      </c>
      <c r="K192" s="52" t="b">
        <v>0</v>
      </c>
      <c r="L192" s="52" t="b">
        <v>0</v>
      </c>
      <c r="M192" s="52" t="b">
        <v>0</v>
      </c>
      <c r="N192" s="52" t="b">
        <v>0</v>
      </c>
      <c r="O192" s="52" t="b">
        <v>0</v>
      </c>
      <c r="P192" s="52" t="b">
        <v>0</v>
      </c>
      <c r="Q192" s="52" t="b">
        <v>0</v>
      </c>
      <c r="R192" s="44"/>
      <c r="S192" s="44"/>
      <c r="T192" s="44"/>
      <c r="U192" s="44"/>
      <c r="V192" s="44"/>
      <c r="W192" s="44"/>
      <c r="X192" s="45"/>
      <c r="Y192" s="45"/>
      <c r="Z192" s="45"/>
      <c r="AA192" s="45"/>
    </row>
    <row r="193" ht="33.75" customHeight="1">
      <c r="A193" s="46" t="s">
        <v>2324</v>
      </c>
      <c r="B193" s="47" t="s">
        <v>2326</v>
      </c>
      <c r="C193" s="47" t="s">
        <v>2327</v>
      </c>
      <c r="D193" s="29" t="s">
        <v>2328</v>
      </c>
      <c r="E193" s="48" t="str">
        <f>IFERROR(__xludf.DUMMYFUNCTION("GOOGLETRANSLATE(D193,""zh-CN"",""vi"")"),"Chúng ta cần lập kế hoạch.")</f>
        <v>Chúng ta cần lập kế hoạch.</v>
      </c>
      <c r="F193" s="49" t="s">
        <v>2324</v>
      </c>
      <c r="G193" s="50" t="b">
        <f t="shared" si="1"/>
        <v>1</v>
      </c>
      <c r="H193" s="52" t="b">
        <v>0</v>
      </c>
      <c r="I193" s="52" t="b">
        <v>0</v>
      </c>
      <c r="J193" s="52" t="b">
        <v>0</v>
      </c>
      <c r="K193" s="52" t="b">
        <v>0</v>
      </c>
      <c r="L193" s="52" t="b">
        <v>0</v>
      </c>
      <c r="M193" s="52" t="b">
        <v>0</v>
      </c>
      <c r="N193" s="52" t="b">
        <v>0</v>
      </c>
      <c r="O193" s="52" t="b">
        <v>0</v>
      </c>
      <c r="P193" s="52" t="b">
        <v>0</v>
      </c>
      <c r="Q193" s="52" t="b">
        <v>0</v>
      </c>
      <c r="R193" s="44"/>
      <c r="S193" s="44"/>
      <c r="T193" s="44"/>
      <c r="U193" s="44"/>
      <c r="V193" s="44"/>
      <c r="W193" s="44"/>
      <c r="X193" s="45"/>
      <c r="Y193" s="45"/>
      <c r="Z193" s="45"/>
      <c r="AA193" s="45"/>
    </row>
    <row r="194" ht="33.75" customHeight="1">
      <c r="A194" s="46" t="s">
        <v>2333</v>
      </c>
      <c r="B194" s="47" t="s">
        <v>2334</v>
      </c>
      <c r="C194" s="47" t="s">
        <v>2335</v>
      </c>
      <c r="D194" s="29" t="s">
        <v>2337</v>
      </c>
      <c r="E194" s="48" t="str">
        <f>IFERROR(__xludf.DUMMYFUNCTION("GOOGLETRANSLATE(D194,""zh-CN"",""vi"")"),"Các phóng viên đang có mặt tại hiện trường để đưa tin.")</f>
        <v>Các phóng viên đang có mặt tại hiện trường để đưa tin.</v>
      </c>
      <c r="F194" s="49" t="s">
        <v>2333</v>
      </c>
      <c r="G194" s="50" t="b">
        <f t="shared" si="1"/>
        <v>1</v>
      </c>
      <c r="H194" s="52" t="b">
        <v>0</v>
      </c>
      <c r="I194" s="52" t="b">
        <v>0</v>
      </c>
      <c r="J194" s="52" t="b">
        <v>0</v>
      </c>
      <c r="K194" s="52" t="b">
        <v>0</v>
      </c>
      <c r="L194" s="52" t="b">
        <v>0</v>
      </c>
      <c r="M194" s="52" t="b">
        <v>0</v>
      </c>
      <c r="N194" s="52" t="b">
        <v>0</v>
      </c>
      <c r="O194" s="52" t="b">
        <v>0</v>
      </c>
      <c r="P194" s="52" t="b">
        <v>0</v>
      </c>
      <c r="Q194" s="52" t="b">
        <v>0</v>
      </c>
      <c r="R194" s="44"/>
      <c r="S194" s="44"/>
      <c r="T194" s="44"/>
      <c r="U194" s="44"/>
      <c r="V194" s="44"/>
      <c r="W194" s="44"/>
      <c r="X194" s="45"/>
      <c r="Y194" s="45"/>
      <c r="Z194" s="45"/>
      <c r="AA194" s="45"/>
    </row>
    <row r="195" ht="33.75" customHeight="1">
      <c r="A195" s="46" t="s">
        <v>2348</v>
      </c>
      <c r="B195" s="47" t="s">
        <v>2349</v>
      </c>
      <c r="C195" s="47" t="s">
        <v>2350</v>
      </c>
      <c r="D195" s="29" t="s">
        <v>2351</v>
      </c>
      <c r="E195" s="48" t="str">
        <f>IFERROR(__xludf.DUMMYFUNCTION("GOOGLETRANSLATE(D195,""zh-CN"",""vi"")"),"Anh ấy rất quan tâm đến công nghệ.")</f>
        <v>Anh ấy rất quan tâm đến công nghệ.</v>
      </c>
      <c r="F195" s="49" t="s">
        <v>2348</v>
      </c>
      <c r="G195" s="50" t="b">
        <f t="shared" si="1"/>
        <v>1</v>
      </c>
      <c r="H195" s="52" t="b">
        <v>1</v>
      </c>
      <c r="I195" s="52" t="b">
        <v>0</v>
      </c>
      <c r="J195" s="52" t="b">
        <v>0</v>
      </c>
      <c r="K195" s="52" t="b">
        <v>0</v>
      </c>
      <c r="L195" s="52" t="b">
        <v>0</v>
      </c>
      <c r="M195" s="52" t="b">
        <v>0</v>
      </c>
      <c r="N195" s="52" t="b">
        <v>0</v>
      </c>
      <c r="O195" s="52" t="b">
        <v>0</v>
      </c>
      <c r="P195" s="52" t="b">
        <v>0</v>
      </c>
      <c r="Q195" s="52" t="b">
        <v>0</v>
      </c>
      <c r="R195" s="44"/>
      <c r="S195" s="44"/>
      <c r="T195" s="44"/>
      <c r="U195" s="44"/>
      <c r="V195" s="44"/>
      <c r="W195" s="44"/>
      <c r="X195" s="45"/>
      <c r="Y195" s="45"/>
      <c r="Z195" s="45"/>
      <c r="AA195" s="45"/>
    </row>
    <row r="196" ht="33.75" customHeight="1">
      <c r="A196" s="46" t="s">
        <v>2354</v>
      </c>
      <c r="B196" s="47" t="s">
        <v>2355</v>
      </c>
      <c r="C196" s="47" t="s">
        <v>2357</v>
      </c>
      <c r="D196" s="29" t="s">
        <v>2359</v>
      </c>
      <c r="E196" s="48" t="str">
        <f>IFERROR(__xludf.DUMMYFUNCTION("GOOGLETRANSLATE(D196,""zh-CN"",""vi"")"),"Vì bạn đã đến đây rồi, chúng ta cùng ăn tối nhé.")</f>
        <v>Vì bạn đã đến đây rồi, chúng ta cùng ăn tối nhé.</v>
      </c>
      <c r="F196" s="49" t="s">
        <v>2354</v>
      </c>
      <c r="G196" s="50" t="b">
        <f t="shared" si="1"/>
        <v>1</v>
      </c>
      <c r="H196" s="52" t="b">
        <v>1</v>
      </c>
      <c r="I196" s="52" t="b">
        <v>0</v>
      </c>
      <c r="J196" s="52" t="b">
        <v>0</v>
      </c>
      <c r="K196" s="52" t="b">
        <v>0</v>
      </c>
      <c r="L196" s="52" t="b">
        <v>0</v>
      </c>
      <c r="M196" s="52" t="b">
        <v>0</v>
      </c>
      <c r="N196" s="52" t="b">
        <v>0</v>
      </c>
      <c r="O196" s="52" t="b">
        <v>0</v>
      </c>
      <c r="P196" s="52" t="b">
        <v>0</v>
      </c>
      <c r="Q196" s="52" t="b">
        <v>0</v>
      </c>
      <c r="R196" s="44"/>
      <c r="S196" s="44"/>
      <c r="T196" s="44"/>
      <c r="U196" s="44"/>
      <c r="V196" s="44"/>
      <c r="W196" s="44"/>
      <c r="X196" s="45"/>
      <c r="Y196" s="45"/>
      <c r="Z196" s="45"/>
      <c r="AA196" s="45"/>
    </row>
    <row r="197" ht="33.75" customHeight="1">
      <c r="A197" s="46" t="s">
        <v>2365</v>
      </c>
      <c r="B197" s="47" t="s">
        <v>2367</v>
      </c>
      <c r="C197" s="47" t="s">
        <v>2369</v>
      </c>
      <c r="D197" s="29" t="s">
        <v>2370</v>
      </c>
      <c r="E197" s="48" t="str">
        <f>IFERROR(__xludf.DUMMYFUNCTION("GOOGLETRANSLATE(D197,""zh-CN"",""vi"")"),"Chúng ta vẫn tiếp tục học hỏi.")</f>
        <v>Chúng ta vẫn tiếp tục học hỏi.</v>
      </c>
      <c r="F197" s="49" t="s">
        <v>2365</v>
      </c>
      <c r="G197" s="50" t="b">
        <f t="shared" si="1"/>
        <v>1</v>
      </c>
      <c r="H197" s="52" t="b">
        <v>1</v>
      </c>
      <c r="I197" s="52" t="b">
        <v>0</v>
      </c>
      <c r="J197" s="52" t="b">
        <v>0</v>
      </c>
      <c r="K197" s="52" t="b">
        <v>0</v>
      </c>
      <c r="L197" s="52" t="b">
        <v>0</v>
      </c>
      <c r="M197" s="52" t="b">
        <v>0</v>
      </c>
      <c r="N197" s="52" t="b">
        <v>0</v>
      </c>
      <c r="O197" s="52" t="b">
        <v>0</v>
      </c>
      <c r="P197" s="52" t="b">
        <v>0</v>
      </c>
      <c r="Q197" s="52" t="b">
        <v>0</v>
      </c>
      <c r="R197" s="44"/>
      <c r="S197" s="44"/>
      <c r="T197" s="44"/>
      <c r="U197" s="44"/>
      <c r="V197" s="44"/>
      <c r="W197" s="44"/>
      <c r="X197" s="45"/>
      <c r="Y197" s="45"/>
      <c r="Z197" s="45"/>
      <c r="AA197" s="45"/>
    </row>
    <row r="198" ht="33.75" customHeight="1">
      <c r="A198" s="46" t="s">
        <v>2376</v>
      </c>
      <c r="B198" s="47" t="s">
        <v>2378</v>
      </c>
      <c r="C198" s="47" t="s">
        <v>2380</v>
      </c>
      <c r="D198" s="29" t="s">
        <v>2382</v>
      </c>
      <c r="E198" s="48" t="str">
        <f>IFERROR(__xludf.DUMMYFUNCTION("GOOGLETRANSLATE(D198,""zh-CN"",""vi"")"),"Anh ấy đã gửi một bức thư cho bạn mình.")</f>
        <v>Anh ấy đã gửi một bức thư cho bạn mình.</v>
      </c>
      <c r="F198" s="49" t="s">
        <v>2376</v>
      </c>
      <c r="G198" s="50" t="b">
        <f t="shared" si="1"/>
        <v>1</v>
      </c>
      <c r="H198" s="52" t="b">
        <v>1</v>
      </c>
      <c r="I198" s="52" t="b">
        <v>0</v>
      </c>
      <c r="J198" s="52" t="b">
        <v>0</v>
      </c>
      <c r="K198" s="52" t="b">
        <v>0</v>
      </c>
      <c r="L198" s="52" t="b">
        <v>0</v>
      </c>
      <c r="M198" s="52" t="b">
        <v>0</v>
      </c>
      <c r="N198" s="52" t="b">
        <v>0</v>
      </c>
      <c r="O198" s="52" t="b">
        <v>0</v>
      </c>
      <c r="P198" s="52" t="b">
        <v>0</v>
      </c>
      <c r="Q198" s="52" t="b">
        <v>0</v>
      </c>
      <c r="R198" s="44"/>
      <c r="S198" s="44"/>
      <c r="T198" s="44"/>
      <c r="U198" s="44"/>
      <c r="V198" s="44"/>
      <c r="W198" s="44"/>
      <c r="X198" s="45"/>
      <c r="Y198" s="45"/>
      <c r="Z198" s="45"/>
      <c r="AA198" s="45"/>
    </row>
    <row r="199" ht="33.75" customHeight="1">
      <c r="A199" s="46" t="s">
        <v>2387</v>
      </c>
      <c r="B199" s="47" t="s">
        <v>2391</v>
      </c>
      <c r="C199" s="47" t="s">
        <v>2394</v>
      </c>
      <c r="D199" s="29" t="s">
        <v>2397</v>
      </c>
      <c r="E199" s="48" t="str">
        <f>IFERROR(__xludf.DUMMYFUNCTION("GOOGLETRANSLATE(D199,""zh-CN"",""vi"")"),"Anh ấy thường xuyên làm thêm giờ.")</f>
        <v>Anh ấy thường xuyên làm thêm giờ.</v>
      </c>
      <c r="F199" s="49" t="s">
        <v>2387</v>
      </c>
      <c r="G199" s="50" t="b">
        <f t="shared" si="1"/>
        <v>1</v>
      </c>
      <c r="H199" s="52" t="b">
        <v>1</v>
      </c>
      <c r="I199" s="52" t="b">
        <v>0</v>
      </c>
      <c r="J199" s="52" t="b">
        <v>0</v>
      </c>
      <c r="K199" s="52" t="b">
        <v>0</v>
      </c>
      <c r="L199" s="52" t="b">
        <v>0</v>
      </c>
      <c r="M199" s="52" t="b">
        <v>0</v>
      </c>
      <c r="N199" s="52" t="b">
        <v>0</v>
      </c>
      <c r="O199" s="52" t="b">
        <v>0</v>
      </c>
      <c r="P199" s="52" t="b">
        <v>0</v>
      </c>
      <c r="Q199" s="52" t="b">
        <v>0</v>
      </c>
      <c r="R199" s="44"/>
      <c r="S199" s="44"/>
      <c r="T199" s="44"/>
      <c r="U199" s="44"/>
      <c r="V199" s="44"/>
      <c r="W199" s="44"/>
      <c r="X199" s="45"/>
      <c r="Y199" s="45"/>
      <c r="Z199" s="45"/>
      <c r="AA199" s="45"/>
    </row>
    <row r="200" ht="33.75" customHeight="1">
      <c r="A200" s="46" t="s">
        <v>2400</v>
      </c>
      <c r="B200" s="47" t="s">
        <v>2401</v>
      </c>
      <c r="C200" s="47" t="s">
        <v>2402</v>
      </c>
      <c r="D200" s="29" t="s">
        <v>2403</v>
      </c>
      <c r="E200" s="48" t="str">
        <f>IFERROR(__xludf.DUMMYFUNCTION("GOOGLETRANSLATE(D200,""zh-CN"",""vi"")"),"Chúng tôi đã đổ xăng tại trạm xăng.")</f>
        <v>Chúng tôi đã đổ xăng tại trạm xăng.</v>
      </c>
      <c r="F200" s="49" t="s">
        <v>2400</v>
      </c>
      <c r="G200" s="50" t="b">
        <f t="shared" si="1"/>
        <v>1</v>
      </c>
      <c r="H200" s="52" t="b">
        <v>1</v>
      </c>
      <c r="I200" s="52" t="b">
        <v>0</v>
      </c>
      <c r="J200" s="52" t="b">
        <v>0</v>
      </c>
      <c r="K200" s="52" t="b">
        <v>0</v>
      </c>
      <c r="L200" s="52" t="b">
        <v>0</v>
      </c>
      <c r="M200" s="52" t="b">
        <v>0</v>
      </c>
      <c r="N200" s="52" t="b">
        <v>0</v>
      </c>
      <c r="O200" s="52" t="b">
        <v>0</v>
      </c>
      <c r="P200" s="52" t="b">
        <v>0</v>
      </c>
      <c r="Q200" s="52" t="b">
        <v>0</v>
      </c>
      <c r="R200" s="44"/>
      <c r="S200" s="44"/>
      <c r="T200" s="44"/>
      <c r="U200" s="44"/>
      <c r="V200" s="44"/>
      <c r="W200" s="44"/>
      <c r="X200" s="45"/>
      <c r="Y200" s="45"/>
      <c r="Z200" s="45"/>
      <c r="AA200" s="45"/>
    </row>
    <row r="201" ht="33.75" customHeight="1">
      <c r="A201" s="46" t="s">
        <v>2416</v>
      </c>
      <c r="B201" s="47" t="s">
        <v>2417</v>
      </c>
      <c r="C201" s="47" t="s">
        <v>2418</v>
      </c>
      <c r="D201" s="29" t="s">
        <v>2419</v>
      </c>
      <c r="E201" s="48" t="str">
        <f>IFERROR(__xludf.DUMMYFUNCTION("GOOGLETRANSLATE(D201,""zh-CN"",""vi"")"),"Cửa hàng này bán rất nhiều đồ nội thất.")</f>
        <v>Cửa hàng này bán rất nhiều đồ nội thất.</v>
      </c>
      <c r="F201" s="49" t="s">
        <v>2416</v>
      </c>
      <c r="G201" s="50" t="b">
        <f t="shared" si="1"/>
        <v>1</v>
      </c>
      <c r="H201" s="52" t="b">
        <v>1</v>
      </c>
      <c r="I201" s="52" t="b">
        <v>0</v>
      </c>
      <c r="J201" s="52" t="b">
        <v>0</v>
      </c>
      <c r="K201" s="52" t="b">
        <v>0</v>
      </c>
      <c r="L201" s="52" t="b">
        <v>0</v>
      </c>
      <c r="M201" s="52" t="b">
        <v>0</v>
      </c>
      <c r="N201" s="52" t="b">
        <v>0</v>
      </c>
      <c r="O201" s="52" t="b">
        <v>0</v>
      </c>
      <c r="P201" s="52" t="b">
        <v>0</v>
      </c>
      <c r="Q201" s="52" t="b">
        <v>0</v>
      </c>
      <c r="R201" s="44"/>
      <c r="S201" s="44"/>
      <c r="T201" s="44"/>
      <c r="U201" s="44"/>
      <c r="V201" s="44"/>
      <c r="W201" s="44"/>
      <c r="X201" s="45"/>
      <c r="Y201" s="45"/>
      <c r="Z201" s="45"/>
      <c r="AA201" s="45"/>
    </row>
    <row r="202" ht="33.75" customHeight="1">
      <c r="A202" s="46" t="s">
        <v>2427</v>
      </c>
      <c r="B202" s="47" t="s">
        <v>2428</v>
      </c>
      <c r="C202" s="47" t="s">
        <v>2430</v>
      </c>
      <c r="D202" s="29" t="s">
        <v>2431</v>
      </c>
      <c r="E202" s="48" t="str">
        <f>IFERROR(__xludf.DUMMYFUNCTION("GOOGLETRANSLATE(D202,""zh-CN"",""vi"")"),"Đây là hàng giả.")</f>
        <v>Đây là hàng giả.</v>
      </c>
      <c r="F202" s="49" t="s">
        <v>2427</v>
      </c>
      <c r="G202" s="50" t="b">
        <f t="shared" si="1"/>
        <v>1</v>
      </c>
      <c r="H202" s="52" t="b">
        <v>1</v>
      </c>
      <c r="I202" s="52" t="b">
        <v>0</v>
      </c>
      <c r="J202" s="52" t="b">
        <v>0</v>
      </c>
      <c r="K202" s="52" t="b">
        <v>0</v>
      </c>
      <c r="L202" s="52" t="b">
        <v>0</v>
      </c>
      <c r="M202" s="52" t="b">
        <v>0</v>
      </c>
      <c r="N202" s="52" t="b">
        <v>0</v>
      </c>
      <c r="O202" s="52" t="b">
        <v>0</v>
      </c>
      <c r="P202" s="52" t="b">
        <v>0</v>
      </c>
      <c r="Q202" s="52" t="b">
        <v>0</v>
      </c>
      <c r="R202" s="44"/>
      <c r="S202" s="44"/>
      <c r="T202" s="44"/>
      <c r="U202" s="44"/>
      <c r="V202" s="44"/>
      <c r="W202" s="44"/>
      <c r="X202" s="45"/>
      <c r="Y202" s="45"/>
      <c r="Z202" s="45"/>
      <c r="AA202" s="45"/>
    </row>
    <row r="203" ht="33.75" customHeight="1">
      <c r="A203" s="46" t="s">
        <v>2436</v>
      </c>
      <c r="B203" s="47" t="s">
        <v>2437</v>
      </c>
      <c r="C203" s="47" t="s">
        <v>2438</v>
      </c>
      <c r="D203" s="29" t="s">
        <v>2439</v>
      </c>
      <c r="E203" s="48" t="str">
        <f>IFERROR(__xludf.DUMMYFUNCTION("GOOGLETRANSLATE(D203,""zh-CN"",""vi"")"),"Sản phẩm này rất đắt tiền.")</f>
        <v>Sản phẩm này rất đắt tiền.</v>
      </c>
      <c r="F203" s="49" t="s">
        <v>2436</v>
      </c>
      <c r="G203" s="50" t="b">
        <f t="shared" si="1"/>
        <v>1</v>
      </c>
      <c r="H203" s="52" t="b">
        <v>1</v>
      </c>
      <c r="I203" s="52" t="b">
        <v>0</v>
      </c>
      <c r="J203" s="52" t="b">
        <v>0</v>
      </c>
      <c r="K203" s="52" t="b">
        <v>0</v>
      </c>
      <c r="L203" s="52" t="b">
        <v>0</v>
      </c>
      <c r="M203" s="52" t="b">
        <v>0</v>
      </c>
      <c r="N203" s="52" t="b">
        <v>0</v>
      </c>
      <c r="O203" s="52" t="b">
        <v>0</v>
      </c>
      <c r="P203" s="52" t="b">
        <v>0</v>
      </c>
      <c r="Q203" s="52" t="b">
        <v>0</v>
      </c>
      <c r="R203" s="44"/>
      <c r="S203" s="44"/>
      <c r="T203" s="44"/>
      <c r="U203" s="44"/>
      <c r="V203" s="44"/>
      <c r="W203" s="44"/>
      <c r="X203" s="45"/>
      <c r="Y203" s="45"/>
      <c r="Z203" s="45"/>
      <c r="AA203" s="45"/>
    </row>
    <row r="204" ht="33.75" customHeight="1">
      <c r="A204" s="46" t="s">
        <v>2446</v>
      </c>
      <c r="B204" s="47" t="s">
        <v>2447</v>
      </c>
      <c r="C204" s="47" t="s">
        <v>2448</v>
      </c>
      <c r="D204" s="29" t="s">
        <v>2450</v>
      </c>
      <c r="E204" s="48" t="str">
        <f>IFERROR(__xludf.DUMMYFUNCTION("GOOGLETRANSLATE(D204,""zh-CN"",""vi"")"),"Tôi chạy bộ mỗi ngày.")</f>
        <v>Tôi chạy bộ mỗi ngày.</v>
      </c>
      <c r="F204" s="49" t="s">
        <v>2446</v>
      </c>
      <c r="G204" s="50" t="b">
        <f t="shared" si="1"/>
        <v>1</v>
      </c>
      <c r="H204" s="52" t="b">
        <v>1</v>
      </c>
      <c r="I204" s="52" t="b">
        <v>0</v>
      </c>
      <c r="J204" s="52" t="b">
        <v>0</v>
      </c>
      <c r="K204" s="52" t="b">
        <v>0</v>
      </c>
      <c r="L204" s="52" t="b">
        <v>0</v>
      </c>
      <c r="M204" s="52" t="b">
        <v>0</v>
      </c>
      <c r="N204" s="52" t="b">
        <v>0</v>
      </c>
      <c r="O204" s="52" t="b">
        <v>0</v>
      </c>
      <c r="P204" s="52" t="b">
        <v>0</v>
      </c>
      <c r="Q204" s="52" t="b">
        <v>0</v>
      </c>
      <c r="R204" s="44"/>
      <c r="S204" s="44"/>
      <c r="T204" s="44"/>
      <c r="U204" s="44"/>
      <c r="V204" s="44"/>
      <c r="W204" s="44"/>
      <c r="X204" s="45"/>
      <c r="Y204" s="45"/>
      <c r="Z204" s="45"/>
      <c r="AA204" s="45"/>
    </row>
    <row r="205" ht="33.75" customHeight="1">
      <c r="A205" s="46" t="s">
        <v>2458</v>
      </c>
      <c r="B205" s="47" t="s">
        <v>2459</v>
      </c>
      <c r="C205" s="47" t="s">
        <v>2460</v>
      </c>
      <c r="D205" s="29" t="s">
        <v>2461</v>
      </c>
      <c r="E205" s="48" t="str">
        <f>IFERROR(__xludf.DUMMYFUNCTION("GOOGLETRANSLATE(D205,""zh-CN"",""vi"")"),"Cô ấy đang cố gắng giảm cân.")</f>
        <v>Cô ấy đang cố gắng giảm cân.</v>
      </c>
      <c r="F205" s="49" t="s">
        <v>2458</v>
      </c>
      <c r="G205" s="50" t="b">
        <f t="shared" si="1"/>
        <v>1</v>
      </c>
      <c r="H205" s="52" t="b">
        <v>1</v>
      </c>
      <c r="I205" s="52" t="b">
        <v>0</v>
      </c>
      <c r="J205" s="52" t="b">
        <v>0</v>
      </c>
      <c r="K205" s="52" t="b">
        <v>0</v>
      </c>
      <c r="L205" s="52" t="b">
        <v>0</v>
      </c>
      <c r="M205" s="52" t="b">
        <v>0</v>
      </c>
      <c r="N205" s="52" t="b">
        <v>0</v>
      </c>
      <c r="O205" s="52" t="b">
        <v>0</v>
      </c>
      <c r="P205" s="52" t="b">
        <v>0</v>
      </c>
      <c r="Q205" s="52" t="b">
        <v>0</v>
      </c>
      <c r="R205" s="44"/>
      <c r="S205" s="44"/>
      <c r="T205" s="44"/>
      <c r="U205" s="44"/>
      <c r="V205" s="44"/>
      <c r="W205" s="44"/>
      <c r="X205" s="45"/>
      <c r="Y205" s="45"/>
      <c r="Z205" s="45"/>
      <c r="AA205" s="45"/>
    </row>
    <row r="206" ht="33.75" customHeight="1">
      <c r="A206" s="46" t="s">
        <v>2466</v>
      </c>
      <c r="B206" s="47" t="s">
        <v>2467</v>
      </c>
      <c r="C206" s="47" t="s">
        <v>2469</v>
      </c>
      <c r="D206" s="29" t="s">
        <v>2471</v>
      </c>
      <c r="E206" s="48" t="str">
        <f>IFERROR(__xludf.DUMMYFUNCTION("GOOGLETRANSLATE(D206,""zh-CN"",""vi"")"),"Chúng ta nên giảm thiểu rác thải.")</f>
        <v>Chúng ta nên giảm thiểu rác thải.</v>
      </c>
      <c r="F206" s="49" t="s">
        <v>2466</v>
      </c>
      <c r="G206" s="50" t="b">
        <f t="shared" si="1"/>
        <v>1</v>
      </c>
      <c r="H206" s="52" t="b">
        <v>1</v>
      </c>
      <c r="I206" s="52" t="b">
        <v>0</v>
      </c>
      <c r="J206" s="52" t="b">
        <v>0</v>
      </c>
      <c r="K206" s="52" t="b">
        <v>0</v>
      </c>
      <c r="L206" s="52" t="b">
        <v>0</v>
      </c>
      <c r="M206" s="52" t="b">
        <v>0</v>
      </c>
      <c r="N206" s="52" t="b">
        <v>0</v>
      </c>
      <c r="O206" s="52" t="b">
        <v>0</v>
      </c>
      <c r="P206" s="52" t="b">
        <v>0</v>
      </c>
      <c r="Q206" s="52" t="b">
        <v>0</v>
      </c>
      <c r="R206" s="44"/>
      <c r="S206" s="44"/>
      <c r="T206" s="44"/>
      <c r="U206" s="44"/>
      <c r="V206" s="44"/>
      <c r="W206" s="44"/>
      <c r="X206" s="45"/>
      <c r="Y206" s="45"/>
      <c r="Z206" s="45"/>
      <c r="AA206" s="45"/>
    </row>
    <row r="207" ht="33.75" customHeight="1">
      <c r="A207" s="46" t="s">
        <v>2477</v>
      </c>
      <c r="B207" s="47" t="s">
        <v>2478</v>
      </c>
      <c r="C207" s="47" t="s">
        <v>2479</v>
      </c>
      <c r="D207" s="29" t="s">
        <v>2480</v>
      </c>
      <c r="E207" s="48" t="str">
        <f>IFERROR(__xludf.DUMMYFUNCTION("GOOGLETRANSLATE(D207,""zh-CN"",""vi"")"),"Tôi có một đề xuất.")</f>
        <v>Tôi có một đề xuất.</v>
      </c>
      <c r="F207" s="49" t="s">
        <v>2477</v>
      </c>
      <c r="G207" s="50" t="b">
        <f t="shared" si="1"/>
        <v>1</v>
      </c>
      <c r="H207" s="52" t="b">
        <v>1</v>
      </c>
      <c r="I207" s="52" t="b">
        <v>0</v>
      </c>
      <c r="J207" s="52" t="b">
        <v>0</v>
      </c>
      <c r="K207" s="52" t="b">
        <v>0</v>
      </c>
      <c r="L207" s="52" t="b">
        <v>0</v>
      </c>
      <c r="M207" s="52" t="b">
        <v>0</v>
      </c>
      <c r="N207" s="52" t="b">
        <v>0</v>
      </c>
      <c r="O207" s="52" t="b">
        <v>0</v>
      </c>
      <c r="P207" s="52" t="b">
        <v>0</v>
      </c>
      <c r="Q207" s="52" t="b">
        <v>0</v>
      </c>
      <c r="R207" s="44"/>
      <c r="S207" s="44"/>
      <c r="T207" s="44"/>
      <c r="U207" s="44"/>
      <c r="V207" s="44"/>
      <c r="W207" s="44"/>
      <c r="X207" s="45"/>
      <c r="Y207" s="45"/>
      <c r="Z207" s="45"/>
      <c r="AA207" s="45"/>
    </row>
    <row r="208" ht="33.75" customHeight="1">
      <c r="A208" s="46" t="s">
        <v>2489</v>
      </c>
      <c r="B208" s="47" t="s">
        <v>2490</v>
      </c>
      <c r="C208" s="47" t="s">
        <v>2491</v>
      </c>
      <c r="D208" s="29" t="s">
        <v>2492</v>
      </c>
      <c r="E208" s="48" t="str">
        <f>IFERROR(__xludf.DUMMYFUNCTION("GOOGLETRANSLATE(D208,""zh-CN"",""vi"")"),"Tôi muốn trở thành bác sĩ trong tương lai.")</f>
        <v>Tôi muốn trở thành bác sĩ trong tương lai.</v>
      </c>
      <c r="F208" s="49" t="s">
        <v>2489</v>
      </c>
      <c r="G208" s="50" t="b">
        <f t="shared" si="1"/>
        <v>1</v>
      </c>
      <c r="H208" s="52" t="b">
        <v>1</v>
      </c>
      <c r="I208" s="52" t="b">
        <v>0</v>
      </c>
      <c r="J208" s="52" t="b">
        <v>0</v>
      </c>
      <c r="K208" s="52" t="b">
        <v>0</v>
      </c>
      <c r="L208" s="52" t="b">
        <v>0</v>
      </c>
      <c r="M208" s="52" t="b">
        <v>0</v>
      </c>
      <c r="N208" s="52" t="b">
        <v>0</v>
      </c>
      <c r="O208" s="52" t="b">
        <v>0</v>
      </c>
      <c r="P208" s="52" t="b">
        <v>0</v>
      </c>
      <c r="Q208" s="52" t="b">
        <v>0</v>
      </c>
      <c r="R208" s="44"/>
      <c r="S208" s="44"/>
      <c r="T208" s="44"/>
      <c r="U208" s="44"/>
      <c r="V208" s="44"/>
      <c r="W208" s="44"/>
      <c r="X208" s="45"/>
      <c r="Y208" s="45"/>
      <c r="Z208" s="45"/>
      <c r="AA208" s="45"/>
    </row>
    <row r="209" ht="33.75" customHeight="1">
      <c r="A209" s="46" t="s">
        <v>2497</v>
      </c>
      <c r="B209" s="47" t="s">
        <v>2498</v>
      </c>
      <c r="C209" s="47" t="s">
        <v>2499</v>
      </c>
      <c r="D209" s="29" t="s">
        <v>2500</v>
      </c>
      <c r="E209" s="48" t="str">
        <f>IFERROR(__xludf.DUMMYFUNCTION("GOOGLETRANSLATE(D209,""zh-CN"",""vi"")"),"Công ty đã thưởng cho anh ấy.")</f>
        <v>Công ty đã thưởng cho anh ấy.</v>
      </c>
      <c r="F209" s="49" t="s">
        <v>2497</v>
      </c>
      <c r="G209" s="50" t="b">
        <f t="shared" si="1"/>
        <v>1</v>
      </c>
      <c r="H209" s="52" t="b">
        <v>1</v>
      </c>
      <c r="I209" s="52" t="b">
        <v>0</v>
      </c>
      <c r="J209" s="52" t="b">
        <v>0</v>
      </c>
      <c r="K209" s="52" t="b">
        <v>0</v>
      </c>
      <c r="L209" s="52" t="b">
        <v>0</v>
      </c>
      <c r="M209" s="52" t="b">
        <v>0</v>
      </c>
      <c r="N209" s="52" t="b">
        <v>0</v>
      </c>
      <c r="O209" s="52" t="b">
        <v>0</v>
      </c>
      <c r="P209" s="52" t="b">
        <v>0</v>
      </c>
      <c r="Q209" s="52" t="b">
        <v>0</v>
      </c>
      <c r="R209" s="44"/>
      <c r="S209" s="44"/>
      <c r="T209" s="44"/>
      <c r="U209" s="44"/>
      <c r="V209" s="44"/>
      <c r="W209" s="44"/>
      <c r="X209" s="45"/>
      <c r="Y209" s="45"/>
      <c r="Z209" s="45"/>
      <c r="AA209" s="45"/>
    </row>
    <row r="210" ht="33.75" customHeight="1">
      <c r="A210" s="46" t="s">
        <v>2509</v>
      </c>
      <c r="B210" s="47" t="s">
        <v>2510</v>
      </c>
      <c r="C210" s="47" t="s">
        <v>2511</v>
      </c>
      <c r="D210" s="29" t="s">
        <v>2512</v>
      </c>
      <c r="E210" s="48" t="str">
        <f>IFERROR(__xludf.DUMMYFUNCTION("GOOGLETRANSLATE(D210,""zh-CN"",""vi"")"),"Họ đã giảm giá.")</f>
        <v>Họ đã giảm giá.</v>
      </c>
      <c r="F210" s="49" t="s">
        <v>2509</v>
      </c>
      <c r="G210" s="50" t="b">
        <f t="shared" si="1"/>
        <v>1</v>
      </c>
      <c r="H210" s="52" t="b">
        <v>1</v>
      </c>
      <c r="I210" s="52" t="b">
        <v>0</v>
      </c>
      <c r="J210" s="52" t="b">
        <v>0</v>
      </c>
      <c r="K210" s="52" t="b">
        <v>0</v>
      </c>
      <c r="L210" s="52" t="b">
        <v>0</v>
      </c>
      <c r="M210" s="52" t="b">
        <v>0</v>
      </c>
      <c r="N210" s="52" t="b">
        <v>0</v>
      </c>
      <c r="O210" s="52" t="b">
        <v>0</v>
      </c>
      <c r="P210" s="52" t="b">
        <v>0</v>
      </c>
      <c r="Q210" s="52" t="b">
        <v>0</v>
      </c>
      <c r="R210" s="44"/>
      <c r="S210" s="44"/>
      <c r="T210" s="44"/>
      <c r="U210" s="44"/>
      <c r="V210" s="44"/>
      <c r="W210" s="44"/>
      <c r="X210" s="45"/>
      <c r="Y210" s="45"/>
      <c r="Z210" s="45"/>
      <c r="AA210" s="45"/>
    </row>
    <row r="211" ht="33.75" customHeight="1">
      <c r="A211" s="46" t="s">
        <v>2516</v>
      </c>
      <c r="B211" s="47" t="s">
        <v>2517</v>
      </c>
      <c r="C211" s="47" t="s">
        <v>2518</v>
      </c>
      <c r="D211" s="29" t="s">
        <v>2522</v>
      </c>
      <c r="E211" s="48" t="str">
        <f>IFERROR(__xludf.DUMMYFUNCTION("GOOGLETRANSLATE(D211,""zh-CN"",""vi"")"),"Máy bay hạ cánh đúng giờ.")</f>
        <v>Máy bay hạ cánh đúng giờ.</v>
      </c>
      <c r="F211" s="49" t="s">
        <v>2516</v>
      </c>
      <c r="G211" s="50" t="b">
        <f t="shared" si="1"/>
        <v>1</v>
      </c>
      <c r="H211" s="52" t="b">
        <v>1</v>
      </c>
      <c r="I211" s="52" t="b">
        <v>0</v>
      </c>
      <c r="J211" s="52" t="b">
        <v>0</v>
      </c>
      <c r="K211" s="52" t="b">
        <v>0</v>
      </c>
      <c r="L211" s="52" t="b">
        <v>0</v>
      </c>
      <c r="M211" s="52" t="b">
        <v>0</v>
      </c>
      <c r="N211" s="52" t="b">
        <v>0</v>
      </c>
      <c r="O211" s="52" t="b">
        <v>0</v>
      </c>
      <c r="P211" s="52" t="b">
        <v>0</v>
      </c>
      <c r="Q211" s="52" t="b">
        <v>0</v>
      </c>
      <c r="R211" s="44"/>
      <c r="S211" s="44"/>
      <c r="T211" s="44"/>
      <c r="U211" s="44"/>
      <c r="V211" s="44"/>
      <c r="W211" s="44"/>
      <c r="X211" s="45"/>
      <c r="Y211" s="45"/>
      <c r="Z211" s="45"/>
      <c r="AA211" s="45"/>
    </row>
    <row r="212" ht="33.75" customHeight="1">
      <c r="A212" s="46" t="s">
        <v>2532</v>
      </c>
      <c r="B212" s="47" t="s">
        <v>1869</v>
      </c>
      <c r="C212" s="47" t="s">
        <v>2533</v>
      </c>
      <c r="D212" s="29" t="s">
        <v>2534</v>
      </c>
      <c r="E212" s="48" t="str">
        <f>IFERROR(__xludf.DUMMYFUNCTION("GOOGLETRANSLATE(D212,""zh-CN"",""vi"")"),"Tôi đã nộp bài tập về nhà.")</f>
        <v>Tôi đã nộp bài tập về nhà.</v>
      </c>
      <c r="F212" s="49" t="s">
        <v>2532</v>
      </c>
      <c r="G212" s="50" t="b">
        <f t="shared" si="1"/>
        <v>1</v>
      </c>
      <c r="H212" s="52" t="b">
        <v>1</v>
      </c>
      <c r="I212" s="52" t="b">
        <v>0</v>
      </c>
      <c r="J212" s="52" t="b">
        <v>0</v>
      </c>
      <c r="K212" s="52" t="b">
        <v>0</v>
      </c>
      <c r="L212" s="52" t="b">
        <v>0</v>
      </c>
      <c r="M212" s="52" t="b">
        <v>0</v>
      </c>
      <c r="N212" s="52" t="b">
        <v>0</v>
      </c>
      <c r="O212" s="52" t="b">
        <v>0</v>
      </c>
      <c r="P212" s="52" t="b">
        <v>0</v>
      </c>
      <c r="Q212" s="52" t="b">
        <v>0</v>
      </c>
      <c r="R212" s="44"/>
      <c r="S212" s="44"/>
      <c r="T212" s="44"/>
      <c r="U212" s="44"/>
      <c r="V212" s="44"/>
      <c r="W212" s="44"/>
      <c r="X212" s="45"/>
      <c r="Y212" s="45"/>
      <c r="Z212" s="45"/>
      <c r="AA212" s="45"/>
    </row>
    <row r="213" ht="33.75" customHeight="1">
      <c r="A213" s="46" t="s">
        <v>2543</v>
      </c>
      <c r="B213" s="47" t="s">
        <v>2544</v>
      </c>
      <c r="C213" s="47" t="s">
        <v>2545</v>
      </c>
      <c r="D213" s="29" t="s">
        <v>2546</v>
      </c>
      <c r="E213" s="48" t="str">
        <f>IFERROR(__xludf.DUMMYFUNCTION("GOOGLETRANSLATE(D213,""zh-CN"",""vi"")"),"Chúng tôi thường xuyên trao đổi kinh nghiệm với nhau.")</f>
        <v>Chúng tôi thường xuyên trao đổi kinh nghiệm với nhau.</v>
      </c>
      <c r="F213" s="49" t="s">
        <v>2543</v>
      </c>
      <c r="G213" s="50" t="b">
        <f t="shared" si="1"/>
        <v>1</v>
      </c>
      <c r="H213" s="52" t="b">
        <v>1</v>
      </c>
      <c r="I213" s="52" t="b">
        <v>0</v>
      </c>
      <c r="J213" s="52" t="b">
        <v>0</v>
      </c>
      <c r="K213" s="52" t="b">
        <v>0</v>
      </c>
      <c r="L213" s="52" t="b">
        <v>0</v>
      </c>
      <c r="M213" s="52" t="b">
        <v>0</v>
      </c>
      <c r="N213" s="52" t="b">
        <v>0</v>
      </c>
      <c r="O213" s="52" t="b">
        <v>0</v>
      </c>
      <c r="P213" s="52" t="b">
        <v>0</v>
      </c>
      <c r="Q213" s="52" t="b">
        <v>0</v>
      </c>
      <c r="R213" s="44"/>
      <c r="S213" s="44"/>
      <c r="T213" s="44"/>
      <c r="U213" s="44"/>
      <c r="V213" s="44"/>
      <c r="W213" s="44"/>
      <c r="X213" s="45"/>
      <c r="Y213" s="45"/>
      <c r="Z213" s="45"/>
      <c r="AA213" s="45"/>
    </row>
    <row r="214" ht="33.75" customHeight="1">
      <c r="A214" s="46" t="s">
        <v>2626</v>
      </c>
      <c r="B214" s="47" t="s">
        <v>2627</v>
      </c>
      <c r="C214" s="47" t="s">
        <v>2628</v>
      </c>
      <c r="D214" s="29" t="s">
        <v>2629</v>
      </c>
      <c r="E214" s="48" t="str">
        <f>IFERROR(__xludf.DUMMYFUNCTION("GOOGLETRANSLATE(D214,""zh-CN"",""vi"")"),"Tình hình giao thông rất tắc nghẽn.")</f>
        <v>Tình hình giao thông rất tắc nghẽn.</v>
      </c>
      <c r="F214" s="49" t="s">
        <v>2626</v>
      </c>
      <c r="G214" s="50" t="b">
        <f t="shared" si="1"/>
        <v>1</v>
      </c>
      <c r="H214" s="52" t="b">
        <v>1</v>
      </c>
      <c r="I214" s="52" t="b">
        <v>0</v>
      </c>
      <c r="J214" s="52" t="b">
        <v>0</v>
      </c>
      <c r="K214" s="52" t="b">
        <v>0</v>
      </c>
      <c r="L214" s="52" t="b">
        <v>0</v>
      </c>
      <c r="M214" s="52" t="b">
        <v>0</v>
      </c>
      <c r="N214" s="52" t="b">
        <v>0</v>
      </c>
      <c r="O214" s="52" t="b">
        <v>0</v>
      </c>
      <c r="P214" s="52" t="b">
        <v>0</v>
      </c>
      <c r="Q214" s="52" t="b">
        <v>0</v>
      </c>
      <c r="R214" s="44"/>
      <c r="S214" s="44"/>
      <c r="T214" s="44"/>
      <c r="U214" s="44"/>
      <c r="V214" s="44"/>
      <c r="W214" s="44"/>
      <c r="X214" s="45"/>
      <c r="Y214" s="45"/>
      <c r="Z214" s="45"/>
      <c r="AA214" s="45"/>
    </row>
    <row r="215" ht="33.75" customHeight="1">
      <c r="A215" s="46" t="s">
        <v>2638</v>
      </c>
      <c r="B215" s="47" t="s">
        <v>2640</v>
      </c>
      <c r="C215" s="47" t="s">
        <v>2643</v>
      </c>
      <c r="D215" s="29" t="s">
        <v>2645</v>
      </c>
      <c r="E215" s="48" t="str">
        <f>IFERROR(__xludf.DUMMYFUNCTION("GOOGLETRANSLATE(D215,""zh-CN"",""vi"")"),"Tôi sống ở vùng ngoại ô.")</f>
        <v>Tôi sống ở vùng ngoại ô.</v>
      </c>
      <c r="F215" s="49" t="s">
        <v>2638</v>
      </c>
      <c r="G215" s="50" t="b">
        <f t="shared" si="1"/>
        <v>1</v>
      </c>
      <c r="H215" s="52" t="b">
        <v>1</v>
      </c>
      <c r="I215" s="52" t="b">
        <v>0</v>
      </c>
      <c r="J215" s="52" t="b">
        <v>0</v>
      </c>
      <c r="K215" s="52" t="b">
        <v>0</v>
      </c>
      <c r="L215" s="52" t="b">
        <v>0</v>
      </c>
      <c r="M215" s="52" t="b">
        <v>0</v>
      </c>
      <c r="N215" s="52" t="b">
        <v>0</v>
      </c>
      <c r="O215" s="52" t="b">
        <v>0</v>
      </c>
      <c r="P215" s="52" t="b">
        <v>0</v>
      </c>
      <c r="Q215" s="52" t="b">
        <v>0</v>
      </c>
      <c r="R215" s="44"/>
      <c r="S215" s="44"/>
      <c r="T215" s="44"/>
      <c r="U215" s="44"/>
      <c r="V215" s="44"/>
      <c r="W215" s="44"/>
      <c r="X215" s="45"/>
      <c r="Y215" s="45"/>
      <c r="Z215" s="45"/>
      <c r="AA215" s="45"/>
    </row>
    <row r="216" ht="33.75" customHeight="1">
      <c r="A216" s="46" t="s">
        <v>2647</v>
      </c>
      <c r="B216" s="47" t="s">
        <v>2648</v>
      </c>
      <c r="C216" s="47" t="s">
        <v>2650</v>
      </c>
      <c r="D216" s="29" t="s">
        <v>2652</v>
      </c>
      <c r="E216" s="48" t="str">
        <f>IFERROR(__xludf.DUMMYFUNCTION("GOOGLETRANSLATE(D216,""zh-CN"",""vi"")"),"Ông ấy rất tự hào.")</f>
        <v>Ông ấy rất tự hào.</v>
      </c>
      <c r="F216" s="49" t="s">
        <v>2647</v>
      </c>
      <c r="G216" s="50" t="b">
        <f t="shared" si="1"/>
        <v>1</v>
      </c>
      <c r="H216" s="52" t="b">
        <v>1</v>
      </c>
      <c r="I216" s="52" t="b">
        <v>0</v>
      </c>
      <c r="J216" s="52" t="b">
        <v>0</v>
      </c>
      <c r="K216" s="52" t="b">
        <v>0</v>
      </c>
      <c r="L216" s="52" t="b">
        <v>0</v>
      </c>
      <c r="M216" s="52" t="b">
        <v>0</v>
      </c>
      <c r="N216" s="52" t="b">
        <v>0</v>
      </c>
      <c r="O216" s="52" t="b">
        <v>0</v>
      </c>
      <c r="P216" s="52" t="b">
        <v>0</v>
      </c>
      <c r="Q216" s="52" t="b">
        <v>0</v>
      </c>
      <c r="R216" s="44"/>
      <c r="S216" s="44"/>
      <c r="T216" s="44"/>
      <c r="U216" s="44"/>
      <c r="V216" s="44"/>
      <c r="W216" s="44"/>
      <c r="X216" s="45"/>
      <c r="Y216" s="45"/>
      <c r="Z216" s="45"/>
      <c r="AA216" s="45"/>
    </row>
    <row r="217" ht="33.75" customHeight="1">
      <c r="A217" s="46" t="s">
        <v>2657</v>
      </c>
      <c r="B217" s="47" t="s">
        <v>2659</v>
      </c>
      <c r="C217" s="47" t="s">
        <v>2660</v>
      </c>
      <c r="D217" s="29" t="s">
        <v>2662</v>
      </c>
      <c r="E217" s="48" t="str">
        <f>IFERROR(__xludf.DUMMYFUNCTION("GOOGLETRANSLATE(D217,""zh-CN"",""vi"")"),"Tôi thích ăn bánh bao.")</f>
        <v>Tôi thích ăn bánh bao.</v>
      </c>
      <c r="F217" s="49" t="s">
        <v>2657</v>
      </c>
      <c r="G217" s="50" t="b">
        <f t="shared" si="1"/>
        <v>1</v>
      </c>
      <c r="H217" s="52" t="b">
        <v>1</v>
      </c>
      <c r="I217" s="52" t="b">
        <v>0</v>
      </c>
      <c r="J217" s="52" t="b">
        <v>0</v>
      </c>
      <c r="K217" s="52" t="b">
        <v>0</v>
      </c>
      <c r="L217" s="52" t="b">
        <v>0</v>
      </c>
      <c r="M217" s="52" t="b">
        <v>0</v>
      </c>
      <c r="N217" s="52" t="b">
        <v>0</v>
      </c>
      <c r="O217" s="52" t="b">
        <v>0</v>
      </c>
      <c r="P217" s="52" t="b">
        <v>0</v>
      </c>
      <c r="Q217" s="52" t="b">
        <v>0</v>
      </c>
      <c r="R217" s="44"/>
      <c r="S217" s="44"/>
      <c r="T217" s="44"/>
      <c r="U217" s="44"/>
      <c r="V217" s="44"/>
      <c r="W217" s="44"/>
      <c r="X217" s="45"/>
      <c r="Y217" s="45"/>
      <c r="Z217" s="45"/>
      <c r="AA217" s="45"/>
    </row>
    <row r="218" ht="33.75" customHeight="1">
      <c r="A218" s="46" t="s">
        <v>2666</v>
      </c>
      <c r="B218" s="47" t="s">
        <v>2667</v>
      </c>
      <c r="C218" s="47" t="s">
        <v>2668</v>
      </c>
      <c r="D218" s="29" t="s">
        <v>2669</v>
      </c>
      <c r="E218" s="48" t="str">
        <f>IFERROR(__xludf.DUMMYFUNCTION("GOOGLETRANSLATE(D218,""zh-CN"",""vi"")"),"Ông ấy là một giáo sư đại học.")</f>
        <v>Ông ấy là một giáo sư đại học.</v>
      </c>
      <c r="F218" s="49" t="s">
        <v>2666</v>
      </c>
      <c r="G218" s="50" t="b">
        <f t="shared" si="1"/>
        <v>1</v>
      </c>
      <c r="H218" s="52" t="b">
        <v>1</v>
      </c>
      <c r="I218" s="52" t="b">
        <v>0</v>
      </c>
      <c r="J218" s="52" t="b">
        <v>0</v>
      </c>
      <c r="K218" s="52" t="b">
        <v>0</v>
      </c>
      <c r="L218" s="52" t="b">
        <v>0</v>
      </c>
      <c r="M218" s="52" t="b">
        <v>0</v>
      </c>
      <c r="N218" s="52" t="b">
        <v>0</v>
      </c>
      <c r="O218" s="52" t="b">
        <v>0</v>
      </c>
      <c r="P218" s="52" t="b">
        <v>0</v>
      </c>
      <c r="Q218" s="52" t="b">
        <v>0</v>
      </c>
      <c r="R218" s="44"/>
      <c r="S218" s="44"/>
      <c r="T218" s="44"/>
      <c r="U218" s="44"/>
      <c r="V218" s="44"/>
      <c r="W218" s="44"/>
      <c r="X218" s="45"/>
      <c r="Y218" s="45"/>
      <c r="Z218" s="45"/>
      <c r="AA218" s="45"/>
    </row>
    <row r="219" ht="33.75" customHeight="1">
      <c r="A219" s="46" t="s">
        <v>2677</v>
      </c>
      <c r="B219" s="47" t="s">
        <v>2679</v>
      </c>
      <c r="C219" s="47" t="s">
        <v>2680</v>
      </c>
      <c r="D219" s="29" t="s">
        <v>2681</v>
      </c>
      <c r="E219" s="48" t="str">
        <f>IFERROR(__xludf.DUMMYFUNCTION("GOOGLETRANSLATE(D219,""zh-CN"",""vi"")"),"Giáo dục rất quan trọng.")</f>
        <v>Giáo dục rất quan trọng.</v>
      </c>
      <c r="F219" s="49" t="s">
        <v>2677</v>
      </c>
      <c r="G219" s="50" t="b">
        <f t="shared" si="1"/>
        <v>1</v>
      </c>
      <c r="H219" s="52" t="b">
        <v>1</v>
      </c>
      <c r="I219" s="52" t="b">
        <v>0</v>
      </c>
      <c r="J219" s="52" t="b">
        <v>0</v>
      </c>
      <c r="K219" s="52" t="b">
        <v>0</v>
      </c>
      <c r="L219" s="52" t="b">
        <v>0</v>
      </c>
      <c r="M219" s="52" t="b">
        <v>0</v>
      </c>
      <c r="N219" s="52" t="b">
        <v>0</v>
      </c>
      <c r="O219" s="52" t="b">
        <v>0</v>
      </c>
      <c r="P219" s="52" t="b">
        <v>0</v>
      </c>
      <c r="Q219" s="52" t="b">
        <v>0</v>
      </c>
      <c r="R219" s="44"/>
      <c r="S219" s="44"/>
      <c r="T219" s="44"/>
      <c r="U219" s="44"/>
      <c r="V219" s="44"/>
      <c r="W219" s="44"/>
      <c r="X219" s="45"/>
      <c r="Y219" s="45"/>
      <c r="Z219" s="45"/>
      <c r="AA219" s="45"/>
    </row>
    <row r="220" ht="33.75" customHeight="1">
      <c r="A220" s="46" t="s">
        <v>2686</v>
      </c>
      <c r="B220" s="47" t="s">
        <v>2687</v>
      </c>
      <c r="C220" s="47" t="s">
        <v>2688</v>
      </c>
      <c r="D220" s="29" t="s">
        <v>2689</v>
      </c>
      <c r="E220" s="48" t="str">
        <f>IFERROR(__xludf.DUMMYFUNCTION("GOOGLETRANSLATE(D220,""zh-CN"",""vi"")"),"Tôi đã nhận lời mời của anh ấy.")</f>
        <v>Tôi đã nhận lời mời của anh ấy.</v>
      </c>
      <c r="F220" s="49" t="s">
        <v>2686</v>
      </c>
      <c r="G220" s="50" t="b">
        <f t="shared" si="1"/>
        <v>1</v>
      </c>
      <c r="H220" s="52" t="b">
        <v>1</v>
      </c>
      <c r="I220" s="52" t="b">
        <v>0</v>
      </c>
      <c r="J220" s="52" t="b">
        <v>0</v>
      </c>
      <c r="K220" s="52" t="b">
        <v>0</v>
      </c>
      <c r="L220" s="52" t="b">
        <v>0</v>
      </c>
      <c r="M220" s="52" t="b">
        <v>0</v>
      </c>
      <c r="N220" s="52" t="b">
        <v>0</v>
      </c>
      <c r="O220" s="52" t="b">
        <v>0</v>
      </c>
      <c r="P220" s="52" t="b">
        <v>0</v>
      </c>
      <c r="Q220" s="52" t="b">
        <v>0</v>
      </c>
      <c r="R220" s="44"/>
      <c r="S220" s="44"/>
      <c r="T220" s="44"/>
      <c r="U220" s="44"/>
      <c r="V220" s="44"/>
      <c r="W220" s="44"/>
      <c r="X220" s="45"/>
      <c r="Y220" s="45"/>
      <c r="Z220" s="45"/>
      <c r="AA220" s="45"/>
    </row>
    <row r="221" ht="33.75" customHeight="1">
      <c r="A221" s="46" t="s">
        <v>2696</v>
      </c>
      <c r="B221" s="47" t="s">
        <v>2698</v>
      </c>
      <c r="C221" s="47" t="s">
        <v>2700</v>
      </c>
      <c r="D221" s="29" t="s">
        <v>2701</v>
      </c>
      <c r="E221" s="48" t="str">
        <f>IFERROR(__xludf.DUMMYFUNCTION("GOOGLETRANSLATE(D221,""zh-CN"",""vi"")"),"Tiếp theo, chúng ta đi ăn thôi.")</f>
        <v>Tiếp theo, chúng ta đi ăn thôi.</v>
      </c>
      <c r="F221" s="49" t="s">
        <v>2696</v>
      </c>
      <c r="G221" s="50" t="b">
        <f t="shared" si="1"/>
        <v>1</v>
      </c>
      <c r="H221" s="52" t="b">
        <v>1</v>
      </c>
      <c r="I221" s="52" t="b">
        <v>0</v>
      </c>
      <c r="J221" s="52" t="b">
        <v>0</v>
      </c>
      <c r="K221" s="52" t="b">
        <v>0</v>
      </c>
      <c r="L221" s="52" t="b">
        <v>0</v>
      </c>
      <c r="M221" s="52" t="b">
        <v>0</v>
      </c>
      <c r="N221" s="52" t="b">
        <v>0</v>
      </c>
      <c r="O221" s="52" t="b">
        <v>0</v>
      </c>
      <c r="P221" s="52" t="b">
        <v>0</v>
      </c>
      <c r="Q221" s="52" t="b">
        <v>0</v>
      </c>
      <c r="R221" s="44"/>
      <c r="S221" s="44"/>
      <c r="T221" s="44"/>
      <c r="U221" s="44"/>
      <c r="V221" s="44"/>
      <c r="W221" s="44"/>
      <c r="X221" s="45"/>
      <c r="Y221" s="45"/>
      <c r="Z221" s="45"/>
      <c r="AA221" s="45"/>
    </row>
    <row r="222" ht="33.75" customHeight="1">
      <c r="A222" s="46" t="s">
        <v>2706</v>
      </c>
      <c r="B222" s="47" t="s">
        <v>2707</v>
      </c>
      <c r="C222" s="47" t="s">
        <v>2708</v>
      </c>
      <c r="D222" s="29" t="s">
        <v>1976</v>
      </c>
      <c r="E222" s="48" t="str">
        <f>IFERROR(__xludf.DUMMYFUNCTION("GOOGLETRANSLATE(D222,""zh-CN"",""vi"")"),"Tết Nguyên Đán là một lễ hội truyền thống của Trung Quốc.")</f>
        <v>Tết Nguyên Đán là một lễ hội truyền thống của Trung Quốc.</v>
      </c>
      <c r="F222" s="49" t="s">
        <v>2706</v>
      </c>
      <c r="G222" s="50" t="b">
        <f t="shared" si="1"/>
        <v>1</v>
      </c>
      <c r="H222" s="52" t="b">
        <v>1</v>
      </c>
      <c r="I222" s="52" t="b">
        <v>0</v>
      </c>
      <c r="J222" s="52" t="b">
        <v>0</v>
      </c>
      <c r="K222" s="52" t="b">
        <v>0</v>
      </c>
      <c r="L222" s="52" t="b">
        <v>0</v>
      </c>
      <c r="M222" s="52" t="b">
        <v>0</v>
      </c>
      <c r="N222" s="52" t="b">
        <v>0</v>
      </c>
      <c r="O222" s="52" t="b">
        <v>0</v>
      </c>
      <c r="P222" s="52" t="b">
        <v>0</v>
      </c>
      <c r="Q222" s="52" t="b">
        <v>0</v>
      </c>
      <c r="R222" s="44"/>
      <c r="S222" s="44"/>
      <c r="T222" s="44"/>
      <c r="U222" s="44"/>
      <c r="V222" s="44"/>
      <c r="W222" s="44"/>
      <c r="X222" s="45"/>
      <c r="Y222" s="45"/>
      <c r="Z222" s="45"/>
      <c r="AA222" s="45"/>
    </row>
    <row r="223" ht="33.75" customHeight="1">
      <c r="A223" s="46" t="s">
        <v>2713</v>
      </c>
      <c r="B223" s="47" t="s">
        <v>2715</v>
      </c>
      <c r="C223" s="47" t="s">
        <v>2717</v>
      </c>
      <c r="D223" s="29" t="s">
        <v>2719</v>
      </c>
      <c r="E223" s="48" t="str">
        <f>IFERROR(__xludf.DUMMYFUNCTION("GOOGLETRANSLATE(D223,""zh-CN"",""vi"")"),"Chúng ta phải tiết kiệm nước.")</f>
        <v>Chúng ta phải tiết kiệm nước.</v>
      </c>
      <c r="F223" s="49" t="s">
        <v>2713</v>
      </c>
      <c r="G223" s="50" t="b">
        <f t="shared" si="1"/>
        <v>1</v>
      </c>
      <c r="H223" s="52" t="b">
        <v>1</v>
      </c>
      <c r="I223" s="52" t="b">
        <v>0</v>
      </c>
      <c r="J223" s="52" t="b">
        <v>0</v>
      </c>
      <c r="K223" s="52" t="b">
        <v>0</v>
      </c>
      <c r="L223" s="52" t="b">
        <v>0</v>
      </c>
      <c r="M223" s="52" t="b">
        <v>0</v>
      </c>
      <c r="N223" s="52" t="b">
        <v>0</v>
      </c>
      <c r="O223" s="52" t="b">
        <v>0</v>
      </c>
      <c r="P223" s="52" t="b">
        <v>0</v>
      </c>
      <c r="Q223" s="52" t="b">
        <v>0</v>
      </c>
      <c r="R223" s="44"/>
      <c r="S223" s="44"/>
      <c r="T223" s="44"/>
      <c r="U223" s="44"/>
      <c r="V223" s="44"/>
      <c r="W223" s="44"/>
      <c r="X223" s="45"/>
      <c r="Y223" s="45"/>
      <c r="Z223" s="45"/>
      <c r="AA223" s="45"/>
    </row>
    <row r="224" ht="33.75" customHeight="1">
      <c r="A224" s="46" t="s">
        <v>2725</v>
      </c>
      <c r="B224" s="47" t="s">
        <v>2726</v>
      </c>
      <c r="C224" s="47" t="s">
        <v>2727</v>
      </c>
      <c r="D224" s="29" t="s">
        <v>2728</v>
      </c>
      <c r="E224" s="48" t="str">
        <f>IFERROR(__xludf.DUMMYFUNCTION("GOOGLETRANSLATE(D224,""zh-CN"",""vi"")"),"Ông ấy đã thành công.")</f>
        <v>Ông ấy đã thành công.</v>
      </c>
      <c r="F224" s="49" t="s">
        <v>2725</v>
      </c>
      <c r="G224" s="50" t="b">
        <f t="shared" si="1"/>
        <v>1</v>
      </c>
      <c r="H224" s="52" t="b">
        <v>1</v>
      </c>
      <c r="I224" s="52" t="b">
        <v>0</v>
      </c>
      <c r="J224" s="52" t="b">
        <v>0</v>
      </c>
      <c r="K224" s="52" t="b">
        <v>0</v>
      </c>
      <c r="L224" s="52" t="b">
        <v>0</v>
      </c>
      <c r="M224" s="52" t="b">
        <v>0</v>
      </c>
      <c r="N224" s="52" t="b">
        <v>0</v>
      </c>
      <c r="O224" s="52" t="b">
        <v>0</v>
      </c>
      <c r="P224" s="52" t="b">
        <v>0</v>
      </c>
      <c r="Q224" s="52" t="b">
        <v>0</v>
      </c>
      <c r="R224" s="44"/>
      <c r="S224" s="44"/>
      <c r="T224" s="44"/>
      <c r="U224" s="44"/>
      <c r="V224" s="44"/>
      <c r="W224" s="44"/>
      <c r="X224" s="45"/>
      <c r="Y224" s="45"/>
      <c r="Z224" s="45"/>
      <c r="AA224" s="45"/>
    </row>
    <row r="225" ht="33.75" customHeight="1">
      <c r="A225" s="46" t="s">
        <v>2733</v>
      </c>
      <c r="B225" s="47" t="s">
        <v>2734</v>
      </c>
      <c r="C225" s="47" t="s">
        <v>2735</v>
      </c>
      <c r="D225" s="29" t="s">
        <v>2736</v>
      </c>
      <c r="E225" s="48" t="str">
        <f>IFERROR(__xludf.DUMMYFUNCTION("GOOGLETRANSLATE(D225,""zh-CN"",""vi"")"),"Anh ấy đã giải thích vấn đề.")</f>
        <v>Anh ấy đã giải thích vấn đề.</v>
      </c>
      <c r="F225" s="49" t="s">
        <v>2733</v>
      </c>
      <c r="G225" s="50" t="b">
        <f t="shared" si="1"/>
        <v>1</v>
      </c>
      <c r="H225" s="52" t="b">
        <v>1</v>
      </c>
      <c r="I225" s="52" t="b">
        <v>0</v>
      </c>
      <c r="J225" s="52" t="b">
        <v>0</v>
      </c>
      <c r="K225" s="52" t="b">
        <v>0</v>
      </c>
      <c r="L225" s="52" t="b">
        <v>0</v>
      </c>
      <c r="M225" s="52" t="b">
        <v>0</v>
      </c>
      <c r="N225" s="52" t="b">
        <v>0</v>
      </c>
      <c r="O225" s="52" t="b">
        <v>0</v>
      </c>
      <c r="P225" s="52" t="b">
        <v>0</v>
      </c>
      <c r="Q225" s="52" t="b">
        <v>0</v>
      </c>
      <c r="R225" s="44"/>
      <c r="S225" s="44"/>
      <c r="T225" s="44"/>
      <c r="U225" s="44"/>
      <c r="V225" s="44"/>
      <c r="W225" s="44"/>
      <c r="X225" s="45"/>
      <c r="Y225" s="45"/>
      <c r="Z225" s="45"/>
      <c r="AA225" s="45"/>
    </row>
    <row r="226" ht="33.75" customHeight="1">
      <c r="A226" s="46" t="s">
        <v>2743</v>
      </c>
      <c r="B226" s="47" t="s">
        <v>2745</v>
      </c>
      <c r="C226" s="47" t="s">
        <v>2747</v>
      </c>
      <c r="D226" s="29" t="s">
        <v>2748</v>
      </c>
      <c r="E226" s="48" t="str">
        <f>IFERROR(__xludf.DUMMYFUNCTION("GOOGLETRANSLATE(D226,""zh-CN"",""vi"")"),"Mặc dù trời mưa, anh ấy vẫn đến.")</f>
        <v>Mặc dù trời mưa, anh ấy vẫn đến.</v>
      </c>
      <c r="F226" s="49" t="s">
        <v>2743</v>
      </c>
      <c r="G226" s="50" t="b">
        <f t="shared" si="1"/>
        <v>1</v>
      </c>
      <c r="H226" s="52" t="b">
        <v>1</v>
      </c>
      <c r="I226" s="52" t="b">
        <v>0</v>
      </c>
      <c r="J226" s="52" t="b">
        <v>0</v>
      </c>
      <c r="K226" s="52" t="b">
        <v>0</v>
      </c>
      <c r="L226" s="52" t="b">
        <v>0</v>
      </c>
      <c r="M226" s="52" t="b">
        <v>0</v>
      </c>
      <c r="N226" s="52" t="b">
        <v>0</v>
      </c>
      <c r="O226" s="52" t="b">
        <v>0</v>
      </c>
      <c r="P226" s="52" t="b">
        <v>0</v>
      </c>
      <c r="Q226" s="52" t="b">
        <v>0</v>
      </c>
      <c r="R226" s="44"/>
      <c r="S226" s="44"/>
      <c r="T226" s="44"/>
      <c r="U226" s="44"/>
      <c r="V226" s="44"/>
      <c r="W226" s="44"/>
      <c r="X226" s="45"/>
      <c r="Y226" s="45"/>
      <c r="Z226" s="45"/>
      <c r="AA226" s="45"/>
    </row>
    <row r="227" ht="33.75" customHeight="1">
      <c r="A227" s="46" t="s">
        <v>2753</v>
      </c>
      <c r="B227" s="47" t="s">
        <v>2754</v>
      </c>
      <c r="C227" s="47" t="s">
        <v>2755</v>
      </c>
      <c r="D227" s="29" t="s">
        <v>2756</v>
      </c>
      <c r="E227" s="48" t="str">
        <f>IFERROR(__xludf.DUMMYFUNCTION("GOOGLETRANSLATE(D227,""zh-CN"",""vi"")"),"Tôi cảm thấy rất lo lắng.")</f>
        <v>Tôi cảm thấy rất lo lắng.</v>
      </c>
      <c r="F227" s="49" t="s">
        <v>2753</v>
      </c>
      <c r="G227" s="50" t="b">
        <f t="shared" si="1"/>
        <v>1</v>
      </c>
      <c r="H227" s="52" t="b">
        <v>1</v>
      </c>
      <c r="I227" s="52" t="b">
        <v>0</v>
      </c>
      <c r="J227" s="52" t="b">
        <v>0</v>
      </c>
      <c r="K227" s="52" t="b">
        <v>0</v>
      </c>
      <c r="L227" s="52" t="b">
        <v>0</v>
      </c>
      <c r="M227" s="52" t="b">
        <v>0</v>
      </c>
      <c r="N227" s="52" t="b">
        <v>0</v>
      </c>
      <c r="O227" s="52" t="b">
        <v>0</v>
      </c>
      <c r="P227" s="52" t="b">
        <v>0</v>
      </c>
      <c r="Q227" s="52" t="b">
        <v>0</v>
      </c>
      <c r="R227" s="44"/>
      <c r="S227" s="44"/>
      <c r="T227" s="44"/>
      <c r="U227" s="44"/>
      <c r="V227" s="44"/>
      <c r="W227" s="44"/>
      <c r="X227" s="45"/>
      <c r="Y227" s="45"/>
      <c r="Z227" s="45"/>
      <c r="AA227" s="45"/>
    </row>
    <row r="228" ht="33.75" customHeight="1">
      <c r="A228" s="46" t="s">
        <v>2761</v>
      </c>
      <c r="B228" s="47" t="s">
        <v>2762</v>
      </c>
      <c r="C228" s="47" t="s">
        <v>2763</v>
      </c>
      <c r="D228" s="29" t="s">
        <v>2764</v>
      </c>
      <c r="E228" s="48" t="str">
        <f>IFERROR(__xludf.DUMMYFUNCTION("GOOGLETRANSLATE(D228,""zh-CN"",""vi"")"),"Chúng tôi đang thảo luận.")</f>
        <v>Chúng tôi đang thảo luận.</v>
      </c>
      <c r="F228" s="49" t="s">
        <v>2761</v>
      </c>
      <c r="G228" s="50" t="b">
        <f t="shared" si="1"/>
        <v>1</v>
      </c>
      <c r="H228" s="52" t="b">
        <v>1</v>
      </c>
      <c r="I228" s="52" t="b">
        <v>0</v>
      </c>
      <c r="J228" s="52" t="b">
        <v>0</v>
      </c>
      <c r="K228" s="52" t="b">
        <v>0</v>
      </c>
      <c r="L228" s="52" t="b">
        <v>0</v>
      </c>
      <c r="M228" s="52" t="b">
        <v>0</v>
      </c>
      <c r="N228" s="52" t="b">
        <v>0</v>
      </c>
      <c r="O228" s="52" t="b">
        <v>0</v>
      </c>
      <c r="P228" s="52" t="b">
        <v>0</v>
      </c>
      <c r="Q228" s="52" t="b">
        <v>0</v>
      </c>
      <c r="R228" s="44"/>
      <c r="S228" s="44"/>
      <c r="T228" s="44"/>
      <c r="U228" s="44"/>
      <c r="V228" s="44"/>
      <c r="W228" s="44"/>
      <c r="X228" s="45"/>
      <c r="Y228" s="45"/>
      <c r="Z228" s="45"/>
      <c r="AA228" s="45"/>
    </row>
    <row r="229" ht="33.75" customHeight="1">
      <c r="A229" s="46" t="s">
        <v>2770</v>
      </c>
      <c r="B229" s="47" t="s">
        <v>2772</v>
      </c>
      <c r="C229" s="47" t="s">
        <v>2773</v>
      </c>
      <c r="D229" s="29" t="s">
        <v>2775</v>
      </c>
      <c r="E229" s="48" t="str">
        <f>IFERROR(__xludf.DUMMYFUNCTION("GOOGLETRANSLATE(D229,""zh-CN"",""vi"")"),"Việc hút thuốc bị cấm ở đây.")</f>
        <v>Việc hút thuốc bị cấm ở đây.</v>
      </c>
      <c r="F229" s="49" t="s">
        <v>2770</v>
      </c>
      <c r="G229" s="50" t="b">
        <f t="shared" si="1"/>
        <v>1</v>
      </c>
      <c r="H229" s="52" t="b">
        <v>1</v>
      </c>
      <c r="I229" s="52" t="b">
        <v>0</v>
      </c>
      <c r="J229" s="52" t="b">
        <v>0</v>
      </c>
      <c r="K229" s="52" t="b">
        <v>0</v>
      </c>
      <c r="L229" s="52" t="b">
        <v>0</v>
      </c>
      <c r="M229" s="52" t="b">
        <v>0</v>
      </c>
      <c r="N229" s="52" t="b">
        <v>0</v>
      </c>
      <c r="O229" s="52" t="b">
        <v>0</v>
      </c>
      <c r="P229" s="52" t="b">
        <v>0</v>
      </c>
      <c r="Q229" s="52" t="b">
        <v>0</v>
      </c>
      <c r="R229" s="44"/>
      <c r="S229" s="44"/>
      <c r="T229" s="44"/>
      <c r="U229" s="44"/>
      <c r="V229" s="44"/>
      <c r="W229" s="44"/>
      <c r="X229" s="45"/>
      <c r="Y229" s="45"/>
      <c r="Z229" s="45"/>
      <c r="AA229" s="45"/>
    </row>
    <row r="230" ht="33.75" customHeight="1">
      <c r="A230" s="46" t="s">
        <v>2780</v>
      </c>
      <c r="B230" s="47" t="s">
        <v>2782</v>
      </c>
      <c r="C230" s="47" t="s">
        <v>2783</v>
      </c>
      <c r="D230" s="29" t="s">
        <v>2784</v>
      </c>
      <c r="E230" s="48" t="str">
        <f>IFERROR(__xludf.DUMMYFUNCTION("GOOGLETRANSLATE(D230,""zh-CN"",""vi"")"),"Tôi thích xem Kinh kịch.")</f>
        <v>Tôi thích xem Kinh kịch.</v>
      </c>
      <c r="F230" s="49" t="s">
        <v>2780</v>
      </c>
      <c r="G230" s="50" t="b">
        <f t="shared" si="1"/>
        <v>1</v>
      </c>
      <c r="H230" s="52" t="b">
        <v>1</v>
      </c>
      <c r="I230" s="52" t="b">
        <v>0</v>
      </c>
      <c r="J230" s="52" t="b">
        <v>0</v>
      </c>
      <c r="K230" s="52" t="b">
        <v>0</v>
      </c>
      <c r="L230" s="52" t="b">
        <v>0</v>
      </c>
      <c r="M230" s="52" t="b">
        <v>0</v>
      </c>
      <c r="N230" s="52" t="b">
        <v>0</v>
      </c>
      <c r="O230" s="52" t="b">
        <v>0</v>
      </c>
      <c r="P230" s="52" t="b">
        <v>0</v>
      </c>
      <c r="Q230" s="52" t="b">
        <v>0</v>
      </c>
      <c r="R230" s="44"/>
      <c r="S230" s="44"/>
      <c r="T230" s="44"/>
      <c r="U230" s="44"/>
      <c r="V230" s="44"/>
      <c r="W230" s="44"/>
      <c r="X230" s="45"/>
      <c r="Y230" s="45"/>
      <c r="Z230" s="45"/>
      <c r="AA230" s="45"/>
    </row>
    <row r="231" ht="33.75" customHeight="1">
      <c r="A231" s="46" t="s">
        <v>2791</v>
      </c>
      <c r="B231" s="47" t="s">
        <v>2792</v>
      </c>
      <c r="C231" s="47" t="s">
        <v>2794</v>
      </c>
      <c r="D231" s="29" t="s">
        <v>2796</v>
      </c>
      <c r="E231" s="48" t="str">
        <f>IFERROR(__xludf.DUMMYFUNCTION("GOOGLETRANSLATE(D231,""zh-CN"",""vi"")"),"Nền kinh tế đang phát triển nhanh chóng.")</f>
        <v>Nền kinh tế đang phát triển nhanh chóng.</v>
      </c>
      <c r="F231" s="49" t="s">
        <v>2791</v>
      </c>
      <c r="G231" s="50" t="b">
        <f t="shared" si="1"/>
        <v>1</v>
      </c>
      <c r="H231" s="52" t="b">
        <v>1</v>
      </c>
      <c r="I231" s="52" t="b">
        <v>0</v>
      </c>
      <c r="J231" s="52" t="b">
        <v>0</v>
      </c>
      <c r="K231" s="52" t="b">
        <v>0</v>
      </c>
      <c r="L231" s="52" t="b">
        <v>0</v>
      </c>
      <c r="M231" s="52" t="b">
        <v>0</v>
      </c>
      <c r="N231" s="52" t="b">
        <v>0</v>
      </c>
      <c r="O231" s="52" t="b">
        <v>0</v>
      </c>
      <c r="P231" s="52" t="b">
        <v>0</v>
      </c>
      <c r="Q231" s="52" t="b">
        <v>0</v>
      </c>
      <c r="R231" s="44"/>
      <c r="S231" s="44"/>
      <c r="T231" s="44"/>
      <c r="U231" s="44"/>
      <c r="V231" s="44"/>
      <c r="W231" s="44"/>
      <c r="X231" s="45"/>
      <c r="Y231" s="45"/>
      <c r="Z231" s="45"/>
      <c r="AA231" s="45"/>
    </row>
    <row r="232" ht="33.75" customHeight="1">
      <c r="A232" s="46" t="s">
        <v>2046</v>
      </c>
      <c r="B232" s="47" t="s">
        <v>2801</v>
      </c>
      <c r="C232" s="47" t="s">
        <v>2802</v>
      </c>
      <c r="D232" s="29" t="s">
        <v>2803</v>
      </c>
      <c r="E232" s="48" t="str">
        <f>IFERROR(__xludf.DUMMYFUNCTION("GOOGLETRANSLATE(D232,""zh-CN"",""vi"")"),"Ông ấy có rất nhiều kinh nghiệm.")</f>
        <v>Ông ấy có rất nhiều kinh nghiệm.</v>
      </c>
      <c r="F232" s="49" t="s">
        <v>2046</v>
      </c>
      <c r="G232" s="50" t="b">
        <f t="shared" si="1"/>
        <v>1</v>
      </c>
      <c r="H232" s="52" t="b">
        <v>1</v>
      </c>
      <c r="I232" s="52" t="b">
        <v>0</v>
      </c>
      <c r="J232" s="52" t="b">
        <v>0</v>
      </c>
      <c r="K232" s="52" t="b">
        <v>0</v>
      </c>
      <c r="L232" s="52" t="b">
        <v>0</v>
      </c>
      <c r="M232" s="52" t="b">
        <v>0</v>
      </c>
      <c r="N232" s="52" t="b">
        <v>0</v>
      </c>
      <c r="O232" s="52" t="b">
        <v>0</v>
      </c>
      <c r="P232" s="52" t="b">
        <v>0</v>
      </c>
      <c r="Q232" s="52" t="b">
        <v>0</v>
      </c>
      <c r="R232" s="44"/>
      <c r="S232" s="44"/>
      <c r="T232" s="44"/>
      <c r="U232" s="44"/>
      <c r="V232" s="44"/>
      <c r="W232" s="44"/>
      <c r="X232" s="45"/>
      <c r="Y232" s="45"/>
      <c r="Z232" s="45"/>
      <c r="AA232" s="45"/>
    </row>
    <row r="233" ht="33.75" customHeight="1">
      <c r="A233" s="46" t="s">
        <v>2812</v>
      </c>
      <c r="B233" s="47" t="s">
        <v>2813</v>
      </c>
      <c r="C233" s="47" t="s">
        <v>2814</v>
      </c>
      <c r="D233" s="29" t="s">
        <v>2815</v>
      </c>
      <c r="E233" s="48" t="str">
        <f>IFERROR(__xludf.DUMMYFUNCTION("GOOGLETRANSLATE(D233,""zh-CN"",""vi"")"),"Ông ấy có rất nhiều kinh nghiệm.")</f>
        <v>Ông ấy có rất nhiều kinh nghiệm.</v>
      </c>
      <c r="F233" s="49" t="s">
        <v>2812</v>
      </c>
      <c r="G233" s="50" t="b">
        <f t="shared" si="1"/>
        <v>1</v>
      </c>
      <c r="H233" s="52" t="b">
        <v>1</v>
      </c>
      <c r="I233" s="52" t="b">
        <v>0</v>
      </c>
      <c r="J233" s="52" t="b">
        <v>0</v>
      </c>
      <c r="K233" s="52" t="b">
        <v>0</v>
      </c>
      <c r="L233" s="52" t="b">
        <v>0</v>
      </c>
      <c r="M233" s="52" t="b">
        <v>0</v>
      </c>
      <c r="N233" s="52" t="b">
        <v>0</v>
      </c>
      <c r="O233" s="52" t="b">
        <v>0</v>
      </c>
      <c r="P233" s="52" t="b">
        <v>0</v>
      </c>
      <c r="Q233" s="52" t="b">
        <v>0</v>
      </c>
      <c r="R233" s="44"/>
      <c r="S233" s="44"/>
      <c r="T233" s="44"/>
      <c r="U233" s="44"/>
      <c r="V233" s="44"/>
      <c r="W233" s="44"/>
      <c r="X233" s="45"/>
      <c r="Y233" s="45"/>
      <c r="Z233" s="45"/>
      <c r="AA233" s="45"/>
    </row>
    <row r="234" ht="33.75" customHeight="1">
      <c r="A234" s="46" t="s">
        <v>2820</v>
      </c>
      <c r="B234" s="47" t="s">
        <v>2822</v>
      </c>
      <c r="C234" s="47" t="s">
        <v>2823</v>
      </c>
      <c r="D234" s="29" t="s">
        <v>2825</v>
      </c>
      <c r="E234" s="48" t="str">
        <f>IFERROR(__xludf.DUMMYFUNCTION("GOOGLETRANSLATE(D234,""zh-CN"",""vi"")"),"Trận đấu rất hấp dẫn.")</f>
        <v>Trận đấu rất hấp dẫn.</v>
      </c>
      <c r="F234" s="49" t="s">
        <v>2820</v>
      </c>
      <c r="G234" s="50" t="b">
        <f t="shared" si="1"/>
        <v>1</v>
      </c>
      <c r="H234" s="52" t="b">
        <v>1</v>
      </c>
      <c r="I234" s="52" t="b">
        <v>0</v>
      </c>
      <c r="J234" s="52" t="b">
        <v>0</v>
      </c>
      <c r="K234" s="52" t="b">
        <v>0</v>
      </c>
      <c r="L234" s="52" t="b">
        <v>0</v>
      </c>
      <c r="M234" s="52" t="b">
        <v>0</v>
      </c>
      <c r="N234" s="52" t="b">
        <v>0</v>
      </c>
      <c r="O234" s="52" t="b">
        <v>0</v>
      </c>
      <c r="P234" s="52" t="b">
        <v>0</v>
      </c>
      <c r="Q234" s="52" t="b">
        <v>0</v>
      </c>
      <c r="R234" s="44"/>
      <c r="S234" s="44"/>
      <c r="T234" s="44"/>
      <c r="U234" s="44"/>
      <c r="V234" s="44"/>
      <c r="W234" s="44"/>
      <c r="X234" s="45"/>
      <c r="Y234" s="45"/>
      <c r="Z234" s="45"/>
      <c r="AA234" s="45"/>
    </row>
    <row r="235" ht="33.75" customHeight="1">
      <c r="A235" s="46" t="s">
        <v>2832</v>
      </c>
      <c r="B235" s="47" t="s">
        <v>2833</v>
      </c>
      <c r="C235" s="47" t="s">
        <v>2834</v>
      </c>
      <c r="D235" s="29" t="s">
        <v>2835</v>
      </c>
      <c r="E235" s="48" t="str">
        <f>IFERROR(__xludf.DUMMYFUNCTION("GOOGLETRANSLATE(D235,""zh-CN"",""vi"")"),"Cảnh quan trên núi rất đẹp.")</f>
        <v>Cảnh quan trên núi rất đẹp.</v>
      </c>
      <c r="F235" s="49" t="s">
        <v>2832</v>
      </c>
      <c r="G235" s="50" t="b">
        <f t="shared" si="1"/>
        <v>1</v>
      </c>
      <c r="H235" s="52" t="b">
        <v>1</v>
      </c>
      <c r="I235" s="52" t="b">
        <v>0</v>
      </c>
      <c r="J235" s="52" t="b">
        <v>0</v>
      </c>
      <c r="K235" s="52" t="b">
        <v>0</v>
      </c>
      <c r="L235" s="52" t="b">
        <v>0</v>
      </c>
      <c r="M235" s="52" t="b">
        <v>0</v>
      </c>
      <c r="N235" s="52" t="b">
        <v>0</v>
      </c>
      <c r="O235" s="52" t="b">
        <v>0</v>
      </c>
      <c r="P235" s="52" t="b">
        <v>0</v>
      </c>
      <c r="Q235" s="52" t="b">
        <v>0</v>
      </c>
      <c r="R235" s="44"/>
      <c r="S235" s="44"/>
      <c r="T235" s="44"/>
      <c r="U235" s="44"/>
      <c r="V235" s="44"/>
      <c r="W235" s="44"/>
      <c r="X235" s="45"/>
      <c r="Y235" s="45"/>
      <c r="Z235" s="45"/>
      <c r="AA235" s="45"/>
    </row>
    <row r="236" ht="33.75" customHeight="1">
      <c r="A236" s="46" t="s">
        <v>2836</v>
      </c>
      <c r="B236" s="47" t="s">
        <v>2837</v>
      </c>
      <c r="C236" s="47" t="s">
        <v>2839</v>
      </c>
      <c r="D236" s="29" t="s">
        <v>2840</v>
      </c>
      <c r="E236" s="48" t="str">
        <f>IFERROR(__xludf.DUMMYFUNCTION("GOOGLETRANSLATE(D236,""zh-CN"",""vi"")"),"Cảnh sát đang điều tra vụ việc.")</f>
        <v>Cảnh sát đang điều tra vụ việc.</v>
      </c>
      <c r="F236" s="49" t="s">
        <v>2836</v>
      </c>
      <c r="G236" s="50" t="b">
        <f t="shared" si="1"/>
        <v>1</v>
      </c>
      <c r="H236" s="52" t="b">
        <v>1</v>
      </c>
      <c r="I236" s="52" t="b">
        <v>0</v>
      </c>
      <c r="J236" s="52" t="b">
        <v>0</v>
      </c>
      <c r="K236" s="52" t="b">
        <v>0</v>
      </c>
      <c r="L236" s="52" t="b">
        <v>0</v>
      </c>
      <c r="M236" s="52" t="b">
        <v>0</v>
      </c>
      <c r="N236" s="52" t="b">
        <v>0</v>
      </c>
      <c r="O236" s="52" t="b">
        <v>0</v>
      </c>
      <c r="P236" s="52" t="b">
        <v>0</v>
      </c>
      <c r="Q236" s="52" t="b">
        <v>0</v>
      </c>
      <c r="R236" s="44"/>
      <c r="S236" s="44"/>
      <c r="T236" s="44"/>
      <c r="U236" s="44"/>
      <c r="V236" s="44"/>
      <c r="W236" s="44"/>
      <c r="X236" s="45"/>
      <c r="Y236" s="45"/>
      <c r="Z236" s="45"/>
      <c r="AA236" s="45"/>
    </row>
    <row r="237" ht="33.75" customHeight="1">
      <c r="A237" s="46" t="s">
        <v>2847</v>
      </c>
      <c r="B237" s="47" t="s">
        <v>2848</v>
      </c>
      <c r="C237" s="47" t="s">
        <v>2849</v>
      </c>
      <c r="D237" s="29" t="s">
        <v>2850</v>
      </c>
      <c r="E237" s="48" t="str">
        <f>IFERROR(__xludf.DUMMYFUNCTION("GOOGLETRANSLATE(D237,""zh-CN"",""vi"")"),"Cạnh tranh giữa các công ty rất khốc liệt.")</f>
        <v>Cạnh tranh giữa các công ty rất khốc liệt.</v>
      </c>
      <c r="F237" s="49" t="s">
        <v>2847</v>
      </c>
      <c r="G237" s="50" t="b">
        <f t="shared" si="1"/>
        <v>1</v>
      </c>
      <c r="H237" s="52" t="b">
        <v>1</v>
      </c>
      <c r="I237" s="52" t="b">
        <v>0</v>
      </c>
      <c r="J237" s="52" t="b">
        <v>0</v>
      </c>
      <c r="K237" s="52" t="b">
        <v>0</v>
      </c>
      <c r="L237" s="52" t="b">
        <v>0</v>
      </c>
      <c r="M237" s="52" t="b">
        <v>0</v>
      </c>
      <c r="N237" s="52" t="b">
        <v>0</v>
      </c>
      <c r="O237" s="52" t="b">
        <v>0</v>
      </c>
      <c r="P237" s="52" t="b">
        <v>0</v>
      </c>
      <c r="Q237" s="52" t="b">
        <v>0</v>
      </c>
      <c r="R237" s="44"/>
      <c r="S237" s="44"/>
      <c r="T237" s="44"/>
      <c r="U237" s="44"/>
      <c r="V237" s="44"/>
      <c r="W237" s="44"/>
      <c r="X237" s="45"/>
      <c r="Y237" s="45"/>
      <c r="Z237" s="45"/>
      <c r="AA237" s="45"/>
    </row>
    <row r="238" ht="33.75" customHeight="1">
      <c r="A238" s="46" t="s">
        <v>2858</v>
      </c>
      <c r="B238" s="47" t="s">
        <v>2859</v>
      </c>
      <c r="C238" s="47" t="s">
        <v>2860</v>
      </c>
      <c r="D238" s="29" t="s">
        <v>2861</v>
      </c>
      <c r="E238" s="48" t="str">
        <f>IFERROR(__xludf.DUMMYFUNCTION("GOOGLETRANSLATE(D238,""zh-CN"",""vi"")"),"Thực tế là anh ấy đã thắng trận đấu.")</f>
        <v>Thực tế là anh ấy đã thắng trận đấu.</v>
      </c>
      <c r="F238" s="49" t="s">
        <v>2858</v>
      </c>
      <c r="G238" s="50" t="b">
        <f t="shared" si="1"/>
        <v>1</v>
      </c>
      <c r="H238" s="52" t="b">
        <v>1</v>
      </c>
      <c r="I238" s="52" t="b">
        <v>0</v>
      </c>
      <c r="J238" s="52" t="b">
        <v>0</v>
      </c>
      <c r="K238" s="52" t="b">
        <v>0</v>
      </c>
      <c r="L238" s="52" t="b">
        <v>0</v>
      </c>
      <c r="M238" s="52" t="b">
        <v>0</v>
      </c>
      <c r="N238" s="52" t="b">
        <v>0</v>
      </c>
      <c r="O238" s="52" t="b">
        <v>0</v>
      </c>
      <c r="P238" s="52" t="b">
        <v>0</v>
      </c>
      <c r="Q238" s="52" t="b">
        <v>0</v>
      </c>
      <c r="R238" s="44"/>
      <c r="S238" s="44"/>
      <c r="T238" s="44"/>
      <c r="U238" s="44"/>
      <c r="V238" s="44"/>
      <c r="W238" s="44"/>
      <c r="X238" s="45"/>
      <c r="Y238" s="45"/>
      <c r="Z238" s="45"/>
      <c r="AA238" s="45"/>
    </row>
    <row r="239" ht="33.75" customHeight="1">
      <c r="A239" s="46" t="s">
        <v>2866</v>
      </c>
      <c r="B239" s="47" t="s">
        <v>2867</v>
      </c>
      <c r="C239" s="47" t="s">
        <v>2868</v>
      </c>
      <c r="D239" s="29" t="s">
        <v>2869</v>
      </c>
      <c r="E239" s="48" t="str">
        <f>IFERROR(__xludf.DUMMYFUNCTION("GOOGLETRANSLATE(D239,""zh-CN"",""vi"")"),"Có một người lạ trong gương.")</f>
        <v>Có một người lạ trong gương.</v>
      </c>
      <c r="F239" s="49" t="s">
        <v>2866</v>
      </c>
      <c r="G239" s="50" t="b">
        <f t="shared" si="1"/>
        <v>1</v>
      </c>
      <c r="H239" s="52" t="b">
        <v>1</v>
      </c>
      <c r="I239" s="52" t="b">
        <v>0</v>
      </c>
      <c r="J239" s="52" t="b">
        <v>0</v>
      </c>
      <c r="K239" s="52" t="b">
        <v>0</v>
      </c>
      <c r="L239" s="52" t="b">
        <v>0</v>
      </c>
      <c r="M239" s="52" t="b">
        <v>0</v>
      </c>
      <c r="N239" s="52" t="b">
        <v>0</v>
      </c>
      <c r="O239" s="52" t="b">
        <v>0</v>
      </c>
      <c r="P239" s="52" t="b">
        <v>0</v>
      </c>
      <c r="Q239" s="52" t="b">
        <v>0</v>
      </c>
      <c r="R239" s="44"/>
      <c r="S239" s="44"/>
      <c r="T239" s="44"/>
      <c r="U239" s="44"/>
      <c r="V239" s="44"/>
      <c r="W239" s="44"/>
      <c r="X239" s="45"/>
      <c r="Y239" s="45"/>
      <c r="Z239" s="45"/>
      <c r="AA239" s="45"/>
    </row>
    <row r="240" ht="33.75" customHeight="1">
      <c r="A240" s="46" t="s">
        <v>2877</v>
      </c>
      <c r="B240" s="47" t="s">
        <v>2878</v>
      </c>
      <c r="C240" s="47" t="s">
        <v>2879</v>
      </c>
      <c r="D240" s="29" t="s">
        <v>2880</v>
      </c>
      <c r="E240" s="48" t="str">
        <f>IFERROR(__xludf.DUMMYFUNCTION("GOOGLETRANSLATE(D240,""zh-CN"",""vi"")"),"Chuyện gì đã thực sự xảy ra?")</f>
        <v>Chuyện gì đã thực sự xảy ra?</v>
      </c>
      <c r="F240" s="49" t="s">
        <v>2877</v>
      </c>
      <c r="G240" s="50" t="b">
        <f t="shared" si="1"/>
        <v>1</v>
      </c>
      <c r="H240" s="52" t="b">
        <v>1</v>
      </c>
      <c r="I240" s="52" t="b">
        <v>0</v>
      </c>
      <c r="J240" s="52" t="b">
        <v>0</v>
      </c>
      <c r="K240" s="52" t="b">
        <v>0</v>
      </c>
      <c r="L240" s="52" t="b">
        <v>0</v>
      </c>
      <c r="M240" s="52" t="b">
        <v>0</v>
      </c>
      <c r="N240" s="52" t="b">
        <v>0</v>
      </c>
      <c r="O240" s="52" t="b">
        <v>0</v>
      </c>
      <c r="P240" s="52" t="b">
        <v>0</v>
      </c>
      <c r="Q240" s="52" t="b">
        <v>0</v>
      </c>
      <c r="R240" s="44"/>
      <c r="S240" s="44"/>
      <c r="T240" s="44"/>
      <c r="U240" s="44"/>
      <c r="V240" s="44"/>
      <c r="W240" s="44"/>
      <c r="X240" s="45"/>
      <c r="Y240" s="45"/>
      <c r="Z240" s="45"/>
      <c r="AA240" s="45"/>
    </row>
    <row r="241" ht="33.75" customHeight="1">
      <c r="A241" s="46" t="s">
        <v>2893</v>
      </c>
      <c r="B241" s="47" t="s">
        <v>2894</v>
      </c>
      <c r="C241" s="47" t="s">
        <v>2895</v>
      </c>
      <c r="D241" s="29" t="s">
        <v>2896</v>
      </c>
      <c r="E241" s="48" t="str">
        <f>IFERROR(__xludf.DUMMYFUNCTION("GOOGLETRANSLATE(D241,""zh-CN"",""vi"")"),"Anh ấy giơ tay trả lời câu hỏi.")</f>
        <v>Anh ấy giơ tay trả lời câu hỏi.</v>
      </c>
      <c r="F241" s="49" t="s">
        <v>2893</v>
      </c>
      <c r="G241" s="50" t="b">
        <f t="shared" si="1"/>
        <v>1</v>
      </c>
      <c r="H241" s="52" t="b">
        <v>1</v>
      </c>
      <c r="I241" s="52" t="b">
        <v>0</v>
      </c>
      <c r="J241" s="52" t="b">
        <v>0</v>
      </c>
      <c r="K241" s="52" t="b">
        <v>0</v>
      </c>
      <c r="L241" s="52" t="b">
        <v>0</v>
      </c>
      <c r="M241" s="52" t="b">
        <v>0</v>
      </c>
      <c r="N241" s="52" t="b">
        <v>0</v>
      </c>
      <c r="O241" s="52" t="b">
        <v>0</v>
      </c>
      <c r="P241" s="52" t="b">
        <v>0</v>
      </c>
      <c r="Q241" s="52" t="b">
        <v>0</v>
      </c>
      <c r="R241" s="44"/>
      <c r="S241" s="44"/>
      <c r="T241" s="44"/>
      <c r="U241" s="44"/>
      <c r="V241" s="44"/>
      <c r="W241" s="44"/>
      <c r="X241" s="45"/>
      <c r="Y241" s="45"/>
      <c r="Z241" s="45"/>
      <c r="AA241" s="45"/>
    </row>
    <row r="242" ht="33.75" customHeight="1">
      <c r="A242" s="46" t="s">
        <v>2905</v>
      </c>
      <c r="B242" s="47" t="s">
        <v>2906</v>
      </c>
      <c r="C242" s="47" t="s">
        <v>2087</v>
      </c>
      <c r="D242" s="29" t="s">
        <v>2907</v>
      </c>
      <c r="E242" s="48" t="str">
        <f>IFERROR(__xludf.DUMMYFUNCTION("GOOGLETRANSLATE(D242,""zh-CN"",""vi"")"),"Trường đã tổ chức một buổi hòa nhạc.")</f>
        <v>Trường đã tổ chức một buổi hòa nhạc.</v>
      </c>
      <c r="F242" s="49" t="s">
        <v>2905</v>
      </c>
      <c r="G242" s="50" t="b">
        <f t="shared" si="1"/>
        <v>1</v>
      </c>
      <c r="H242" s="52" t="b">
        <v>1</v>
      </c>
      <c r="I242" s="52" t="b">
        <v>0</v>
      </c>
      <c r="J242" s="52" t="b">
        <v>0</v>
      </c>
      <c r="K242" s="52" t="b">
        <v>0</v>
      </c>
      <c r="L242" s="52" t="b">
        <v>0</v>
      </c>
      <c r="M242" s="52" t="b">
        <v>0</v>
      </c>
      <c r="N242" s="52" t="b">
        <v>0</v>
      </c>
      <c r="O242" s="52" t="b">
        <v>0</v>
      </c>
      <c r="P242" s="52" t="b">
        <v>0</v>
      </c>
      <c r="Q242" s="52" t="b">
        <v>0</v>
      </c>
      <c r="R242" s="44"/>
      <c r="S242" s="44"/>
      <c r="T242" s="44"/>
      <c r="U242" s="44"/>
      <c r="V242" s="44"/>
      <c r="W242" s="44"/>
      <c r="X242" s="45"/>
      <c r="Y242" s="45"/>
      <c r="Z242" s="45"/>
      <c r="AA242" s="45"/>
    </row>
    <row r="243" ht="33.75" customHeight="1">
      <c r="A243" s="46" t="s">
        <v>2085</v>
      </c>
      <c r="B243" s="47" t="s">
        <v>2916</v>
      </c>
      <c r="C243" s="47" t="s">
        <v>2087</v>
      </c>
      <c r="D243" s="29" t="s">
        <v>2917</v>
      </c>
      <c r="E243" s="48" t="str">
        <f>IFERROR(__xludf.DUMMYFUNCTION("GOOGLETRANSLATE(D243,""zh-CN"",""vi"")"),"Cuộc họp được tổ chức tại Bắc Kinh.")</f>
        <v>Cuộc họp được tổ chức tại Bắc Kinh.</v>
      </c>
      <c r="F243" s="49" t="s">
        <v>2085</v>
      </c>
      <c r="G243" s="50" t="b">
        <f t="shared" si="1"/>
        <v>1</v>
      </c>
      <c r="H243" s="52" t="b">
        <v>1</v>
      </c>
      <c r="I243" s="52" t="b">
        <v>0</v>
      </c>
      <c r="J243" s="52" t="b">
        <v>0</v>
      </c>
      <c r="K243" s="52" t="b">
        <v>0</v>
      </c>
      <c r="L243" s="52" t="b">
        <v>0</v>
      </c>
      <c r="M243" s="52" t="b">
        <v>0</v>
      </c>
      <c r="N243" s="52" t="b">
        <v>0</v>
      </c>
      <c r="O243" s="52" t="b">
        <v>0</v>
      </c>
      <c r="P243" s="52" t="b">
        <v>0</v>
      </c>
      <c r="Q243" s="52" t="b">
        <v>0</v>
      </c>
      <c r="R243" s="44"/>
      <c r="S243" s="44"/>
      <c r="T243" s="44"/>
      <c r="U243" s="44"/>
      <c r="V243" s="44"/>
      <c r="W243" s="44"/>
      <c r="X243" s="45"/>
      <c r="Y243" s="45"/>
      <c r="Z243" s="45"/>
      <c r="AA243" s="45"/>
    </row>
    <row r="244" ht="33.75" customHeight="1">
      <c r="A244" s="46" t="s">
        <v>2922</v>
      </c>
      <c r="B244" s="47" t="s">
        <v>2923</v>
      </c>
      <c r="C244" s="47" t="s">
        <v>2924</v>
      </c>
      <c r="D244" s="29" t="s">
        <v>2925</v>
      </c>
      <c r="E244" s="48" t="str">
        <f>IFERROR(__xludf.DUMMYFUNCTION("GOOGLETRANSLATE(D244,""zh-CN"",""vi"")"),"Anh ấy đã từ chối lời mời của tôi.")</f>
        <v>Anh ấy đã từ chối lời mời của tôi.</v>
      </c>
      <c r="F244" s="49" t="s">
        <v>2922</v>
      </c>
      <c r="G244" s="50" t="b">
        <f t="shared" si="1"/>
        <v>1</v>
      </c>
      <c r="H244" s="52" t="b">
        <v>1</v>
      </c>
      <c r="I244" s="52" t="b">
        <v>0</v>
      </c>
      <c r="J244" s="52" t="b">
        <v>0</v>
      </c>
      <c r="K244" s="52" t="b">
        <v>0</v>
      </c>
      <c r="L244" s="52" t="b">
        <v>0</v>
      </c>
      <c r="M244" s="52" t="b">
        <v>0</v>
      </c>
      <c r="N244" s="52" t="b">
        <v>0</v>
      </c>
      <c r="O244" s="52" t="b">
        <v>0</v>
      </c>
      <c r="P244" s="52" t="b">
        <v>0</v>
      </c>
      <c r="Q244" s="52" t="b">
        <v>0</v>
      </c>
      <c r="R244" s="44"/>
      <c r="S244" s="44"/>
      <c r="T244" s="44"/>
      <c r="U244" s="44"/>
      <c r="V244" s="44"/>
      <c r="W244" s="44"/>
      <c r="X244" s="45"/>
      <c r="Y244" s="45"/>
      <c r="Z244" s="45"/>
      <c r="AA244" s="45"/>
    </row>
    <row r="245" ht="33.75" customHeight="1">
      <c r="A245" s="46" t="s">
        <v>2930</v>
      </c>
      <c r="B245" s="47" t="s">
        <v>2931</v>
      </c>
      <c r="C245" s="47" t="s">
        <v>2932</v>
      </c>
      <c r="D245" s="29" t="s">
        <v>2933</v>
      </c>
      <c r="E245" s="48" t="str">
        <f>IFERROR(__xludf.DUMMYFUNCTION("GOOGLETRANSLATE(D245,""zh-CN"",""vi"")"),"Trường học cách nhà chúng tôi khá xa.")</f>
        <v>Trường học cách nhà chúng tôi khá xa.</v>
      </c>
      <c r="F245" s="49" t="s">
        <v>2930</v>
      </c>
      <c r="G245" s="50" t="b">
        <f t="shared" si="1"/>
        <v>1</v>
      </c>
      <c r="H245" s="52" t="b">
        <v>1</v>
      </c>
      <c r="I245" s="52" t="b">
        <v>0</v>
      </c>
      <c r="J245" s="52" t="b">
        <v>0</v>
      </c>
      <c r="K245" s="52" t="b">
        <v>0</v>
      </c>
      <c r="L245" s="52" t="b">
        <v>0</v>
      </c>
      <c r="M245" s="52" t="b">
        <v>0</v>
      </c>
      <c r="N245" s="52" t="b">
        <v>0</v>
      </c>
      <c r="O245" s="52" t="b">
        <v>0</v>
      </c>
      <c r="P245" s="52" t="b">
        <v>0</v>
      </c>
      <c r="Q245" s="52" t="b">
        <v>0</v>
      </c>
      <c r="R245" s="44"/>
      <c r="S245" s="44"/>
      <c r="T245" s="44"/>
      <c r="U245" s="44"/>
      <c r="V245" s="44"/>
      <c r="W245" s="44"/>
      <c r="X245" s="45"/>
      <c r="Y245" s="45"/>
      <c r="Z245" s="45"/>
      <c r="AA245" s="45"/>
    </row>
    <row r="246" ht="33.75" customHeight="1">
      <c r="A246" s="46" t="s">
        <v>2937</v>
      </c>
      <c r="B246" s="47" t="s">
        <v>2941</v>
      </c>
      <c r="C246" s="47" t="s">
        <v>2943</v>
      </c>
      <c r="D246" s="29" t="s">
        <v>2945</v>
      </c>
      <c r="E246" s="48" t="str">
        <f>IFERROR(__xludf.DUMMYFUNCTION("GOOGLETRANSLATE(D246,""zh-CN"",""vi"")"),"Tuần sau chúng ta có một bữa tiệc.")</f>
        <v>Tuần sau chúng ta có một bữa tiệc.</v>
      </c>
      <c r="F246" s="49" t="s">
        <v>2937</v>
      </c>
      <c r="G246" s="50" t="b">
        <f t="shared" si="1"/>
        <v>1</v>
      </c>
      <c r="H246" s="52" t="b">
        <v>1</v>
      </c>
      <c r="I246" s="52" t="b">
        <v>0</v>
      </c>
      <c r="J246" s="52" t="b">
        <v>0</v>
      </c>
      <c r="K246" s="52" t="b">
        <v>0</v>
      </c>
      <c r="L246" s="52" t="b">
        <v>0</v>
      </c>
      <c r="M246" s="52" t="b">
        <v>0</v>
      </c>
      <c r="N246" s="52" t="b">
        <v>0</v>
      </c>
      <c r="O246" s="52" t="b">
        <v>0</v>
      </c>
      <c r="P246" s="52" t="b">
        <v>0</v>
      </c>
      <c r="Q246" s="52" t="b">
        <v>0</v>
      </c>
      <c r="R246" s="44"/>
      <c r="S246" s="44"/>
      <c r="T246" s="44"/>
      <c r="U246" s="44"/>
      <c r="V246" s="44"/>
      <c r="W246" s="44"/>
      <c r="X246" s="45"/>
      <c r="Y246" s="45"/>
      <c r="Z246" s="45"/>
      <c r="AA246" s="45"/>
    </row>
    <row r="247" ht="33.75" customHeight="1">
      <c r="A247" s="46" t="s">
        <v>2948</v>
      </c>
      <c r="B247" s="47" t="s">
        <v>2950</v>
      </c>
      <c r="C247" s="47" t="s">
        <v>2952</v>
      </c>
      <c r="D247" s="29" t="s">
        <v>2953</v>
      </c>
      <c r="E247" s="48" t="str">
        <f>IFERROR(__xludf.DUMMYFUNCTION("GOOGLETRANSLATE(D247,""zh-CN"",""vi"")"),"Anh ấy thích đùa.")</f>
        <v>Anh ấy thích đùa.</v>
      </c>
      <c r="F247" s="49" t="s">
        <v>2948</v>
      </c>
      <c r="G247" s="50" t="b">
        <f t="shared" si="1"/>
        <v>1</v>
      </c>
      <c r="H247" s="52" t="b">
        <v>1</v>
      </c>
      <c r="I247" s="52" t="b">
        <v>0</v>
      </c>
      <c r="J247" s="52" t="b">
        <v>0</v>
      </c>
      <c r="K247" s="52" t="b">
        <v>0</v>
      </c>
      <c r="L247" s="52" t="b">
        <v>0</v>
      </c>
      <c r="M247" s="52" t="b">
        <v>0</v>
      </c>
      <c r="N247" s="52" t="b">
        <v>0</v>
      </c>
      <c r="O247" s="52" t="b">
        <v>0</v>
      </c>
      <c r="P247" s="52" t="b">
        <v>0</v>
      </c>
      <c r="Q247" s="52" t="b">
        <v>0</v>
      </c>
      <c r="R247" s="44"/>
      <c r="S247" s="44"/>
      <c r="T247" s="44"/>
      <c r="U247" s="44"/>
      <c r="V247" s="44"/>
      <c r="W247" s="44"/>
      <c r="X247" s="45"/>
      <c r="Y247" s="45"/>
      <c r="Z247" s="45"/>
      <c r="AA247" s="45"/>
    </row>
    <row r="248" ht="33.75" customHeight="1">
      <c r="A248" s="46" t="s">
        <v>2958</v>
      </c>
      <c r="B248" s="47" t="s">
        <v>2959</v>
      </c>
      <c r="C248" s="47" t="s">
        <v>1350</v>
      </c>
      <c r="D248" s="29" t="s">
        <v>2961</v>
      </c>
      <c r="E248" s="48" t="str">
        <f>IFERROR(__xludf.DUMMYFUNCTION("GOOGLETRANSLATE(D248,""zh-CN"",""vi"")"),"Hôm nay tôi rất vui.")</f>
        <v>Hôm nay tôi rất vui.</v>
      </c>
      <c r="F248" s="49" t="s">
        <v>2958</v>
      </c>
      <c r="G248" s="50" t="b">
        <f t="shared" si="1"/>
        <v>1</v>
      </c>
      <c r="H248" s="52" t="b">
        <v>1</v>
      </c>
      <c r="I248" s="52" t="b">
        <v>0</v>
      </c>
      <c r="J248" s="52" t="b">
        <v>0</v>
      </c>
      <c r="K248" s="52" t="b">
        <v>0</v>
      </c>
      <c r="L248" s="52" t="b">
        <v>0</v>
      </c>
      <c r="M248" s="52" t="b">
        <v>0</v>
      </c>
      <c r="N248" s="52" t="b">
        <v>0</v>
      </c>
      <c r="O248" s="52" t="b">
        <v>0</v>
      </c>
      <c r="P248" s="52" t="b">
        <v>0</v>
      </c>
      <c r="Q248" s="52" t="b">
        <v>0</v>
      </c>
      <c r="R248" s="44"/>
      <c r="S248" s="44"/>
      <c r="T248" s="44"/>
      <c r="U248" s="44"/>
      <c r="V248" s="44"/>
      <c r="W248" s="44"/>
      <c r="X248" s="45"/>
      <c r="Y248" s="45"/>
      <c r="Z248" s="45"/>
      <c r="AA248" s="45"/>
    </row>
    <row r="249" ht="33.75" customHeight="1">
      <c r="A249" s="46" t="s">
        <v>2965</v>
      </c>
      <c r="B249" s="47" t="s">
        <v>2966</v>
      </c>
      <c r="C249" s="47" t="s">
        <v>2967</v>
      </c>
      <c r="D249" s="29" t="s">
        <v>2968</v>
      </c>
      <c r="E249" s="48" t="str">
        <f>IFERROR(__xludf.DUMMYFUNCTION("GOOGLETRANSLATE(D249,""zh-CN"",""vi"")"),"Bạn nghĩ sao?")</f>
        <v>Bạn nghĩ sao?</v>
      </c>
      <c r="F249" s="49" t="s">
        <v>2965</v>
      </c>
      <c r="G249" s="50" t="b">
        <f t="shared" si="1"/>
        <v>1</v>
      </c>
      <c r="H249" s="52" t="b">
        <v>1</v>
      </c>
      <c r="I249" s="52" t="b">
        <v>0</v>
      </c>
      <c r="J249" s="52" t="b">
        <v>0</v>
      </c>
      <c r="K249" s="52" t="b">
        <v>0</v>
      </c>
      <c r="L249" s="52" t="b">
        <v>0</v>
      </c>
      <c r="M249" s="52" t="b">
        <v>0</v>
      </c>
      <c r="N249" s="52" t="b">
        <v>0</v>
      </c>
      <c r="O249" s="52" t="b">
        <v>0</v>
      </c>
      <c r="P249" s="52" t="b">
        <v>0</v>
      </c>
      <c r="Q249" s="52" t="b">
        <v>0</v>
      </c>
      <c r="R249" s="44"/>
      <c r="S249" s="44"/>
      <c r="T249" s="44"/>
      <c r="U249" s="44"/>
      <c r="V249" s="44"/>
      <c r="W249" s="44"/>
      <c r="X249" s="45"/>
      <c r="Y249" s="45"/>
      <c r="Z249" s="45"/>
      <c r="AA249" s="45"/>
    </row>
    <row r="250" ht="33.75" customHeight="1">
      <c r="A250" s="46" t="s">
        <v>2977</v>
      </c>
      <c r="B250" s="47" t="s">
        <v>2978</v>
      </c>
      <c r="C250" s="47" t="s">
        <v>2979</v>
      </c>
      <c r="D250" s="29" t="s">
        <v>2980</v>
      </c>
      <c r="E250" s="48" t="str">
        <f>IFERROR(__xludf.DUMMYFUNCTION("GOOGLETRANSLATE(D250,""zh-CN"",""vi"")"),"Tôi sẽ xem xét đề xuất của bạn.")</f>
        <v>Tôi sẽ xem xét đề xuất của bạn.</v>
      </c>
      <c r="F250" s="49" t="s">
        <v>2977</v>
      </c>
      <c r="G250" s="50" t="b">
        <f t="shared" si="1"/>
        <v>1</v>
      </c>
      <c r="H250" s="52" t="b">
        <v>1</v>
      </c>
      <c r="I250" s="52" t="b">
        <v>0</v>
      </c>
      <c r="J250" s="52" t="b">
        <v>0</v>
      </c>
      <c r="K250" s="52" t="b">
        <v>0</v>
      </c>
      <c r="L250" s="52" t="b">
        <v>0</v>
      </c>
      <c r="M250" s="52" t="b">
        <v>0</v>
      </c>
      <c r="N250" s="52" t="b">
        <v>0</v>
      </c>
      <c r="O250" s="52" t="b">
        <v>0</v>
      </c>
      <c r="P250" s="52" t="b">
        <v>0</v>
      </c>
      <c r="Q250" s="52" t="b">
        <v>0</v>
      </c>
      <c r="R250" s="44"/>
      <c r="S250" s="44"/>
      <c r="T250" s="44"/>
      <c r="U250" s="44"/>
      <c r="V250" s="44"/>
      <c r="W250" s="44"/>
      <c r="X250" s="45"/>
      <c r="Y250" s="45"/>
      <c r="Z250" s="45"/>
      <c r="AA250" s="45"/>
    </row>
    <row r="251" ht="33.75" customHeight="1">
      <c r="A251" s="46" t="s">
        <v>2988</v>
      </c>
      <c r="B251" s="47" t="s">
        <v>2989</v>
      </c>
      <c r="C251" s="47" t="s">
        <v>2990</v>
      </c>
      <c r="D251" s="29" t="s">
        <v>2991</v>
      </c>
      <c r="E251" s="48" t="str">
        <f>IFERROR(__xludf.DUMMYFUNCTION("GOOGLETRANSLATE(D251,""zh-CN"",""vi"")"),"Vịt quay Bắc Kinh rất ngon.")</f>
        <v>Vịt quay Bắc Kinh rất ngon.</v>
      </c>
      <c r="F251" s="49" t="s">
        <v>2988</v>
      </c>
      <c r="G251" s="50" t="b">
        <f t="shared" si="1"/>
        <v>1</v>
      </c>
      <c r="H251" s="52" t="b">
        <v>1</v>
      </c>
      <c r="I251" s="52" t="b">
        <v>0</v>
      </c>
      <c r="J251" s="52" t="b">
        <v>0</v>
      </c>
      <c r="K251" s="52" t="b">
        <v>0</v>
      </c>
      <c r="L251" s="52" t="b">
        <v>0</v>
      </c>
      <c r="M251" s="52" t="b">
        <v>0</v>
      </c>
      <c r="N251" s="52" t="b">
        <v>0</v>
      </c>
      <c r="O251" s="52" t="b">
        <v>0</v>
      </c>
      <c r="P251" s="52" t="b">
        <v>0</v>
      </c>
      <c r="Q251" s="52" t="b">
        <v>0</v>
      </c>
      <c r="R251" s="44"/>
      <c r="S251" s="44"/>
      <c r="T251" s="44"/>
      <c r="U251" s="44"/>
      <c r="V251" s="44"/>
      <c r="W251" s="44"/>
      <c r="X251" s="45"/>
      <c r="Y251" s="45"/>
      <c r="Z251" s="45"/>
      <c r="AA251" s="45"/>
    </row>
    <row r="252" ht="33.75" customHeight="1">
      <c r="A252" s="46" t="s">
        <v>2994</v>
      </c>
      <c r="B252" s="47" t="s">
        <v>2996</v>
      </c>
      <c r="C252" s="47" t="s">
        <v>2998</v>
      </c>
      <c r="D252" s="29" t="s">
        <v>3000</v>
      </c>
      <c r="E252" s="48" t="str">
        <f>IFERROR(__xludf.DUMMYFUNCTION("GOOGLETRANSLATE(D252,""zh-CN"",""vi"")"),"Khoa học là một lĩnh vực rất quan trọng.")</f>
        <v>Khoa học là một lĩnh vực rất quan trọng.</v>
      </c>
      <c r="F252" s="49" t="s">
        <v>2994</v>
      </c>
      <c r="G252" s="50" t="b">
        <f t="shared" si="1"/>
        <v>1</v>
      </c>
      <c r="H252" s="52" t="b">
        <v>1</v>
      </c>
      <c r="I252" s="52" t="b">
        <v>0</v>
      </c>
      <c r="J252" s="52" t="b">
        <v>0</v>
      </c>
      <c r="K252" s="52" t="b">
        <v>0</v>
      </c>
      <c r="L252" s="52" t="b">
        <v>0</v>
      </c>
      <c r="M252" s="52" t="b">
        <v>0</v>
      </c>
      <c r="N252" s="52" t="b">
        <v>0</v>
      </c>
      <c r="O252" s="52" t="b">
        <v>0</v>
      </c>
      <c r="P252" s="52" t="b">
        <v>0</v>
      </c>
      <c r="Q252" s="52" t="b">
        <v>0</v>
      </c>
      <c r="R252" s="44"/>
      <c r="S252" s="44"/>
      <c r="T252" s="44"/>
      <c r="U252" s="44"/>
      <c r="V252" s="44"/>
      <c r="W252" s="44"/>
      <c r="X252" s="45"/>
      <c r="Y252" s="45"/>
      <c r="Z252" s="45"/>
      <c r="AA252" s="45"/>
    </row>
    <row r="253" ht="33.75" customHeight="1">
      <c r="A253" s="46" t="s">
        <v>3007</v>
      </c>
      <c r="B253" s="47" t="s">
        <v>3009</v>
      </c>
      <c r="C253" s="47" t="s">
        <v>3010</v>
      </c>
      <c r="D253" s="29" t="s">
        <v>3011</v>
      </c>
      <c r="E253" s="48" t="str">
        <f>IFERROR(__xludf.DUMMYFUNCTION("GOOGLETRANSLATE(D253,""zh-CN"",""vi"")"),"Trong vườn có rất nhiều cây.")</f>
        <v>Trong vườn có rất nhiều cây.</v>
      </c>
      <c r="F253" s="49" t="s">
        <v>3007</v>
      </c>
      <c r="G253" s="50" t="b">
        <f t="shared" si="1"/>
        <v>1</v>
      </c>
      <c r="H253" s="52" t="b">
        <v>1</v>
      </c>
      <c r="I253" s="52" t="b">
        <v>0</v>
      </c>
      <c r="J253" s="52" t="b">
        <v>0</v>
      </c>
      <c r="K253" s="52" t="b">
        <v>0</v>
      </c>
      <c r="L253" s="52" t="b">
        <v>0</v>
      </c>
      <c r="M253" s="52" t="b">
        <v>0</v>
      </c>
      <c r="N253" s="52" t="b">
        <v>0</v>
      </c>
      <c r="O253" s="52" t="b">
        <v>0</v>
      </c>
      <c r="P253" s="52" t="b">
        <v>0</v>
      </c>
      <c r="Q253" s="52" t="b">
        <v>0</v>
      </c>
      <c r="R253" s="44"/>
      <c r="S253" s="44"/>
      <c r="T253" s="44"/>
      <c r="U253" s="44"/>
      <c r="V253" s="44"/>
      <c r="W253" s="44"/>
      <c r="X253" s="45"/>
      <c r="Y253" s="45"/>
      <c r="Z253" s="45"/>
      <c r="AA253" s="45"/>
    </row>
    <row r="254" ht="33.75" customHeight="1">
      <c r="A254" s="46" t="s">
        <v>3015</v>
      </c>
      <c r="B254" s="47" t="s">
        <v>3016</v>
      </c>
      <c r="C254" s="47" t="s">
        <v>3017</v>
      </c>
      <c r="D254" s="29" t="s">
        <v>3018</v>
      </c>
      <c r="E254" s="48" t="str">
        <f>IFERROR(__xludf.DUMMYFUNCTION("GOOGLETRANSLATE(D254,""zh-CN"",""vi"")"),"Tôi bị cảm lạnh và ho nặng.")</f>
        <v>Tôi bị cảm lạnh và ho nặng.</v>
      </c>
      <c r="F254" s="49" t="s">
        <v>3015</v>
      </c>
      <c r="G254" s="50" t="b">
        <f t="shared" si="1"/>
        <v>1</v>
      </c>
      <c r="H254" s="52" t="b">
        <v>1</v>
      </c>
      <c r="I254" s="52" t="b">
        <v>0</v>
      </c>
      <c r="J254" s="52" t="b">
        <v>0</v>
      </c>
      <c r="K254" s="52" t="b">
        <v>0</v>
      </c>
      <c r="L254" s="52" t="b">
        <v>0</v>
      </c>
      <c r="M254" s="52" t="b">
        <v>0</v>
      </c>
      <c r="N254" s="52" t="b">
        <v>0</v>
      </c>
      <c r="O254" s="52" t="b">
        <v>0</v>
      </c>
      <c r="P254" s="52" t="b">
        <v>0</v>
      </c>
      <c r="Q254" s="52" t="b">
        <v>0</v>
      </c>
      <c r="R254" s="44"/>
      <c r="S254" s="44"/>
      <c r="T254" s="44"/>
      <c r="U254" s="44"/>
      <c r="V254" s="44"/>
      <c r="W254" s="44"/>
      <c r="X254" s="45"/>
      <c r="Y254" s="45"/>
      <c r="Z254" s="45"/>
      <c r="AA254" s="45"/>
    </row>
    <row r="255" ht="33.75" customHeight="1">
      <c r="A255" s="46" t="s">
        <v>3022</v>
      </c>
      <c r="B255" s="47" t="s">
        <v>3023</v>
      </c>
      <c r="C255" s="47" t="s">
        <v>3024</v>
      </c>
      <c r="D255" s="29" t="s">
        <v>3026</v>
      </c>
      <c r="E255" s="48" t="str">
        <f>IFERROR(__xludf.DUMMYFUNCTION("GOOGLETRANSLATE(D255,""zh-CN"",""vi"")"),"Anh ta thật đáng thương và cần được giúp đỡ.")</f>
        <v>Anh ta thật đáng thương và cần được giúp đỡ.</v>
      </c>
      <c r="F255" s="49" t="s">
        <v>3022</v>
      </c>
      <c r="G255" s="50" t="b">
        <f t="shared" si="1"/>
        <v>1</v>
      </c>
      <c r="H255" s="52" t="b">
        <v>1</v>
      </c>
      <c r="I255" s="52" t="b">
        <v>0</v>
      </c>
      <c r="J255" s="52" t="b">
        <v>0</v>
      </c>
      <c r="K255" s="52" t="b">
        <v>0</v>
      </c>
      <c r="L255" s="52" t="b">
        <v>0</v>
      </c>
      <c r="M255" s="52" t="b">
        <v>0</v>
      </c>
      <c r="N255" s="52" t="b">
        <v>0</v>
      </c>
      <c r="O255" s="52" t="b">
        <v>0</v>
      </c>
      <c r="P255" s="52" t="b">
        <v>0</v>
      </c>
      <c r="Q255" s="52" t="b">
        <v>0</v>
      </c>
      <c r="R255" s="44"/>
      <c r="S255" s="44"/>
      <c r="T255" s="44"/>
      <c r="U255" s="44"/>
      <c r="V255" s="44"/>
      <c r="W255" s="44"/>
      <c r="X255" s="45"/>
      <c r="Y255" s="45"/>
      <c r="Z255" s="45"/>
      <c r="AA255" s="45"/>
    </row>
    <row r="256" ht="33.75" customHeight="1">
      <c r="A256" s="46" t="s">
        <v>3034</v>
      </c>
      <c r="B256" s="47" t="s">
        <v>3035</v>
      </c>
      <c r="C256" s="47" t="s">
        <v>299</v>
      </c>
      <c r="D256" s="29" t="s">
        <v>3036</v>
      </c>
      <c r="E256" s="48" t="str">
        <f>IFERROR(__xludf.DUMMYFUNCTION("GOOGLETRANSLATE(D256,""zh-CN"",""vi"")"),"Tôi rất muốn đi, nhưng tôi không có thời gian.")</f>
        <v>Tôi rất muốn đi, nhưng tôi không có thời gian.</v>
      </c>
      <c r="F256" s="49" t="s">
        <v>3034</v>
      </c>
      <c r="G256" s="50" t="b">
        <f t="shared" si="1"/>
        <v>1</v>
      </c>
      <c r="H256" s="52" t="b">
        <v>1</v>
      </c>
      <c r="I256" s="52" t="b">
        <v>0</v>
      </c>
      <c r="J256" s="52" t="b">
        <v>0</v>
      </c>
      <c r="K256" s="52" t="b">
        <v>0</v>
      </c>
      <c r="L256" s="52" t="b">
        <v>0</v>
      </c>
      <c r="M256" s="52" t="b">
        <v>0</v>
      </c>
      <c r="N256" s="52" t="b">
        <v>0</v>
      </c>
      <c r="O256" s="52" t="b">
        <v>0</v>
      </c>
      <c r="P256" s="52" t="b">
        <v>0</v>
      </c>
      <c r="Q256" s="52" t="b">
        <v>0</v>
      </c>
      <c r="R256" s="44"/>
      <c r="S256" s="44"/>
      <c r="T256" s="44"/>
      <c r="U256" s="44"/>
      <c r="V256" s="44"/>
      <c r="W256" s="44"/>
      <c r="X256" s="45"/>
      <c r="Y256" s="45"/>
      <c r="Z256" s="45"/>
      <c r="AA256" s="45"/>
    </row>
    <row r="257" ht="33.75" customHeight="1">
      <c r="A257" s="46" t="s">
        <v>3041</v>
      </c>
      <c r="B257" s="47" t="s">
        <v>3042</v>
      </c>
      <c r="C257" s="47" t="s">
        <v>3043</v>
      </c>
      <c r="D257" s="29" t="s">
        <v>3044</v>
      </c>
      <c r="E257" s="48" t="str">
        <f>IFERROR(__xludf.DUMMYFUNCTION("GOOGLETRANSLATE(D257,""zh-CN"",""vi"")"),"Thật đáng tiếc, tôi đã không được xem.")</f>
        <v>Thật đáng tiếc, tôi đã không được xem.</v>
      </c>
      <c r="F257" s="49" t="s">
        <v>3041</v>
      </c>
      <c r="G257" s="50" t="b">
        <f t="shared" si="1"/>
        <v>1</v>
      </c>
      <c r="H257" s="52" t="b">
        <v>1</v>
      </c>
      <c r="I257" s="52" t="b">
        <v>0</v>
      </c>
      <c r="J257" s="52" t="b">
        <v>0</v>
      </c>
      <c r="K257" s="52" t="b">
        <v>0</v>
      </c>
      <c r="L257" s="52" t="b">
        <v>0</v>
      </c>
      <c r="M257" s="52" t="b">
        <v>0</v>
      </c>
      <c r="N257" s="52" t="b">
        <v>0</v>
      </c>
      <c r="O257" s="52" t="b">
        <v>0</v>
      </c>
      <c r="P257" s="52" t="b">
        <v>0</v>
      </c>
      <c r="Q257" s="52" t="b">
        <v>0</v>
      </c>
      <c r="R257" s="44"/>
      <c r="S257" s="44"/>
      <c r="T257" s="44"/>
      <c r="U257" s="44"/>
      <c r="V257" s="44"/>
      <c r="W257" s="44"/>
      <c r="X257" s="45"/>
      <c r="Y257" s="45"/>
      <c r="Z257" s="45"/>
      <c r="AA257" s="45"/>
    </row>
    <row r="258" ht="33.75" customHeight="1">
      <c r="A258" s="46" t="s">
        <v>3049</v>
      </c>
      <c r="B258" s="47" t="s">
        <v>3050</v>
      </c>
      <c r="C258" s="47" t="s">
        <v>3051</v>
      </c>
      <c r="D258" s="29" t="s">
        <v>3053</v>
      </c>
      <c r="E258" s="48" t="str">
        <f>IFERROR(__xludf.DUMMYFUNCTION("GOOGLETRANSLATE(D258,""zh-CN"",""vi"")"),"Phòng khách có rất nhiều đồ đạc.")</f>
        <v>Phòng khách có rất nhiều đồ đạc.</v>
      </c>
      <c r="F258" s="49" t="s">
        <v>3049</v>
      </c>
      <c r="G258" s="50" t="b">
        <f t="shared" si="1"/>
        <v>1</v>
      </c>
      <c r="H258" s="52" t="b">
        <v>1</v>
      </c>
      <c r="I258" s="52" t="b">
        <v>0</v>
      </c>
      <c r="J258" s="52" t="b">
        <v>0</v>
      </c>
      <c r="K258" s="52" t="b">
        <v>0</v>
      </c>
      <c r="L258" s="52" t="b">
        <v>0</v>
      </c>
      <c r="M258" s="52" t="b">
        <v>0</v>
      </c>
      <c r="N258" s="52" t="b">
        <v>0</v>
      </c>
      <c r="O258" s="52" t="b">
        <v>0</v>
      </c>
      <c r="P258" s="52" t="b">
        <v>0</v>
      </c>
      <c r="Q258" s="52" t="b">
        <v>0</v>
      </c>
      <c r="R258" s="44"/>
      <c r="S258" s="44"/>
      <c r="T258" s="44"/>
      <c r="U258" s="44"/>
      <c r="V258" s="44"/>
      <c r="W258" s="44"/>
      <c r="X258" s="45"/>
      <c r="Y258" s="45"/>
      <c r="Z258" s="45"/>
      <c r="AA258" s="45"/>
    </row>
    <row r="259" ht="33.75" customHeight="1">
      <c r="A259" s="46" t="s">
        <v>3057</v>
      </c>
      <c r="B259" s="47" t="s">
        <v>3058</v>
      </c>
      <c r="C259" s="47" t="s">
        <v>3059</v>
      </c>
      <c r="D259" s="29" t="s">
        <v>3060</v>
      </c>
      <c r="E259" s="48" t="str">
        <f>IFERROR(__xludf.DUMMYFUNCTION("GOOGLETRANSLATE(D259,""zh-CN"",""vi"")"),"Điều này hoàn toàn đúng.")</f>
        <v>Điều này hoàn toàn đúng.</v>
      </c>
      <c r="F259" s="49" t="s">
        <v>3057</v>
      </c>
      <c r="G259" s="50" t="b">
        <f t="shared" si="1"/>
        <v>1</v>
      </c>
      <c r="H259" s="52" t="b">
        <v>1</v>
      </c>
      <c r="I259" s="52" t="b">
        <v>0</v>
      </c>
      <c r="J259" s="52" t="b">
        <v>0</v>
      </c>
      <c r="K259" s="52" t="b">
        <v>0</v>
      </c>
      <c r="L259" s="52" t="b">
        <v>0</v>
      </c>
      <c r="M259" s="52" t="b">
        <v>0</v>
      </c>
      <c r="N259" s="52" t="b">
        <v>0</v>
      </c>
      <c r="O259" s="52" t="b">
        <v>0</v>
      </c>
      <c r="P259" s="52" t="b">
        <v>0</v>
      </c>
      <c r="Q259" s="52" t="b">
        <v>0</v>
      </c>
      <c r="R259" s="44"/>
      <c r="S259" s="44"/>
      <c r="T259" s="44"/>
      <c r="U259" s="44"/>
      <c r="V259" s="44"/>
      <c r="W259" s="44"/>
      <c r="X259" s="45"/>
      <c r="Y259" s="45"/>
      <c r="Z259" s="45"/>
      <c r="AA259" s="45"/>
    </row>
    <row r="260" ht="33.75" customHeight="1">
      <c r="A260" s="46" t="s">
        <v>3065</v>
      </c>
      <c r="B260" s="47" t="s">
        <v>3066</v>
      </c>
      <c r="C260" s="47" t="s">
        <v>3067</v>
      </c>
      <c r="D260" s="29" t="s">
        <v>3068</v>
      </c>
      <c r="E260" s="48" t="str">
        <f>IFERROR(__xludf.DUMMYFUNCTION("GOOGLETRANSLATE(D260,""zh-CN"",""vi"")"),"Căn phòng trống không.")</f>
        <v>Căn phòng trống không.</v>
      </c>
      <c r="F260" s="49" t="s">
        <v>3065</v>
      </c>
      <c r="G260" s="50" t="b">
        <f t="shared" si="1"/>
        <v>1</v>
      </c>
      <c r="H260" s="52" t="b">
        <v>1</v>
      </c>
      <c r="I260" s="52" t="b">
        <v>0</v>
      </c>
      <c r="J260" s="52" t="b">
        <v>0</v>
      </c>
      <c r="K260" s="52" t="b">
        <v>0</v>
      </c>
      <c r="L260" s="52" t="b">
        <v>0</v>
      </c>
      <c r="M260" s="52" t="b">
        <v>0</v>
      </c>
      <c r="N260" s="52" t="b">
        <v>0</v>
      </c>
      <c r="O260" s="52" t="b">
        <v>0</v>
      </c>
      <c r="P260" s="52" t="b">
        <v>0</v>
      </c>
      <c r="Q260" s="52" t="b">
        <v>0</v>
      </c>
      <c r="R260" s="44"/>
      <c r="S260" s="44"/>
      <c r="T260" s="44"/>
      <c r="U260" s="44"/>
      <c r="V260" s="44"/>
      <c r="W260" s="44"/>
      <c r="X260" s="45"/>
      <c r="Y260" s="45"/>
      <c r="Z260" s="45"/>
      <c r="AA260" s="45"/>
    </row>
    <row r="261" ht="33.75" customHeight="1">
      <c r="A261" s="46" t="s">
        <v>3070</v>
      </c>
      <c r="B261" s="47" t="s">
        <v>3071</v>
      </c>
      <c r="C261" s="47" t="s">
        <v>3076</v>
      </c>
      <c r="D261" s="29" t="s">
        <v>3097</v>
      </c>
      <c r="E261" s="48" t="str">
        <f>IFERROR(__xludf.DUMMYFUNCTION("GOOGLETRANSLATE(D261,""zh-CN"",""vi"")"),"Không khí trên núi rất trong lành.")</f>
        <v>Không khí trên núi rất trong lành.</v>
      </c>
      <c r="F261" s="49" t="s">
        <v>3070</v>
      </c>
      <c r="G261" s="50" t="b">
        <f t="shared" si="1"/>
        <v>1</v>
      </c>
      <c r="H261" s="52" t="b">
        <v>1</v>
      </c>
      <c r="I261" s="52" t="b">
        <v>0</v>
      </c>
      <c r="J261" s="52" t="b">
        <v>0</v>
      </c>
      <c r="K261" s="52" t="b">
        <v>0</v>
      </c>
      <c r="L261" s="52" t="b">
        <v>0</v>
      </c>
      <c r="M261" s="52" t="b">
        <v>0</v>
      </c>
      <c r="N261" s="52" t="b">
        <v>0</v>
      </c>
      <c r="O261" s="52" t="b">
        <v>0</v>
      </c>
      <c r="P261" s="52" t="b">
        <v>0</v>
      </c>
      <c r="Q261" s="52" t="b">
        <v>0</v>
      </c>
      <c r="R261" s="44"/>
      <c r="S261" s="44"/>
      <c r="T261" s="44"/>
      <c r="U261" s="44"/>
      <c r="V261" s="44"/>
      <c r="W261" s="44"/>
      <c r="X261" s="45"/>
      <c r="Y261" s="45"/>
      <c r="Z261" s="45"/>
      <c r="AA261" s="45"/>
    </row>
    <row r="262" ht="33.75" customHeight="1">
      <c r="A262" s="46" t="s">
        <v>3117</v>
      </c>
      <c r="B262" s="47" t="s">
        <v>3121</v>
      </c>
      <c r="C262" s="47" t="s">
        <v>3122</v>
      </c>
      <c r="D262" s="29" t="s">
        <v>3123</v>
      </c>
      <c r="E262" s="48" t="str">
        <f>IFERROR(__xludf.DUMMYFUNCTION("GOOGLETRANSLATE(D262,""zh-CN"",""vi"")"),"Tôi e rằng anh ấy sẽ không đến.")</f>
        <v>Tôi e rằng anh ấy sẽ không đến.</v>
      </c>
      <c r="F262" s="49" t="s">
        <v>3117</v>
      </c>
      <c r="G262" s="50" t="b">
        <f t="shared" si="1"/>
        <v>1</v>
      </c>
      <c r="H262" s="52" t="b">
        <v>1</v>
      </c>
      <c r="I262" s="52" t="b">
        <v>0</v>
      </c>
      <c r="J262" s="52" t="b">
        <v>0</v>
      </c>
      <c r="K262" s="52" t="b">
        <v>0</v>
      </c>
      <c r="L262" s="52" t="b">
        <v>0</v>
      </c>
      <c r="M262" s="52" t="b">
        <v>0</v>
      </c>
      <c r="N262" s="52" t="b">
        <v>0</v>
      </c>
      <c r="O262" s="52" t="b">
        <v>0</v>
      </c>
      <c r="P262" s="52" t="b">
        <v>0</v>
      </c>
      <c r="Q262" s="52" t="b">
        <v>0</v>
      </c>
      <c r="R262" s="44"/>
      <c r="S262" s="44"/>
      <c r="T262" s="44"/>
      <c r="U262" s="44"/>
      <c r="V262" s="44"/>
      <c r="W262" s="44"/>
      <c r="X262" s="45"/>
      <c r="Y262" s="45"/>
      <c r="Z262" s="45"/>
      <c r="AA262" s="45"/>
    </row>
    <row r="263" ht="33.75" customHeight="1">
      <c r="A263" s="46" t="s">
        <v>3128</v>
      </c>
      <c r="B263" s="47" t="s">
        <v>3130</v>
      </c>
      <c r="C263" s="47" t="s">
        <v>3132</v>
      </c>
      <c r="D263" s="29" t="s">
        <v>3134</v>
      </c>
      <c r="E263" s="48" t="str">
        <f>IFERROR(__xludf.DUMMYFUNCTION("GOOGLETRANSLATE(D263,""zh-CN"",""vi"")"),"Thuốc này rất đắng.")</f>
        <v>Thuốc này rất đắng.</v>
      </c>
      <c r="F263" s="49" t="s">
        <v>3128</v>
      </c>
      <c r="G263" s="50" t="b">
        <f t="shared" si="1"/>
        <v>1</v>
      </c>
      <c r="H263" s="52" t="b">
        <v>1</v>
      </c>
      <c r="I263" s="52" t="b">
        <v>0</v>
      </c>
      <c r="J263" s="52" t="b">
        <v>0</v>
      </c>
      <c r="K263" s="52" t="b">
        <v>0</v>
      </c>
      <c r="L263" s="52" t="b">
        <v>0</v>
      </c>
      <c r="M263" s="52" t="b">
        <v>0</v>
      </c>
      <c r="N263" s="52" t="b">
        <v>0</v>
      </c>
      <c r="O263" s="52" t="b">
        <v>0</v>
      </c>
      <c r="P263" s="52" t="b">
        <v>0</v>
      </c>
      <c r="Q263" s="52" t="b">
        <v>0</v>
      </c>
      <c r="R263" s="44"/>
      <c r="S263" s="44"/>
      <c r="T263" s="44"/>
      <c r="U263" s="44"/>
      <c r="V263" s="44"/>
      <c r="W263" s="44"/>
      <c r="X263" s="45"/>
      <c r="Y263" s="45"/>
      <c r="Z263" s="45"/>
      <c r="AA263" s="45"/>
    </row>
    <row r="264" ht="33.75" customHeight="1">
      <c r="A264" s="46" t="s">
        <v>3144</v>
      </c>
      <c r="B264" s="47" t="s">
        <v>3145</v>
      </c>
      <c r="C264" s="47" t="s">
        <v>3146</v>
      </c>
      <c r="D264" s="29" t="s">
        <v>3147</v>
      </c>
      <c r="E264" s="48" t="str">
        <f>IFERROR(__xludf.DUMMYFUNCTION("GOOGLETRANSLATE(D264,""zh-CN"",""vi"")"),"Tôi thích uống nước khoáng.")</f>
        <v>Tôi thích uống nước khoáng.</v>
      </c>
      <c r="F264" s="49" t="s">
        <v>3144</v>
      </c>
      <c r="G264" s="50" t="b">
        <f t="shared" si="1"/>
        <v>1</v>
      </c>
      <c r="H264" s="52" t="b">
        <v>1</v>
      </c>
      <c r="I264" s="52" t="b">
        <v>0</v>
      </c>
      <c r="J264" s="52" t="b">
        <v>0</v>
      </c>
      <c r="K264" s="52" t="b">
        <v>0</v>
      </c>
      <c r="L264" s="52" t="b">
        <v>0</v>
      </c>
      <c r="M264" s="52" t="b">
        <v>0</v>
      </c>
      <c r="N264" s="52" t="b">
        <v>0</v>
      </c>
      <c r="O264" s="52" t="b">
        <v>0</v>
      </c>
      <c r="P264" s="52" t="b">
        <v>0</v>
      </c>
      <c r="Q264" s="52" t="b">
        <v>0</v>
      </c>
      <c r="R264" s="44"/>
      <c r="S264" s="44"/>
      <c r="T264" s="44"/>
      <c r="U264" s="44"/>
      <c r="V264" s="44"/>
      <c r="W264" s="44"/>
      <c r="X264" s="45"/>
      <c r="Y264" s="45"/>
      <c r="Z264" s="45"/>
      <c r="AA264" s="45"/>
    </row>
    <row r="265" ht="33.75" customHeight="1">
      <c r="A265" s="46" t="s">
        <v>3152</v>
      </c>
      <c r="B265" s="47" t="s">
        <v>3153</v>
      </c>
      <c r="C265" s="47" t="s">
        <v>3154</v>
      </c>
      <c r="D265" s="29" t="s">
        <v>3155</v>
      </c>
      <c r="E265" s="48" t="str">
        <f>IFERROR(__xludf.DUMMYFUNCTION("GOOGLETRANSLATE(D265,""zh-CN"",""vi"")"),"Tôi ngủ không ngon giấc đêm qua, giờ tôi rất mệt.")</f>
        <v>Tôi ngủ không ngon giấc đêm qua, giờ tôi rất mệt.</v>
      </c>
      <c r="F265" s="49" t="s">
        <v>3152</v>
      </c>
      <c r="G265" s="50" t="b">
        <f t="shared" si="1"/>
        <v>1</v>
      </c>
      <c r="H265" s="52" t="b">
        <v>1</v>
      </c>
      <c r="I265" s="52" t="b">
        <v>0</v>
      </c>
      <c r="J265" s="52" t="b">
        <v>0</v>
      </c>
      <c r="K265" s="52" t="b">
        <v>0</v>
      </c>
      <c r="L265" s="52" t="b">
        <v>0</v>
      </c>
      <c r="M265" s="52" t="b">
        <v>0</v>
      </c>
      <c r="N265" s="52" t="b">
        <v>0</v>
      </c>
      <c r="O265" s="52" t="b">
        <v>0</v>
      </c>
      <c r="P265" s="52" t="b">
        <v>0</v>
      </c>
      <c r="Q265" s="52" t="b">
        <v>0</v>
      </c>
      <c r="R265" s="44"/>
      <c r="S265" s="44"/>
      <c r="T265" s="44"/>
      <c r="U265" s="44"/>
      <c r="V265" s="44"/>
      <c r="W265" s="44"/>
      <c r="X265" s="45"/>
      <c r="Y265" s="45"/>
      <c r="Z265" s="45"/>
      <c r="AA265" s="45"/>
    </row>
    <row r="266" ht="33.75" customHeight="1">
      <c r="A266" s="46" t="s">
        <v>3160</v>
      </c>
      <c r="B266" s="47" t="s">
        <v>3161</v>
      </c>
      <c r="C266" s="47" t="s">
        <v>3162</v>
      </c>
      <c r="D266" s="29" t="s">
        <v>3163</v>
      </c>
      <c r="E266" s="48" t="str">
        <f>IFERROR(__xludf.DUMMYFUNCTION("GOOGLETRANSLATE(D266,""zh-CN"",""vi"")"),"Học tiếng Trung rất khó.")</f>
        <v>Học tiếng Trung rất khó.</v>
      </c>
      <c r="F266" s="49" t="s">
        <v>3160</v>
      </c>
      <c r="G266" s="50" t="b">
        <f t="shared" si="1"/>
        <v>1</v>
      </c>
      <c r="H266" s="52" t="b">
        <v>1</v>
      </c>
      <c r="I266" s="52" t="b">
        <v>0</v>
      </c>
      <c r="J266" s="52" t="b">
        <v>0</v>
      </c>
      <c r="K266" s="52" t="b">
        <v>0</v>
      </c>
      <c r="L266" s="52" t="b">
        <v>0</v>
      </c>
      <c r="M266" s="52" t="b">
        <v>0</v>
      </c>
      <c r="N266" s="52" t="b">
        <v>0</v>
      </c>
      <c r="O266" s="52" t="b">
        <v>0</v>
      </c>
      <c r="P266" s="52" t="b">
        <v>0</v>
      </c>
      <c r="Q266" s="52" t="b">
        <v>0</v>
      </c>
      <c r="R266" s="44"/>
      <c r="S266" s="44"/>
      <c r="T266" s="44"/>
      <c r="U266" s="44"/>
      <c r="V266" s="44"/>
      <c r="W266" s="44"/>
      <c r="X266" s="45"/>
      <c r="Y266" s="45"/>
      <c r="Z266" s="45"/>
      <c r="AA266" s="45"/>
    </row>
    <row r="267" ht="33.75" customHeight="1">
      <c r="A267" s="46" t="s">
        <v>3170</v>
      </c>
      <c r="B267" s="47" t="s">
        <v>3172</v>
      </c>
      <c r="C267" s="47" t="s">
        <v>3174</v>
      </c>
      <c r="D267" s="29" t="s">
        <v>3175</v>
      </c>
      <c r="E267" s="48" t="str">
        <f>IFERROR(__xludf.DUMMYFUNCTION("GOOGLETRANSLATE(D267,""zh-CN"",""vi"")"),"Vui lòng bỏ rác vào thùng rác.")</f>
        <v>Vui lòng bỏ rác vào thùng rác.</v>
      </c>
      <c r="F267" s="49" t="s">
        <v>3170</v>
      </c>
      <c r="G267" s="50" t="b">
        <f t="shared" si="1"/>
        <v>1</v>
      </c>
      <c r="H267" s="52" t="b">
        <v>1</v>
      </c>
      <c r="I267" s="52" t="b">
        <v>0</v>
      </c>
      <c r="J267" s="52" t="b">
        <v>0</v>
      </c>
      <c r="K267" s="52" t="b">
        <v>0</v>
      </c>
      <c r="L267" s="52" t="b">
        <v>0</v>
      </c>
      <c r="M267" s="52" t="b">
        <v>0</v>
      </c>
      <c r="N267" s="52" t="b">
        <v>0</v>
      </c>
      <c r="O267" s="52" t="b">
        <v>0</v>
      </c>
      <c r="P267" s="52" t="b">
        <v>0</v>
      </c>
      <c r="Q267" s="52" t="b">
        <v>0</v>
      </c>
      <c r="R267" s="44"/>
      <c r="S267" s="44"/>
      <c r="T267" s="44"/>
      <c r="U267" s="44"/>
      <c r="V267" s="44"/>
      <c r="W267" s="44"/>
      <c r="X267" s="45"/>
      <c r="Y267" s="45"/>
      <c r="Z267" s="45"/>
      <c r="AA267" s="45"/>
    </row>
    <row r="268" ht="33.75" customHeight="1">
      <c r="A268" s="46" t="s">
        <v>3176</v>
      </c>
      <c r="B268" s="47" t="s">
        <v>3177</v>
      </c>
      <c r="C268" s="47" t="s">
        <v>3178</v>
      </c>
      <c r="D268" s="29" t="s">
        <v>3179</v>
      </c>
      <c r="E268" s="48" t="str">
        <f>IFERROR(__xludf.DUMMYFUNCTION("GOOGLETRANSLATE(D268,""zh-CN"",""vi"")"),"Anh ta kéo chiếc vali vào phòng.")</f>
        <v>Anh ta kéo chiếc vali vào phòng.</v>
      </c>
      <c r="F268" s="49" t="s">
        <v>3176</v>
      </c>
      <c r="G268" s="50" t="b">
        <f t="shared" si="1"/>
        <v>1</v>
      </c>
      <c r="H268" s="52" t="b">
        <v>1</v>
      </c>
      <c r="I268" s="52" t="b">
        <v>0</v>
      </c>
      <c r="J268" s="52" t="b">
        <v>0</v>
      </c>
      <c r="K268" s="52" t="b">
        <v>0</v>
      </c>
      <c r="L268" s="52" t="b">
        <v>0</v>
      </c>
      <c r="M268" s="52" t="b">
        <v>0</v>
      </c>
      <c r="N268" s="52" t="b">
        <v>0</v>
      </c>
      <c r="O268" s="52" t="b">
        <v>0</v>
      </c>
      <c r="P268" s="52" t="b">
        <v>0</v>
      </c>
      <c r="Q268" s="52" t="b">
        <v>0</v>
      </c>
      <c r="R268" s="44"/>
      <c r="S268" s="44"/>
      <c r="T268" s="44"/>
      <c r="U268" s="44"/>
      <c r="V268" s="44"/>
      <c r="W268" s="44"/>
      <c r="X268" s="45"/>
      <c r="Y268" s="45"/>
      <c r="Z268" s="45"/>
      <c r="AA268" s="45"/>
    </row>
    <row r="269" ht="33.75" customHeight="1">
      <c r="A269" s="46" t="s">
        <v>3188</v>
      </c>
      <c r="B269" s="47" t="s">
        <v>3189</v>
      </c>
      <c r="C269" s="47" t="s">
        <v>3190</v>
      </c>
      <c r="D269" s="29" t="s">
        <v>3191</v>
      </c>
      <c r="E269" s="48" t="str">
        <f>IFERROR(__xludf.DUMMYFUNCTION("GOOGLETRANSLATE(D269,""zh-CN"",""vi"")"),"Tôi không thích đồ ăn cay.")</f>
        <v>Tôi không thích đồ ăn cay.</v>
      </c>
      <c r="F269" s="49" t="s">
        <v>3188</v>
      </c>
      <c r="G269" s="50" t="b">
        <f t="shared" si="1"/>
        <v>1</v>
      </c>
      <c r="H269" s="52" t="b">
        <v>1</v>
      </c>
      <c r="I269" s="52" t="b">
        <v>0</v>
      </c>
      <c r="J269" s="52" t="b">
        <v>0</v>
      </c>
      <c r="K269" s="52" t="b">
        <v>0</v>
      </c>
      <c r="L269" s="52" t="b">
        <v>0</v>
      </c>
      <c r="M269" s="52" t="b">
        <v>0</v>
      </c>
      <c r="N269" s="52" t="b">
        <v>0</v>
      </c>
      <c r="O269" s="52" t="b">
        <v>0</v>
      </c>
      <c r="P269" s="52" t="b">
        <v>0</v>
      </c>
      <c r="Q269" s="52" t="b">
        <v>0</v>
      </c>
      <c r="R269" s="44"/>
      <c r="S269" s="44"/>
      <c r="T269" s="44"/>
      <c r="U269" s="44"/>
      <c r="V269" s="44"/>
      <c r="W269" s="44"/>
      <c r="X269" s="45"/>
      <c r="Y269" s="45"/>
      <c r="Z269" s="45"/>
      <c r="AA269" s="45"/>
    </row>
    <row r="270" ht="33.75" customHeight="1">
      <c r="A270" s="46" t="s">
        <v>3196</v>
      </c>
      <c r="B270" s="47" t="s">
        <v>3197</v>
      </c>
      <c r="C270" s="47" t="s">
        <v>3198</v>
      </c>
      <c r="D270" s="29" t="s">
        <v>3199</v>
      </c>
      <c r="E270" s="48" t="str">
        <f>IFERROR(__xludf.DUMMYFUNCTION("GOOGLETRANSLATE(D270,""zh-CN"",""vi"")"),"Chúng ta sẽ lỡ chuyến bay mất.")</f>
        <v>Chúng ta sẽ lỡ chuyến bay mất.</v>
      </c>
      <c r="F270" s="49" t="s">
        <v>3196</v>
      </c>
      <c r="G270" s="50" t="b">
        <f t="shared" si="1"/>
        <v>1</v>
      </c>
      <c r="H270" s="52" t="b">
        <v>1</v>
      </c>
      <c r="I270" s="52" t="b">
        <v>0</v>
      </c>
      <c r="J270" s="52" t="b">
        <v>0</v>
      </c>
      <c r="K270" s="52" t="b">
        <v>0</v>
      </c>
      <c r="L270" s="52" t="b">
        <v>0</v>
      </c>
      <c r="M270" s="52" t="b">
        <v>0</v>
      </c>
      <c r="N270" s="52" t="b">
        <v>0</v>
      </c>
      <c r="O270" s="52" t="b">
        <v>0</v>
      </c>
      <c r="P270" s="52" t="b">
        <v>0</v>
      </c>
      <c r="Q270" s="52" t="b">
        <v>0</v>
      </c>
      <c r="R270" s="44"/>
      <c r="S270" s="44"/>
      <c r="T270" s="44"/>
      <c r="U270" s="44"/>
      <c r="V270" s="44"/>
      <c r="W270" s="44"/>
      <c r="X270" s="45"/>
      <c r="Y270" s="45"/>
      <c r="Z270" s="45"/>
      <c r="AA270" s="45"/>
    </row>
    <row r="271" ht="33.75" customHeight="1">
      <c r="A271" s="46" t="s">
        <v>3200</v>
      </c>
      <c r="B271" s="47" t="s">
        <v>3201</v>
      </c>
      <c r="C271" s="47" t="s">
        <v>3202</v>
      </c>
      <c r="D271" s="29" t="s">
        <v>3203</v>
      </c>
      <c r="E271" s="48" t="str">
        <f>IFERROR(__xludf.DUMMYFUNCTION("GOOGLETRANSLATE(D271,""zh-CN"",""vi"")"),"Bạn có đủ thời gian để đến ga tàu.")</f>
        <v>Bạn có đủ thời gian để đến ga tàu.</v>
      </c>
      <c r="F271" s="49" t="s">
        <v>3200</v>
      </c>
      <c r="G271" s="50" t="b">
        <f t="shared" si="1"/>
        <v>1</v>
      </c>
      <c r="H271" s="52" t="b">
        <v>1</v>
      </c>
      <c r="I271" s="52" t="b">
        <v>0</v>
      </c>
      <c r="J271" s="52" t="b">
        <v>0</v>
      </c>
      <c r="K271" s="52" t="b">
        <v>0</v>
      </c>
      <c r="L271" s="52" t="b">
        <v>0</v>
      </c>
      <c r="M271" s="52" t="b">
        <v>0</v>
      </c>
      <c r="N271" s="52" t="b">
        <v>0</v>
      </c>
      <c r="O271" s="52" t="b">
        <v>0</v>
      </c>
      <c r="P271" s="52" t="b">
        <v>0</v>
      </c>
      <c r="Q271" s="52" t="b">
        <v>0</v>
      </c>
      <c r="R271" s="44"/>
      <c r="S271" s="44"/>
      <c r="T271" s="44"/>
      <c r="U271" s="44"/>
      <c r="V271" s="44"/>
      <c r="W271" s="44"/>
      <c r="X271" s="45"/>
      <c r="Y271" s="45"/>
      <c r="Z271" s="45"/>
      <c r="AA271" s="45"/>
    </row>
    <row r="272" ht="33.75" customHeight="1">
      <c r="A272" s="46" t="s">
        <v>3208</v>
      </c>
      <c r="B272" s="47" t="s">
        <v>3209</v>
      </c>
      <c r="C272" s="47" t="s">
        <v>3210</v>
      </c>
      <c r="D272" s="29" t="s">
        <v>3211</v>
      </c>
      <c r="E272" s="48" t="str">
        <f>IFERROR(__xludf.DUMMYFUNCTION("GOOGLETRANSLATE(D272,""zh-CN"",""vi"")"),"Anh ấy đến từ Trung Quốc.")</f>
        <v>Anh ấy đến từ Trung Quốc.</v>
      </c>
      <c r="F272" s="49" t="s">
        <v>3208</v>
      </c>
      <c r="G272" s="50" t="b">
        <f t="shared" si="1"/>
        <v>1</v>
      </c>
      <c r="H272" s="52" t="b">
        <v>1</v>
      </c>
      <c r="I272" s="52" t="b">
        <v>0</v>
      </c>
      <c r="J272" s="52" t="b">
        <v>0</v>
      </c>
      <c r="K272" s="52" t="b">
        <v>0</v>
      </c>
      <c r="L272" s="52" t="b">
        <v>0</v>
      </c>
      <c r="M272" s="52" t="b">
        <v>0</v>
      </c>
      <c r="N272" s="52" t="b">
        <v>0</v>
      </c>
      <c r="O272" s="52" t="b">
        <v>0</v>
      </c>
      <c r="P272" s="52" t="b">
        <v>0</v>
      </c>
      <c r="Q272" s="52" t="b">
        <v>0</v>
      </c>
      <c r="R272" s="44"/>
      <c r="S272" s="44"/>
      <c r="T272" s="44"/>
      <c r="U272" s="44"/>
      <c r="V272" s="44"/>
      <c r="W272" s="44"/>
      <c r="X272" s="45"/>
      <c r="Y272" s="45"/>
      <c r="Z272" s="45"/>
      <c r="AA272" s="45"/>
    </row>
    <row r="273" ht="33.75" customHeight="1">
      <c r="A273" s="46" t="s">
        <v>3216</v>
      </c>
      <c r="B273" s="47" t="s">
        <v>3217</v>
      </c>
      <c r="C273" s="47" t="s">
        <v>3218</v>
      </c>
      <c r="D273" s="29" t="s">
        <v>3219</v>
      </c>
      <c r="E273" s="48" t="str">
        <f>IFERROR(__xludf.DUMMYFUNCTION("GOOGLETRANSLATE(D273,""zh-CN"",""vi"")"),"Anh ta lười biếng và không thích làm việc.")</f>
        <v>Anh ta lười biếng và không thích làm việc.</v>
      </c>
      <c r="F273" s="49" t="s">
        <v>3216</v>
      </c>
      <c r="G273" s="50" t="b">
        <f t="shared" si="1"/>
        <v>1</v>
      </c>
      <c r="H273" s="52" t="b">
        <v>1</v>
      </c>
      <c r="I273" s="52" t="b">
        <v>0</v>
      </c>
      <c r="J273" s="52" t="b">
        <v>0</v>
      </c>
      <c r="K273" s="52" t="b">
        <v>0</v>
      </c>
      <c r="L273" s="52" t="b">
        <v>0</v>
      </c>
      <c r="M273" s="52" t="b">
        <v>0</v>
      </c>
      <c r="N273" s="52" t="b">
        <v>0</v>
      </c>
      <c r="O273" s="52" t="b">
        <v>0</v>
      </c>
      <c r="P273" s="52" t="b">
        <v>0</v>
      </c>
      <c r="Q273" s="52" t="b">
        <v>0</v>
      </c>
      <c r="R273" s="44"/>
      <c r="S273" s="44"/>
      <c r="T273" s="44"/>
      <c r="U273" s="44"/>
      <c r="V273" s="44"/>
      <c r="W273" s="44"/>
      <c r="X273" s="45"/>
      <c r="Y273" s="45"/>
      <c r="Z273" s="45"/>
      <c r="AA273" s="45"/>
    </row>
    <row r="274" ht="33.75" customHeight="1">
      <c r="A274" s="46" t="s">
        <v>3224</v>
      </c>
      <c r="B274" s="47" t="s">
        <v>3225</v>
      </c>
      <c r="C274" s="47" t="s">
        <v>3226</v>
      </c>
      <c r="D274" s="29" t="s">
        <v>3227</v>
      </c>
      <c r="E274" s="48" t="str">
        <f>IFERROR(__xludf.DUMMYFUNCTION("GOOGLETRANSLATE(D274,""zh-CN"",""vi"")"),"Chúng ta nên tránh lãng phí thời gian.")</f>
        <v>Chúng ta nên tránh lãng phí thời gian.</v>
      </c>
      <c r="F274" s="49" t="s">
        <v>3224</v>
      </c>
      <c r="G274" s="50" t="b">
        <f t="shared" si="1"/>
        <v>1</v>
      </c>
      <c r="H274" s="52" t="b">
        <v>1</v>
      </c>
      <c r="I274" s="52" t="b">
        <v>0</v>
      </c>
      <c r="J274" s="52" t="b">
        <v>0</v>
      </c>
      <c r="K274" s="52" t="b">
        <v>0</v>
      </c>
      <c r="L274" s="52" t="b">
        <v>0</v>
      </c>
      <c r="M274" s="52" t="b">
        <v>0</v>
      </c>
      <c r="N274" s="52" t="b">
        <v>0</v>
      </c>
      <c r="O274" s="52" t="b">
        <v>0</v>
      </c>
      <c r="P274" s="52" t="b">
        <v>0</v>
      </c>
      <c r="Q274" s="52" t="b">
        <v>0</v>
      </c>
      <c r="R274" s="44"/>
      <c r="S274" s="44"/>
      <c r="T274" s="44"/>
      <c r="U274" s="44"/>
      <c r="V274" s="44"/>
      <c r="W274" s="44"/>
      <c r="X274" s="45"/>
      <c r="Y274" s="45"/>
      <c r="Z274" s="45"/>
      <c r="AA274" s="45"/>
    </row>
    <row r="275" ht="33.75" customHeight="1">
      <c r="A275" s="46" t="s">
        <v>3232</v>
      </c>
      <c r="B275" s="47" t="s">
        <v>3233</v>
      </c>
      <c r="C275" s="47" t="s">
        <v>3234</v>
      </c>
      <c r="D275" s="29" t="s">
        <v>3235</v>
      </c>
      <c r="E275" s="48" t="str">
        <f>IFERROR(__xludf.DUMMYFUNCTION("GOOGLETRANSLATE(D275,""zh-CN"",""vi"")"),"Câu chuyện của họ rất lãng mạn.")</f>
        <v>Câu chuyện của họ rất lãng mạn.</v>
      </c>
      <c r="F275" s="49" t="s">
        <v>3232</v>
      </c>
      <c r="G275" s="50" t="b">
        <f t="shared" si="1"/>
        <v>1</v>
      </c>
      <c r="H275" s="52" t="b">
        <v>1</v>
      </c>
      <c r="I275" s="52" t="b">
        <v>0</v>
      </c>
      <c r="J275" s="52" t="b">
        <v>0</v>
      </c>
      <c r="K275" s="52" t="b">
        <v>0</v>
      </c>
      <c r="L275" s="52" t="b">
        <v>0</v>
      </c>
      <c r="M275" s="52" t="b">
        <v>0</v>
      </c>
      <c r="N275" s="52" t="b">
        <v>0</v>
      </c>
      <c r="O275" s="52" t="b">
        <v>0</v>
      </c>
      <c r="P275" s="52" t="b">
        <v>0</v>
      </c>
      <c r="Q275" s="52" t="b">
        <v>0</v>
      </c>
      <c r="R275" s="44"/>
      <c r="S275" s="44"/>
      <c r="T275" s="44"/>
      <c r="U275" s="44"/>
      <c r="V275" s="44"/>
      <c r="W275" s="44"/>
      <c r="X275" s="45"/>
      <c r="Y275" s="45"/>
      <c r="Z275" s="45"/>
      <c r="AA275" s="45"/>
    </row>
    <row r="276" ht="33.75" customHeight="1">
      <c r="A276" s="46" t="s">
        <v>3240</v>
      </c>
      <c r="B276" s="47" t="s">
        <v>3241</v>
      </c>
      <c r="C276" s="47" t="s">
        <v>3242</v>
      </c>
      <c r="D276" s="29" t="s">
        <v>3243</v>
      </c>
      <c r="E276" s="48" t="str">
        <f>IFERROR(__xludf.DUMMYFUNCTION("GOOGLETRANSLATE(D276,""zh-CN"",""vi"")"),"Trong sở thú có một con hổ.")</f>
        <v>Trong sở thú có một con hổ.</v>
      </c>
      <c r="F276" s="49" t="s">
        <v>3240</v>
      </c>
      <c r="G276" s="50" t="b">
        <f t="shared" si="1"/>
        <v>1</v>
      </c>
      <c r="H276" s="52" t="b">
        <v>1</v>
      </c>
      <c r="I276" s="52" t="b">
        <v>0</v>
      </c>
      <c r="J276" s="52" t="b">
        <v>0</v>
      </c>
      <c r="K276" s="52" t="b">
        <v>0</v>
      </c>
      <c r="L276" s="52" t="b">
        <v>0</v>
      </c>
      <c r="M276" s="52" t="b">
        <v>0</v>
      </c>
      <c r="N276" s="52" t="b">
        <v>0</v>
      </c>
      <c r="O276" s="52" t="b">
        <v>0</v>
      </c>
      <c r="P276" s="52" t="b">
        <v>0</v>
      </c>
      <c r="Q276" s="52" t="b">
        <v>0</v>
      </c>
      <c r="R276" s="44"/>
      <c r="S276" s="44"/>
      <c r="T276" s="44"/>
      <c r="U276" s="44"/>
      <c r="V276" s="44"/>
      <c r="W276" s="44"/>
      <c r="X276" s="45"/>
      <c r="Y276" s="45"/>
      <c r="Z276" s="45"/>
      <c r="AA276" s="45"/>
    </row>
    <row r="277" ht="33.75" customHeight="1">
      <c r="A277" s="46" t="s">
        <v>3248</v>
      </c>
      <c r="B277" s="47" t="s">
        <v>3249</v>
      </c>
      <c r="C277" s="47" t="s">
        <v>3250</v>
      </c>
      <c r="D277" s="29" t="s">
        <v>3251</v>
      </c>
      <c r="E277" s="48" t="str">
        <f>IFERROR(__xludf.DUMMYFUNCTION("GOOGLETRANSLATE(D277,""zh-CN"",""vi"")"),"Hãy bình tĩnh và đừng nổi giận.")</f>
        <v>Hãy bình tĩnh và đừng nổi giận.</v>
      </c>
      <c r="F277" s="49" t="s">
        <v>3248</v>
      </c>
      <c r="G277" s="50" t="b">
        <f t="shared" si="1"/>
        <v>1</v>
      </c>
      <c r="H277" s="52" t="b">
        <v>1</v>
      </c>
      <c r="I277" s="52" t="b">
        <v>0</v>
      </c>
      <c r="J277" s="52" t="b">
        <v>0</v>
      </c>
      <c r="K277" s="52" t="b">
        <v>0</v>
      </c>
      <c r="L277" s="52" t="b">
        <v>0</v>
      </c>
      <c r="M277" s="52" t="b">
        <v>0</v>
      </c>
      <c r="N277" s="52" t="b">
        <v>0</v>
      </c>
      <c r="O277" s="52" t="b">
        <v>0</v>
      </c>
      <c r="P277" s="52" t="b">
        <v>0</v>
      </c>
      <c r="Q277" s="52" t="b">
        <v>0</v>
      </c>
      <c r="R277" s="44"/>
      <c r="S277" s="44"/>
      <c r="T277" s="44"/>
      <c r="U277" s="44"/>
      <c r="V277" s="44"/>
      <c r="W277" s="44"/>
      <c r="X277" s="45"/>
      <c r="Y277" s="45"/>
      <c r="Z277" s="45"/>
      <c r="AA277" s="45"/>
    </row>
    <row r="278" ht="33.75" customHeight="1">
      <c r="A278" s="46" t="s">
        <v>3255</v>
      </c>
      <c r="B278" s="47" t="s">
        <v>3256</v>
      </c>
      <c r="C278" s="47" t="s">
        <v>3257</v>
      </c>
      <c r="D278" s="29" t="s">
        <v>3258</v>
      </c>
      <c r="E278" s="48" t="str">
        <f>IFERROR(__xludf.DUMMYFUNCTION("GOOGLETRANSLATE(D278,""zh-CN"",""vi"")"),"Chúng tôi đã đến công viên vào Chủ nhật.")</f>
        <v>Chúng tôi đã đến công viên vào Chủ nhật.</v>
      </c>
      <c r="F278" s="49" t="s">
        <v>3255</v>
      </c>
      <c r="G278" s="50" t="b">
        <f t="shared" si="1"/>
        <v>1</v>
      </c>
      <c r="H278" s="52" t="b">
        <v>1</v>
      </c>
      <c r="I278" s="52" t="b">
        <v>0</v>
      </c>
      <c r="J278" s="52" t="b">
        <v>0</v>
      </c>
      <c r="K278" s="52" t="b">
        <v>0</v>
      </c>
      <c r="L278" s="52" t="b">
        <v>0</v>
      </c>
      <c r="M278" s="52" t="b">
        <v>0</v>
      </c>
      <c r="N278" s="52" t="b">
        <v>0</v>
      </c>
      <c r="O278" s="52" t="b">
        <v>0</v>
      </c>
      <c r="P278" s="52" t="b">
        <v>0</v>
      </c>
      <c r="Q278" s="52" t="b">
        <v>0</v>
      </c>
      <c r="R278" s="44"/>
      <c r="S278" s="44"/>
      <c r="T278" s="44"/>
      <c r="U278" s="44"/>
      <c r="V278" s="44"/>
      <c r="W278" s="44"/>
      <c r="X278" s="45"/>
      <c r="Y278" s="45"/>
      <c r="Z278" s="45"/>
      <c r="AA278" s="45"/>
    </row>
    <row r="279" ht="33.75" customHeight="1">
      <c r="A279" s="46" t="s">
        <v>3263</v>
      </c>
      <c r="B279" s="47" t="s">
        <v>3264</v>
      </c>
      <c r="C279" s="47" t="s">
        <v>3265</v>
      </c>
      <c r="D279" s="29" t="s">
        <v>3266</v>
      </c>
      <c r="E279" s="48" t="str">
        <f>IFERROR(__xludf.DUMMYFUNCTION("GOOGLETRANSLATE(D279,""zh-CN"",""vi"")"),"Anh ấy rất lịch sự với mọi người.")</f>
        <v>Anh ấy rất lịch sự với mọi người.</v>
      </c>
      <c r="F279" s="49" t="s">
        <v>3263</v>
      </c>
      <c r="G279" s="50" t="b">
        <f t="shared" si="1"/>
        <v>1</v>
      </c>
      <c r="H279" s="52" t="b">
        <v>1</v>
      </c>
      <c r="I279" s="52" t="b">
        <v>0</v>
      </c>
      <c r="J279" s="52" t="b">
        <v>0</v>
      </c>
      <c r="K279" s="52" t="b">
        <v>0</v>
      </c>
      <c r="L279" s="52" t="b">
        <v>0</v>
      </c>
      <c r="M279" s="52" t="b">
        <v>0</v>
      </c>
      <c r="N279" s="52" t="b">
        <v>0</v>
      </c>
      <c r="O279" s="52" t="b">
        <v>0</v>
      </c>
      <c r="P279" s="52" t="b">
        <v>0</v>
      </c>
      <c r="Q279" s="52" t="b">
        <v>0</v>
      </c>
      <c r="R279" s="44"/>
      <c r="S279" s="44"/>
      <c r="T279" s="44"/>
      <c r="U279" s="44"/>
      <c r="V279" s="44"/>
      <c r="W279" s="44"/>
      <c r="X279" s="45"/>
      <c r="Y279" s="45"/>
      <c r="Z279" s="45"/>
      <c r="AA279" s="45"/>
    </row>
    <row r="280" ht="33.75" customHeight="1">
      <c r="A280" s="46" t="s">
        <v>3267</v>
      </c>
      <c r="B280" s="47" t="s">
        <v>3268</v>
      </c>
      <c r="C280" s="47" t="s">
        <v>3269</v>
      </c>
      <c r="D280" s="29" t="s">
        <v>3270</v>
      </c>
      <c r="E280" s="48" t="str">
        <f>IFERROR(__xludf.DUMMYFUNCTION("GOOGLETRANSLATE(D280,""zh-CN"",""vi"")"),"Hôm nay tôi sẽ đi cắt tóc.")</f>
        <v>Hôm nay tôi sẽ đi cắt tóc.</v>
      </c>
      <c r="F280" s="49" t="s">
        <v>3267</v>
      </c>
      <c r="G280" s="50" t="b">
        <f t="shared" si="1"/>
        <v>1</v>
      </c>
      <c r="H280" s="52" t="b">
        <v>1</v>
      </c>
      <c r="I280" s="52" t="b">
        <v>0</v>
      </c>
      <c r="J280" s="52" t="b">
        <v>0</v>
      </c>
      <c r="K280" s="52" t="b">
        <v>0</v>
      </c>
      <c r="L280" s="52" t="b">
        <v>0</v>
      </c>
      <c r="M280" s="52" t="b">
        <v>0</v>
      </c>
      <c r="N280" s="52" t="b">
        <v>0</v>
      </c>
      <c r="O280" s="52" t="b">
        <v>0</v>
      </c>
      <c r="P280" s="52" t="b">
        <v>0</v>
      </c>
      <c r="Q280" s="52" t="b">
        <v>0</v>
      </c>
      <c r="R280" s="44"/>
      <c r="S280" s="44"/>
      <c r="T280" s="44"/>
      <c r="U280" s="44"/>
      <c r="V280" s="44"/>
      <c r="W280" s="44"/>
      <c r="X280" s="45"/>
      <c r="Y280" s="45"/>
      <c r="Z280" s="45"/>
      <c r="AA280" s="45"/>
    </row>
    <row r="281" ht="33.75" customHeight="1">
      <c r="A281" s="46" t="s">
        <v>3271</v>
      </c>
      <c r="B281" s="47" t="s">
        <v>3272</v>
      </c>
      <c r="C281" s="47" t="s">
        <v>3273</v>
      </c>
      <c r="D281" s="29" t="s">
        <v>3274</v>
      </c>
      <c r="E281" s="48" t="str">
        <f>IFERROR(__xludf.DUMMYFUNCTION("GOOGLETRANSLATE(D281,""zh-CN"",""vi"")"),"Tôi không hiểu ý của bạn.")</f>
        <v>Tôi không hiểu ý của bạn.</v>
      </c>
      <c r="F281" s="49" t="s">
        <v>3271</v>
      </c>
      <c r="G281" s="50" t="b">
        <f t="shared" si="1"/>
        <v>1</v>
      </c>
      <c r="H281" s="52" t="b">
        <v>1</v>
      </c>
      <c r="I281" s="52" t="b">
        <v>0</v>
      </c>
      <c r="J281" s="52" t="b">
        <v>0</v>
      </c>
      <c r="K281" s="52" t="b">
        <v>0</v>
      </c>
      <c r="L281" s="52" t="b">
        <v>0</v>
      </c>
      <c r="M281" s="52" t="b">
        <v>0</v>
      </c>
      <c r="N281" s="52" t="b">
        <v>0</v>
      </c>
      <c r="O281" s="52" t="b">
        <v>0</v>
      </c>
      <c r="P281" s="52" t="b">
        <v>0</v>
      </c>
      <c r="Q281" s="52" t="b">
        <v>0</v>
      </c>
      <c r="R281" s="44"/>
      <c r="S281" s="44"/>
      <c r="T281" s="44"/>
      <c r="U281" s="44"/>
      <c r="V281" s="44"/>
      <c r="W281" s="44"/>
      <c r="X281" s="45"/>
      <c r="Y281" s="45"/>
      <c r="Z281" s="45"/>
      <c r="AA281" s="45"/>
    </row>
    <row r="282" ht="33.75" customHeight="1">
      <c r="A282" s="46" t="s">
        <v>3275</v>
      </c>
      <c r="B282" s="47" t="s">
        <v>3276</v>
      </c>
      <c r="C282" s="47" t="s">
        <v>3277</v>
      </c>
      <c r="D282" s="29" t="s">
        <v>3278</v>
      </c>
      <c r="E282" s="48" t="str">
        <f>IFERROR(__xludf.DUMMYFUNCTION("GOOGLETRANSLATE(D282,""zh-CN"",""vi"")"),"Ước mơ của cậu ấy là trở thành bác sĩ.")</f>
        <v>Ước mơ của cậu ấy là trở thành bác sĩ.</v>
      </c>
      <c r="F282" s="49" t="s">
        <v>3275</v>
      </c>
      <c r="G282" s="50" t="b">
        <f t="shared" si="1"/>
        <v>1</v>
      </c>
      <c r="H282" s="52" t="b">
        <v>1</v>
      </c>
      <c r="I282" s="52" t="b">
        <v>0</v>
      </c>
      <c r="J282" s="52" t="b">
        <v>0</v>
      </c>
      <c r="K282" s="52" t="b">
        <v>0</v>
      </c>
      <c r="L282" s="52" t="b">
        <v>0</v>
      </c>
      <c r="M282" s="52" t="b">
        <v>0</v>
      </c>
      <c r="N282" s="52" t="b">
        <v>0</v>
      </c>
      <c r="O282" s="52" t="b">
        <v>0</v>
      </c>
      <c r="P282" s="52" t="b">
        <v>0</v>
      </c>
      <c r="Q282" s="52" t="b">
        <v>0</v>
      </c>
      <c r="R282" s="44"/>
      <c r="S282" s="44"/>
      <c r="T282" s="44"/>
      <c r="U282" s="44"/>
      <c r="V282" s="44"/>
      <c r="W282" s="44"/>
      <c r="X282" s="45"/>
      <c r="Y282" s="45"/>
      <c r="Z282" s="45"/>
      <c r="AA282" s="45"/>
    </row>
    <row r="283" ht="33.75" customHeight="1">
      <c r="A283" s="46" t="s">
        <v>3279</v>
      </c>
      <c r="B283" s="47" t="s">
        <v>3280</v>
      </c>
      <c r="C283" s="47" t="s">
        <v>3281</v>
      </c>
      <c r="D283" s="29" t="s">
        <v>3282</v>
      </c>
      <c r="E283" s="48" t="str">
        <f>IFERROR(__xludf.DUMMYFUNCTION("GOOGLETRANSLATE(D283,""zh-CN"",""vi"")"),"Tôi không còn sức để di chuyển cái bàn này nữa.")</f>
        <v>Tôi không còn sức để di chuyển cái bàn này nữa.</v>
      </c>
      <c r="F283" s="49" t="s">
        <v>3279</v>
      </c>
      <c r="G283" s="50" t="b">
        <f t="shared" si="1"/>
        <v>1</v>
      </c>
      <c r="H283" s="52" t="b">
        <v>1</v>
      </c>
      <c r="I283" s="52" t="b">
        <v>0</v>
      </c>
      <c r="J283" s="52" t="b">
        <v>0</v>
      </c>
      <c r="K283" s="52" t="b">
        <v>0</v>
      </c>
      <c r="L283" s="52" t="b">
        <v>0</v>
      </c>
      <c r="M283" s="52" t="b">
        <v>0</v>
      </c>
      <c r="N283" s="52" t="b">
        <v>0</v>
      </c>
      <c r="O283" s="52" t="b">
        <v>0</v>
      </c>
      <c r="P283" s="52" t="b">
        <v>0</v>
      </c>
      <c r="Q283" s="52" t="b">
        <v>0</v>
      </c>
      <c r="R283" s="44"/>
      <c r="S283" s="44"/>
      <c r="T283" s="44"/>
      <c r="U283" s="44"/>
      <c r="V283" s="44"/>
      <c r="W283" s="44"/>
      <c r="X283" s="45"/>
      <c r="Y283" s="45"/>
      <c r="Z283" s="45"/>
      <c r="AA283" s="45"/>
    </row>
    <row r="284" ht="33.75" customHeight="1">
      <c r="A284" s="46" t="s">
        <v>3283</v>
      </c>
      <c r="B284" s="47" t="s">
        <v>3284</v>
      </c>
      <c r="C284" s="47" t="s">
        <v>3285</v>
      </c>
      <c r="D284" s="29" t="s">
        <v>3286</v>
      </c>
      <c r="E284" s="48" t="str">
        <f>IFERROR(__xludf.DUMMYFUNCTION("GOOGLETRANSLATE(D284,""zh-CN"",""vi"")"),"Anh ấy nói tiếng Trung Quốc rất trôi chảy.")</f>
        <v>Anh ấy nói tiếng Trung Quốc rất trôi chảy.</v>
      </c>
      <c r="F284" s="49" t="s">
        <v>3283</v>
      </c>
      <c r="G284" s="50" t="b">
        <f t="shared" si="1"/>
        <v>1</v>
      </c>
      <c r="H284" s="52" t="b">
        <v>1</v>
      </c>
      <c r="I284" s="52" t="b">
        <v>0</v>
      </c>
      <c r="J284" s="52" t="b">
        <v>0</v>
      </c>
      <c r="K284" s="52" t="b">
        <v>0</v>
      </c>
      <c r="L284" s="52" t="b">
        <v>0</v>
      </c>
      <c r="M284" s="52" t="b">
        <v>0</v>
      </c>
      <c r="N284" s="52" t="b">
        <v>0</v>
      </c>
      <c r="O284" s="52" t="b">
        <v>0</v>
      </c>
      <c r="P284" s="52" t="b">
        <v>0</v>
      </c>
      <c r="Q284" s="52" t="b">
        <v>0</v>
      </c>
      <c r="R284" s="44"/>
      <c r="S284" s="44"/>
      <c r="T284" s="44"/>
      <c r="U284" s="44"/>
      <c r="V284" s="44"/>
      <c r="W284" s="44"/>
      <c r="X284" s="45"/>
      <c r="Y284" s="45"/>
      <c r="Z284" s="45"/>
      <c r="AA284" s="45"/>
    </row>
    <row r="285" ht="33.75" customHeight="1">
      <c r="A285" s="46" t="s">
        <v>3288</v>
      </c>
      <c r="B285" s="47" t="s">
        <v>3289</v>
      </c>
      <c r="C285" s="47" t="s">
        <v>3290</v>
      </c>
      <c r="D285" s="29" t="s">
        <v>3291</v>
      </c>
      <c r="E285" s="48" t="str">
        <f>IFERROR(__xludf.DUMMYFUNCTION("GOOGLETRANSLATE(D285,""zh-CN"",""vi"")"),"Ví dụ, cả táo và chuối đều là trái cây.")</f>
        <v>Ví dụ, cả táo và chuối đều là trái cây.</v>
      </c>
      <c r="F285" s="49" t="s">
        <v>3288</v>
      </c>
      <c r="G285" s="50" t="b">
        <f t="shared" si="1"/>
        <v>1</v>
      </c>
      <c r="H285" s="52" t="b">
        <v>1</v>
      </c>
      <c r="I285" s="52" t="b">
        <v>0</v>
      </c>
      <c r="J285" s="52" t="b">
        <v>0</v>
      </c>
      <c r="K285" s="52" t="b">
        <v>0</v>
      </c>
      <c r="L285" s="52" t="b">
        <v>0</v>
      </c>
      <c r="M285" s="52" t="b">
        <v>0</v>
      </c>
      <c r="N285" s="52" t="b">
        <v>0</v>
      </c>
      <c r="O285" s="52" t="b">
        <v>0</v>
      </c>
      <c r="P285" s="52" t="b">
        <v>0</v>
      </c>
      <c r="Q285" s="52" t="b">
        <v>0</v>
      </c>
      <c r="R285" s="44"/>
      <c r="S285" s="44"/>
      <c r="T285" s="44"/>
      <c r="U285" s="44"/>
      <c r="V285" s="44"/>
      <c r="W285" s="44"/>
      <c r="X285" s="45"/>
      <c r="Y285" s="45"/>
      <c r="Z285" s="45"/>
      <c r="AA285" s="45"/>
    </row>
    <row r="286" ht="33.75" customHeight="1">
      <c r="A286" s="46" t="s">
        <v>3294</v>
      </c>
      <c r="B286" s="47" t="s">
        <v>3295</v>
      </c>
      <c r="C286" s="47" t="s">
        <v>3296</v>
      </c>
      <c r="D286" s="29" t="s">
        <v>3297</v>
      </c>
      <c r="E286" s="48" t="str">
        <f>IFERROR(__xludf.DUMMYFUNCTION("GOOGLETRANSLATE(D286,""zh-CN"",""vi"")"),"Chúng tôi là bạn tốt.")</f>
        <v>Chúng tôi là bạn tốt.</v>
      </c>
      <c r="F286" s="49" t="s">
        <v>3294</v>
      </c>
      <c r="G286" s="50" t="b">
        <f t="shared" si="1"/>
        <v>1</v>
      </c>
      <c r="H286" s="52" t="b">
        <v>1</v>
      </c>
      <c r="I286" s="52" t="b">
        <v>0</v>
      </c>
      <c r="J286" s="52" t="b">
        <v>0</v>
      </c>
      <c r="K286" s="52" t="b">
        <v>0</v>
      </c>
      <c r="L286" s="52" t="b">
        <v>0</v>
      </c>
      <c r="M286" s="52" t="b">
        <v>0</v>
      </c>
      <c r="N286" s="52" t="b">
        <v>0</v>
      </c>
      <c r="O286" s="52" t="b">
        <v>0</v>
      </c>
      <c r="P286" s="52" t="b">
        <v>0</v>
      </c>
      <c r="Q286" s="52" t="b">
        <v>0</v>
      </c>
      <c r="R286" s="44"/>
      <c r="S286" s="44"/>
      <c r="T286" s="44"/>
      <c r="U286" s="44"/>
      <c r="V286" s="44"/>
      <c r="W286" s="44"/>
      <c r="X286" s="45"/>
      <c r="Y286" s="45"/>
      <c r="Z286" s="45"/>
      <c r="AA286" s="45"/>
    </row>
    <row r="287" ht="33.75" customHeight="1">
      <c r="A287" s="46" t="s">
        <v>3299</v>
      </c>
      <c r="B287" s="47" t="s">
        <v>3300</v>
      </c>
      <c r="C287" s="47" t="s">
        <v>3301</v>
      </c>
      <c r="D287" s="29" t="s">
        <v>3302</v>
      </c>
      <c r="E287" s="48" t="str">
        <f>IFERROR(__xludf.DUMMYFUNCTION("GOOGLETRANSLATE(D287,""zh-CN"",""vi"")"),"Anh ta thậm chí còn không mang theo sách vở.")</f>
        <v>Anh ta thậm chí còn không mang theo sách vở.</v>
      </c>
      <c r="F287" s="49" t="s">
        <v>3299</v>
      </c>
      <c r="G287" s="50" t="b">
        <f t="shared" si="1"/>
        <v>1</v>
      </c>
      <c r="H287" s="52" t="b">
        <v>1</v>
      </c>
      <c r="I287" s="52" t="b">
        <v>0</v>
      </c>
      <c r="J287" s="52" t="b">
        <v>0</v>
      </c>
      <c r="K287" s="52" t="b">
        <v>0</v>
      </c>
      <c r="L287" s="52" t="b">
        <v>0</v>
      </c>
      <c r="M287" s="52" t="b">
        <v>0</v>
      </c>
      <c r="N287" s="52" t="b">
        <v>0</v>
      </c>
      <c r="O287" s="52" t="b">
        <v>0</v>
      </c>
      <c r="P287" s="52" t="b">
        <v>0</v>
      </c>
      <c r="Q287" s="52" t="b">
        <v>0</v>
      </c>
      <c r="R287" s="44"/>
      <c r="S287" s="44"/>
      <c r="T287" s="44"/>
      <c r="U287" s="44"/>
      <c r="V287" s="44"/>
      <c r="W287" s="44"/>
      <c r="X287" s="45"/>
      <c r="Y287" s="45"/>
      <c r="Z287" s="45"/>
      <c r="AA287" s="45"/>
    </row>
    <row r="288" ht="33.75" customHeight="1">
      <c r="A288" s="46" t="s">
        <v>3303</v>
      </c>
      <c r="B288" s="47" t="s">
        <v>3304</v>
      </c>
      <c r="C288" s="47" t="s">
        <v>3305</v>
      </c>
      <c r="D288" s="29" t="s">
        <v>3306</v>
      </c>
      <c r="E288" s="48" t="str">
        <f>IFERROR(__xludf.DUMMYFUNCTION("GOOGLETRANSLATE(D288,""zh-CN"",""vi"")"),"Tôi sẽ liên lạc lại với bạn.")</f>
        <v>Tôi sẽ liên lạc lại với bạn.</v>
      </c>
      <c r="F288" s="49" t="s">
        <v>3303</v>
      </c>
      <c r="G288" s="50" t="b">
        <f t="shared" si="1"/>
        <v>1</v>
      </c>
      <c r="H288" s="52" t="b">
        <v>1</v>
      </c>
      <c r="I288" s="52" t="b">
        <v>0</v>
      </c>
      <c r="J288" s="52" t="b">
        <v>0</v>
      </c>
      <c r="K288" s="52" t="b">
        <v>0</v>
      </c>
      <c r="L288" s="52" t="b">
        <v>0</v>
      </c>
      <c r="M288" s="52" t="b">
        <v>0</v>
      </c>
      <c r="N288" s="52" t="b">
        <v>0</v>
      </c>
      <c r="O288" s="52" t="b">
        <v>0</v>
      </c>
      <c r="P288" s="52" t="b">
        <v>0</v>
      </c>
      <c r="Q288" s="52" t="b">
        <v>0</v>
      </c>
      <c r="R288" s="44"/>
      <c r="S288" s="44"/>
      <c r="T288" s="44"/>
      <c r="U288" s="44"/>
      <c r="V288" s="44"/>
      <c r="W288" s="44"/>
      <c r="X288" s="45"/>
      <c r="Y288" s="45"/>
      <c r="Z288" s="45"/>
      <c r="AA288" s="45"/>
    </row>
    <row r="289" ht="33.75" customHeight="1">
      <c r="A289" s="46" t="s">
        <v>3307</v>
      </c>
      <c r="B289" s="47" t="s">
        <v>3308</v>
      </c>
      <c r="C289" s="47" t="s">
        <v>3309</v>
      </c>
      <c r="D289" s="29" t="s">
        <v>3310</v>
      </c>
      <c r="E289" s="48" t="str">
        <f>IFERROR(__xludf.DUMMYFUNCTION("GOOGLETRANSLATE(D289,""zh-CN"",""vi"")"),"Hôm nay trời mát mẻ.")</f>
        <v>Hôm nay trời mát mẻ.</v>
      </c>
      <c r="F289" s="49" t="s">
        <v>3307</v>
      </c>
      <c r="G289" s="50" t="b">
        <f t="shared" si="1"/>
        <v>1</v>
      </c>
      <c r="H289" s="52" t="b">
        <v>1</v>
      </c>
      <c r="I289" s="52" t="b">
        <v>0</v>
      </c>
      <c r="J289" s="52" t="b">
        <v>0</v>
      </c>
      <c r="K289" s="52" t="b">
        <v>0</v>
      </c>
      <c r="L289" s="52" t="b">
        <v>0</v>
      </c>
      <c r="M289" s="52" t="b">
        <v>0</v>
      </c>
      <c r="N289" s="52" t="b">
        <v>0</v>
      </c>
      <c r="O289" s="52" t="b">
        <v>0</v>
      </c>
      <c r="P289" s="52" t="b">
        <v>0</v>
      </c>
      <c r="Q289" s="52" t="b">
        <v>0</v>
      </c>
      <c r="R289" s="44"/>
      <c r="S289" s="44"/>
      <c r="T289" s="44"/>
      <c r="U289" s="44"/>
      <c r="V289" s="44"/>
      <c r="W289" s="44"/>
      <c r="X289" s="45"/>
      <c r="Y289" s="45"/>
      <c r="Z289" s="45"/>
      <c r="AA289" s="45"/>
    </row>
    <row r="290" ht="33.75" customHeight="1">
      <c r="A290" s="46" t="s">
        <v>3311</v>
      </c>
      <c r="B290" s="47" t="s">
        <v>3312</v>
      </c>
      <c r="C290" s="47" t="s">
        <v>3313</v>
      </c>
      <c r="D290" s="29" t="s">
        <v>3314</v>
      </c>
      <c r="E290" s="48" t="str">
        <f>IFERROR(__xludf.DUMMYFUNCTION("GOOGLETRANSLATE(D290,""zh-CN"",""vi"")"),"Tôi có một ít tiền lẻ.")</f>
        <v>Tôi có một ít tiền lẻ.</v>
      </c>
      <c r="F290" s="49" t="s">
        <v>3311</v>
      </c>
      <c r="G290" s="50" t="b">
        <f t="shared" si="1"/>
        <v>1</v>
      </c>
      <c r="H290" s="52" t="b">
        <v>1</v>
      </c>
      <c r="I290" s="52" t="b">
        <v>0</v>
      </c>
      <c r="J290" s="52" t="b">
        <v>0</v>
      </c>
      <c r="K290" s="52" t="b">
        <v>0</v>
      </c>
      <c r="L290" s="52" t="b">
        <v>0</v>
      </c>
      <c r="M290" s="52" t="b">
        <v>0</v>
      </c>
      <c r="N290" s="52" t="b">
        <v>0</v>
      </c>
      <c r="O290" s="52" t="b">
        <v>0</v>
      </c>
      <c r="P290" s="52" t="b">
        <v>0</v>
      </c>
      <c r="Q290" s="52" t="b">
        <v>0</v>
      </c>
      <c r="R290" s="44"/>
      <c r="S290" s="44"/>
      <c r="T290" s="44"/>
      <c r="U290" s="44"/>
      <c r="V290" s="44"/>
      <c r="W290" s="44"/>
      <c r="X290" s="45"/>
      <c r="Y290" s="45"/>
      <c r="Z290" s="45"/>
      <c r="AA290" s="45"/>
    </row>
    <row r="291" ht="33.75" customHeight="1">
      <c r="A291" s="46" t="s">
        <v>3315</v>
      </c>
      <c r="B291" s="47" t="s">
        <v>3316</v>
      </c>
      <c r="C291" s="47" t="s">
        <v>3317</v>
      </c>
      <c r="D291" s="29" t="s">
        <v>3318</v>
      </c>
      <c r="E291" s="48" t="str">
        <f>IFERROR(__xludf.DUMMYFUNCTION("GOOGLETRANSLATE(D291,""zh-CN"",""vi"")"),"Chúng ta còn một vấn đề khác cần giải quyết.")</f>
        <v>Chúng ta còn một vấn đề khác cần giải quyết.</v>
      </c>
      <c r="F291" s="49" t="s">
        <v>3315</v>
      </c>
      <c r="G291" s="50" t="b">
        <f t="shared" si="1"/>
        <v>1</v>
      </c>
      <c r="H291" s="52" t="b">
        <v>1</v>
      </c>
      <c r="I291" s="52" t="b">
        <v>0</v>
      </c>
      <c r="J291" s="52" t="b">
        <v>0</v>
      </c>
      <c r="K291" s="52" t="b">
        <v>0</v>
      </c>
      <c r="L291" s="52" t="b">
        <v>0</v>
      </c>
      <c r="M291" s="52" t="b">
        <v>0</v>
      </c>
      <c r="N291" s="52" t="b">
        <v>0</v>
      </c>
      <c r="O291" s="52" t="b">
        <v>0</v>
      </c>
      <c r="P291" s="52" t="b">
        <v>0</v>
      </c>
      <c r="Q291" s="52" t="b">
        <v>0</v>
      </c>
      <c r="R291" s="44"/>
      <c r="S291" s="44"/>
      <c r="T291" s="44"/>
      <c r="U291" s="44"/>
      <c r="V291" s="44"/>
      <c r="W291" s="44"/>
      <c r="X291" s="45"/>
      <c r="Y291" s="45"/>
      <c r="Z291" s="45"/>
      <c r="AA291" s="45"/>
    </row>
    <row r="292" ht="33.75" customHeight="1">
      <c r="A292" s="46" t="s">
        <v>3319</v>
      </c>
      <c r="B292" s="47" t="s">
        <v>3320</v>
      </c>
      <c r="C292" s="47" t="s">
        <v>3321</v>
      </c>
      <c r="D292" s="29" t="s">
        <v>3322</v>
      </c>
      <c r="E292" s="48" t="str">
        <f>IFERROR(__xludf.DUMMYFUNCTION("GOOGLETRANSLATE(D292,""zh-CN"",""vi"")"),"Vui lòng để tài liệu trên bàn.")</f>
        <v>Vui lòng để tài liệu trên bàn.</v>
      </c>
      <c r="F292" s="49" t="s">
        <v>3319</v>
      </c>
      <c r="G292" s="50" t="b">
        <f t="shared" si="1"/>
        <v>1</v>
      </c>
      <c r="H292" s="52" t="b">
        <v>1</v>
      </c>
      <c r="I292" s="52" t="b">
        <v>0</v>
      </c>
      <c r="J292" s="52" t="b">
        <v>0</v>
      </c>
      <c r="K292" s="52" t="b">
        <v>0</v>
      </c>
      <c r="L292" s="52" t="b">
        <v>0</v>
      </c>
      <c r="M292" s="52" t="b">
        <v>0</v>
      </c>
      <c r="N292" s="52" t="b">
        <v>0</v>
      </c>
      <c r="O292" s="52" t="b">
        <v>0</v>
      </c>
      <c r="P292" s="52" t="b">
        <v>0</v>
      </c>
      <c r="Q292" s="52" t="b">
        <v>0</v>
      </c>
      <c r="R292" s="44"/>
      <c r="S292" s="44"/>
      <c r="T292" s="44"/>
      <c r="U292" s="44"/>
      <c r="V292" s="44"/>
      <c r="W292" s="44"/>
      <c r="X292" s="45"/>
      <c r="Y292" s="45"/>
      <c r="Z292" s="45"/>
      <c r="AA292" s="45"/>
    </row>
    <row r="293" ht="33.75" customHeight="1">
      <c r="A293" s="46" t="s">
        <v>3323</v>
      </c>
      <c r="B293" s="47" t="s">
        <v>3324</v>
      </c>
      <c r="C293" s="47" t="s">
        <v>3325</v>
      </c>
      <c r="D293" s="29" t="s">
        <v>3326</v>
      </c>
      <c r="E293" s="48" t="str">
        <f>IFERROR(__xludf.DUMMYFUNCTION("GOOGLETRANSLATE(D293,""zh-CN"",""vi"")"),"Anh ấy nói tiếng Trung Quốc rất trôi chảy.")</f>
        <v>Anh ấy nói tiếng Trung Quốc rất trôi chảy.</v>
      </c>
      <c r="F293" s="49" t="s">
        <v>3323</v>
      </c>
      <c r="G293" s="50" t="b">
        <f t="shared" si="1"/>
        <v>1</v>
      </c>
      <c r="H293" s="52" t="b">
        <v>1</v>
      </c>
      <c r="I293" s="52" t="b">
        <v>0</v>
      </c>
      <c r="J293" s="52" t="b">
        <v>0</v>
      </c>
      <c r="K293" s="52" t="b">
        <v>0</v>
      </c>
      <c r="L293" s="52" t="b">
        <v>0</v>
      </c>
      <c r="M293" s="52" t="b">
        <v>0</v>
      </c>
      <c r="N293" s="52" t="b">
        <v>0</v>
      </c>
      <c r="O293" s="52" t="b">
        <v>0</v>
      </c>
      <c r="P293" s="52" t="b">
        <v>0</v>
      </c>
      <c r="Q293" s="52" t="b">
        <v>0</v>
      </c>
      <c r="R293" s="44"/>
      <c r="S293" s="44"/>
      <c r="T293" s="44"/>
      <c r="U293" s="44"/>
      <c r="V293" s="44"/>
      <c r="W293" s="44"/>
      <c r="X293" s="45"/>
      <c r="Y293" s="45"/>
      <c r="Z293" s="45"/>
      <c r="AA293" s="45"/>
    </row>
    <row r="294" ht="33.75" customHeight="1">
      <c r="A294" s="46" t="s">
        <v>3330</v>
      </c>
      <c r="B294" s="47" t="s">
        <v>3331</v>
      </c>
      <c r="C294" s="47" t="s">
        <v>3332</v>
      </c>
      <c r="D294" s="29" t="s">
        <v>3333</v>
      </c>
      <c r="E294" s="48" t="str">
        <f>IFERROR(__xludf.DUMMYFUNCTION("GOOGLETRANSLATE(D294,""zh-CN"",""vi"")"),"Bài hát này rất nổi tiếng.")</f>
        <v>Bài hát này rất nổi tiếng.</v>
      </c>
      <c r="F294" s="49" t="s">
        <v>3330</v>
      </c>
      <c r="G294" s="50" t="b">
        <f t="shared" si="1"/>
        <v>1</v>
      </c>
      <c r="H294" s="52" t="b">
        <v>1</v>
      </c>
      <c r="I294" s="52" t="b">
        <v>0</v>
      </c>
      <c r="J294" s="52" t="b">
        <v>0</v>
      </c>
      <c r="K294" s="52" t="b">
        <v>0</v>
      </c>
      <c r="L294" s="52" t="b">
        <v>0</v>
      </c>
      <c r="M294" s="52" t="b">
        <v>0</v>
      </c>
      <c r="N294" s="52" t="b">
        <v>0</v>
      </c>
      <c r="O294" s="52" t="b">
        <v>0</v>
      </c>
      <c r="P294" s="52" t="b">
        <v>0</v>
      </c>
      <c r="Q294" s="52" t="b">
        <v>0</v>
      </c>
      <c r="R294" s="44"/>
      <c r="S294" s="44"/>
      <c r="T294" s="44"/>
      <c r="U294" s="44"/>
      <c r="V294" s="44"/>
      <c r="W294" s="44"/>
      <c r="X294" s="45"/>
      <c r="Y294" s="45"/>
      <c r="Z294" s="45"/>
      <c r="AA294" s="45"/>
    </row>
    <row r="295" ht="33.75" customHeight="1">
      <c r="A295" s="46" t="s">
        <v>3338</v>
      </c>
      <c r="B295" s="47" t="s">
        <v>3339</v>
      </c>
      <c r="C295" s="47" t="s">
        <v>1464</v>
      </c>
      <c r="D295" s="29" t="s">
        <v>3340</v>
      </c>
      <c r="E295" s="48" t="str">
        <f>IFERROR(__xludf.DUMMYFUNCTION("GOOGLETRANSLATE(D295,""zh-CN"",""vi"")"),"Chúng tôi đang lên kế hoạch cho một chuyến đi.")</f>
        <v>Chúng tôi đang lên kế hoạch cho một chuyến đi.</v>
      </c>
      <c r="F295" s="49" t="s">
        <v>3338</v>
      </c>
      <c r="G295" s="50" t="b">
        <f t="shared" si="1"/>
        <v>1</v>
      </c>
      <c r="H295" s="52" t="b">
        <v>1</v>
      </c>
      <c r="I295" s="52" t="b">
        <v>0</v>
      </c>
      <c r="J295" s="52" t="b">
        <v>0</v>
      </c>
      <c r="K295" s="52" t="b">
        <v>0</v>
      </c>
      <c r="L295" s="52" t="b">
        <v>0</v>
      </c>
      <c r="M295" s="52" t="b">
        <v>0</v>
      </c>
      <c r="N295" s="52" t="b">
        <v>0</v>
      </c>
      <c r="O295" s="52" t="b">
        <v>0</v>
      </c>
      <c r="P295" s="52" t="b">
        <v>0</v>
      </c>
      <c r="Q295" s="52" t="b">
        <v>0</v>
      </c>
      <c r="R295" s="44"/>
      <c r="S295" s="44"/>
      <c r="T295" s="44"/>
      <c r="U295" s="44"/>
      <c r="V295" s="44"/>
      <c r="W295" s="44"/>
      <c r="X295" s="45"/>
      <c r="Y295" s="45"/>
      <c r="Z295" s="45"/>
      <c r="AA295" s="45"/>
    </row>
    <row r="296" ht="33.75" customHeight="1">
      <c r="A296" s="46" t="s">
        <v>3345</v>
      </c>
      <c r="B296" s="47" t="s">
        <v>3346</v>
      </c>
      <c r="C296" s="47" t="s">
        <v>3347</v>
      </c>
      <c r="D296" s="29" t="s">
        <v>3348</v>
      </c>
      <c r="E296" s="48" t="str">
        <f>IFERROR(__xludf.DUMMYFUNCTION("GOOGLETRANSLATE(D296,""zh-CN"",""vi"")"),"Anh ấy là luật sư.")</f>
        <v>Anh ấy là luật sư.</v>
      </c>
      <c r="F296" s="49" t="s">
        <v>3345</v>
      </c>
      <c r="G296" s="50" t="b">
        <f t="shared" si="1"/>
        <v>1</v>
      </c>
      <c r="H296" s="52" t="b">
        <v>1</v>
      </c>
      <c r="I296" s="52" t="b">
        <v>0</v>
      </c>
      <c r="J296" s="52" t="b">
        <v>0</v>
      </c>
      <c r="K296" s="52" t="b">
        <v>0</v>
      </c>
      <c r="L296" s="52" t="b">
        <v>0</v>
      </c>
      <c r="M296" s="52" t="b">
        <v>0</v>
      </c>
      <c r="N296" s="52" t="b">
        <v>0</v>
      </c>
      <c r="O296" s="52" t="b">
        <v>0</v>
      </c>
      <c r="P296" s="52" t="b">
        <v>0</v>
      </c>
      <c r="Q296" s="52" t="b">
        <v>0</v>
      </c>
      <c r="R296" s="44"/>
      <c r="S296" s="44"/>
      <c r="T296" s="44"/>
      <c r="U296" s="44"/>
      <c r="V296" s="44"/>
      <c r="W296" s="44"/>
      <c r="X296" s="45"/>
      <c r="Y296" s="45"/>
      <c r="Z296" s="45"/>
      <c r="AA296" s="45"/>
    </row>
    <row r="297" ht="33.75" customHeight="1">
      <c r="A297" s="46" t="s">
        <v>3350</v>
      </c>
      <c r="B297" s="47" t="s">
        <v>3352</v>
      </c>
      <c r="C297" s="47" t="s">
        <v>3354</v>
      </c>
      <c r="D297" s="29" t="s">
        <v>3356</v>
      </c>
      <c r="E297" s="48" t="str">
        <f>IFERROR(__xludf.DUMMYFUNCTION("GOOGLETRANSLATE(D297,""zh-CN"",""vi"")"),"Căn phòng bừa bộn.")</f>
        <v>Căn phòng bừa bộn.</v>
      </c>
      <c r="F297" s="49" t="s">
        <v>3350</v>
      </c>
      <c r="G297" s="50" t="b">
        <f t="shared" si="1"/>
        <v>1</v>
      </c>
      <c r="H297" s="52" t="b">
        <v>1</v>
      </c>
      <c r="I297" s="52" t="b">
        <v>0</v>
      </c>
      <c r="J297" s="52" t="b">
        <v>0</v>
      </c>
      <c r="K297" s="52" t="b">
        <v>0</v>
      </c>
      <c r="L297" s="52" t="b">
        <v>0</v>
      </c>
      <c r="M297" s="52" t="b">
        <v>0</v>
      </c>
      <c r="N297" s="52" t="b">
        <v>0</v>
      </c>
      <c r="O297" s="52" t="b">
        <v>0</v>
      </c>
      <c r="P297" s="52" t="b">
        <v>0</v>
      </c>
      <c r="Q297" s="52" t="b">
        <v>0</v>
      </c>
      <c r="R297" s="44"/>
      <c r="S297" s="44"/>
      <c r="T297" s="44"/>
      <c r="U297" s="44"/>
      <c r="V297" s="44"/>
      <c r="W297" s="44"/>
      <c r="X297" s="45"/>
      <c r="Y297" s="45"/>
      <c r="Z297" s="45"/>
      <c r="AA297" s="45"/>
    </row>
    <row r="298" ht="33.75" customHeight="1">
      <c r="A298" s="46" t="s">
        <v>3359</v>
      </c>
      <c r="B298" s="47" t="s">
        <v>3361</v>
      </c>
      <c r="C298" s="47" t="s">
        <v>3362</v>
      </c>
      <c r="D298" s="29" t="s">
        <v>3363</v>
      </c>
      <c r="E298" s="48" t="str">
        <f>IFERROR(__xludf.DUMMYFUNCTION("GOOGLETRANSLATE(D298,""zh-CN"",""vi"")"),"Bạn có thể lấy giúp tôi cái này được không?")</f>
        <v>Bạn có thể lấy giúp tôi cái này được không?</v>
      </c>
      <c r="F298" s="49" t="s">
        <v>3359</v>
      </c>
      <c r="G298" s="50" t="b">
        <f t="shared" si="1"/>
        <v>1</v>
      </c>
      <c r="H298" s="52" t="b">
        <v>1</v>
      </c>
      <c r="I298" s="52" t="b">
        <v>0</v>
      </c>
      <c r="J298" s="52" t="b">
        <v>0</v>
      </c>
      <c r="K298" s="52" t="b">
        <v>0</v>
      </c>
      <c r="L298" s="52" t="b">
        <v>0</v>
      </c>
      <c r="M298" s="52" t="b">
        <v>0</v>
      </c>
      <c r="N298" s="52" t="b">
        <v>0</v>
      </c>
      <c r="O298" s="52" t="b">
        <v>0</v>
      </c>
      <c r="P298" s="52" t="b">
        <v>0</v>
      </c>
      <c r="Q298" s="52" t="b">
        <v>0</v>
      </c>
      <c r="R298" s="44"/>
      <c r="S298" s="44"/>
      <c r="T298" s="44"/>
      <c r="U298" s="44"/>
      <c r="V298" s="44"/>
      <c r="W298" s="44"/>
      <c r="X298" s="45"/>
      <c r="Y298" s="45"/>
      <c r="Z298" s="45"/>
      <c r="AA298" s="45"/>
    </row>
    <row r="299" ht="33.75" customHeight="1">
      <c r="A299" s="46" t="s">
        <v>3368</v>
      </c>
      <c r="B299" s="47" t="s">
        <v>3369</v>
      </c>
      <c r="C299" s="47" t="s">
        <v>3370</v>
      </c>
      <c r="D299" s="29" t="s">
        <v>3371</v>
      </c>
      <c r="E299" s="48" t="str">
        <f>IFERROR(__xludf.DUMMYFUNCTION("GOOGLETRANSLATE(D299,""zh-CN"",""vi"")"),"Anh ta rất cẩu thả trong công việc.")</f>
        <v>Anh ta rất cẩu thả trong công việc.</v>
      </c>
      <c r="F299" s="49" t="s">
        <v>3368</v>
      </c>
      <c r="G299" s="50" t="b">
        <f t="shared" si="1"/>
        <v>1</v>
      </c>
      <c r="H299" s="52" t="b">
        <v>1</v>
      </c>
      <c r="I299" s="52" t="b">
        <v>0</v>
      </c>
      <c r="J299" s="52" t="b">
        <v>0</v>
      </c>
      <c r="K299" s="52" t="b">
        <v>0</v>
      </c>
      <c r="L299" s="52" t="b">
        <v>0</v>
      </c>
      <c r="M299" s="52" t="b">
        <v>0</v>
      </c>
      <c r="N299" s="52" t="b">
        <v>0</v>
      </c>
      <c r="O299" s="52" t="b">
        <v>0</v>
      </c>
      <c r="P299" s="52" t="b">
        <v>0</v>
      </c>
      <c r="Q299" s="52" t="b">
        <v>0</v>
      </c>
      <c r="R299" s="44"/>
      <c r="S299" s="44"/>
      <c r="T299" s="44"/>
      <c r="U299" s="44"/>
      <c r="V299" s="44"/>
      <c r="W299" s="44"/>
      <c r="X299" s="45"/>
      <c r="Y299" s="45"/>
      <c r="Z299" s="45"/>
      <c r="AA299" s="45"/>
    </row>
    <row r="300" ht="33.75" customHeight="1">
      <c r="A300" s="46" t="s">
        <v>3376</v>
      </c>
      <c r="B300" s="47" t="s">
        <v>3377</v>
      </c>
      <c r="C300" s="47" t="s">
        <v>3378</v>
      </c>
      <c r="D300" s="29" t="s">
        <v>3379</v>
      </c>
      <c r="E300" s="48" t="str">
        <f>IFERROR(__xludf.DUMMYFUNCTION("GOOGLETRANSLATE(D300,""zh-CN"",""vi"")"),"Vali của tôi đã đầy rồi.")</f>
        <v>Vali của tôi đã đầy rồi.</v>
      </c>
      <c r="F300" s="49" t="s">
        <v>3376</v>
      </c>
      <c r="G300" s="50" t="b">
        <f t="shared" si="1"/>
        <v>1</v>
      </c>
      <c r="H300" s="52" t="b">
        <v>1</v>
      </c>
      <c r="I300" s="52" t="b">
        <v>0</v>
      </c>
      <c r="J300" s="52" t="b">
        <v>0</v>
      </c>
      <c r="K300" s="52" t="b">
        <v>0</v>
      </c>
      <c r="L300" s="52" t="b">
        <v>0</v>
      </c>
      <c r="M300" s="52" t="b">
        <v>0</v>
      </c>
      <c r="N300" s="52" t="b">
        <v>0</v>
      </c>
      <c r="O300" s="52" t="b">
        <v>0</v>
      </c>
      <c r="P300" s="52" t="b">
        <v>0</v>
      </c>
      <c r="Q300" s="52" t="b">
        <v>0</v>
      </c>
      <c r="R300" s="44"/>
      <c r="S300" s="44"/>
      <c r="T300" s="44"/>
      <c r="U300" s="44"/>
      <c r="V300" s="44"/>
      <c r="W300" s="44"/>
      <c r="X300" s="45"/>
      <c r="Y300" s="45"/>
      <c r="Z300" s="45"/>
      <c r="AA300" s="45"/>
    </row>
    <row r="301" ht="33.75" customHeight="1">
      <c r="A301" s="46" t="s">
        <v>3384</v>
      </c>
      <c r="B301" s="47" t="s">
        <v>3385</v>
      </c>
      <c r="C301" s="47" t="s">
        <v>3386</v>
      </c>
      <c r="D301" s="29" t="s">
        <v>3387</v>
      </c>
      <c r="E301" s="48" t="str">
        <f>IFERROR(__xludf.DUMMYFUNCTION("GOOGLETRANSLATE(D301,""zh-CN"",""vi"")"),"Tôi không thích mặc áo len.")</f>
        <v>Tôi không thích mặc áo len.</v>
      </c>
      <c r="F301" s="49" t="s">
        <v>3384</v>
      </c>
      <c r="G301" s="50" t="b">
        <f t="shared" si="1"/>
        <v>1</v>
      </c>
      <c r="H301" s="52" t="b">
        <v>0</v>
      </c>
      <c r="I301" s="52" t="b">
        <v>0</v>
      </c>
      <c r="J301" s="52" t="b">
        <v>0</v>
      </c>
      <c r="K301" s="52" t="b">
        <v>0</v>
      </c>
      <c r="L301" s="52" t="b">
        <v>0</v>
      </c>
      <c r="M301" s="52" t="b">
        <v>0</v>
      </c>
      <c r="N301" s="52" t="b">
        <v>0</v>
      </c>
      <c r="O301" s="52" t="b">
        <v>0</v>
      </c>
      <c r="P301" s="52" t="b">
        <v>0</v>
      </c>
      <c r="Q301" s="52" t="b">
        <v>0</v>
      </c>
      <c r="R301" s="44"/>
      <c r="S301" s="44"/>
      <c r="T301" s="44"/>
      <c r="U301" s="44"/>
      <c r="V301" s="44"/>
      <c r="W301" s="44"/>
      <c r="X301" s="45"/>
      <c r="Y301" s="45"/>
      <c r="Z301" s="45"/>
      <c r="AA301" s="45"/>
    </row>
    <row r="302" ht="33.75" customHeight="1">
      <c r="A302" s="46" t="s">
        <v>3392</v>
      </c>
      <c r="B302" s="47" t="s">
        <v>3393</v>
      </c>
      <c r="C302" s="47" t="s">
        <v>3394</v>
      </c>
      <c r="D302" s="29" t="s">
        <v>3395</v>
      </c>
      <c r="E302" s="48" t="str">
        <f>IFERROR(__xludf.DUMMYFUNCTION("GOOGLETRANSLATE(D302,""zh-CN"",""vi"")"),"Làm ơn cho tôi một cái khăn.")</f>
        <v>Làm ơn cho tôi một cái khăn.</v>
      </c>
      <c r="F302" s="49" t="s">
        <v>3392</v>
      </c>
      <c r="G302" s="50" t="b">
        <f t="shared" si="1"/>
        <v>1</v>
      </c>
      <c r="H302" s="52" t="b">
        <v>0</v>
      </c>
      <c r="I302" s="52" t="b">
        <v>0</v>
      </c>
      <c r="J302" s="52" t="b">
        <v>0</v>
      </c>
      <c r="K302" s="52" t="b">
        <v>0</v>
      </c>
      <c r="L302" s="52" t="b">
        <v>0</v>
      </c>
      <c r="M302" s="52" t="b">
        <v>0</v>
      </c>
      <c r="N302" s="52" t="b">
        <v>0</v>
      </c>
      <c r="O302" s="52" t="b">
        <v>0</v>
      </c>
      <c r="P302" s="52" t="b">
        <v>0</v>
      </c>
      <c r="Q302" s="52" t="b">
        <v>0</v>
      </c>
      <c r="R302" s="44"/>
      <c r="S302" s="44"/>
      <c r="T302" s="44"/>
      <c r="U302" s="44"/>
      <c r="V302" s="44"/>
      <c r="W302" s="44"/>
      <c r="X302" s="45"/>
      <c r="Y302" s="45"/>
      <c r="Z302" s="45"/>
      <c r="AA302" s="45"/>
    </row>
    <row r="303" ht="33.75" customHeight="1">
      <c r="A303" s="46" t="s">
        <v>3400</v>
      </c>
      <c r="B303" s="47" t="s">
        <v>3401</v>
      </c>
      <c r="C303" s="47" t="s">
        <v>1098</v>
      </c>
      <c r="D303" s="29" t="s">
        <v>3402</v>
      </c>
      <c r="E303" s="48" t="str">
        <f>IFERROR(__xludf.DUMMYFUNCTION("GOOGLETRANSLATE(D303,""zh-CN"",""vi"")"),"Nơi này thật đẹp.")</f>
        <v>Nơi này thật đẹp.</v>
      </c>
      <c r="F303" s="49" t="s">
        <v>3400</v>
      </c>
      <c r="G303" s="50" t="b">
        <f t="shared" si="1"/>
        <v>1</v>
      </c>
      <c r="H303" s="52" t="b">
        <v>0</v>
      </c>
      <c r="I303" s="52" t="b">
        <v>0</v>
      </c>
      <c r="J303" s="52" t="b">
        <v>0</v>
      </c>
      <c r="K303" s="52" t="b">
        <v>0</v>
      </c>
      <c r="L303" s="52" t="b">
        <v>0</v>
      </c>
      <c r="M303" s="52" t="b">
        <v>0</v>
      </c>
      <c r="N303" s="52" t="b">
        <v>0</v>
      </c>
      <c r="O303" s="52" t="b">
        <v>0</v>
      </c>
      <c r="P303" s="52" t="b">
        <v>0</v>
      </c>
      <c r="Q303" s="52" t="b">
        <v>0</v>
      </c>
      <c r="R303" s="44"/>
      <c r="S303" s="44"/>
      <c r="T303" s="44"/>
      <c r="U303" s="44"/>
      <c r="V303" s="44"/>
      <c r="W303" s="44"/>
      <c r="X303" s="45"/>
      <c r="Y303" s="45"/>
      <c r="Z303" s="45"/>
      <c r="AA303" s="45"/>
    </row>
    <row r="304" ht="33.75" customHeight="1">
      <c r="A304" s="46" t="s">
        <v>3404</v>
      </c>
      <c r="B304" s="47" t="s">
        <v>3405</v>
      </c>
      <c r="C304" s="47" t="s">
        <v>3407</v>
      </c>
      <c r="D304" s="29" t="s">
        <v>3409</v>
      </c>
      <c r="E304" s="48" t="str">
        <f>IFERROR(__xludf.DUMMYFUNCTION("GOOGLETRANSLATE(D304,""zh-CN"",""vi"")"),"Đêm qua tôi có một giấc mơ đẹp.")</f>
        <v>Đêm qua tôi có một giấc mơ đẹp.</v>
      </c>
      <c r="F304" s="49" t="s">
        <v>3404</v>
      </c>
      <c r="G304" s="50" t="b">
        <f t="shared" si="1"/>
        <v>1</v>
      </c>
      <c r="H304" s="52" t="b">
        <v>0</v>
      </c>
      <c r="I304" s="52" t="b">
        <v>0</v>
      </c>
      <c r="J304" s="52" t="b">
        <v>0</v>
      </c>
      <c r="K304" s="52" t="b">
        <v>0</v>
      </c>
      <c r="L304" s="52" t="b">
        <v>0</v>
      </c>
      <c r="M304" s="52" t="b">
        <v>0</v>
      </c>
      <c r="N304" s="52" t="b">
        <v>0</v>
      </c>
      <c r="O304" s="52" t="b">
        <v>0</v>
      </c>
      <c r="P304" s="52" t="b">
        <v>0</v>
      </c>
      <c r="Q304" s="52" t="b">
        <v>0</v>
      </c>
      <c r="R304" s="44"/>
      <c r="S304" s="44"/>
      <c r="T304" s="44"/>
      <c r="U304" s="44"/>
      <c r="V304" s="44"/>
      <c r="W304" s="44"/>
      <c r="X304" s="45"/>
      <c r="Y304" s="45"/>
      <c r="Z304" s="45"/>
      <c r="AA304" s="45"/>
    </row>
    <row r="305" ht="33.75" customHeight="1">
      <c r="A305" s="46" t="s">
        <v>3411</v>
      </c>
      <c r="B305" s="47" t="s">
        <v>3412</v>
      </c>
      <c r="C305" s="47" t="s">
        <v>3413</v>
      </c>
      <c r="D305" s="29" t="s">
        <v>3414</v>
      </c>
      <c r="E305" s="48" t="str">
        <f>IFERROR(__xludf.DUMMYFUNCTION("GOOGLETRANSLATE(D305,""zh-CN"",""vi"")"),"Tôi bị lạc và không tìm được đường về nhà.")</f>
        <v>Tôi bị lạc và không tìm được đường về nhà.</v>
      </c>
      <c r="F305" s="49" t="s">
        <v>3411</v>
      </c>
      <c r="G305" s="50" t="b">
        <f t="shared" si="1"/>
        <v>1</v>
      </c>
      <c r="H305" s="52" t="b">
        <v>0</v>
      </c>
      <c r="I305" s="52" t="b">
        <v>0</v>
      </c>
      <c r="J305" s="52" t="b">
        <v>0</v>
      </c>
      <c r="K305" s="52" t="b">
        <v>0</v>
      </c>
      <c r="L305" s="52" t="b">
        <v>0</v>
      </c>
      <c r="M305" s="52" t="b">
        <v>0</v>
      </c>
      <c r="N305" s="52" t="b">
        <v>0</v>
      </c>
      <c r="O305" s="52" t="b">
        <v>0</v>
      </c>
      <c r="P305" s="52" t="b">
        <v>0</v>
      </c>
      <c r="Q305" s="52" t="b">
        <v>0</v>
      </c>
      <c r="R305" s="44"/>
      <c r="S305" s="44"/>
      <c r="T305" s="44"/>
      <c r="U305" s="44"/>
      <c r="V305" s="44"/>
      <c r="W305" s="44"/>
      <c r="X305" s="45"/>
      <c r="Y305" s="45"/>
      <c r="Z305" s="45"/>
      <c r="AA305" s="45"/>
    </row>
    <row r="306" ht="33.75" customHeight="1">
      <c r="A306" s="46" t="s">
        <v>3419</v>
      </c>
      <c r="B306" s="47" t="s">
        <v>3420</v>
      </c>
      <c r="C306" s="47" t="s">
        <v>3421</v>
      </c>
      <c r="D306" s="29" t="s">
        <v>3422</v>
      </c>
      <c r="E306" s="48" t="str">
        <f>IFERROR(__xludf.DUMMYFUNCTION("GOOGLETRANSLATE(D306,""zh-CN"",""vi"")"),"Vui lòng không tiết lộ mật khẩu của tôi cho bất kỳ ai.")</f>
        <v>Vui lòng không tiết lộ mật khẩu của tôi cho bất kỳ ai.</v>
      </c>
      <c r="F306" s="49" t="s">
        <v>3419</v>
      </c>
      <c r="G306" s="50" t="b">
        <f t="shared" si="1"/>
        <v>1</v>
      </c>
      <c r="H306" s="52" t="b">
        <v>0</v>
      </c>
      <c r="I306" s="52" t="b">
        <v>0</v>
      </c>
      <c r="J306" s="52" t="b">
        <v>0</v>
      </c>
      <c r="K306" s="52" t="b">
        <v>0</v>
      </c>
      <c r="L306" s="52" t="b">
        <v>0</v>
      </c>
      <c r="M306" s="52" t="b">
        <v>0</v>
      </c>
      <c r="N306" s="52" t="b">
        <v>0</v>
      </c>
      <c r="O306" s="52" t="b">
        <v>0</v>
      </c>
      <c r="P306" s="52" t="b">
        <v>0</v>
      </c>
      <c r="Q306" s="52" t="b">
        <v>0</v>
      </c>
      <c r="R306" s="44"/>
      <c r="S306" s="44"/>
      <c r="T306" s="44"/>
      <c r="U306" s="44"/>
      <c r="V306" s="44"/>
      <c r="W306" s="44"/>
      <c r="X306" s="45"/>
      <c r="Y306" s="45"/>
      <c r="Z306" s="45"/>
      <c r="AA306" s="45"/>
    </row>
    <row r="307" ht="33.75" customHeight="1">
      <c r="A307" s="46" t="s">
        <v>3424</v>
      </c>
      <c r="B307" s="47" t="s">
        <v>3426</v>
      </c>
      <c r="C307" s="47" t="s">
        <v>3428</v>
      </c>
      <c r="D307" s="29" t="s">
        <v>3430</v>
      </c>
      <c r="E307" s="48" t="str">
        <f>IFERROR(__xludf.DUMMYFUNCTION("GOOGLETRANSLATE(D307,""zh-CN"",""vi"")"),"Bảo tàng này mở cửa miễn phí.")</f>
        <v>Bảo tàng này mở cửa miễn phí.</v>
      </c>
      <c r="F307" s="49" t="s">
        <v>3424</v>
      </c>
      <c r="G307" s="50" t="b">
        <f t="shared" si="1"/>
        <v>1</v>
      </c>
      <c r="H307" s="52" t="b">
        <v>0</v>
      </c>
      <c r="I307" s="52" t="b">
        <v>0</v>
      </c>
      <c r="J307" s="52" t="b">
        <v>0</v>
      </c>
      <c r="K307" s="52" t="b">
        <v>0</v>
      </c>
      <c r="L307" s="52" t="b">
        <v>0</v>
      </c>
      <c r="M307" s="52" t="b">
        <v>0</v>
      </c>
      <c r="N307" s="52" t="b">
        <v>0</v>
      </c>
      <c r="O307" s="52" t="b">
        <v>0</v>
      </c>
      <c r="P307" s="52" t="b">
        <v>0</v>
      </c>
      <c r="Q307" s="52" t="b">
        <v>0</v>
      </c>
      <c r="R307" s="44"/>
      <c r="S307" s="44"/>
      <c r="T307" s="44"/>
      <c r="U307" s="44"/>
      <c r="V307" s="44"/>
      <c r="W307" s="44"/>
      <c r="X307" s="45"/>
      <c r="Y307" s="45"/>
      <c r="Z307" s="45"/>
      <c r="AA307" s="45"/>
    </row>
    <row r="308" ht="33.75" customHeight="1">
      <c r="A308" s="46" t="s">
        <v>3431</v>
      </c>
      <c r="B308" s="47" t="s">
        <v>3432</v>
      </c>
      <c r="C308" s="47" t="s">
        <v>3433</v>
      </c>
      <c r="D308" s="29" t="s">
        <v>3434</v>
      </c>
      <c r="E308" s="48" t="str">
        <f>IFERROR(__xludf.DUMMYFUNCTION("GOOGLETRANSLATE(D308,""zh-CN"",""vi"")"),"Chúng ta cần đợi vài giây.")</f>
        <v>Chúng ta cần đợi vài giây.</v>
      </c>
      <c r="F308" s="49" t="s">
        <v>3431</v>
      </c>
      <c r="G308" s="50" t="b">
        <f t="shared" si="1"/>
        <v>1</v>
      </c>
      <c r="H308" s="52" t="b">
        <v>0</v>
      </c>
      <c r="I308" s="52" t="b">
        <v>0</v>
      </c>
      <c r="J308" s="52" t="b">
        <v>0</v>
      </c>
      <c r="K308" s="52" t="b">
        <v>0</v>
      </c>
      <c r="L308" s="52" t="b">
        <v>0</v>
      </c>
      <c r="M308" s="52" t="b">
        <v>0</v>
      </c>
      <c r="N308" s="52" t="b">
        <v>0</v>
      </c>
      <c r="O308" s="52" t="b">
        <v>0</v>
      </c>
      <c r="P308" s="52" t="b">
        <v>0</v>
      </c>
      <c r="Q308" s="52" t="b">
        <v>0</v>
      </c>
      <c r="R308" s="44"/>
      <c r="S308" s="44"/>
      <c r="T308" s="44"/>
      <c r="U308" s="44"/>
      <c r="V308" s="44"/>
      <c r="W308" s="44"/>
      <c r="X308" s="45"/>
      <c r="Y308" s="45"/>
      <c r="Z308" s="45"/>
      <c r="AA308" s="45"/>
    </row>
    <row r="309" ht="33.75" customHeight="1">
      <c r="A309" s="46" t="s">
        <v>3435</v>
      </c>
      <c r="B309" s="47" t="s">
        <v>3436</v>
      </c>
      <c r="C309" s="47" t="s">
        <v>3437</v>
      </c>
      <c r="D309" s="29" t="s">
        <v>3438</v>
      </c>
      <c r="E309" s="48" t="str">
        <f>IFERROR(__xludf.DUMMYFUNCTION("GOOGLETRANSLATE(D309,""zh-CN"",""vi"")"),"Trung Quốc là một quốc gia đa sắc tộc.")</f>
        <v>Trung Quốc là một quốc gia đa sắc tộc.</v>
      </c>
      <c r="F309" s="49" t="s">
        <v>3435</v>
      </c>
      <c r="G309" s="50" t="b">
        <f t="shared" si="1"/>
        <v>1</v>
      </c>
      <c r="H309" s="52" t="b">
        <v>0</v>
      </c>
      <c r="I309" s="52" t="b">
        <v>0</v>
      </c>
      <c r="J309" s="52" t="b">
        <v>0</v>
      </c>
      <c r="K309" s="52" t="b">
        <v>0</v>
      </c>
      <c r="L309" s="52" t="b">
        <v>0</v>
      </c>
      <c r="M309" s="52" t="b">
        <v>0</v>
      </c>
      <c r="N309" s="52" t="b">
        <v>0</v>
      </c>
      <c r="O309" s="52" t="b">
        <v>0</v>
      </c>
      <c r="P309" s="52" t="b">
        <v>0</v>
      </c>
      <c r="Q309" s="52" t="b">
        <v>0</v>
      </c>
      <c r="R309" s="44"/>
      <c r="S309" s="44"/>
      <c r="T309" s="44"/>
      <c r="U309" s="44"/>
      <c r="V309" s="44"/>
      <c r="W309" s="44"/>
      <c r="X309" s="45"/>
      <c r="Y309" s="45"/>
      <c r="Z309" s="45"/>
      <c r="AA309" s="45"/>
    </row>
    <row r="310" ht="33.75" customHeight="1">
      <c r="A310" s="46" t="s">
        <v>3439</v>
      </c>
      <c r="B310" s="47" t="s">
        <v>3440</v>
      </c>
      <c r="C310" s="47" t="s">
        <v>784</v>
      </c>
      <c r="D310" s="29" t="s">
        <v>3441</v>
      </c>
      <c r="E310" s="48" t="str">
        <f>IFERROR(__xludf.DUMMYFUNCTION("GOOGLETRANSLATE(D310,""zh-CN"",""vi"")"),"Mẹ tôi rất tốt bụng.")</f>
        <v>Mẹ tôi rất tốt bụng.</v>
      </c>
      <c r="F310" s="49" t="s">
        <v>3439</v>
      </c>
      <c r="G310" s="50" t="b">
        <f t="shared" si="1"/>
        <v>1</v>
      </c>
      <c r="H310" s="52" t="b">
        <v>0</v>
      </c>
      <c r="I310" s="52" t="b">
        <v>0</v>
      </c>
      <c r="J310" s="52" t="b">
        <v>0</v>
      </c>
      <c r="K310" s="52" t="b">
        <v>0</v>
      </c>
      <c r="L310" s="52" t="b">
        <v>0</v>
      </c>
      <c r="M310" s="52" t="b">
        <v>0</v>
      </c>
      <c r="N310" s="52" t="b">
        <v>0</v>
      </c>
      <c r="O310" s="52" t="b">
        <v>0</v>
      </c>
      <c r="P310" s="52" t="b">
        <v>0</v>
      </c>
      <c r="Q310" s="52" t="b">
        <v>0</v>
      </c>
      <c r="R310" s="44"/>
      <c r="S310" s="44"/>
      <c r="T310" s="44"/>
      <c r="U310" s="44"/>
      <c r="V310" s="44"/>
      <c r="W310" s="44"/>
      <c r="X310" s="45"/>
      <c r="Y310" s="45"/>
      <c r="Z310" s="45"/>
      <c r="AA310" s="45"/>
    </row>
    <row r="311" ht="33.75" customHeight="1">
      <c r="A311" s="46" t="s">
        <v>3442</v>
      </c>
      <c r="B311" s="47" t="s">
        <v>3443</v>
      </c>
      <c r="C311" s="47" t="s">
        <v>3444</v>
      </c>
      <c r="D311" s="29" t="s">
        <v>3445</v>
      </c>
      <c r="E311" s="48" t="str">
        <f>IFERROR(__xludf.DUMMYFUNCTION("GOOGLETRANSLATE(D311,""zh-CN"",""vi"")"),"Mục tiêu của tôi là học tiếng Trung thật tốt.")</f>
        <v>Mục tiêu của tôi là học tiếng Trung thật tốt.</v>
      </c>
      <c r="F311" s="49" t="s">
        <v>3442</v>
      </c>
      <c r="G311" s="50" t="b">
        <f t="shared" si="1"/>
        <v>1</v>
      </c>
      <c r="H311" s="52" t="b">
        <v>0</v>
      </c>
      <c r="I311" s="52" t="b">
        <v>0</v>
      </c>
      <c r="J311" s="52" t="b">
        <v>0</v>
      </c>
      <c r="K311" s="52" t="b">
        <v>0</v>
      </c>
      <c r="L311" s="52" t="b">
        <v>0</v>
      </c>
      <c r="M311" s="52" t="b">
        <v>0</v>
      </c>
      <c r="N311" s="52" t="b">
        <v>0</v>
      </c>
      <c r="O311" s="52" t="b">
        <v>0</v>
      </c>
      <c r="P311" s="52" t="b">
        <v>0</v>
      </c>
      <c r="Q311" s="52" t="b">
        <v>0</v>
      </c>
      <c r="R311" s="44"/>
      <c r="S311" s="44"/>
      <c r="T311" s="44"/>
      <c r="U311" s="44"/>
      <c r="V311" s="44"/>
      <c r="W311" s="44"/>
      <c r="X311" s="45"/>
      <c r="Y311" s="45"/>
      <c r="Z311" s="45"/>
      <c r="AA311" s="45"/>
    </row>
    <row r="312" ht="33.75" customHeight="1">
      <c r="A312" s="46" t="s">
        <v>3450</v>
      </c>
      <c r="B312" s="47" t="s">
        <v>3451</v>
      </c>
      <c r="C312" s="47" t="s">
        <v>3452</v>
      </c>
      <c r="D312" s="29" t="s">
        <v>3453</v>
      </c>
      <c r="E312" s="48" t="str">
        <f>IFERROR(__xludf.DUMMYFUNCTION("GOOGLETRANSLATE(D312,""zh-CN"",""vi"")"),"Hãy kiên nhẫn.")</f>
        <v>Hãy kiên nhẫn.</v>
      </c>
      <c r="F312" s="49" t="s">
        <v>3450</v>
      </c>
      <c r="G312" s="50" t="b">
        <f t="shared" si="1"/>
        <v>1</v>
      </c>
      <c r="H312" s="52" t="b">
        <v>0</v>
      </c>
      <c r="I312" s="52" t="b">
        <v>0</v>
      </c>
      <c r="J312" s="52" t="b">
        <v>0</v>
      </c>
      <c r="K312" s="52" t="b">
        <v>0</v>
      </c>
      <c r="L312" s="52" t="b">
        <v>0</v>
      </c>
      <c r="M312" s="52" t="b">
        <v>0</v>
      </c>
      <c r="N312" s="52" t="b">
        <v>0</v>
      </c>
      <c r="O312" s="52" t="b">
        <v>0</v>
      </c>
      <c r="P312" s="52" t="b">
        <v>0</v>
      </c>
      <c r="Q312" s="52" t="b">
        <v>0</v>
      </c>
      <c r="R312" s="44"/>
      <c r="S312" s="44"/>
      <c r="T312" s="44"/>
      <c r="U312" s="44"/>
      <c r="V312" s="44"/>
      <c r="W312" s="44"/>
      <c r="X312" s="45"/>
      <c r="Y312" s="45"/>
      <c r="Z312" s="45"/>
      <c r="AA312" s="45"/>
    </row>
    <row r="313" ht="33.75" customHeight="1">
      <c r="A313" s="46" t="s">
        <v>3458</v>
      </c>
      <c r="B313" s="47" t="s">
        <v>3459</v>
      </c>
      <c r="C313" s="47" t="s">
        <v>3460</v>
      </c>
      <c r="D313" s="29" t="s">
        <v>3461</v>
      </c>
      <c r="E313" s="48" t="str">
        <f>IFERROR(__xludf.DUMMYFUNCTION("GOOGLETRANSLATE(D313,""zh-CN"",""vi"")"),"Bạn không muốn đi sao?")</f>
        <v>Bạn không muốn đi sao?</v>
      </c>
      <c r="F313" s="49" t="s">
        <v>3458</v>
      </c>
      <c r="G313" s="50" t="b">
        <f t="shared" si="1"/>
        <v>1</v>
      </c>
      <c r="H313" s="52" t="b">
        <v>0</v>
      </c>
      <c r="I313" s="52" t="b">
        <v>0</v>
      </c>
      <c r="J313" s="52" t="b">
        <v>0</v>
      </c>
      <c r="K313" s="52" t="b">
        <v>0</v>
      </c>
      <c r="L313" s="52" t="b">
        <v>0</v>
      </c>
      <c r="M313" s="52" t="b">
        <v>0</v>
      </c>
      <c r="N313" s="52" t="b">
        <v>0</v>
      </c>
      <c r="O313" s="52" t="b">
        <v>0</v>
      </c>
      <c r="P313" s="52" t="b">
        <v>0</v>
      </c>
      <c r="Q313" s="52" t="b">
        <v>0</v>
      </c>
      <c r="R313" s="44"/>
      <c r="S313" s="44"/>
      <c r="T313" s="44"/>
      <c r="U313" s="44"/>
      <c r="V313" s="44"/>
      <c r="W313" s="44"/>
      <c r="X313" s="45"/>
      <c r="Y313" s="45"/>
      <c r="Z313" s="45"/>
      <c r="AA313" s="45"/>
    </row>
    <row r="314" ht="33.75" customHeight="1">
      <c r="A314" s="46" t="s">
        <v>3462</v>
      </c>
      <c r="B314" s="47" t="s">
        <v>3464</v>
      </c>
      <c r="C314" s="47" t="s">
        <v>2525</v>
      </c>
      <c r="D314" s="29" t="s">
        <v>3467</v>
      </c>
      <c r="E314" s="48" t="str">
        <f>IFERROR(__xludf.DUMMYFUNCTION("GOOGLETRANSLATE(D314,""zh-CN"",""vi"")"),"Anh ấy cảm thấy rất khó chịu.")</f>
        <v>Anh ấy cảm thấy rất khó chịu.</v>
      </c>
      <c r="F314" s="49" t="s">
        <v>3462</v>
      </c>
      <c r="G314" s="50" t="b">
        <f t="shared" si="1"/>
        <v>1</v>
      </c>
      <c r="H314" s="52" t="b">
        <v>0</v>
      </c>
      <c r="I314" s="52" t="b">
        <v>0</v>
      </c>
      <c r="J314" s="52" t="b">
        <v>0</v>
      </c>
      <c r="K314" s="52" t="b">
        <v>0</v>
      </c>
      <c r="L314" s="52" t="b">
        <v>0</v>
      </c>
      <c r="M314" s="52" t="b">
        <v>0</v>
      </c>
      <c r="N314" s="52" t="b">
        <v>0</v>
      </c>
      <c r="O314" s="52" t="b">
        <v>0</v>
      </c>
      <c r="P314" s="52" t="b">
        <v>0</v>
      </c>
      <c r="Q314" s="52" t="b">
        <v>0</v>
      </c>
      <c r="R314" s="44"/>
      <c r="S314" s="44"/>
      <c r="T314" s="44"/>
      <c r="U314" s="44"/>
      <c r="V314" s="44"/>
      <c r="W314" s="44"/>
      <c r="X314" s="45"/>
      <c r="Y314" s="45"/>
      <c r="Z314" s="45"/>
      <c r="AA314" s="45"/>
    </row>
    <row r="315" ht="33.75" customHeight="1">
      <c r="A315" s="46" t="s">
        <v>3469</v>
      </c>
      <c r="B315" s="47" t="s">
        <v>3470</v>
      </c>
      <c r="C315" s="47" t="s">
        <v>3471</v>
      </c>
      <c r="D315" s="29" t="s">
        <v>3472</v>
      </c>
      <c r="E315" s="48" t="str">
        <f>IFERROR(__xludf.DUMMYFUNCTION("GOOGLETRANSLATE(D315,""zh-CN"",""vi"")"),"Anh ấy sống ở thành phố.")</f>
        <v>Anh ấy sống ở thành phố.</v>
      </c>
      <c r="F315" s="49" t="s">
        <v>3469</v>
      </c>
      <c r="G315" s="50" t="b">
        <f t="shared" si="1"/>
        <v>1</v>
      </c>
      <c r="H315" s="52" t="b">
        <v>0</v>
      </c>
      <c r="I315" s="52" t="b">
        <v>0</v>
      </c>
      <c r="J315" s="52" t="b">
        <v>0</v>
      </c>
      <c r="K315" s="52" t="b">
        <v>0</v>
      </c>
      <c r="L315" s="52" t="b">
        <v>0</v>
      </c>
      <c r="M315" s="52" t="b">
        <v>0</v>
      </c>
      <c r="N315" s="52" t="b">
        <v>0</v>
      </c>
      <c r="O315" s="52" t="b">
        <v>0</v>
      </c>
      <c r="P315" s="52" t="b">
        <v>0</v>
      </c>
      <c r="Q315" s="52" t="b">
        <v>0</v>
      </c>
      <c r="R315" s="44"/>
      <c r="S315" s="44"/>
      <c r="T315" s="44"/>
      <c r="U315" s="44"/>
      <c r="V315" s="44"/>
      <c r="W315" s="44"/>
      <c r="X315" s="45"/>
      <c r="Y315" s="45"/>
      <c r="Z315" s="45"/>
      <c r="AA315" s="45"/>
    </row>
    <row r="316" ht="33.75" customHeight="1">
      <c r="A316" s="46" t="s">
        <v>3474</v>
      </c>
      <c r="B316" s="47" t="s">
        <v>3475</v>
      </c>
      <c r="C316" s="47" t="s">
        <v>3477</v>
      </c>
      <c r="D316" s="29" t="s">
        <v>3478</v>
      </c>
      <c r="E316" s="48" t="str">
        <f>IFERROR(__xludf.DUMMYFUNCTION("GOOGLETRANSLATE(D316,""zh-CN"",""vi"")"),"Cuốn sách này rất thú vị.")</f>
        <v>Cuốn sách này rất thú vị.</v>
      </c>
      <c r="F316" s="49" t="s">
        <v>3474</v>
      </c>
      <c r="G316" s="50" t="b">
        <f t="shared" si="1"/>
        <v>1</v>
      </c>
      <c r="H316" s="52" t="b">
        <v>0</v>
      </c>
      <c r="I316" s="52" t="b">
        <v>0</v>
      </c>
      <c r="J316" s="52" t="b">
        <v>0</v>
      </c>
      <c r="K316" s="52" t="b">
        <v>0</v>
      </c>
      <c r="L316" s="52" t="b">
        <v>0</v>
      </c>
      <c r="M316" s="52" t="b">
        <v>0</v>
      </c>
      <c r="N316" s="52" t="b">
        <v>0</v>
      </c>
      <c r="O316" s="52" t="b">
        <v>0</v>
      </c>
      <c r="P316" s="52" t="b">
        <v>0</v>
      </c>
      <c r="Q316" s="52" t="b">
        <v>0</v>
      </c>
      <c r="R316" s="44"/>
      <c r="S316" s="44"/>
      <c r="T316" s="44"/>
      <c r="U316" s="44"/>
      <c r="V316" s="44"/>
      <c r="W316" s="44"/>
      <c r="X316" s="45"/>
      <c r="Y316" s="45"/>
      <c r="Z316" s="45"/>
      <c r="AA316" s="45"/>
    </row>
    <row r="317" ht="33.75" customHeight="1">
      <c r="A317" s="46" t="s">
        <v>3479</v>
      </c>
      <c r="B317" s="47" t="s">
        <v>3480</v>
      </c>
      <c r="C317" s="47" t="s">
        <v>3481</v>
      </c>
      <c r="D317" s="29" t="s">
        <v>3482</v>
      </c>
      <c r="E317" s="48" t="str">
        <f>IFERROR(__xludf.DUMMYFUNCTION("GOOGLETRANSLATE(D317,""zh-CN"",""vi"")"),"Anh ấy có khả năng làm việc rất tốt.")</f>
        <v>Anh ấy có khả năng làm việc rất tốt.</v>
      </c>
      <c r="F317" s="49" t="s">
        <v>3479</v>
      </c>
      <c r="G317" s="50" t="b">
        <f t="shared" si="1"/>
        <v>1</v>
      </c>
      <c r="H317" s="52" t="b">
        <v>0</v>
      </c>
      <c r="I317" s="52" t="b">
        <v>0</v>
      </c>
      <c r="J317" s="52" t="b">
        <v>0</v>
      </c>
      <c r="K317" s="52" t="b">
        <v>0</v>
      </c>
      <c r="L317" s="52" t="b">
        <v>0</v>
      </c>
      <c r="M317" s="52" t="b">
        <v>0</v>
      </c>
      <c r="N317" s="52" t="b">
        <v>0</v>
      </c>
      <c r="O317" s="52" t="b">
        <v>0</v>
      </c>
      <c r="P317" s="52" t="b">
        <v>0</v>
      </c>
      <c r="Q317" s="52" t="b">
        <v>0</v>
      </c>
      <c r="R317" s="44"/>
      <c r="S317" s="44"/>
      <c r="T317" s="44"/>
      <c r="U317" s="44"/>
      <c r="V317" s="44"/>
      <c r="W317" s="44"/>
      <c r="X317" s="45"/>
      <c r="Y317" s="45"/>
      <c r="Z317" s="45"/>
      <c r="AA317" s="45"/>
    </row>
    <row r="318" ht="33.75" customHeight="1">
      <c r="A318" s="46" t="s">
        <v>3483</v>
      </c>
      <c r="B318" s="47" t="s">
        <v>3484</v>
      </c>
      <c r="C318" s="47" t="s">
        <v>3485</v>
      </c>
      <c r="D318" s="29" t="s">
        <v>3486</v>
      </c>
      <c r="E318" s="48" t="str">
        <f>IFERROR(__xludf.DUMMYFUNCTION("GOOGLETRANSLATE(D318,""zh-CN"",""vi"")"),"Cô ấy 25 tuổi.")</f>
        <v>Cô ấy 25 tuổi.</v>
      </c>
      <c r="F318" s="49" t="s">
        <v>3483</v>
      </c>
      <c r="G318" s="50" t="b">
        <f t="shared" si="1"/>
        <v>1</v>
      </c>
      <c r="H318" s="52" t="b">
        <v>0</v>
      </c>
      <c r="I318" s="52" t="b">
        <v>0</v>
      </c>
      <c r="J318" s="52" t="b">
        <v>0</v>
      </c>
      <c r="K318" s="52" t="b">
        <v>0</v>
      </c>
      <c r="L318" s="52" t="b">
        <v>0</v>
      </c>
      <c r="M318" s="52" t="b">
        <v>0</v>
      </c>
      <c r="N318" s="52" t="b">
        <v>0</v>
      </c>
      <c r="O318" s="52" t="b">
        <v>0</v>
      </c>
      <c r="P318" s="52" t="b">
        <v>0</v>
      </c>
      <c r="Q318" s="52" t="b">
        <v>0</v>
      </c>
      <c r="R318" s="44"/>
      <c r="S318" s="44"/>
      <c r="T318" s="44"/>
      <c r="U318" s="44"/>
      <c r="V318" s="44"/>
      <c r="W318" s="44"/>
      <c r="X318" s="45"/>
      <c r="Y318" s="45"/>
      <c r="Z318" s="45"/>
      <c r="AA318" s="45"/>
    </row>
    <row r="319" ht="33.75" customHeight="1">
      <c r="A319" s="46" t="s">
        <v>3487</v>
      </c>
      <c r="B319" s="47" t="s">
        <v>3488</v>
      </c>
      <c r="C319" s="47" t="s">
        <v>1035</v>
      </c>
      <c r="D319" s="29" t="s">
        <v>3489</v>
      </c>
      <c r="E319" s="48" t="str">
        <f>IFERROR(__xludf.DUMMYFUNCTION("GOOGLETRANSLATE(D319,""zh-CN"",""vi"")"),"Đừng làm hỏng điện thoại của tôi.")</f>
        <v>Đừng làm hỏng điện thoại của tôi.</v>
      </c>
      <c r="F319" s="49" t="s">
        <v>3487</v>
      </c>
      <c r="G319" s="50" t="b">
        <f t="shared" si="1"/>
        <v>1</v>
      </c>
      <c r="H319" s="52" t="b">
        <v>0</v>
      </c>
      <c r="I319" s="52" t="b">
        <v>0</v>
      </c>
      <c r="J319" s="52" t="b">
        <v>0</v>
      </c>
      <c r="K319" s="52" t="b">
        <v>0</v>
      </c>
      <c r="L319" s="52" t="b">
        <v>0</v>
      </c>
      <c r="M319" s="52" t="b">
        <v>0</v>
      </c>
      <c r="N319" s="52" t="b">
        <v>0</v>
      </c>
      <c r="O319" s="52" t="b">
        <v>0</v>
      </c>
      <c r="P319" s="52" t="b">
        <v>0</v>
      </c>
      <c r="Q319" s="52" t="b">
        <v>0</v>
      </c>
      <c r="R319" s="44"/>
      <c r="S319" s="44"/>
      <c r="T319" s="44"/>
      <c r="U319" s="44"/>
      <c r="V319" s="44"/>
      <c r="W319" s="44"/>
      <c r="X319" s="45"/>
      <c r="Y319" s="45"/>
      <c r="Z319" s="45"/>
      <c r="AA319" s="45"/>
    </row>
    <row r="320" ht="33.75" customHeight="1">
      <c r="A320" s="46" t="s">
        <v>3490</v>
      </c>
      <c r="B320" s="47" t="s">
        <v>3491</v>
      </c>
      <c r="C320" s="47" t="s">
        <v>3492</v>
      </c>
      <c r="D320" s="29" t="s">
        <v>3493</v>
      </c>
      <c r="E320" s="48" t="str">
        <f>IFERROR(__xludf.DUMMYFUNCTION("GOOGLETRANSLATE(D320,""zh-CN"",""vi"")"),"Hôm nay thời tiết rất ấm áp.")</f>
        <v>Hôm nay thời tiết rất ấm áp.</v>
      </c>
      <c r="F320" s="49" t="s">
        <v>3490</v>
      </c>
      <c r="G320" s="50" t="b">
        <f t="shared" si="1"/>
        <v>1</v>
      </c>
      <c r="H320" s="52" t="b">
        <v>0</v>
      </c>
      <c r="I320" s="52" t="b">
        <v>0</v>
      </c>
      <c r="J320" s="52" t="b">
        <v>0</v>
      </c>
      <c r="K320" s="52" t="b">
        <v>0</v>
      </c>
      <c r="L320" s="52" t="b">
        <v>0</v>
      </c>
      <c r="M320" s="52" t="b">
        <v>0</v>
      </c>
      <c r="N320" s="52" t="b">
        <v>0</v>
      </c>
      <c r="O320" s="52" t="b">
        <v>0</v>
      </c>
      <c r="P320" s="52" t="b">
        <v>0</v>
      </c>
      <c r="Q320" s="52" t="b">
        <v>0</v>
      </c>
      <c r="R320" s="44"/>
      <c r="S320" s="44"/>
      <c r="T320" s="44"/>
      <c r="U320" s="44"/>
      <c r="V320" s="44"/>
      <c r="W320" s="44"/>
      <c r="X320" s="45"/>
      <c r="Y320" s="45"/>
      <c r="Z320" s="45"/>
      <c r="AA320" s="45"/>
    </row>
    <row r="321" ht="33.75" customHeight="1">
      <c r="A321" s="46" t="s">
        <v>3494</v>
      </c>
      <c r="B321" s="47" t="s">
        <v>3495</v>
      </c>
      <c r="C321" s="47" t="s">
        <v>3496</v>
      </c>
      <c r="D321" s="29" t="s">
        <v>3497</v>
      </c>
      <c r="E321" s="48" t="str">
        <f>IFERROR(__xludf.DUMMYFUNCTION("GOOGLETRANSLATE(D321,""zh-CN"",""vi"")"),"Tôi thỉnh thoảng đến thư viện.")</f>
        <v>Tôi thỉnh thoảng đến thư viện.</v>
      </c>
      <c r="F321" s="49" t="s">
        <v>3494</v>
      </c>
      <c r="G321" s="50" t="b">
        <f t="shared" si="1"/>
        <v>1</v>
      </c>
      <c r="H321" s="52" t="b">
        <v>0</v>
      </c>
      <c r="I321" s="52" t="b">
        <v>0</v>
      </c>
      <c r="J321" s="52" t="b">
        <v>0</v>
      </c>
      <c r="K321" s="52" t="b">
        <v>0</v>
      </c>
      <c r="L321" s="52" t="b">
        <v>0</v>
      </c>
      <c r="M321" s="52" t="b">
        <v>0</v>
      </c>
      <c r="N321" s="52" t="b">
        <v>0</v>
      </c>
      <c r="O321" s="52" t="b">
        <v>0</v>
      </c>
      <c r="P321" s="52" t="b">
        <v>0</v>
      </c>
      <c r="Q321" s="52" t="b">
        <v>0</v>
      </c>
      <c r="R321" s="44"/>
      <c r="S321" s="44"/>
      <c r="T321" s="44"/>
      <c r="U321" s="44"/>
      <c r="V321" s="44"/>
      <c r="W321" s="44"/>
      <c r="X321" s="45"/>
      <c r="Y321" s="45"/>
      <c r="Z321" s="45"/>
      <c r="AA321" s="45"/>
    </row>
    <row r="322" ht="33.75" customHeight="1">
      <c r="A322" s="46" t="s">
        <v>3498</v>
      </c>
      <c r="B322" s="47" t="s">
        <v>3499</v>
      </c>
      <c r="C322" s="47" t="s">
        <v>3500</v>
      </c>
      <c r="D322" s="29" t="s">
        <v>3501</v>
      </c>
      <c r="E322" s="48" t="str">
        <f>IFERROR(__xludf.DUMMYFUNCTION("GOOGLETRANSLATE(D322,""zh-CN"",""vi"")"),"Vui lòng xếp hàng chờ.")</f>
        <v>Vui lòng xếp hàng chờ.</v>
      </c>
      <c r="F322" s="49" t="s">
        <v>3498</v>
      </c>
      <c r="G322" s="50" t="b">
        <f t="shared" si="1"/>
        <v>1</v>
      </c>
      <c r="H322" s="52" t="b">
        <v>0</v>
      </c>
      <c r="I322" s="52" t="b">
        <v>0</v>
      </c>
      <c r="J322" s="52" t="b">
        <v>0</v>
      </c>
      <c r="K322" s="52" t="b">
        <v>0</v>
      </c>
      <c r="L322" s="52" t="b">
        <v>0</v>
      </c>
      <c r="M322" s="52" t="b">
        <v>0</v>
      </c>
      <c r="N322" s="52" t="b">
        <v>0</v>
      </c>
      <c r="O322" s="52" t="b">
        <v>0</v>
      </c>
      <c r="P322" s="52" t="b">
        <v>0</v>
      </c>
      <c r="Q322" s="52" t="b">
        <v>0</v>
      </c>
      <c r="R322" s="44"/>
      <c r="S322" s="44"/>
      <c r="T322" s="44"/>
      <c r="U322" s="44"/>
      <c r="V322" s="44"/>
      <c r="W322" s="44"/>
      <c r="X322" s="45"/>
      <c r="Y322" s="45"/>
      <c r="Z322" s="45"/>
      <c r="AA322" s="45"/>
    </row>
    <row r="323" ht="33.75" customHeight="1">
      <c r="A323" s="70" t="s">
        <v>3505</v>
      </c>
      <c r="B323" s="71" t="s">
        <v>3506</v>
      </c>
      <c r="C323" s="71" t="s">
        <v>3507</v>
      </c>
      <c r="D323" s="72" t="s">
        <v>3508</v>
      </c>
      <c r="E323" s="48" t="str">
        <f>IFERROR(__xludf.DUMMYFUNCTION("GOOGLETRANSLATE(D323,""zh-CN"",""vi"")"),"Những cuốn sách trên giá sách được sắp xếp rất gọn gàng.")</f>
        <v>Những cuốn sách trên giá sách được sắp xếp rất gọn gàng.</v>
      </c>
      <c r="F323" s="49" t="s">
        <v>3505</v>
      </c>
      <c r="G323" s="50" t="b">
        <f t="shared" si="1"/>
        <v>1</v>
      </c>
      <c r="H323" s="52" t="b">
        <v>0</v>
      </c>
      <c r="I323" s="52" t="b">
        <v>0</v>
      </c>
      <c r="J323" s="52" t="b">
        <v>0</v>
      </c>
      <c r="K323" s="52" t="b">
        <v>0</v>
      </c>
      <c r="L323" s="52" t="b">
        <v>0</v>
      </c>
      <c r="M323" s="52" t="b">
        <v>0</v>
      </c>
      <c r="N323" s="52" t="b">
        <v>0</v>
      </c>
      <c r="O323" s="52" t="b">
        <v>0</v>
      </c>
      <c r="P323" s="52" t="b">
        <v>0</v>
      </c>
      <c r="Q323" s="52" t="b">
        <v>0</v>
      </c>
      <c r="R323" s="44"/>
      <c r="S323" s="44"/>
      <c r="T323" s="44"/>
      <c r="U323" s="44"/>
      <c r="V323" s="44"/>
      <c r="W323" s="44"/>
      <c r="X323" s="45"/>
      <c r="Y323" s="45"/>
      <c r="Z323" s="45"/>
      <c r="AA323" s="45"/>
    </row>
    <row r="324" ht="33.75" customHeight="1">
      <c r="A324" s="46" t="s">
        <v>3510</v>
      </c>
      <c r="B324" s="47" t="s">
        <v>3511</v>
      </c>
      <c r="C324" s="47" t="s">
        <v>3512</v>
      </c>
      <c r="D324" s="29" t="s">
        <v>3513</v>
      </c>
      <c r="E324" s="48" t="str">
        <f>IFERROR(__xludf.DUMMYFUNCTION("GOOGLETRANSLATE(D324,""zh-CN"",""vi"")"),"Tôi không biết liệu anh ta có đang nói thật hay không.")</f>
        <v>Tôi không biết liệu anh ta có đang nói thật hay không.</v>
      </c>
      <c r="F324" s="49" t="s">
        <v>3510</v>
      </c>
      <c r="G324" s="50" t="b">
        <f t="shared" si="1"/>
        <v>1</v>
      </c>
      <c r="H324" s="52" t="b">
        <v>0</v>
      </c>
      <c r="I324" s="52" t="b">
        <v>0</v>
      </c>
      <c r="J324" s="52" t="b">
        <v>0</v>
      </c>
      <c r="K324" s="52" t="b">
        <v>0</v>
      </c>
      <c r="L324" s="52" t="b">
        <v>0</v>
      </c>
      <c r="M324" s="52" t="b">
        <v>0</v>
      </c>
      <c r="N324" s="52" t="b">
        <v>0</v>
      </c>
      <c r="O324" s="52" t="b">
        <v>0</v>
      </c>
      <c r="P324" s="52" t="b">
        <v>0</v>
      </c>
      <c r="Q324" s="52" t="b">
        <v>0</v>
      </c>
      <c r="R324" s="44"/>
      <c r="S324" s="44"/>
      <c r="T324" s="44"/>
      <c r="U324" s="44"/>
      <c r="V324" s="44"/>
      <c r="W324" s="44"/>
      <c r="X324" s="45"/>
      <c r="Y324" s="45"/>
      <c r="Z324" s="45"/>
      <c r="AA324" s="45"/>
    </row>
    <row r="325" ht="33.75" customHeight="1">
      <c r="A325" s="46" t="s">
        <v>3517</v>
      </c>
      <c r="B325" s="47" t="s">
        <v>3518</v>
      </c>
      <c r="C325" s="47" t="s">
        <v>3519</v>
      </c>
      <c r="D325" s="29" t="s">
        <v>3520</v>
      </c>
      <c r="E325" s="48" t="str">
        <f>IFERROR(__xludf.DUMMYFUNCTION("GOOGLETRANSLATE(D325,""zh-CN"",""vi"")"),"Cô ấy đã đi cùng tôi đến gặp bác sĩ.")</f>
        <v>Cô ấy đã đi cùng tôi đến gặp bác sĩ.</v>
      </c>
      <c r="F325" s="49" t="s">
        <v>3517</v>
      </c>
      <c r="G325" s="50" t="b">
        <f t="shared" si="1"/>
        <v>1</v>
      </c>
      <c r="H325" s="52" t="b">
        <v>0</v>
      </c>
      <c r="I325" s="52" t="b">
        <v>0</v>
      </c>
      <c r="J325" s="52" t="b">
        <v>0</v>
      </c>
      <c r="K325" s="52" t="b">
        <v>0</v>
      </c>
      <c r="L325" s="52" t="b">
        <v>0</v>
      </c>
      <c r="M325" s="52" t="b">
        <v>0</v>
      </c>
      <c r="N325" s="52" t="b">
        <v>0</v>
      </c>
      <c r="O325" s="52" t="b">
        <v>0</v>
      </c>
      <c r="P325" s="52" t="b">
        <v>0</v>
      </c>
      <c r="Q325" s="52" t="b">
        <v>0</v>
      </c>
      <c r="R325" s="44"/>
      <c r="S325" s="44"/>
      <c r="T325" s="44"/>
      <c r="U325" s="44"/>
      <c r="V325" s="44"/>
      <c r="W325" s="44"/>
      <c r="X325" s="45"/>
      <c r="Y325" s="45"/>
      <c r="Z325" s="45"/>
      <c r="AA325" s="45"/>
    </row>
    <row r="326" ht="33.75" customHeight="1">
      <c r="A326" s="46" t="s">
        <v>3525</v>
      </c>
      <c r="B326" s="47" t="s">
        <v>3526</v>
      </c>
      <c r="C326" s="47" t="s">
        <v>3527</v>
      </c>
      <c r="D326" s="29" t="s">
        <v>3528</v>
      </c>
      <c r="E326" s="48" t="str">
        <f>IFERROR(__xludf.DUMMYFUNCTION("GOOGLETRANSLATE(D326,""zh-CN"",""vi"")"),"Anh ấy luôn chỉ trích công việc của tôi.")</f>
        <v>Anh ấy luôn chỉ trích công việc của tôi.</v>
      </c>
      <c r="F326" s="49" t="s">
        <v>3525</v>
      </c>
      <c r="G326" s="50" t="b">
        <f t="shared" si="1"/>
        <v>1</v>
      </c>
      <c r="H326" s="52" t="b">
        <v>0</v>
      </c>
      <c r="I326" s="52" t="b">
        <v>0</v>
      </c>
      <c r="J326" s="52" t="b">
        <v>0</v>
      </c>
      <c r="K326" s="52" t="b">
        <v>0</v>
      </c>
      <c r="L326" s="52" t="b">
        <v>0</v>
      </c>
      <c r="M326" s="52" t="b">
        <v>0</v>
      </c>
      <c r="N326" s="52" t="b">
        <v>0</v>
      </c>
      <c r="O326" s="52" t="b">
        <v>0</v>
      </c>
      <c r="P326" s="52" t="b">
        <v>0</v>
      </c>
      <c r="Q326" s="52" t="b">
        <v>0</v>
      </c>
      <c r="R326" s="44"/>
      <c r="S326" s="44"/>
      <c r="T326" s="44"/>
      <c r="U326" s="44"/>
      <c r="V326" s="44"/>
      <c r="W326" s="44"/>
      <c r="X326" s="45"/>
      <c r="Y326" s="45"/>
      <c r="Z326" s="45"/>
      <c r="AA326" s="45"/>
    </row>
    <row r="327" ht="33.75" customHeight="1">
      <c r="A327" s="46" t="s">
        <v>3529</v>
      </c>
      <c r="B327" s="47" t="s">
        <v>3530</v>
      </c>
      <c r="C327" s="47" t="s">
        <v>3532</v>
      </c>
      <c r="D327" s="29" t="s">
        <v>3533</v>
      </c>
      <c r="E327" s="48" t="str">
        <f>IFERROR(__xludf.DUMMYFUNCTION("GOOGLETRANSLATE(D327,""zh-CN"",""vi"")"),"Làn da của cô ấy rất trắng.")</f>
        <v>Làn da của cô ấy rất trắng.</v>
      </c>
      <c r="F327" s="49" t="s">
        <v>3529</v>
      </c>
      <c r="G327" s="50" t="b">
        <f t="shared" si="1"/>
        <v>1</v>
      </c>
      <c r="H327" s="52" t="b">
        <v>0</v>
      </c>
      <c r="I327" s="52" t="b">
        <v>0</v>
      </c>
      <c r="J327" s="52" t="b">
        <v>0</v>
      </c>
      <c r="K327" s="52" t="b">
        <v>0</v>
      </c>
      <c r="L327" s="52" t="b">
        <v>0</v>
      </c>
      <c r="M327" s="52" t="b">
        <v>0</v>
      </c>
      <c r="N327" s="52" t="b">
        <v>0</v>
      </c>
      <c r="O327" s="52" t="b">
        <v>0</v>
      </c>
      <c r="P327" s="52" t="b">
        <v>0</v>
      </c>
      <c r="Q327" s="52" t="b">
        <v>0</v>
      </c>
      <c r="R327" s="44"/>
      <c r="S327" s="44"/>
      <c r="T327" s="44"/>
      <c r="U327" s="44"/>
      <c r="V327" s="44"/>
      <c r="W327" s="44"/>
      <c r="X327" s="45"/>
      <c r="Y327" s="45"/>
      <c r="Z327" s="45"/>
      <c r="AA327" s="45"/>
    </row>
    <row r="328" ht="33.75" customHeight="1">
      <c r="A328" s="46" t="s">
        <v>3537</v>
      </c>
      <c r="B328" s="47" t="s">
        <v>3538</v>
      </c>
      <c r="C328" s="47" t="s">
        <v>3539</v>
      </c>
      <c r="D328" s="29" t="s">
        <v>3540</v>
      </c>
      <c r="E328" s="48" t="str">
        <f>IFERROR(__xludf.DUMMYFUNCTION("GOOGLETRANSLATE(D328,""zh-CN"",""vi"")"),"Anh ta có tính khí nóng nảy.")</f>
        <v>Anh ta có tính khí nóng nảy.</v>
      </c>
      <c r="F328" s="49" t="s">
        <v>3537</v>
      </c>
      <c r="G328" s="50" t="b">
        <f t="shared" si="1"/>
        <v>1</v>
      </c>
      <c r="H328" s="52" t="b">
        <v>0</v>
      </c>
      <c r="I328" s="52" t="b">
        <v>0</v>
      </c>
      <c r="J328" s="52" t="b">
        <v>0</v>
      </c>
      <c r="K328" s="52" t="b">
        <v>0</v>
      </c>
      <c r="L328" s="52" t="b">
        <v>0</v>
      </c>
      <c r="M328" s="52" t="b">
        <v>0</v>
      </c>
      <c r="N328" s="52" t="b">
        <v>0</v>
      </c>
      <c r="O328" s="52" t="b">
        <v>0</v>
      </c>
      <c r="P328" s="52" t="b">
        <v>0</v>
      </c>
      <c r="Q328" s="52" t="b">
        <v>0</v>
      </c>
      <c r="R328" s="44"/>
      <c r="S328" s="44"/>
      <c r="T328" s="44"/>
      <c r="U328" s="44"/>
      <c r="V328" s="44"/>
      <c r="W328" s="44"/>
      <c r="X328" s="45"/>
      <c r="Y328" s="45"/>
      <c r="Z328" s="45"/>
      <c r="AA328" s="45"/>
    </row>
    <row r="329" ht="33.75" customHeight="1">
      <c r="A329" s="46" t="s">
        <v>3545</v>
      </c>
      <c r="B329" s="47" t="s">
        <v>3546</v>
      </c>
      <c r="C329" s="47" t="s">
        <v>3547</v>
      </c>
      <c r="D329" s="29" t="s">
        <v>3548</v>
      </c>
      <c r="E329" s="48" t="str">
        <f>IFERROR(__xludf.DUMMYFUNCTION("GOOGLETRANSLATE(D329,""zh-CN"",""vi"")"),"Tôi vừa đọc một bài báo thú vị.")</f>
        <v>Tôi vừa đọc một bài báo thú vị.</v>
      </c>
      <c r="F329" s="49" t="s">
        <v>3545</v>
      </c>
      <c r="G329" s="50" t="b">
        <f t="shared" si="1"/>
        <v>1</v>
      </c>
      <c r="H329" s="52" t="b">
        <v>0</v>
      </c>
      <c r="I329" s="52" t="b">
        <v>0</v>
      </c>
      <c r="J329" s="52" t="b">
        <v>0</v>
      </c>
      <c r="K329" s="52" t="b">
        <v>0</v>
      </c>
      <c r="L329" s="52" t="b">
        <v>0</v>
      </c>
      <c r="M329" s="52" t="b">
        <v>0</v>
      </c>
      <c r="N329" s="52" t="b">
        <v>0</v>
      </c>
      <c r="O329" s="52" t="b">
        <v>0</v>
      </c>
      <c r="P329" s="52" t="b">
        <v>0</v>
      </c>
      <c r="Q329" s="52" t="b">
        <v>0</v>
      </c>
      <c r="R329" s="44"/>
      <c r="S329" s="44"/>
      <c r="T329" s="44"/>
      <c r="U329" s="44"/>
      <c r="V329" s="44"/>
      <c r="W329" s="44"/>
      <c r="X329" s="45"/>
      <c r="Y329" s="45"/>
      <c r="Z329" s="45"/>
      <c r="AA329" s="45"/>
    </row>
    <row r="330" ht="33.75" customHeight="1">
      <c r="A330" s="46" t="s">
        <v>3553</v>
      </c>
      <c r="B330" s="47" t="s">
        <v>3554</v>
      </c>
      <c r="C330" s="47" t="s">
        <v>3555</v>
      </c>
      <c r="D330" s="29" t="s">
        <v>3556</v>
      </c>
      <c r="E330" s="48" t="str">
        <f>IFERROR(__xludf.DUMMYFUNCTION("GOOGLETRANSLATE(D330,""zh-CN"",""vi"")"),"Đừng nói dối tôi.")</f>
        <v>Đừng nói dối tôi.</v>
      </c>
      <c r="F330" s="49" t="s">
        <v>3553</v>
      </c>
      <c r="G330" s="50" t="b">
        <f t="shared" si="1"/>
        <v>1</v>
      </c>
      <c r="H330" s="52" t="b">
        <v>0</v>
      </c>
      <c r="I330" s="52" t="b">
        <v>0</v>
      </c>
      <c r="J330" s="52" t="b">
        <v>0</v>
      </c>
      <c r="K330" s="52" t="b">
        <v>0</v>
      </c>
      <c r="L330" s="52" t="b">
        <v>0</v>
      </c>
      <c r="M330" s="52" t="b">
        <v>0</v>
      </c>
      <c r="N330" s="52" t="b">
        <v>0</v>
      </c>
      <c r="O330" s="52" t="b">
        <v>0</v>
      </c>
      <c r="P330" s="52" t="b">
        <v>0</v>
      </c>
      <c r="Q330" s="52" t="b">
        <v>0</v>
      </c>
      <c r="R330" s="44"/>
      <c r="S330" s="44"/>
      <c r="T330" s="44"/>
      <c r="U330" s="44"/>
      <c r="V330" s="44"/>
      <c r="W330" s="44"/>
      <c r="X330" s="45"/>
      <c r="Y330" s="45"/>
      <c r="Z330" s="45"/>
      <c r="AA330" s="45"/>
    </row>
    <row r="331" ht="33.75" customHeight="1">
      <c r="A331" s="46" t="s">
        <v>3557</v>
      </c>
      <c r="B331" s="47" t="s">
        <v>3558</v>
      </c>
      <c r="C331" s="47" t="s">
        <v>3560</v>
      </c>
      <c r="D331" s="29" t="s">
        <v>3562</v>
      </c>
      <c r="E331" s="48" t="str">
        <f>IFERROR(__xludf.DUMMYFUNCTION("GOOGLETRANSLATE(D331,""zh-CN"",""vi"")"),"Tôi thích chơi bóng bàn.")</f>
        <v>Tôi thích chơi bóng bàn.</v>
      </c>
      <c r="F331" s="49" t="s">
        <v>3557</v>
      </c>
      <c r="G331" s="50" t="b">
        <f t="shared" si="1"/>
        <v>1</v>
      </c>
      <c r="H331" s="52" t="b">
        <v>0</v>
      </c>
      <c r="I331" s="52" t="b">
        <v>0</v>
      </c>
      <c r="J331" s="52" t="b">
        <v>0</v>
      </c>
      <c r="K331" s="52" t="b">
        <v>0</v>
      </c>
      <c r="L331" s="52" t="b">
        <v>0</v>
      </c>
      <c r="M331" s="52" t="b">
        <v>0</v>
      </c>
      <c r="N331" s="52" t="b">
        <v>0</v>
      </c>
      <c r="O331" s="52" t="b">
        <v>0</v>
      </c>
      <c r="P331" s="52" t="b">
        <v>0</v>
      </c>
      <c r="Q331" s="52" t="b">
        <v>0</v>
      </c>
      <c r="R331" s="44"/>
      <c r="S331" s="44"/>
      <c r="T331" s="44"/>
      <c r="U331" s="44"/>
      <c r="V331" s="44"/>
      <c r="W331" s="44"/>
      <c r="X331" s="45"/>
      <c r="Y331" s="45"/>
      <c r="Z331" s="45"/>
      <c r="AA331" s="45"/>
    </row>
    <row r="332" ht="33.75" customHeight="1">
      <c r="A332" s="46" t="s">
        <v>3564</v>
      </c>
      <c r="B332" s="47" t="s">
        <v>3565</v>
      </c>
      <c r="C332" s="47" t="s">
        <v>3566</v>
      </c>
      <c r="D332" s="29" t="s">
        <v>3567</v>
      </c>
      <c r="E332" s="48" t="str">
        <f>IFERROR(__xludf.DUMMYFUNCTION("GOOGLETRANSLATE(D332,""zh-CN"",""vi"")"),"Anh ấy hiếm khi tập thể dục.")</f>
        <v>Anh ấy hiếm khi tập thể dục.</v>
      </c>
      <c r="F332" s="49" t="s">
        <v>3564</v>
      </c>
      <c r="G332" s="50" t="b">
        <f t="shared" si="1"/>
        <v>1</v>
      </c>
      <c r="H332" s="52" t="b">
        <v>0</v>
      </c>
      <c r="I332" s="52" t="b">
        <v>0</v>
      </c>
      <c r="J332" s="52" t="b">
        <v>0</v>
      </c>
      <c r="K332" s="52" t="b">
        <v>0</v>
      </c>
      <c r="L332" s="52" t="b">
        <v>0</v>
      </c>
      <c r="M332" s="52" t="b">
        <v>0</v>
      </c>
      <c r="N332" s="52" t="b">
        <v>0</v>
      </c>
      <c r="O332" s="52" t="b">
        <v>0</v>
      </c>
      <c r="P332" s="52" t="b">
        <v>0</v>
      </c>
      <c r="Q332" s="52" t="b">
        <v>0</v>
      </c>
      <c r="R332" s="44"/>
      <c r="S332" s="44"/>
      <c r="T332" s="44"/>
      <c r="U332" s="44"/>
      <c r="V332" s="44"/>
      <c r="W332" s="44"/>
      <c r="X332" s="45"/>
      <c r="Y332" s="45"/>
      <c r="Z332" s="45"/>
      <c r="AA332" s="45"/>
    </row>
    <row r="333" ht="33.75" customHeight="1">
      <c r="A333" s="46" t="s">
        <v>3572</v>
      </c>
      <c r="B333" s="47" t="s">
        <v>3573</v>
      </c>
      <c r="C333" s="47" t="s">
        <v>3574</v>
      </c>
      <c r="D333" s="29" t="s">
        <v>3575</v>
      </c>
      <c r="E333" s="48" t="str">
        <f>IFERROR(__xludf.DUMMYFUNCTION("GOOGLETRANSLATE(D333,""zh-CN"",""vi"")"),"Giày của tôi bị rách rồi.")</f>
        <v>Giày của tôi bị rách rồi.</v>
      </c>
      <c r="F333" s="49" t="s">
        <v>3572</v>
      </c>
      <c r="G333" s="50" t="b">
        <f t="shared" si="1"/>
        <v>1</v>
      </c>
      <c r="H333" s="52" t="b">
        <v>0</v>
      </c>
      <c r="I333" s="52" t="b">
        <v>0</v>
      </c>
      <c r="J333" s="52" t="b">
        <v>0</v>
      </c>
      <c r="K333" s="52" t="b">
        <v>0</v>
      </c>
      <c r="L333" s="52" t="b">
        <v>0</v>
      </c>
      <c r="M333" s="52" t="b">
        <v>0</v>
      </c>
      <c r="N333" s="52" t="b">
        <v>0</v>
      </c>
      <c r="O333" s="52" t="b">
        <v>0</v>
      </c>
      <c r="P333" s="52" t="b">
        <v>0</v>
      </c>
      <c r="Q333" s="52" t="b">
        <v>0</v>
      </c>
      <c r="R333" s="44"/>
      <c r="S333" s="44"/>
      <c r="T333" s="44"/>
      <c r="U333" s="44"/>
      <c r="V333" s="44"/>
      <c r="W333" s="44"/>
      <c r="X333" s="45"/>
      <c r="Y333" s="45"/>
      <c r="Z333" s="45"/>
      <c r="AA333" s="45"/>
    </row>
    <row r="334" ht="33.75" customHeight="1">
      <c r="A334" s="46" t="s">
        <v>2586</v>
      </c>
      <c r="B334" s="47" t="s">
        <v>3580</v>
      </c>
      <c r="C334" s="47" t="s">
        <v>2589</v>
      </c>
      <c r="D334" s="29" t="s">
        <v>3581</v>
      </c>
      <c r="E334" s="48" t="str">
        <f>IFERROR(__xludf.DUMMYFUNCTION("GOOGLETRANSLATE(D334,""zh-CN"",""vi"")"),"Những quả nho này rất ngon.")</f>
        <v>Những quả nho này rất ngon.</v>
      </c>
      <c r="F334" s="49" t="s">
        <v>2586</v>
      </c>
      <c r="G334" s="50" t="b">
        <f t="shared" si="1"/>
        <v>1</v>
      </c>
      <c r="H334" s="52" t="b">
        <v>0</v>
      </c>
      <c r="I334" s="52" t="b">
        <v>0</v>
      </c>
      <c r="J334" s="52" t="b">
        <v>0</v>
      </c>
      <c r="K334" s="52" t="b">
        <v>0</v>
      </c>
      <c r="L334" s="52" t="b">
        <v>0</v>
      </c>
      <c r="M334" s="52" t="b">
        <v>0</v>
      </c>
      <c r="N334" s="52" t="b">
        <v>0</v>
      </c>
      <c r="O334" s="52" t="b">
        <v>0</v>
      </c>
      <c r="P334" s="52" t="b">
        <v>0</v>
      </c>
      <c r="Q334" s="52" t="b">
        <v>0</v>
      </c>
      <c r="R334" s="44"/>
      <c r="S334" s="44"/>
      <c r="T334" s="44"/>
      <c r="U334" s="44"/>
      <c r="V334" s="44"/>
      <c r="W334" s="44"/>
      <c r="X334" s="45"/>
      <c r="Y334" s="45"/>
      <c r="Z334" s="45"/>
      <c r="AA334" s="45"/>
    </row>
    <row r="335" ht="33.75" customHeight="1">
      <c r="A335" s="46" t="s">
        <v>3586</v>
      </c>
      <c r="B335" s="47" t="s">
        <v>3587</v>
      </c>
      <c r="C335" s="47" t="s">
        <v>3588</v>
      </c>
      <c r="D335" s="29" t="s">
        <v>3589</v>
      </c>
      <c r="E335" s="48" t="str">
        <f>IFERROR(__xludf.DUMMYFUNCTION("GOOGLETRANSLATE(D335,""zh-CN"",""vi"")"),"Hiện tượng này rất phổ biến.")</f>
        <v>Hiện tượng này rất phổ biến.</v>
      </c>
      <c r="F335" s="49" t="s">
        <v>3586</v>
      </c>
      <c r="G335" s="50" t="b">
        <f t="shared" si="1"/>
        <v>1</v>
      </c>
      <c r="H335" s="52" t="b">
        <v>0</v>
      </c>
      <c r="I335" s="52" t="b">
        <v>0</v>
      </c>
      <c r="J335" s="52" t="b">
        <v>0</v>
      </c>
      <c r="K335" s="52" t="b">
        <v>0</v>
      </c>
      <c r="L335" s="52" t="b">
        <v>0</v>
      </c>
      <c r="M335" s="52" t="b">
        <v>0</v>
      </c>
      <c r="N335" s="52" t="b">
        <v>0</v>
      </c>
      <c r="O335" s="52" t="b">
        <v>0</v>
      </c>
      <c r="P335" s="52" t="b">
        <v>0</v>
      </c>
      <c r="Q335" s="52" t="b">
        <v>0</v>
      </c>
      <c r="R335" s="44"/>
      <c r="S335" s="44"/>
      <c r="T335" s="44"/>
      <c r="U335" s="44"/>
      <c r="V335" s="44"/>
      <c r="W335" s="44"/>
      <c r="X335" s="45"/>
      <c r="Y335" s="45"/>
      <c r="Z335" s="45"/>
      <c r="AA335" s="45"/>
    </row>
    <row r="336" ht="33.75" customHeight="1">
      <c r="A336" s="46" t="s">
        <v>2591</v>
      </c>
      <c r="B336" s="47" t="s">
        <v>3593</v>
      </c>
      <c r="C336" s="47" t="s">
        <v>3595</v>
      </c>
      <c r="D336" s="29" t="s">
        <v>3596</v>
      </c>
      <c r="E336" s="48" t="str">
        <f>IFERROR(__xludf.DUMMYFUNCTION("GOOGLETRANSLATE(D336,""zh-CN"",""vi"")"),"Anh ấy nói tiếng Quan thoại rất giỏi.")</f>
        <v>Anh ấy nói tiếng Quan thoại rất giỏi.</v>
      </c>
      <c r="F336" s="49" t="s">
        <v>2591</v>
      </c>
      <c r="G336" s="50" t="b">
        <f t="shared" si="1"/>
        <v>1</v>
      </c>
      <c r="H336" s="52" t="b">
        <v>0</v>
      </c>
      <c r="I336" s="52" t="b">
        <v>0</v>
      </c>
      <c r="J336" s="52" t="b">
        <v>0</v>
      </c>
      <c r="K336" s="52" t="b">
        <v>0</v>
      </c>
      <c r="L336" s="52" t="b">
        <v>0</v>
      </c>
      <c r="M336" s="52" t="b">
        <v>0</v>
      </c>
      <c r="N336" s="52" t="b">
        <v>0</v>
      </c>
      <c r="O336" s="52" t="b">
        <v>0</v>
      </c>
      <c r="P336" s="52" t="b">
        <v>0</v>
      </c>
      <c r="Q336" s="52" t="b">
        <v>0</v>
      </c>
      <c r="R336" s="44"/>
      <c r="S336" s="44"/>
      <c r="T336" s="44"/>
      <c r="U336" s="44"/>
      <c r="V336" s="44"/>
      <c r="W336" s="44"/>
      <c r="X336" s="45"/>
      <c r="Y336" s="45"/>
      <c r="Z336" s="45"/>
      <c r="AA336" s="45"/>
    </row>
    <row r="337" ht="33.75" customHeight="1">
      <c r="A337" s="46" t="s">
        <v>3597</v>
      </c>
      <c r="B337" s="47" t="s">
        <v>3599</v>
      </c>
      <c r="C337" s="47" t="s">
        <v>2700</v>
      </c>
      <c r="D337" s="29" t="s">
        <v>3601</v>
      </c>
      <c r="E337" s="48" t="str">
        <f>IFERROR(__xludf.DUMMYFUNCTION("GOOGLETRANSLATE(D337,""zh-CN"",""vi"")"),"Thứ nhất, bạn phải làm việc chăm chỉ; thứ hai, bạn phải kiên trì.")</f>
        <v>Thứ nhất, bạn phải làm việc chăm chỉ; thứ hai, bạn phải kiên trì.</v>
      </c>
      <c r="F337" s="49" t="s">
        <v>3597</v>
      </c>
      <c r="G337" s="50" t="b">
        <f t="shared" si="1"/>
        <v>1</v>
      </c>
      <c r="H337" s="52" t="b">
        <v>0</v>
      </c>
      <c r="I337" s="52" t="b">
        <v>0</v>
      </c>
      <c r="J337" s="52" t="b">
        <v>0</v>
      </c>
      <c r="K337" s="52" t="b">
        <v>0</v>
      </c>
      <c r="L337" s="52" t="b">
        <v>0</v>
      </c>
      <c r="M337" s="52" t="b">
        <v>0</v>
      </c>
      <c r="N337" s="52" t="b">
        <v>0</v>
      </c>
      <c r="O337" s="52" t="b">
        <v>0</v>
      </c>
      <c r="P337" s="52" t="b">
        <v>0</v>
      </c>
      <c r="Q337" s="52" t="b">
        <v>0</v>
      </c>
      <c r="R337" s="44"/>
      <c r="S337" s="44"/>
      <c r="T337" s="44"/>
      <c r="U337" s="44"/>
      <c r="V337" s="44"/>
      <c r="W337" s="44"/>
      <c r="X337" s="45"/>
      <c r="Y337" s="45"/>
      <c r="Z337" s="45"/>
      <c r="AA337" s="45"/>
    </row>
    <row r="338" ht="33.75" customHeight="1">
      <c r="A338" s="46" t="s">
        <v>3602</v>
      </c>
      <c r="B338" s="47" t="s">
        <v>3604</v>
      </c>
      <c r="C338" s="47" t="s">
        <v>3606</v>
      </c>
      <c r="D338" s="72" t="s">
        <v>3608</v>
      </c>
      <c r="E338" s="48" t="str">
        <f>IFERROR(__xludf.DUMMYFUNCTION("GOOGLETRANSLATE(D338,""zh-CN"",""vi"")"),"Trong số tất cả mọi người, có một người mà tôi quen biết.")</f>
        <v>Trong số tất cả mọi người, có một người mà tôi quen biết.</v>
      </c>
      <c r="F338" s="49" t="s">
        <v>3602</v>
      </c>
      <c r="G338" s="50" t="b">
        <f t="shared" si="1"/>
        <v>1</v>
      </c>
      <c r="H338" s="52" t="b">
        <v>0</v>
      </c>
      <c r="I338" s="52" t="b">
        <v>0</v>
      </c>
      <c r="J338" s="52" t="b">
        <v>0</v>
      </c>
      <c r="K338" s="52" t="b">
        <v>0</v>
      </c>
      <c r="L338" s="52" t="b">
        <v>0</v>
      </c>
      <c r="M338" s="52" t="b">
        <v>0</v>
      </c>
      <c r="N338" s="52" t="b">
        <v>0</v>
      </c>
      <c r="O338" s="52" t="b">
        <v>0</v>
      </c>
      <c r="P338" s="52" t="b">
        <v>0</v>
      </c>
      <c r="Q338" s="52" t="b">
        <v>0</v>
      </c>
      <c r="R338" s="44"/>
      <c r="S338" s="44"/>
      <c r="T338" s="44"/>
      <c r="U338" s="44"/>
      <c r="V338" s="44"/>
      <c r="W338" s="44"/>
      <c r="X338" s="45"/>
      <c r="Y338" s="45"/>
      <c r="Z338" s="45"/>
      <c r="AA338" s="45"/>
    </row>
    <row r="339" ht="33.75" customHeight="1">
      <c r="A339" s="46" t="s">
        <v>3618</v>
      </c>
      <c r="B339" s="47" t="s">
        <v>3619</v>
      </c>
      <c r="C339" s="47" t="s">
        <v>3620</v>
      </c>
      <c r="D339" s="29" t="s">
        <v>3621</v>
      </c>
      <c r="E339" s="48" t="str">
        <f>IFERROR(__xludf.DUMMYFUNCTION("GOOGLETRANSLATE(D339,""zh-CN"",""vi"")"),"Khí hậu ở đây rất dễ chịu.")</f>
        <v>Khí hậu ở đây rất dễ chịu.</v>
      </c>
      <c r="F339" s="49" t="s">
        <v>3618</v>
      </c>
      <c r="G339" s="50" t="b">
        <f t="shared" si="1"/>
        <v>1</v>
      </c>
      <c r="H339" s="52" t="b">
        <v>0</v>
      </c>
      <c r="I339" s="52" t="b">
        <v>0</v>
      </c>
      <c r="J339" s="52" t="b">
        <v>0</v>
      </c>
      <c r="K339" s="52" t="b">
        <v>0</v>
      </c>
      <c r="L339" s="52" t="b">
        <v>0</v>
      </c>
      <c r="M339" s="52" t="b">
        <v>0</v>
      </c>
      <c r="N339" s="52" t="b">
        <v>0</v>
      </c>
      <c r="O339" s="52" t="b">
        <v>0</v>
      </c>
      <c r="P339" s="52" t="b">
        <v>0</v>
      </c>
      <c r="Q339" s="52" t="b">
        <v>0</v>
      </c>
      <c r="R339" s="44"/>
      <c r="S339" s="44"/>
      <c r="T339" s="44"/>
      <c r="U339" s="44"/>
      <c r="V339" s="44"/>
      <c r="W339" s="44"/>
      <c r="X339" s="45"/>
      <c r="Y339" s="45"/>
      <c r="Z339" s="45"/>
      <c r="AA339" s="45"/>
    </row>
    <row r="340" ht="33.75" customHeight="1">
      <c r="A340" s="46" t="s">
        <v>3625</v>
      </c>
      <c r="B340" s="47" t="s">
        <v>3626</v>
      </c>
      <c r="C340" s="47" t="s">
        <v>3627</v>
      </c>
      <c r="D340" s="29" t="s">
        <v>3628</v>
      </c>
      <c r="E340" s="48" t="str">
        <f>IFERROR(__xludf.DUMMYFUNCTION("GOOGLETRANSLATE(D340,""zh-CN"",""vi"")"),"Bạn không bao giờ được quên điều đó.")</f>
        <v>Bạn không bao giờ được quên điều đó.</v>
      </c>
      <c r="F340" s="49" t="s">
        <v>3625</v>
      </c>
      <c r="G340" s="50" t="b">
        <f t="shared" si="1"/>
        <v>1</v>
      </c>
      <c r="H340" s="52" t="b">
        <v>0</v>
      </c>
      <c r="I340" s="52" t="b">
        <v>0</v>
      </c>
      <c r="J340" s="52" t="b">
        <v>0</v>
      </c>
      <c r="K340" s="52" t="b">
        <v>0</v>
      </c>
      <c r="L340" s="52" t="b">
        <v>0</v>
      </c>
      <c r="M340" s="52" t="b">
        <v>0</v>
      </c>
      <c r="N340" s="52" t="b">
        <v>0</v>
      </c>
      <c r="O340" s="52" t="b">
        <v>0</v>
      </c>
      <c r="P340" s="52" t="b">
        <v>0</v>
      </c>
      <c r="Q340" s="52" t="b">
        <v>0</v>
      </c>
      <c r="R340" s="44"/>
      <c r="S340" s="44"/>
      <c r="T340" s="44"/>
      <c r="U340" s="44"/>
      <c r="V340" s="44"/>
      <c r="W340" s="44"/>
      <c r="X340" s="45"/>
      <c r="Y340" s="45"/>
      <c r="Z340" s="45"/>
      <c r="AA340" s="45"/>
    </row>
    <row r="341" ht="33.75" customHeight="1">
      <c r="A341" s="46" t="s">
        <v>3633</v>
      </c>
      <c r="B341" s="47" t="s">
        <v>3634</v>
      </c>
      <c r="C341" s="47" t="s">
        <v>3635</v>
      </c>
      <c r="D341" s="29" t="s">
        <v>3636</v>
      </c>
      <c r="E341" s="48" t="str">
        <f>IFERROR(__xludf.DUMMYFUNCTION("GOOGLETRANSLATE(D341,""zh-CN"",""vi"")"),"Tôi cần xin visa.")</f>
        <v>Tôi cần xin visa.</v>
      </c>
      <c r="F341" s="49" t="s">
        <v>3633</v>
      </c>
      <c r="G341" s="50" t="b">
        <f t="shared" si="1"/>
        <v>1</v>
      </c>
      <c r="H341" s="52" t="b">
        <v>0</v>
      </c>
      <c r="I341" s="52" t="b">
        <v>0</v>
      </c>
      <c r="J341" s="52" t="b">
        <v>0</v>
      </c>
      <c r="K341" s="52" t="b">
        <v>0</v>
      </c>
      <c r="L341" s="52" t="b">
        <v>0</v>
      </c>
      <c r="M341" s="52" t="b">
        <v>0</v>
      </c>
      <c r="N341" s="52" t="b">
        <v>0</v>
      </c>
      <c r="O341" s="52" t="b">
        <v>0</v>
      </c>
      <c r="P341" s="52" t="b">
        <v>0</v>
      </c>
      <c r="Q341" s="52" t="b">
        <v>0</v>
      </c>
      <c r="R341" s="44"/>
      <c r="S341" s="44"/>
      <c r="T341" s="44"/>
      <c r="U341" s="44"/>
      <c r="V341" s="44"/>
      <c r="W341" s="44"/>
      <c r="X341" s="45"/>
      <c r="Y341" s="45"/>
      <c r="Z341" s="45"/>
      <c r="AA341" s="45"/>
    </row>
    <row r="342" ht="33.75" customHeight="1">
      <c r="A342" s="46" t="s">
        <v>3641</v>
      </c>
      <c r="B342" s="47" t="s">
        <v>3642</v>
      </c>
      <c r="C342" s="47" t="s">
        <v>3643</v>
      </c>
      <c r="D342" s="29" t="s">
        <v>3644</v>
      </c>
      <c r="E342" s="48" t="str">
        <f>IFERROR(__xludf.DUMMYFUNCTION("GOOGLETRANSLATE(D342,""zh-CN"",""vi"")"),"Anh ta gõ cửa rồi bước vào.")</f>
        <v>Anh ta gõ cửa rồi bước vào.</v>
      </c>
      <c r="F342" s="49" t="s">
        <v>3641</v>
      </c>
      <c r="G342" s="50" t="b">
        <f t="shared" si="1"/>
        <v>1</v>
      </c>
      <c r="H342" s="52" t="b">
        <v>0</v>
      </c>
      <c r="I342" s="52" t="b">
        <v>0</v>
      </c>
      <c r="J342" s="52" t="b">
        <v>0</v>
      </c>
      <c r="K342" s="52" t="b">
        <v>0</v>
      </c>
      <c r="L342" s="52" t="b">
        <v>0</v>
      </c>
      <c r="M342" s="52" t="b">
        <v>0</v>
      </c>
      <c r="N342" s="52" t="b">
        <v>0</v>
      </c>
      <c r="O342" s="52" t="b">
        <v>0</v>
      </c>
      <c r="P342" s="52" t="b">
        <v>0</v>
      </c>
      <c r="Q342" s="52" t="b">
        <v>0</v>
      </c>
      <c r="R342" s="44"/>
      <c r="S342" s="44"/>
      <c r="T342" s="44"/>
      <c r="U342" s="44"/>
      <c r="V342" s="44"/>
      <c r="W342" s="44"/>
      <c r="X342" s="45"/>
      <c r="Y342" s="45"/>
      <c r="Z342" s="45"/>
      <c r="AA342" s="45"/>
    </row>
    <row r="343" ht="33.75" customHeight="1">
      <c r="A343" s="46" t="s">
        <v>3649</v>
      </c>
      <c r="B343" s="47" t="s">
        <v>3650</v>
      </c>
      <c r="C343" s="47" t="s">
        <v>3651</v>
      </c>
      <c r="D343" s="29" t="s">
        <v>3652</v>
      </c>
      <c r="E343" s="48" t="str">
        <f>IFERROR(__xludf.DUMMYFUNCTION("GOOGLETRANSLATE(D343,""zh-CN"",""vi"")"),"Họ đã chụp ảnh trên cầu.")</f>
        <v>Họ đã chụp ảnh trên cầu.</v>
      </c>
      <c r="F343" s="49" t="s">
        <v>3649</v>
      </c>
      <c r="G343" s="50" t="b">
        <f t="shared" si="1"/>
        <v>1</v>
      </c>
      <c r="H343" s="52" t="b">
        <v>0</v>
      </c>
      <c r="I343" s="52" t="b">
        <v>0</v>
      </c>
      <c r="J343" s="52" t="b">
        <v>0</v>
      </c>
      <c r="K343" s="52" t="b">
        <v>0</v>
      </c>
      <c r="L343" s="52" t="b">
        <v>0</v>
      </c>
      <c r="M343" s="52" t="b">
        <v>0</v>
      </c>
      <c r="N343" s="52" t="b">
        <v>0</v>
      </c>
      <c r="O343" s="52" t="b">
        <v>0</v>
      </c>
      <c r="P343" s="52" t="b">
        <v>0</v>
      </c>
      <c r="Q343" s="52" t="b">
        <v>0</v>
      </c>
      <c r="R343" s="44"/>
      <c r="S343" s="44"/>
      <c r="T343" s="44"/>
      <c r="U343" s="44"/>
      <c r="V343" s="44"/>
      <c r="W343" s="44"/>
      <c r="X343" s="45"/>
      <c r="Y343" s="45"/>
      <c r="Z343" s="45"/>
      <c r="AA343" s="45"/>
    </row>
    <row r="344" ht="33.75" customHeight="1">
      <c r="A344" s="46" t="s">
        <v>3653</v>
      </c>
      <c r="B344" s="47" t="s">
        <v>3654</v>
      </c>
      <c r="C344" s="47" t="s">
        <v>3655</v>
      </c>
      <c r="D344" s="29" t="s">
        <v>3656</v>
      </c>
      <c r="E344" s="48" t="str">
        <f>IFERROR(__xludf.DUMMYFUNCTION("GOOGLETRANSLATE(D344,""zh-CN"",""vi"")"),"Cô ấy cho tôi một miếng sô cô la.")</f>
        <v>Cô ấy cho tôi một miếng sô cô la.</v>
      </c>
      <c r="F344" s="49" t="s">
        <v>3653</v>
      </c>
      <c r="G344" s="50" t="b">
        <f t="shared" si="1"/>
        <v>1</v>
      </c>
      <c r="H344" s="52" t="b">
        <v>0</v>
      </c>
      <c r="I344" s="52" t="b">
        <v>0</v>
      </c>
      <c r="J344" s="52" t="b">
        <v>0</v>
      </c>
      <c r="K344" s="52" t="b">
        <v>0</v>
      </c>
      <c r="L344" s="52" t="b">
        <v>0</v>
      </c>
      <c r="M344" s="52" t="b">
        <v>0</v>
      </c>
      <c r="N344" s="52" t="b">
        <v>0</v>
      </c>
      <c r="O344" s="52" t="b">
        <v>0</v>
      </c>
      <c r="P344" s="52" t="b">
        <v>0</v>
      </c>
      <c r="Q344" s="52" t="b">
        <v>0</v>
      </c>
      <c r="R344" s="44"/>
      <c r="S344" s="44"/>
      <c r="T344" s="44"/>
      <c r="U344" s="44"/>
      <c r="V344" s="44"/>
      <c r="W344" s="44"/>
      <c r="X344" s="45"/>
      <c r="Y344" s="45"/>
      <c r="Z344" s="45"/>
      <c r="AA344" s="45"/>
    </row>
    <row r="345" ht="33.75" customHeight="1">
      <c r="A345" s="46" t="s">
        <v>3657</v>
      </c>
      <c r="B345" s="47" t="s">
        <v>3658</v>
      </c>
      <c r="C345" s="47" t="s">
        <v>3659</v>
      </c>
      <c r="D345" s="29" t="s">
        <v>3660</v>
      </c>
      <c r="E345" s="48" t="str">
        <f>IFERROR(__xludf.DUMMYFUNCTION("GOOGLETRANSLATE(D345,""zh-CN"",""vi"")"),"Tôi có nhiều người thân sống ở nước ngoài.")</f>
        <v>Tôi có nhiều người thân sống ở nước ngoài.</v>
      </c>
      <c r="F345" s="49" t="s">
        <v>3657</v>
      </c>
      <c r="G345" s="50" t="b">
        <f t="shared" si="1"/>
        <v>1</v>
      </c>
      <c r="H345" s="52" t="b">
        <v>1</v>
      </c>
      <c r="I345" s="52" t="b">
        <v>0</v>
      </c>
      <c r="J345" s="52" t="b">
        <v>0</v>
      </c>
      <c r="K345" s="52" t="b">
        <v>0</v>
      </c>
      <c r="L345" s="52" t="b">
        <v>0</v>
      </c>
      <c r="M345" s="52" t="b">
        <v>0</v>
      </c>
      <c r="N345" s="52" t="b">
        <v>0</v>
      </c>
      <c r="O345" s="52" t="b">
        <v>0</v>
      </c>
      <c r="P345" s="52" t="b">
        <v>0</v>
      </c>
      <c r="Q345" s="52" t="b">
        <v>0</v>
      </c>
      <c r="R345" s="44"/>
      <c r="S345" s="44"/>
      <c r="T345" s="44"/>
      <c r="U345" s="44"/>
      <c r="V345" s="44"/>
      <c r="W345" s="44"/>
      <c r="X345" s="45"/>
      <c r="Y345" s="45"/>
      <c r="Z345" s="45"/>
      <c r="AA345" s="45"/>
    </row>
    <row r="346" ht="33.75" customHeight="1">
      <c r="A346" s="46" t="s">
        <v>3661</v>
      </c>
      <c r="B346" s="47" t="s">
        <v>3662</v>
      </c>
      <c r="C346" s="47" t="s">
        <v>3663</v>
      </c>
      <c r="D346" s="29" t="s">
        <v>3664</v>
      </c>
      <c r="E346" s="48" t="str">
        <f>IFERROR(__xludf.DUMMYFUNCTION("GOOGLETRANSLATE(D346,""zh-CN"",""vi"")"),"Cuốn sách này rất nhẹ.")</f>
        <v>Cuốn sách này rất nhẹ.</v>
      </c>
      <c r="F346" s="49" t="s">
        <v>3661</v>
      </c>
      <c r="G346" s="50" t="b">
        <f t="shared" si="1"/>
        <v>1</v>
      </c>
      <c r="H346" s="52" t="b">
        <v>1</v>
      </c>
      <c r="I346" s="52" t="b">
        <v>0</v>
      </c>
      <c r="J346" s="52" t="b">
        <v>0</v>
      </c>
      <c r="K346" s="52" t="b">
        <v>0</v>
      </c>
      <c r="L346" s="52" t="b">
        <v>0</v>
      </c>
      <c r="M346" s="52" t="b">
        <v>0</v>
      </c>
      <c r="N346" s="52" t="b">
        <v>0</v>
      </c>
      <c r="O346" s="52" t="b">
        <v>0</v>
      </c>
      <c r="P346" s="52" t="b">
        <v>0</v>
      </c>
      <c r="Q346" s="52" t="b">
        <v>0</v>
      </c>
      <c r="R346" s="44"/>
      <c r="S346" s="44"/>
      <c r="T346" s="44"/>
      <c r="U346" s="44"/>
      <c r="V346" s="44"/>
      <c r="W346" s="44"/>
      <c r="X346" s="45"/>
      <c r="Y346" s="45"/>
      <c r="Z346" s="45"/>
      <c r="AA346" s="45"/>
    </row>
    <row r="347" ht="33.75" customHeight="1">
      <c r="A347" s="46" t="s">
        <v>3665</v>
      </c>
      <c r="B347" s="47" t="s">
        <v>3666</v>
      </c>
      <c r="C347" s="47" t="s">
        <v>2787</v>
      </c>
      <c r="D347" s="29" t="s">
        <v>3667</v>
      </c>
      <c r="E347" s="48" t="str">
        <f>IFERROR(__xludf.DUMMYFUNCTION("GOOGLETRANSLATE(D347,""zh-CN"",""vi"")"),"Anh ấy thấy công việc của mình rất dễ dàng.")</f>
        <v>Anh ấy thấy công việc của mình rất dễ dàng.</v>
      </c>
      <c r="F347" s="49" t="s">
        <v>3665</v>
      </c>
      <c r="G347" s="50" t="b">
        <f t="shared" si="1"/>
        <v>1</v>
      </c>
      <c r="H347" s="52" t="b">
        <v>1</v>
      </c>
      <c r="I347" s="52" t="b">
        <v>0</v>
      </c>
      <c r="J347" s="52" t="b">
        <v>0</v>
      </c>
      <c r="K347" s="52" t="b">
        <v>0</v>
      </c>
      <c r="L347" s="52" t="b">
        <v>0</v>
      </c>
      <c r="M347" s="52" t="b">
        <v>0</v>
      </c>
      <c r="N347" s="52" t="b">
        <v>0</v>
      </c>
      <c r="O347" s="52" t="b">
        <v>0</v>
      </c>
      <c r="P347" s="52" t="b">
        <v>0</v>
      </c>
      <c r="Q347" s="52" t="b">
        <v>0</v>
      </c>
      <c r="R347" s="44"/>
      <c r="S347" s="44"/>
      <c r="T347" s="44"/>
      <c r="U347" s="44"/>
      <c r="V347" s="44"/>
      <c r="W347" s="44"/>
      <c r="X347" s="45"/>
      <c r="Y347" s="45"/>
      <c r="Z347" s="45"/>
      <c r="AA347" s="45"/>
    </row>
    <row r="348" ht="33.75" customHeight="1">
      <c r="A348" s="46" t="s">
        <v>3668</v>
      </c>
      <c r="B348" s="47" t="s">
        <v>3669</v>
      </c>
      <c r="C348" s="47" t="s">
        <v>3670</v>
      </c>
      <c r="D348" s="29" t="s">
        <v>3671</v>
      </c>
      <c r="E348" s="48" t="str">
        <f>IFERROR(__xludf.DUMMYFUNCTION("GOOGLETRANSLATE(D348,""zh-CN"",""vi"")"),"Tình hình hiện tại rất phức tạp.")</f>
        <v>Tình hình hiện tại rất phức tạp.</v>
      </c>
      <c r="F348" s="49" t="s">
        <v>3668</v>
      </c>
      <c r="G348" s="50" t="b">
        <f t="shared" si="1"/>
        <v>1</v>
      </c>
      <c r="H348" s="52" t="b">
        <v>1</v>
      </c>
      <c r="I348" s="52" t="b">
        <v>0</v>
      </c>
      <c r="J348" s="52" t="b">
        <v>0</v>
      </c>
      <c r="K348" s="52" t="b">
        <v>0</v>
      </c>
      <c r="L348" s="52" t="b">
        <v>0</v>
      </c>
      <c r="M348" s="52" t="b">
        <v>0</v>
      </c>
      <c r="N348" s="52" t="b">
        <v>0</v>
      </c>
      <c r="O348" s="52" t="b">
        <v>0</v>
      </c>
      <c r="P348" s="52" t="b">
        <v>0</v>
      </c>
      <c r="Q348" s="52" t="b">
        <v>0</v>
      </c>
      <c r="R348" s="44"/>
      <c r="S348" s="44"/>
      <c r="T348" s="44"/>
      <c r="U348" s="44"/>
      <c r="V348" s="44"/>
      <c r="W348" s="44"/>
      <c r="X348" s="45"/>
      <c r="Y348" s="45"/>
      <c r="Z348" s="45"/>
      <c r="AA348" s="45"/>
    </row>
    <row r="349" ht="33.75" customHeight="1">
      <c r="A349" s="46" t="s">
        <v>3672</v>
      </c>
      <c r="B349" s="47" t="s">
        <v>3673</v>
      </c>
      <c r="C349" s="47" t="s">
        <v>3674</v>
      </c>
      <c r="D349" s="29" t="s">
        <v>3675</v>
      </c>
      <c r="E349" s="48" t="str">
        <f>IFERROR(__xludf.DUMMYFUNCTION("GOOGLETRANSLATE(D349,""zh-CN"",""vi"")"),"Gia đình anh ấy rất nghèo.")</f>
        <v>Gia đình anh ấy rất nghèo.</v>
      </c>
      <c r="F349" s="49" t="s">
        <v>3672</v>
      </c>
      <c r="G349" s="50" t="b">
        <f t="shared" si="1"/>
        <v>1</v>
      </c>
      <c r="H349" s="52" t="b">
        <v>1</v>
      </c>
      <c r="I349" s="52" t="b">
        <v>0</v>
      </c>
      <c r="J349" s="52" t="b">
        <v>0</v>
      </c>
      <c r="K349" s="52" t="b">
        <v>0</v>
      </c>
      <c r="L349" s="52" t="b">
        <v>0</v>
      </c>
      <c r="M349" s="52" t="b">
        <v>0</v>
      </c>
      <c r="N349" s="52" t="b">
        <v>0</v>
      </c>
      <c r="O349" s="52" t="b">
        <v>0</v>
      </c>
      <c r="P349" s="52" t="b">
        <v>0</v>
      </c>
      <c r="Q349" s="52" t="b">
        <v>0</v>
      </c>
      <c r="R349" s="44"/>
      <c r="S349" s="44"/>
      <c r="T349" s="44"/>
      <c r="U349" s="44"/>
      <c r="V349" s="44"/>
      <c r="W349" s="44"/>
      <c r="X349" s="45"/>
      <c r="Y349" s="45"/>
      <c r="Z349" s="45"/>
      <c r="AA349" s="45"/>
    </row>
    <row r="350" ht="33.75" customHeight="1">
      <c r="A350" s="46" t="s">
        <v>3676</v>
      </c>
      <c r="B350" s="47" t="s">
        <v>3677</v>
      </c>
      <c r="C350" s="47" t="s">
        <v>3678</v>
      </c>
      <c r="D350" s="29" t="s">
        <v>3679</v>
      </c>
      <c r="E350" s="48" t="str">
        <f>IFERROR(__xludf.DUMMYFUNCTION("GOOGLETRANSLATE(D350,""zh-CN"",""vi"")"),"Có rất nhiều điểm khác biệt trong vấn đề này.")</f>
        <v>Có rất nhiều điểm khác biệt trong vấn đề này.</v>
      </c>
      <c r="F350" s="49" t="s">
        <v>3676</v>
      </c>
      <c r="G350" s="50" t="b">
        <f t="shared" si="1"/>
        <v>1</v>
      </c>
      <c r="H350" s="52" t="b">
        <v>1</v>
      </c>
      <c r="I350" s="52" t="b">
        <v>0</v>
      </c>
      <c r="J350" s="52" t="b">
        <v>0</v>
      </c>
      <c r="K350" s="52" t="b">
        <v>0</v>
      </c>
      <c r="L350" s="52" t="b">
        <v>0</v>
      </c>
      <c r="M350" s="52" t="b">
        <v>0</v>
      </c>
      <c r="N350" s="52" t="b">
        <v>0</v>
      </c>
      <c r="O350" s="52" t="b">
        <v>0</v>
      </c>
      <c r="P350" s="52" t="b">
        <v>0</v>
      </c>
      <c r="Q350" s="52" t="b">
        <v>0</v>
      </c>
      <c r="R350" s="44"/>
      <c r="S350" s="44"/>
      <c r="T350" s="44"/>
      <c r="U350" s="44"/>
      <c r="V350" s="44"/>
      <c r="W350" s="44"/>
      <c r="X350" s="45"/>
      <c r="Y350" s="45"/>
      <c r="Z350" s="45"/>
      <c r="AA350" s="45"/>
    </row>
    <row r="351" ht="33.75" customHeight="1">
      <c r="A351" s="46" t="s">
        <v>3680</v>
      </c>
      <c r="B351" s="47" t="s">
        <v>3681</v>
      </c>
      <c r="C351" s="47" t="s">
        <v>3682</v>
      </c>
      <c r="D351" s="29" t="s">
        <v>3683</v>
      </c>
      <c r="E351" s="48" t="str">
        <f>IFERROR(__xludf.DUMMYFUNCTION("GOOGLETRANSLATE(D351,""zh-CN"",""vi"")"),"Vui lòng lấy cuốn sách ra.")</f>
        <v>Vui lòng lấy cuốn sách ra.</v>
      </c>
      <c r="F351" s="49" t="s">
        <v>3680</v>
      </c>
      <c r="G351" s="50" t="b">
        <f t="shared" si="1"/>
        <v>1</v>
      </c>
      <c r="H351" s="52" t="b">
        <v>1</v>
      </c>
      <c r="I351" s="52" t="b">
        <v>0</v>
      </c>
      <c r="J351" s="52" t="b">
        <v>0</v>
      </c>
      <c r="K351" s="52" t="b">
        <v>0</v>
      </c>
      <c r="L351" s="52" t="b">
        <v>0</v>
      </c>
      <c r="M351" s="52" t="b">
        <v>0</v>
      </c>
      <c r="N351" s="52" t="b">
        <v>0</v>
      </c>
      <c r="O351" s="52" t="b">
        <v>0</v>
      </c>
      <c r="P351" s="52" t="b">
        <v>0</v>
      </c>
      <c r="Q351" s="52" t="b">
        <v>0</v>
      </c>
      <c r="R351" s="44"/>
      <c r="S351" s="44"/>
      <c r="T351" s="44"/>
      <c r="U351" s="44"/>
      <c r="V351" s="44"/>
      <c r="W351" s="44"/>
      <c r="X351" s="45"/>
      <c r="Y351" s="45"/>
      <c r="Z351" s="45"/>
      <c r="AA351" s="45"/>
    </row>
    <row r="352" ht="33.75" customHeight="1">
      <c r="A352" s="46" t="s">
        <v>3684</v>
      </c>
      <c r="B352" s="47" t="s">
        <v>3685</v>
      </c>
      <c r="C352" s="47" t="s">
        <v>3686</v>
      </c>
      <c r="D352" s="29" t="s">
        <v>3687</v>
      </c>
      <c r="E352" s="48" t="str">
        <f>IFERROR(__xludf.DUMMYFUNCTION("GOOGLETRANSLATE(D352,""zh-CN"",""vi"")"),"Chúng tôi đã hoàn thành tất cả các nhiệm vụ.")</f>
        <v>Chúng tôi đã hoàn thành tất cả các nhiệm vụ.</v>
      </c>
      <c r="F352" s="49" t="s">
        <v>3684</v>
      </c>
      <c r="G352" s="50" t="b">
        <f t="shared" si="1"/>
        <v>1</v>
      </c>
      <c r="H352" s="52" t="b">
        <v>1</v>
      </c>
      <c r="I352" s="52" t="b">
        <v>0</v>
      </c>
      <c r="J352" s="52" t="b">
        <v>0</v>
      </c>
      <c r="K352" s="52" t="b">
        <v>0</v>
      </c>
      <c r="L352" s="52" t="b">
        <v>0</v>
      </c>
      <c r="M352" s="52" t="b">
        <v>0</v>
      </c>
      <c r="N352" s="52" t="b">
        <v>0</v>
      </c>
      <c r="O352" s="52" t="b">
        <v>0</v>
      </c>
      <c r="P352" s="52" t="b">
        <v>0</v>
      </c>
      <c r="Q352" s="52" t="b">
        <v>0</v>
      </c>
      <c r="R352" s="44"/>
      <c r="S352" s="44"/>
      <c r="T352" s="44"/>
      <c r="U352" s="44"/>
      <c r="V352" s="44"/>
      <c r="W352" s="44"/>
      <c r="X352" s="45"/>
      <c r="Y352" s="45"/>
      <c r="Z352" s="45"/>
      <c r="AA352" s="45"/>
    </row>
    <row r="353" ht="33.75" customHeight="1">
      <c r="A353" s="46" t="s">
        <v>3688</v>
      </c>
      <c r="B353" s="47" t="s">
        <v>3689</v>
      </c>
      <c r="C353" s="47" t="s">
        <v>3690</v>
      </c>
      <c r="D353" s="29" t="s">
        <v>3691</v>
      </c>
      <c r="E353" s="48" t="str">
        <f>IFERROR(__xludf.DUMMYFUNCTION("GOOGLETRANSLATE(D353,""zh-CN"",""vi"")"),"Anh ta có rất nhiều khuyết điểm.")</f>
        <v>Anh ta có rất nhiều khuyết điểm.</v>
      </c>
      <c r="F353" s="49" t="s">
        <v>3688</v>
      </c>
      <c r="G353" s="50" t="b">
        <f t="shared" si="1"/>
        <v>1</v>
      </c>
      <c r="H353" s="52" t="b">
        <v>1</v>
      </c>
      <c r="I353" s="52" t="b">
        <v>0</v>
      </c>
      <c r="J353" s="52" t="b">
        <v>0</v>
      </c>
      <c r="K353" s="52" t="b">
        <v>0</v>
      </c>
      <c r="L353" s="52" t="b">
        <v>0</v>
      </c>
      <c r="M353" s="52" t="b">
        <v>0</v>
      </c>
      <c r="N353" s="52" t="b">
        <v>0</v>
      </c>
      <c r="O353" s="52" t="b">
        <v>0</v>
      </c>
      <c r="P353" s="52" t="b">
        <v>0</v>
      </c>
      <c r="Q353" s="52" t="b">
        <v>0</v>
      </c>
      <c r="R353" s="44"/>
      <c r="S353" s="44"/>
      <c r="T353" s="44"/>
      <c r="U353" s="44"/>
      <c r="V353" s="44"/>
      <c r="W353" s="44"/>
      <c r="X353" s="45"/>
      <c r="Y353" s="45"/>
      <c r="Z353" s="45"/>
      <c r="AA353" s="45"/>
    </row>
    <row r="354" ht="33.75" customHeight="1">
      <c r="A354" s="46" t="s">
        <v>3692</v>
      </c>
      <c r="B354" s="47" t="s">
        <v>3693</v>
      </c>
      <c r="C354" s="47" t="s">
        <v>3694</v>
      </c>
      <c r="D354" s="29" t="s">
        <v>3695</v>
      </c>
      <c r="E354" s="48" t="str">
        <f>IFERROR(__xludf.DUMMYFUNCTION("GOOGLETRANSLATE(D354,""zh-CN"",""vi"")"),"Nước ở đây rất khan hiếm.")</f>
        <v>Nước ở đây rất khan hiếm.</v>
      </c>
      <c r="F354" s="49" t="s">
        <v>3692</v>
      </c>
      <c r="G354" s="50" t="b">
        <f t="shared" si="1"/>
        <v>1</v>
      </c>
      <c r="H354" s="52" t="b">
        <v>1</v>
      </c>
      <c r="I354" s="52" t="b">
        <v>0</v>
      </c>
      <c r="J354" s="52" t="b">
        <v>0</v>
      </c>
      <c r="K354" s="52" t="b">
        <v>0</v>
      </c>
      <c r="L354" s="52" t="b">
        <v>0</v>
      </c>
      <c r="M354" s="52" t="b">
        <v>0</v>
      </c>
      <c r="N354" s="52" t="b">
        <v>0</v>
      </c>
      <c r="O354" s="52" t="b">
        <v>0</v>
      </c>
      <c r="P354" s="52" t="b">
        <v>0</v>
      </c>
      <c r="Q354" s="52" t="b">
        <v>0</v>
      </c>
      <c r="R354" s="44"/>
      <c r="S354" s="44"/>
      <c r="T354" s="44"/>
      <c r="U354" s="44"/>
      <c r="V354" s="44"/>
      <c r="W354" s="44"/>
      <c r="X354" s="45"/>
      <c r="Y354" s="45"/>
      <c r="Z354" s="45"/>
      <c r="AA354" s="45"/>
    </row>
    <row r="355" ht="33.75" customHeight="1">
      <c r="A355" s="46" t="s">
        <v>3696</v>
      </c>
      <c r="B355" s="47" t="s">
        <v>3697</v>
      </c>
      <c r="C355" s="47" t="s">
        <v>3698</v>
      </c>
      <c r="D355" s="29" t="s">
        <v>3699</v>
      </c>
      <c r="E355" s="48" t="str">
        <f>IFERROR(__xludf.DUMMYFUNCTION("GOOGLETRANSLATE(D355,""zh-CN"",""vi"")"),"Anh ấy rất muốn đi, nhưng không thể.")</f>
        <v>Anh ấy rất muốn đi, nhưng không thể.</v>
      </c>
      <c r="F355" s="49" t="s">
        <v>3696</v>
      </c>
      <c r="G355" s="50" t="b">
        <f t="shared" si="1"/>
        <v>1</v>
      </c>
      <c r="H355" s="52" t="b">
        <v>1</v>
      </c>
      <c r="I355" s="52" t="b">
        <v>0</v>
      </c>
      <c r="J355" s="52" t="b">
        <v>0</v>
      </c>
      <c r="K355" s="52" t="b">
        <v>0</v>
      </c>
      <c r="L355" s="52" t="b">
        <v>0</v>
      </c>
      <c r="M355" s="52" t="b">
        <v>0</v>
      </c>
      <c r="N355" s="52" t="b">
        <v>0</v>
      </c>
      <c r="O355" s="52" t="b">
        <v>0</v>
      </c>
      <c r="P355" s="52" t="b">
        <v>0</v>
      </c>
      <c r="Q355" s="52" t="b">
        <v>0</v>
      </c>
      <c r="R355" s="44"/>
      <c r="S355" s="44"/>
      <c r="T355" s="44"/>
      <c r="U355" s="44"/>
      <c r="V355" s="44"/>
      <c r="W355" s="44"/>
      <c r="X355" s="45"/>
      <c r="Y355" s="45"/>
      <c r="Z355" s="45"/>
      <c r="AA355" s="45"/>
    </row>
    <row r="356" ht="33.75" customHeight="1">
      <c r="A356" s="46" t="s">
        <v>3700</v>
      </c>
      <c r="B356" s="47" t="s">
        <v>3701</v>
      </c>
      <c r="C356" s="47" t="s">
        <v>3702</v>
      </c>
      <c r="D356" s="29" t="s">
        <v>3703</v>
      </c>
      <c r="E356" s="48" t="str">
        <f>IFERROR(__xludf.DUMMYFUNCTION("GOOGLETRANSLATE(D356,""zh-CN"",""vi"")"),"Lần này chắc chắn là lỗi của tôi.")</f>
        <v>Lần này chắc chắn là lỗi của tôi.</v>
      </c>
      <c r="F356" s="49" t="s">
        <v>3700</v>
      </c>
      <c r="G356" s="50" t="b">
        <f t="shared" si="1"/>
        <v>1</v>
      </c>
      <c r="H356" s="52" t="b">
        <v>1</v>
      </c>
      <c r="I356" s="52" t="b">
        <v>0</v>
      </c>
      <c r="J356" s="52" t="b">
        <v>0</v>
      </c>
      <c r="K356" s="52" t="b">
        <v>0</v>
      </c>
      <c r="L356" s="52" t="b">
        <v>0</v>
      </c>
      <c r="M356" s="52" t="b">
        <v>0</v>
      </c>
      <c r="N356" s="52" t="b">
        <v>0</v>
      </c>
      <c r="O356" s="52" t="b">
        <v>0</v>
      </c>
      <c r="P356" s="52" t="b">
        <v>0</v>
      </c>
      <c r="Q356" s="52" t="b">
        <v>0</v>
      </c>
      <c r="R356" s="44"/>
      <c r="S356" s="44"/>
      <c r="T356" s="44"/>
      <c r="U356" s="44"/>
      <c r="V356" s="44"/>
      <c r="W356" s="44"/>
      <c r="X356" s="45"/>
      <c r="Y356" s="45"/>
      <c r="Z356" s="45"/>
      <c r="AA356" s="45"/>
    </row>
    <row r="357" ht="33.75" customHeight="1">
      <c r="A357" s="70" t="s">
        <v>3704</v>
      </c>
      <c r="B357" s="71" t="s">
        <v>3705</v>
      </c>
      <c r="C357" s="71" t="s">
        <v>3706</v>
      </c>
      <c r="D357" s="72" t="s">
        <v>3707</v>
      </c>
      <c r="E357" s="48" t="str">
        <f>IFERROR(__xludf.DUMMYFUNCTION("GOOGLETRANSLATE(D357,""zh-CN"",""vi"")"),"Tuy nhiên, ông ta đã không thành công.")</f>
        <v>Tuy nhiên, ông ta đã không thành công.</v>
      </c>
      <c r="F357" s="49" t="s">
        <v>3704</v>
      </c>
      <c r="G357" s="50" t="b">
        <f t="shared" si="1"/>
        <v>1</v>
      </c>
      <c r="H357" s="52" t="b">
        <v>1</v>
      </c>
      <c r="I357" s="52" t="b">
        <v>0</v>
      </c>
      <c r="J357" s="52" t="b">
        <v>0</v>
      </c>
      <c r="K357" s="52" t="b">
        <v>0</v>
      </c>
      <c r="L357" s="52" t="b">
        <v>0</v>
      </c>
      <c r="M357" s="52" t="b">
        <v>0</v>
      </c>
      <c r="N357" s="52" t="b">
        <v>0</v>
      </c>
      <c r="O357" s="52" t="b">
        <v>0</v>
      </c>
      <c r="P357" s="52" t="b">
        <v>0</v>
      </c>
      <c r="Q357" s="52" t="b">
        <v>0</v>
      </c>
      <c r="R357" s="44"/>
      <c r="S357" s="44"/>
      <c r="T357" s="44"/>
      <c r="U357" s="44"/>
      <c r="V357" s="44"/>
      <c r="W357" s="44"/>
      <c r="X357" s="45"/>
      <c r="Y357" s="45"/>
      <c r="Z357" s="45"/>
      <c r="AA357" s="45"/>
    </row>
    <row r="358" ht="33.75" customHeight="1">
      <c r="A358" s="46" t="s">
        <v>3708</v>
      </c>
      <c r="B358" s="47" t="s">
        <v>3709</v>
      </c>
      <c r="C358" s="47" t="s">
        <v>3710</v>
      </c>
      <c r="D358" s="29" t="s">
        <v>3711</v>
      </c>
      <c r="E358" s="48" t="str">
        <f>IFERROR(__xludf.DUMMYFUNCTION("GOOGLETRANSLATE(D358,""zh-CN"",""vi"")"),"Khu chợ rất nhộn nhịp.")</f>
        <v>Khu chợ rất nhộn nhịp.</v>
      </c>
      <c r="F358" s="49" t="s">
        <v>3708</v>
      </c>
      <c r="G358" s="50" t="b">
        <f t="shared" si="1"/>
        <v>1</v>
      </c>
      <c r="H358" s="52" t="b">
        <v>1</v>
      </c>
      <c r="I358" s="52" t="b">
        <v>0</v>
      </c>
      <c r="J358" s="52" t="b">
        <v>0</v>
      </c>
      <c r="K358" s="52" t="b">
        <v>0</v>
      </c>
      <c r="L358" s="52" t="b">
        <v>0</v>
      </c>
      <c r="M358" s="52" t="b">
        <v>0</v>
      </c>
      <c r="N358" s="52" t="b">
        <v>0</v>
      </c>
      <c r="O358" s="52" t="b">
        <v>0</v>
      </c>
      <c r="P358" s="52" t="b">
        <v>0</v>
      </c>
      <c r="Q358" s="52" t="b">
        <v>0</v>
      </c>
      <c r="R358" s="44"/>
      <c r="S358" s="44"/>
      <c r="T358" s="44"/>
      <c r="U358" s="44"/>
      <c r="V358" s="44"/>
      <c r="W358" s="44"/>
      <c r="X358" s="45"/>
      <c r="Y358" s="45"/>
      <c r="Z358" s="45"/>
      <c r="AA358" s="45"/>
    </row>
    <row r="359" ht="33.75" customHeight="1">
      <c r="A359" s="46" t="s">
        <v>3712</v>
      </c>
      <c r="B359" s="47" t="s">
        <v>3713</v>
      </c>
      <c r="C359" s="47" t="s">
        <v>3714</v>
      </c>
      <c r="D359" s="29" t="s">
        <v>3715</v>
      </c>
      <c r="E359" s="48" t="str">
        <f>IFERROR(__xludf.DUMMYFUNCTION("GOOGLETRANSLATE(D359,""zh-CN"",""vi"")"),"Bất cứ ai cũng có thể tham gia.")</f>
        <v>Bất cứ ai cũng có thể tham gia.</v>
      </c>
      <c r="F359" s="49" t="s">
        <v>3712</v>
      </c>
      <c r="G359" s="50" t="b">
        <f t="shared" si="1"/>
        <v>1</v>
      </c>
      <c r="H359" s="52" t="b">
        <v>1</v>
      </c>
      <c r="I359" s="52" t="b">
        <v>0</v>
      </c>
      <c r="J359" s="52" t="b">
        <v>0</v>
      </c>
      <c r="K359" s="52" t="b">
        <v>0</v>
      </c>
      <c r="L359" s="52" t="b">
        <v>0</v>
      </c>
      <c r="M359" s="52" t="b">
        <v>0</v>
      </c>
      <c r="N359" s="52" t="b">
        <v>0</v>
      </c>
      <c r="O359" s="52" t="b">
        <v>0</v>
      </c>
      <c r="P359" s="52" t="b">
        <v>0</v>
      </c>
      <c r="Q359" s="52" t="b">
        <v>0</v>
      </c>
      <c r="R359" s="44"/>
      <c r="S359" s="44"/>
      <c r="T359" s="44"/>
      <c r="U359" s="44"/>
      <c r="V359" s="44"/>
      <c r="W359" s="44"/>
      <c r="X359" s="45"/>
      <c r="Y359" s="45"/>
      <c r="Z359" s="45"/>
      <c r="AA359" s="45"/>
    </row>
    <row r="360" ht="33.75" customHeight="1">
      <c r="A360" s="46" t="s">
        <v>3716</v>
      </c>
      <c r="B360" s="47" t="s">
        <v>3717</v>
      </c>
      <c r="C360" s="47" t="s">
        <v>3718</v>
      </c>
      <c r="D360" s="29" t="s">
        <v>3719</v>
      </c>
      <c r="E360" s="48" t="str">
        <f>IFERROR(__xludf.DUMMYFUNCTION("GOOGLETRANSLATE(D360,""zh-CN"",""vi"")"),"Sứ mệnh của chúng tôi là bảo vệ môi trường.")</f>
        <v>Sứ mệnh của chúng tôi là bảo vệ môi trường.</v>
      </c>
      <c r="F360" s="49" t="s">
        <v>3716</v>
      </c>
      <c r="G360" s="50" t="b">
        <f t="shared" si="1"/>
        <v>1</v>
      </c>
      <c r="H360" s="52" t="b">
        <v>1</v>
      </c>
      <c r="I360" s="52" t="b">
        <v>0</v>
      </c>
      <c r="J360" s="52" t="b">
        <v>0</v>
      </c>
      <c r="K360" s="52" t="b">
        <v>0</v>
      </c>
      <c r="L360" s="52" t="b">
        <v>0</v>
      </c>
      <c r="M360" s="52" t="b">
        <v>0</v>
      </c>
      <c r="N360" s="52" t="b">
        <v>0</v>
      </c>
      <c r="O360" s="52" t="b">
        <v>0</v>
      </c>
      <c r="P360" s="52" t="b">
        <v>0</v>
      </c>
      <c r="Q360" s="52" t="b">
        <v>0</v>
      </c>
      <c r="R360" s="44"/>
      <c r="S360" s="44"/>
      <c r="T360" s="44"/>
      <c r="U360" s="44"/>
      <c r="V360" s="44"/>
      <c r="W360" s="44"/>
      <c r="X360" s="45"/>
      <c r="Y360" s="45"/>
      <c r="Z360" s="45"/>
      <c r="AA360" s="45"/>
    </row>
    <row r="361" ht="33.75" customHeight="1">
      <c r="A361" s="46" t="s">
        <v>3720</v>
      </c>
      <c r="B361" s="47" t="s">
        <v>3721</v>
      </c>
      <c r="C361" s="47" t="s">
        <v>3722</v>
      </c>
      <c r="D361" s="29" t="s">
        <v>3723</v>
      </c>
      <c r="E361" s="48" t="str">
        <f>IFERROR(__xludf.DUMMYFUNCTION("GOOGLETRANSLATE(D361,""zh-CN"",""vi"")"),"Vui lòng không xả rác bừa bãi.")</f>
        <v>Vui lòng không xả rác bừa bãi.</v>
      </c>
      <c r="F361" s="49" t="s">
        <v>3720</v>
      </c>
      <c r="G361" s="50" t="b">
        <f t="shared" si="1"/>
        <v>1</v>
      </c>
      <c r="H361" s="52" t="b">
        <v>1</v>
      </c>
      <c r="I361" s="52" t="b">
        <v>0</v>
      </c>
      <c r="J361" s="52" t="b">
        <v>0</v>
      </c>
      <c r="K361" s="52" t="b">
        <v>0</v>
      </c>
      <c r="L361" s="52" t="b">
        <v>0</v>
      </c>
      <c r="M361" s="52" t="b">
        <v>0</v>
      </c>
      <c r="N361" s="52" t="b">
        <v>0</v>
      </c>
      <c r="O361" s="52" t="b">
        <v>0</v>
      </c>
      <c r="P361" s="52" t="b">
        <v>0</v>
      </c>
      <c r="Q361" s="52" t="b">
        <v>0</v>
      </c>
      <c r="R361" s="44"/>
      <c r="S361" s="44"/>
      <c r="T361" s="44"/>
      <c r="U361" s="44"/>
      <c r="V361" s="44"/>
      <c r="W361" s="44"/>
      <c r="X361" s="45"/>
      <c r="Y361" s="45"/>
      <c r="Z361" s="45"/>
      <c r="AA361" s="45"/>
    </row>
    <row r="362" ht="33.75" customHeight="1">
      <c r="A362" s="46" t="s">
        <v>3724</v>
      </c>
      <c r="B362" s="47" t="s">
        <v>3725</v>
      </c>
      <c r="C362" s="47" t="s">
        <v>3726</v>
      </c>
      <c r="D362" s="29" t="s">
        <v>3727</v>
      </c>
      <c r="E362" s="48" t="str">
        <f>IFERROR(__xludf.DUMMYFUNCTION("GOOGLETRANSLATE(D362,""zh-CN"",""vi"")"),"Anh ấy vẫn đang đợi bạn.")</f>
        <v>Anh ấy vẫn đang đợi bạn.</v>
      </c>
      <c r="F362" s="49" t="s">
        <v>3724</v>
      </c>
      <c r="G362" s="50" t="b">
        <f t="shared" si="1"/>
        <v>1</v>
      </c>
      <c r="H362" s="52" t="b">
        <v>1</v>
      </c>
      <c r="I362" s="52" t="b">
        <v>0</v>
      </c>
      <c r="J362" s="52" t="b">
        <v>0</v>
      </c>
      <c r="K362" s="52" t="b">
        <v>0</v>
      </c>
      <c r="L362" s="52" t="b">
        <v>0</v>
      </c>
      <c r="M362" s="52" t="b">
        <v>0</v>
      </c>
      <c r="N362" s="52" t="b">
        <v>0</v>
      </c>
      <c r="O362" s="52" t="b">
        <v>0</v>
      </c>
      <c r="P362" s="52" t="b">
        <v>0</v>
      </c>
      <c r="Q362" s="52" t="b">
        <v>0</v>
      </c>
      <c r="R362" s="44"/>
      <c r="S362" s="44"/>
      <c r="T362" s="44"/>
      <c r="U362" s="44"/>
      <c r="V362" s="44"/>
      <c r="W362" s="44"/>
      <c r="X362" s="45"/>
      <c r="Y362" s="45"/>
      <c r="Z362" s="45"/>
      <c r="AA362" s="45"/>
    </row>
    <row r="363" ht="33.75" customHeight="1">
      <c r="A363" s="46" t="s">
        <v>3728</v>
      </c>
      <c r="B363" s="47" t="s">
        <v>3729</v>
      </c>
      <c r="C363" s="47" t="s">
        <v>3730</v>
      </c>
      <c r="D363" s="29" t="s">
        <v>3731</v>
      </c>
      <c r="E363" s="48" t="str">
        <f>IFERROR(__xludf.DUMMYFUNCTION("GOOGLETRANSLATE(D363,""zh-CN"",""vi"")"),"Tôi viết nhật ký mỗi ngày.")</f>
        <v>Tôi viết nhật ký mỗi ngày.</v>
      </c>
      <c r="F363" s="49" t="s">
        <v>3728</v>
      </c>
      <c r="G363" s="50" t="b">
        <f t="shared" si="1"/>
        <v>1</v>
      </c>
      <c r="H363" s="52" t="b">
        <v>1</v>
      </c>
      <c r="I363" s="52" t="b">
        <v>0</v>
      </c>
      <c r="J363" s="52" t="b">
        <v>0</v>
      </c>
      <c r="K363" s="52" t="b">
        <v>0</v>
      </c>
      <c r="L363" s="52" t="b">
        <v>0</v>
      </c>
      <c r="M363" s="52" t="b">
        <v>0</v>
      </c>
      <c r="N363" s="52" t="b">
        <v>0</v>
      </c>
      <c r="O363" s="52" t="b">
        <v>0</v>
      </c>
      <c r="P363" s="52" t="b">
        <v>0</v>
      </c>
      <c r="Q363" s="52" t="b">
        <v>0</v>
      </c>
      <c r="R363" s="44"/>
      <c r="S363" s="44"/>
      <c r="T363" s="44"/>
      <c r="U363" s="44"/>
      <c r="V363" s="44"/>
      <c r="W363" s="44"/>
      <c r="X363" s="45"/>
      <c r="Y363" s="45"/>
      <c r="Z363" s="45"/>
      <c r="AA363" s="45"/>
    </row>
    <row r="364" ht="33.75" customHeight="1">
      <c r="A364" s="46" t="s">
        <v>3732</v>
      </c>
      <c r="B364" s="47" t="s">
        <v>3733</v>
      </c>
      <c r="C364" s="47" t="s">
        <v>3734</v>
      </c>
      <c r="D364" s="29" t="s">
        <v>3735</v>
      </c>
      <c r="E364" s="48" t="str">
        <f>IFERROR(__xludf.DUMMYFUNCTION("GOOGLETRANSLATE(D364,""zh-CN"",""vi"")"),"Đây là lối vào siêu thị.")</f>
        <v>Đây là lối vào siêu thị.</v>
      </c>
      <c r="F364" s="49" t="s">
        <v>3732</v>
      </c>
      <c r="G364" s="50" t="b">
        <f t="shared" si="1"/>
        <v>1</v>
      </c>
      <c r="H364" s="52" t="b">
        <v>1</v>
      </c>
      <c r="I364" s="52" t="b">
        <v>0</v>
      </c>
      <c r="J364" s="52" t="b">
        <v>0</v>
      </c>
      <c r="K364" s="52" t="b">
        <v>0</v>
      </c>
      <c r="L364" s="52" t="b">
        <v>0</v>
      </c>
      <c r="M364" s="52" t="b">
        <v>0</v>
      </c>
      <c r="N364" s="52" t="b">
        <v>0</v>
      </c>
      <c r="O364" s="52" t="b">
        <v>0</v>
      </c>
      <c r="P364" s="52" t="b">
        <v>0</v>
      </c>
      <c r="Q364" s="52" t="b">
        <v>0</v>
      </c>
      <c r="R364" s="44"/>
      <c r="S364" s="44"/>
      <c r="T364" s="44"/>
      <c r="U364" s="44"/>
      <c r="V364" s="44"/>
      <c r="W364" s="44"/>
      <c r="X364" s="45"/>
      <c r="Y364" s="45"/>
      <c r="Z364" s="45"/>
      <c r="AA364" s="45"/>
    </row>
    <row r="365" ht="33.75" customHeight="1">
      <c r="A365" s="46" t="s">
        <v>3736</v>
      </c>
      <c r="B365" s="47" t="s">
        <v>3737</v>
      </c>
      <c r="C365" s="47" t="s">
        <v>3738</v>
      </c>
      <c r="D365" s="29" t="s">
        <v>3739</v>
      </c>
      <c r="E365" s="48" t="str">
        <f>IFERROR(__xludf.DUMMYFUNCTION("GOOGLETRANSLATE(D365,""zh-CN"",""vi"")"),"Tôi thích đi dạo vào buổi tối.")</f>
        <v>Tôi thích đi dạo vào buổi tối.</v>
      </c>
      <c r="F365" s="49" t="s">
        <v>3736</v>
      </c>
      <c r="G365" s="50" t="b">
        <f t="shared" si="1"/>
        <v>1</v>
      </c>
      <c r="H365" s="52" t="b">
        <v>1</v>
      </c>
      <c r="I365" s="52" t="b">
        <v>0</v>
      </c>
      <c r="J365" s="52" t="b">
        <v>0</v>
      </c>
      <c r="K365" s="52" t="b">
        <v>0</v>
      </c>
      <c r="L365" s="52" t="b">
        <v>0</v>
      </c>
      <c r="M365" s="52" t="b">
        <v>0</v>
      </c>
      <c r="N365" s="52" t="b">
        <v>0</v>
      </c>
      <c r="O365" s="52" t="b">
        <v>0</v>
      </c>
      <c r="P365" s="52" t="b">
        <v>0</v>
      </c>
      <c r="Q365" s="52" t="b">
        <v>0</v>
      </c>
      <c r="R365" s="44"/>
      <c r="S365" s="44"/>
      <c r="T365" s="44"/>
      <c r="U365" s="44"/>
      <c r="V365" s="44"/>
      <c r="W365" s="44"/>
      <c r="X365" s="45"/>
      <c r="Y365" s="45"/>
      <c r="Z365" s="45"/>
      <c r="AA365" s="45"/>
    </row>
    <row r="366" ht="33.75" customHeight="1">
      <c r="A366" s="46" t="s">
        <v>3740</v>
      </c>
      <c r="B366" s="47" t="s">
        <v>3741</v>
      </c>
      <c r="C366" s="47" t="s">
        <v>3742</v>
      </c>
      <c r="D366" s="29" t="s">
        <v>3743</v>
      </c>
      <c r="E366" s="48" t="str">
        <f>IFERROR(__xludf.DUMMYFUNCTION("GOOGLETRANSLATE(D366,""zh-CN"",""vi"")"),"Có rất nhiều loài động vật trong khu rừng này.")</f>
        <v>Có rất nhiều loài động vật trong khu rừng này.</v>
      </c>
      <c r="F366" s="49" t="s">
        <v>3740</v>
      </c>
      <c r="G366" s="50" t="b">
        <f t="shared" si="1"/>
        <v>1</v>
      </c>
      <c r="H366" s="52" t="b">
        <v>1</v>
      </c>
      <c r="I366" s="52" t="b">
        <v>0</v>
      </c>
      <c r="J366" s="52" t="b">
        <v>0</v>
      </c>
      <c r="K366" s="52" t="b">
        <v>0</v>
      </c>
      <c r="L366" s="52" t="b">
        <v>0</v>
      </c>
      <c r="M366" s="52" t="b">
        <v>0</v>
      </c>
      <c r="N366" s="52" t="b">
        <v>0</v>
      </c>
      <c r="O366" s="52" t="b">
        <v>0</v>
      </c>
      <c r="P366" s="52" t="b">
        <v>0</v>
      </c>
      <c r="Q366" s="52" t="b">
        <v>0</v>
      </c>
      <c r="R366" s="44"/>
      <c r="S366" s="44"/>
      <c r="T366" s="44"/>
      <c r="U366" s="44"/>
      <c r="V366" s="44"/>
      <c r="W366" s="44"/>
      <c r="X366" s="45"/>
      <c r="Y366" s="45"/>
      <c r="Z366" s="45"/>
      <c r="AA366" s="45"/>
    </row>
    <row r="367" ht="33.75" customHeight="1">
      <c r="A367" s="46" t="s">
        <v>3744</v>
      </c>
      <c r="B367" s="47" t="s">
        <v>3745</v>
      </c>
      <c r="C367" s="47" t="s">
        <v>3746</v>
      </c>
      <c r="D367" s="29" t="s">
        <v>3747</v>
      </c>
      <c r="E367" s="48" t="str">
        <f>IFERROR(__xludf.DUMMYFUNCTION("GOOGLETRANSLATE(D367,""zh-CN"",""vi"")"),"Trong nhà tôi có một chiếc ghế sofa.")</f>
        <v>Trong nhà tôi có một chiếc ghế sofa.</v>
      </c>
      <c r="F367" s="49" t="s">
        <v>3744</v>
      </c>
      <c r="G367" s="50" t="b">
        <f t="shared" si="1"/>
        <v>1</v>
      </c>
      <c r="H367" s="52" t="b">
        <v>1</v>
      </c>
      <c r="I367" s="52" t="b">
        <v>0</v>
      </c>
      <c r="J367" s="52" t="b">
        <v>0</v>
      </c>
      <c r="K367" s="52" t="b">
        <v>0</v>
      </c>
      <c r="L367" s="52" t="b">
        <v>0</v>
      </c>
      <c r="M367" s="52" t="b">
        <v>0</v>
      </c>
      <c r="N367" s="52" t="b">
        <v>0</v>
      </c>
      <c r="O367" s="52" t="b">
        <v>0</v>
      </c>
      <c r="P367" s="52" t="b">
        <v>0</v>
      </c>
      <c r="Q367" s="52" t="b">
        <v>0</v>
      </c>
      <c r="R367" s="44"/>
      <c r="S367" s="44"/>
      <c r="T367" s="44"/>
      <c r="U367" s="44"/>
      <c r="V367" s="44"/>
      <c r="W367" s="44"/>
      <c r="X367" s="45"/>
      <c r="Y367" s="45"/>
      <c r="Z367" s="45"/>
      <c r="AA367" s="45"/>
    </row>
    <row r="368" ht="33.75" customHeight="1">
      <c r="A368" s="46" t="s">
        <v>3748</v>
      </c>
      <c r="B368" s="47" t="s">
        <v>3749</v>
      </c>
      <c r="C368" s="47" t="s">
        <v>3750</v>
      </c>
      <c r="D368" s="29" t="s">
        <v>3751</v>
      </c>
      <c r="E368" s="48" t="str">
        <f>IFERROR(__xludf.DUMMYFUNCTION("GOOGLETRANSLATE(D368,""zh-CN"",""vi"")"),"Ông ấy rất buồn khi nghe tin này.")</f>
        <v>Ông ấy rất buồn khi nghe tin này.</v>
      </c>
      <c r="F368" s="49" t="s">
        <v>3748</v>
      </c>
      <c r="G368" s="50" t="b">
        <f t="shared" si="1"/>
        <v>1</v>
      </c>
      <c r="H368" s="52" t="b">
        <v>1</v>
      </c>
      <c r="I368" s="52" t="b">
        <v>0</v>
      </c>
      <c r="J368" s="52" t="b">
        <v>0</v>
      </c>
      <c r="K368" s="52" t="b">
        <v>0</v>
      </c>
      <c r="L368" s="52" t="b">
        <v>0</v>
      </c>
      <c r="M368" s="52" t="b">
        <v>0</v>
      </c>
      <c r="N368" s="52" t="b">
        <v>0</v>
      </c>
      <c r="O368" s="52" t="b">
        <v>0</v>
      </c>
      <c r="P368" s="52" t="b">
        <v>0</v>
      </c>
      <c r="Q368" s="52" t="b">
        <v>0</v>
      </c>
      <c r="R368" s="44"/>
      <c r="S368" s="44"/>
      <c r="T368" s="44"/>
      <c r="U368" s="44"/>
      <c r="V368" s="44"/>
      <c r="W368" s="44"/>
      <c r="X368" s="45"/>
      <c r="Y368" s="45"/>
      <c r="Z368" s="45"/>
      <c r="AA368" s="45"/>
    </row>
    <row r="369" ht="33.75" customHeight="1">
      <c r="A369" s="46" t="s">
        <v>3752</v>
      </c>
      <c r="B369" s="47" t="s">
        <v>3753</v>
      </c>
      <c r="C369" s="47" t="s">
        <v>3754</v>
      </c>
      <c r="D369" s="29" t="s">
        <v>3755</v>
      </c>
      <c r="E369" s="48" t="str">
        <f>IFERROR(__xludf.DUMMYFUNCTION("GOOGLETRANSLATE(D369,""zh-CN"",""vi"")"),"Chúng ta cần thảo luận về kế hoạch.")</f>
        <v>Chúng ta cần thảo luận về kế hoạch.</v>
      </c>
      <c r="F369" s="49" t="s">
        <v>3752</v>
      </c>
      <c r="G369" s="50" t="b">
        <f t="shared" si="1"/>
        <v>1</v>
      </c>
      <c r="H369" s="52" t="b">
        <v>1</v>
      </c>
      <c r="I369" s="52" t="b">
        <v>0</v>
      </c>
      <c r="J369" s="52" t="b">
        <v>0</v>
      </c>
      <c r="K369" s="52" t="b">
        <v>0</v>
      </c>
      <c r="L369" s="52" t="b">
        <v>0</v>
      </c>
      <c r="M369" s="52" t="b">
        <v>0</v>
      </c>
      <c r="N369" s="52" t="b">
        <v>0</v>
      </c>
      <c r="O369" s="52" t="b">
        <v>0</v>
      </c>
      <c r="P369" s="52" t="b">
        <v>0</v>
      </c>
      <c r="Q369" s="52" t="b">
        <v>0</v>
      </c>
      <c r="R369" s="44"/>
      <c r="S369" s="44"/>
      <c r="T369" s="44"/>
      <c r="U369" s="44"/>
      <c r="V369" s="44"/>
      <c r="W369" s="44"/>
      <c r="X369" s="45"/>
      <c r="Y369" s="45"/>
      <c r="Z369" s="45"/>
      <c r="AA369" s="45"/>
    </row>
    <row r="370" ht="33.75" customHeight="1">
      <c r="A370" s="46" t="s">
        <v>3756</v>
      </c>
      <c r="B370" s="47" t="s">
        <v>3757</v>
      </c>
      <c r="C370" s="47" t="s">
        <v>3758</v>
      </c>
      <c r="D370" s="29" t="s">
        <v>3759</v>
      </c>
      <c r="E370" s="48" t="str">
        <f>IFERROR(__xludf.DUMMYFUNCTION("GOOGLETRANSLATE(D370,""zh-CN"",""vi"")"),"Vui lòng chờ một chút.")</f>
        <v>Vui lòng chờ một chút.</v>
      </c>
      <c r="F370" s="49" t="s">
        <v>3756</v>
      </c>
      <c r="G370" s="50" t="b">
        <f t="shared" si="1"/>
        <v>1</v>
      </c>
      <c r="H370" s="52" t="b">
        <v>1</v>
      </c>
      <c r="I370" s="52" t="b">
        <v>0</v>
      </c>
      <c r="J370" s="52" t="b">
        <v>0</v>
      </c>
      <c r="K370" s="52" t="b">
        <v>0</v>
      </c>
      <c r="L370" s="52" t="b">
        <v>0</v>
      </c>
      <c r="M370" s="52" t="b">
        <v>0</v>
      </c>
      <c r="N370" s="52" t="b">
        <v>0</v>
      </c>
      <c r="O370" s="52" t="b">
        <v>0</v>
      </c>
      <c r="P370" s="52" t="b">
        <v>0</v>
      </c>
      <c r="Q370" s="52" t="b">
        <v>0</v>
      </c>
      <c r="R370" s="44"/>
      <c r="S370" s="44"/>
      <c r="T370" s="44"/>
      <c r="U370" s="44"/>
      <c r="V370" s="44"/>
      <c r="W370" s="44"/>
      <c r="X370" s="45"/>
      <c r="Y370" s="45"/>
      <c r="Z370" s="45"/>
      <c r="AA370" s="45"/>
    </row>
    <row r="371" ht="33.75" customHeight="1">
      <c r="A371" s="46" t="s">
        <v>3760</v>
      </c>
      <c r="B371" s="47" t="s">
        <v>3761</v>
      </c>
      <c r="C371" s="47" t="s">
        <v>3762</v>
      </c>
      <c r="D371" s="29" t="s">
        <v>3763</v>
      </c>
      <c r="E371" s="48" t="str">
        <f>IFERROR(__xludf.DUMMYFUNCTION("GOOGLETRANSLATE(D371,""zh-CN"",""vi"")"),"Làm ơn đưa cho tôi một cái thìa.")</f>
        <v>Làm ơn đưa cho tôi một cái thìa.</v>
      </c>
      <c r="F371" s="49" t="s">
        <v>3760</v>
      </c>
      <c r="G371" s="50" t="b">
        <f t="shared" si="1"/>
        <v>1</v>
      </c>
      <c r="H371" s="52" t="b">
        <v>1</v>
      </c>
      <c r="I371" s="52" t="b">
        <v>0</v>
      </c>
      <c r="J371" s="52" t="b">
        <v>0</v>
      </c>
      <c r="K371" s="52" t="b">
        <v>0</v>
      </c>
      <c r="L371" s="52" t="b">
        <v>0</v>
      </c>
      <c r="M371" s="52" t="b">
        <v>0</v>
      </c>
      <c r="N371" s="52" t="b">
        <v>0</v>
      </c>
      <c r="O371" s="52" t="b">
        <v>0</v>
      </c>
      <c r="P371" s="52" t="b">
        <v>0</v>
      </c>
      <c r="Q371" s="52" t="b">
        <v>0</v>
      </c>
      <c r="R371" s="44"/>
      <c r="S371" s="44"/>
      <c r="T371" s="44"/>
      <c r="U371" s="44"/>
      <c r="V371" s="44"/>
      <c r="W371" s="44"/>
      <c r="X371" s="45"/>
      <c r="Y371" s="45"/>
      <c r="Z371" s="45"/>
      <c r="AA371" s="45"/>
    </row>
    <row r="372" ht="33.75" customHeight="1">
      <c r="A372" s="46" t="s">
        <v>3764</v>
      </c>
      <c r="B372" s="47" t="s">
        <v>3765</v>
      </c>
      <c r="C372" s="47" t="s">
        <v>3766</v>
      </c>
      <c r="D372" s="29" t="s">
        <v>3767</v>
      </c>
      <c r="E372" s="48" t="str">
        <f>IFERROR(__xludf.DUMMYFUNCTION("GOOGLETRANSLATE(D372,""zh-CN"",""vi"")"),"Xã hội này đang thay đổi rất nhanh chóng.")</f>
        <v>Xã hội này đang thay đổi rất nhanh chóng.</v>
      </c>
      <c r="F372" s="49" t="s">
        <v>3764</v>
      </c>
      <c r="G372" s="50" t="b">
        <f t="shared" si="1"/>
        <v>1</v>
      </c>
      <c r="H372" s="52" t="b">
        <v>1</v>
      </c>
      <c r="I372" s="52" t="b">
        <v>0</v>
      </c>
      <c r="J372" s="52" t="b">
        <v>0</v>
      </c>
      <c r="K372" s="52" t="b">
        <v>0</v>
      </c>
      <c r="L372" s="52" t="b">
        <v>0</v>
      </c>
      <c r="M372" s="52" t="b">
        <v>0</v>
      </c>
      <c r="N372" s="52" t="b">
        <v>0</v>
      </c>
      <c r="O372" s="52" t="b">
        <v>0</v>
      </c>
      <c r="P372" s="52" t="b">
        <v>0</v>
      </c>
      <c r="Q372" s="52" t="b">
        <v>0</v>
      </c>
      <c r="R372" s="44"/>
      <c r="S372" s="44"/>
      <c r="T372" s="44"/>
      <c r="U372" s="44"/>
      <c r="V372" s="44"/>
      <c r="W372" s="44"/>
      <c r="X372" s="45"/>
      <c r="Y372" s="45"/>
      <c r="Z372" s="45"/>
      <c r="AA372" s="45"/>
    </row>
    <row r="373" ht="33.75" customHeight="1">
      <c r="A373" s="46" t="s">
        <v>3768</v>
      </c>
      <c r="B373" s="47" t="s">
        <v>3769</v>
      </c>
      <c r="C373" s="47" t="s">
        <v>3770</v>
      </c>
      <c r="D373" s="29" t="s">
        <v>3771</v>
      </c>
      <c r="E373" s="48" t="str">
        <f>IFERROR(__xludf.DUMMYFUNCTION("GOOGLETRANSLATE(D373,""zh-CN"",""vi"")"),"Tôi đã nộp đơn xin việc mới.")</f>
        <v>Tôi đã nộp đơn xin việc mới.</v>
      </c>
      <c r="F373" s="49" t="s">
        <v>3768</v>
      </c>
      <c r="G373" s="50" t="b">
        <f t="shared" si="1"/>
        <v>1</v>
      </c>
      <c r="H373" s="52" t="b">
        <v>1</v>
      </c>
      <c r="I373" s="52" t="b">
        <v>0</v>
      </c>
      <c r="J373" s="52" t="b">
        <v>0</v>
      </c>
      <c r="K373" s="52" t="b">
        <v>0</v>
      </c>
      <c r="L373" s="52" t="b">
        <v>0</v>
      </c>
      <c r="M373" s="52" t="b">
        <v>0</v>
      </c>
      <c r="N373" s="52" t="b">
        <v>0</v>
      </c>
      <c r="O373" s="52" t="b">
        <v>0</v>
      </c>
      <c r="P373" s="52" t="b">
        <v>0</v>
      </c>
      <c r="Q373" s="52" t="b">
        <v>0</v>
      </c>
      <c r="R373" s="44"/>
      <c r="S373" s="44"/>
      <c r="T373" s="44"/>
      <c r="U373" s="44"/>
      <c r="V373" s="44"/>
      <c r="W373" s="44"/>
      <c r="X373" s="45"/>
      <c r="Y373" s="45"/>
      <c r="Z373" s="45"/>
      <c r="AA373" s="45"/>
    </row>
    <row r="374" ht="33.75" customHeight="1">
      <c r="A374" s="46" t="s">
        <v>3772</v>
      </c>
      <c r="B374" s="47" t="s">
        <v>3773</v>
      </c>
      <c r="C374" s="47" t="s">
        <v>3774</v>
      </c>
      <c r="D374" s="29" t="s">
        <v>3775</v>
      </c>
      <c r="E374" s="48" t="str">
        <f>IFERROR(__xludf.DUMMYFUNCTION("GOOGLETRANSLATE(D374,""zh-CN"",""vi"")"),"Hồ này rất sâu.")</f>
        <v>Hồ này rất sâu.</v>
      </c>
      <c r="F374" s="49" t="s">
        <v>3772</v>
      </c>
      <c r="G374" s="50" t="b">
        <f t="shared" si="1"/>
        <v>1</v>
      </c>
      <c r="H374" s="52" t="b">
        <v>1</v>
      </c>
      <c r="I374" s="52" t="b">
        <v>0</v>
      </c>
      <c r="J374" s="52" t="b">
        <v>0</v>
      </c>
      <c r="K374" s="52" t="b">
        <v>0</v>
      </c>
      <c r="L374" s="52" t="b">
        <v>0</v>
      </c>
      <c r="M374" s="52" t="b">
        <v>0</v>
      </c>
      <c r="N374" s="52" t="b">
        <v>0</v>
      </c>
      <c r="O374" s="52" t="b">
        <v>0</v>
      </c>
      <c r="P374" s="52" t="b">
        <v>0</v>
      </c>
      <c r="Q374" s="52" t="b">
        <v>0</v>
      </c>
      <c r="R374" s="44"/>
      <c r="S374" s="44"/>
      <c r="T374" s="44"/>
      <c r="U374" s="44"/>
      <c r="V374" s="44"/>
      <c r="W374" s="44"/>
      <c r="X374" s="45"/>
      <c r="Y374" s="45"/>
      <c r="Z374" s="45"/>
      <c r="AA374" s="45"/>
    </row>
    <row r="375" ht="33.75" customHeight="1">
      <c r="A375" s="46" t="s">
        <v>3776</v>
      </c>
      <c r="B375" s="47" t="s">
        <v>3777</v>
      </c>
      <c r="C375" s="47" t="s">
        <v>3778</v>
      </c>
      <c r="D375" s="29" t="s">
        <v>3779</v>
      </c>
      <c r="E375" s="48" t="str">
        <f>IFERROR(__xludf.DUMMYFUNCTION("GOOGLETRANSLATE(D375,""zh-CN"",""vi"")"),"Anh ta thậm chí còn không biết tên tôi.")</f>
        <v>Anh ta thậm chí còn không biết tên tôi.</v>
      </c>
      <c r="F375" s="49" t="s">
        <v>3776</v>
      </c>
      <c r="G375" s="50" t="b">
        <f t="shared" si="1"/>
        <v>1</v>
      </c>
      <c r="H375" s="52" t="b">
        <v>1</v>
      </c>
      <c r="I375" s="52" t="b">
        <v>0</v>
      </c>
      <c r="J375" s="52" t="b">
        <v>0</v>
      </c>
      <c r="K375" s="52" t="b">
        <v>0</v>
      </c>
      <c r="L375" s="52" t="b">
        <v>0</v>
      </c>
      <c r="M375" s="52" t="b">
        <v>0</v>
      </c>
      <c r="N375" s="52" t="b">
        <v>0</v>
      </c>
      <c r="O375" s="52" t="b">
        <v>0</v>
      </c>
      <c r="P375" s="52" t="b">
        <v>0</v>
      </c>
      <c r="Q375" s="52" t="b">
        <v>0</v>
      </c>
      <c r="R375" s="44"/>
      <c r="S375" s="44"/>
      <c r="T375" s="44"/>
      <c r="U375" s="44"/>
      <c r="V375" s="44"/>
      <c r="W375" s="44"/>
      <c r="X375" s="45"/>
      <c r="Y375" s="45"/>
      <c r="Z375" s="45"/>
      <c r="AA375" s="45"/>
    </row>
    <row r="376" ht="33.75" customHeight="1">
      <c r="A376" s="46" t="s">
        <v>3780</v>
      </c>
      <c r="B376" s="47" t="s">
        <v>3781</v>
      </c>
      <c r="C376" s="47" t="s">
        <v>3782</v>
      </c>
      <c r="D376" s="29" t="s">
        <v>3783</v>
      </c>
      <c r="E376" s="48" t="str">
        <f>IFERROR(__xludf.DUMMYFUNCTION("GOOGLETRANSLATE(D376,""zh-CN"",""vi"")"),"Chúng tôi rất hạnh phúc.")</f>
        <v>Chúng tôi rất hạnh phúc.</v>
      </c>
      <c r="F376" s="49" t="s">
        <v>3780</v>
      </c>
      <c r="G376" s="50" t="b">
        <f t="shared" si="1"/>
        <v>1</v>
      </c>
      <c r="H376" s="52" t="b">
        <v>1</v>
      </c>
      <c r="I376" s="52" t="b">
        <v>0</v>
      </c>
      <c r="J376" s="52" t="b">
        <v>0</v>
      </c>
      <c r="K376" s="52" t="b">
        <v>0</v>
      </c>
      <c r="L376" s="52" t="b">
        <v>0</v>
      </c>
      <c r="M376" s="52" t="b">
        <v>0</v>
      </c>
      <c r="N376" s="52" t="b">
        <v>0</v>
      </c>
      <c r="O376" s="52" t="b">
        <v>0</v>
      </c>
      <c r="P376" s="52" t="b">
        <v>0</v>
      </c>
      <c r="Q376" s="52" t="b">
        <v>0</v>
      </c>
      <c r="R376" s="44"/>
      <c r="S376" s="44"/>
      <c r="T376" s="44"/>
      <c r="U376" s="44"/>
      <c r="V376" s="44"/>
      <c r="W376" s="44"/>
      <c r="X376" s="45"/>
      <c r="Y376" s="45"/>
      <c r="Z376" s="45"/>
      <c r="AA376" s="45"/>
    </row>
    <row r="377" ht="33.75" customHeight="1">
      <c r="A377" s="46" t="s">
        <v>3784</v>
      </c>
      <c r="B377" s="47" t="s">
        <v>3785</v>
      </c>
      <c r="C377" s="47" t="s">
        <v>3786</v>
      </c>
      <c r="D377" s="29" t="s">
        <v>3787</v>
      </c>
      <c r="E377" s="48" t="str">
        <f>IFERROR(__xludf.DUMMYFUNCTION("GOOGLETRANSLATE(D377,""zh-CN"",""vi"")"),"Cuộc sống là vô cùng quý giá.")</f>
        <v>Cuộc sống là vô cùng quý giá.</v>
      </c>
      <c r="F377" s="49" t="s">
        <v>3784</v>
      </c>
      <c r="G377" s="50" t="b">
        <f t="shared" si="1"/>
        <v>1</v>
      </c>
      <c r="H377" s="52" t="b">
        <v>1</v>
      </c>
      <c r="I377" s="52" t="b">
        <v>0</v>
      </c>
      <c r="J377" s="52" t="b">
        <v>0</v>
      </c>
      <c r="K377" s="52" t="b">
        <v>0</v>
      </c>
      <c r="L377" s="52" t="b">
        <v>0</v>
      </c>
      <c r="M377" s="52" t="b">
        <v>0</v>
      </c>
      <c r="N377" s="52" t="b">
        <v>0</v>
      </c>
      <c r="O377" s="52" t="b">
        <v>0</v>
      </c>
      <c r="P377" s="52" t="b">
        <v>0</v>
      </c>
      <c r="Q377" s="52" t="b">
        <v>0</v>
      </c>
      <c r="R377" s="44"/>
      <c r="S377" s="44"/>
      <c r="T377" s="44"/>
      <c r="U377" s="44"/>
      <c r="V377" s="44"/>
      <c r="W377" s="44"/>
      <c r="X377" s="45"/>
      <c r="Y377" s="45"/>
      <c r="Z377" s="45"/>
      <c r="AA377" s="45"/>
    </row>
    <row r="378" ht="33.75" customHeight="1">
      <c r="A378" s="46" t="s">
        <v>3788</v>
      </c>
      <c r="B378" s="47" t="s">
        <v>3789</v>
      </c>
      <c r="C378" s="47" t="s">
        <v>3790</v>
      </c>
      <c r="D378" s="29" t="s">
        <v>3791</v>
      </c>
      <c r="E378" s="48" t="str">
        <f>IFERROR(__xludf.DUMMYFUNCTION("GOOGLETRANSLATE(D378,""zh-CN"",""vi"")"),"Anh ấy đang làm rất tốt công việc kinh doanh.")</f>
        <v>Anh ấy đang làm rất tốt công việc kinh doanh.</v>
      </c>
      <c r="F378" s="49" t="s">
        <v>3788</v>
      </c>
      <c r="G378" s="50" t="b">
        <f t="shared" si="1"/>
        <v>1</v>
      </c>
      <c r="H378" s="52" t="b">
        <v>1</v>
      </c>
      <c r="I378" s="52" t="b">
        <v>0</v>
      </c>
      <c r="J378" s="52" t="b">
        <v>0</v>
      </c>
      <c r="K378" s="52" t="b">
        <v>0</v>
      </c>
      <c r="L378" s="52" t="b">
        <v>0</v>
      </c>
      <c r="M378" s="52" t="b">
        <v>0</v>
      </c>
      <c r="N378" s="52" t="b">
        <v>0</v>
      </c>
      <c r="O378" s="52" t="b">
        <v>0</v>
      </c>
      <c r="P378" s="52" t="b">
        <v>0</v>
      </c>
      <c r="Q378" s="52" t="b">
        <v>0</v>
      </c>
      <c r="R378" s="44"/>
      <c r="S378" s="44"/>
      <c r="T378" s="44"/>
      <c r="U378" s="44"/>
      <c r="V378" s="44"/>
      <c r="W378" s="44"/>
      <c r="X378" s="45"/>
      <c r="Y378" s="45"/>
      <c r="Z378" s="45"/>
      <c r="AA378" s="45"/>
    </row>
    <row r="379" ht="33.75" customHeight="1">
      <c r="A379" s="46" t="s">
        <v>3792</v>
      </c>
      <c r="B379" s="47" t="s">
        <v>3793</v>
      </c>
      <c r="C379" s="47" t="s">
        <v>3794</v>
      </c>
      <c r="D379" s="29" t="s">
        <v>3795</v>
      </c>
      <c r="E379" s="48" t="str">
        <f>IFERROR(__xludf.DUMMYFUNCTION("GOOGLETRANSLATE(D379,""zh-CN"",""vi"")"),"Chúng tôi sống ở tỉnh Bắc Giang.")</f>
        <v>Chúng tôi sống ở tỉnh Bắc Giang.</v>
      </c>
      <c r="F379" s="49" t="s">
        <v>3792</v>
      </c>
      <c r="G379" s="50" t="b">
        <f t="shared" si="1"/>
        <v>1</v>
      </c>
      <c r="H379" s="52" t="b">
        <v>1</v>
      </c>
      <c r="I379" s="52" t="b">
        <v>0</v>
      </c>
      <c r="J379" s="52" t="b">
        <v>0</v>
      </c>
      <c r="K379" s="52" t="b">
        <v>0</v>
      </c>
      <c r="L379" s="52" t="b">
        <v>0</v>
      </c>
      <c r="M379" s="52" t="b">
        <v>0</v>
      </c>
      <c r="N379" s="52" t="b">
        <v>0</v>
      </c>
      <c r="O379" s="52" t="b">
        <v>0</v>
      </c>
      <c r="P379" s="52" t="b">
        <v>0</v>
      </c>
      <c r="Q379" s="52" t="b">
        <v>0</v>
      </c>
      <c r="R379" s="44"/>
      <c r="S379" s="44"/>
      <c r="T379" s="44"/>
      <c r="U379" s="44"/>
      <c r="V379" s="44"/>
      <c r="W379" s="44"/>
      <c r="X379" s="45"/>
      <c r="Y379" s="45"/>
      <c r="Z379" s="45"/>
      <c r="AA379" s="45"/>
    </row>
    <row r="380" ht="33.75" customHeight="1">
      <c r="A380" s="46" t="s">
        <v>3796</v>
      </c>
      <c r="B380" s="47" t="s">
        <v>3797</v>
      </c>
      <c r="C380" s="47" t="s">
        <v>3798</v>
      </c>
      <c r="D380" s="72" t="s">
        <v>3799</v>
      </c>
      <c r="E380" s="48" t="str">
        <f>IFERROR(__xludf.DUMMYFUNCTION("GOOGLETRANSLATE(D380,""zh-CN"",""vi"")"),"Chúng ta sẽ phải tự lực cánh sinh cho phần còn lại của hành trình.")</f>
        <v>Chúng ta sẽ phải tự lực cánh sinh cho phần còn lại của hành trình.</v>
      </c>
      <c r="F380" s="49" t="s">
        <v>3796</v>
      </c>
      <c r="G380" s="50" t="b">
        <f t="shared" si="1"/>
        <v>1</v>
      </c>
      <c r="H380" s="52" t="b">
        <v>1</v>
      </c>
      <c r="I380" s="52" t="b">
        <v>0</v>
      </c>
      <c r="J380" s="52" t="b">
        <v>0</v>
      </c>
      <c r="K380" s="52" t="b">
        <v>0</v>
      </c>
      <c r="L380" s="52" t="b">
        <v>0</v>
      </c>
      <c r="M380" s="52" t="b">
        <v>0</v>
      </c>
      <c r="N380" s="52" t="b">
        <v>0</v>
      </c>
      <c r="O380" s="52" t="b">
        <v>0</v>
      </c>
      <c r="P380" s="52" t="b">
        <v>0</v>
      </c>
      <c r="Q380" s="52" t="b">
        <v>0</v>
      </c>
      <c r="R380" s="44"/>
      <c r="S380" s="44"/>
      <c r="T380" s="44"/>
      <c r="U380" s="44"/>
      <c r="V380" s="44"/>
      <c r="W380" s="44"/>
      <c r="X380" s="45"/>
      <c r="Y380" s="45"/>
      <c r="Z380" s="45"/>
      <c r="AA380" s="45"/>
    </row>
    <row r="381" ht="33.75" customHeight="1">
      <c r="A381" s="46" t="s">
        <v>3800</v>
      </c>
      <c r="B381" s="47" t="s">
        <v>3801</v>
      </c>
      <c r="C381" s="47" t="s">
        <v>3802</v>
      </c>
      <c r="D381" s="29" t="s">
        <v>3803</v>
      </c>
      <c r="E381" s="48" t="str">
        <f>IFERROR(__xludf.DUMMYFUNCTION("GOOGLETRANSLATE(D381,""zh-CN"",""vi"")"),"Anh ấy chưa bao giờ thất bại.")</f>
        <v>Anh ấy chưa bao giờ thất bại.</v>
      </c>
      <c r="F381" s="49" t="s">
        <v>3800</v>
      </c>
      <c r="G381" s="50" t="b">
        <f t="shared" si="1"/>
        <v>1</v>
      </c>
      <c r="H381" s="52" t="b">
        <v>1</v>
      </c>
      <c r="I381" s="52" t="b">
        <v>0</v>
      </c>
      <c r="J381" s="52" t="b">
        <v>0</v>
      </c>
      <c r="K381" s="52" t="b">
        <v>0</v>
      </c>
      <c r="L381" s="52" t="b">
        <v>0</v>
      </c>
      <c r="M381" s="52" t="b">
        <v>0</v>
      </c>
      <c r="N381" s="52" t="b">
        <v>0</v>
      </c>
      <c r="O381" s="52" t="b">
        <v>0</v>
      </c>
      <c r="P381" s="52" t="b">
        <v>0</v>
      </c>
      <c r="Q381" s="52" t="b">
        <v>0</v>
      </c>
      <c r="R381" s="44"/>
      <c r="S381" s="44"/>
      <c r="T381" s="44"/>
      <c r="U381" s="44"/>
      <c r="V381" s="44"/>
      <c r="W381" s="44"/>
      <c r="X381" s="45"/>
      <c r="Y381" s="45"/>
      <c r="Z381" s="45"/>
      <c r="AA381" s="45"/>
    </row>
    <row r="382" ht="33.75" customHeight="1">
      <c r="A382" s="46" t="s">
        <v>3804</v>
      </c>
      <c r="B382" s="47" t="s">
        <v>3805</v>
      </c>
      <c r="C382" s="47" t="s">
        <v>3806</v>
      </c>
      <c r="D382" s="29" t="s">
        <v>3807</v>
      </c>
      <c r="E382" s="48" t="str">
        <f>IFERROR(__xludf.DUMMYFUNCTION("GOOGLETRANSLATE(D382,""zh-CN"",""vi"")"),"Kết quả thật đáng thất vọng.")</f>
        <v>Kết quả thật đáng thất vọng.</v>
      </c>
      <c r="F382" s="49" t="s">
        <v>3804</v>
      </c>
      <c r="G382" s="50" t="b">
        <f t="shared" si="1"/>
        <v>1</v>
      </c>
      <c r="H382" s="52" t="b">
        <v>1</v>
      </c>
      <c r="I382" s="52" t="b">
        <v>0</v>
      </c>
      <c r="J382" s="52" t="b">
        <v>0</v>
      </c>
      <c r="K382" s="52" t="b">
        <v>0</v>
      </c>
      <c r="L382" s="52" t="b">
        <v>0</v>
      </c>
      <c r="M382" s="52" t="b">
        <v>0</v>
      </c>
      <c r="N382" s="52" t="b">
        <v>0</v>
      </c>
      <c r="O382" s="52" t="b">
        <v>0</v>
      </c>
      <c r="P382" s="52" t="b">
        <v>0</v>
      </c>
      <c r="Q382" s="52" t="b">
        <v>0</v>
      </c>
      <c r="R382" s="44"/>
      <c r="S382" s="44"/>
      <c r="T382" s="44"/>
      <c r="U382" s="44"/>
      <c r="V382" s="44"/>
      <c r="W382" s="44"/>
      <c r="X382" s="45"/>
      <c r="Y382" s="45"/>
      <c r="Z382" s="45"/>
      <c r="AA382" s="45"/>
    </row>
    <row r="383" ht="33.75" customHeight="1">
      <c r="A383" s="46" t="s">
        <v>3808</v>
      </c>
      <c r="B383" s="47" t="s">
        <v>3809</v>
      </c>
      <c r="C383" s="47" t="s">
        <v>3810</v>
      </c>
      <c r="D383" s="29" t="s">
        <v>3811</v>
      </c>
      <c r="E383" s="48" t="str">
        <f>IFERROR(__xludf.DUMMYFUNCTION("GOOGLETRANSLATE(D383,""zh-CN"",""vi"")"),"Bác tài xế, làm ơn dạy tôi lái xe.")</f>
        <v>Bác tài xế, làm ơn dạy tôi lái xe.</v>
      </c>
      <c r="F383" s="49" t="s">
        <v>3808</v>
      </c>
      <c r="G383" s="50" t="b">
        <f t="shared" si="1"/>
        <v>1</v>
      </c>
      <c r="H383" s="52" t="b">
        <v>1</v>
      </c>
      <c r="I383" s="52" t="b">
        <v>0</v>
      </c>
      <c r="J383" s="52" t="b">
        <v>0</v>
      </c>
      <c r="K383" s="52" t="b">
        <v>0</v>
      </c>
      <c r="L383" s="52" t="b">
        <v>0</v>
      </c>
      <c r="M383" s="52" t="b">
        <v>0</v>
      </c>
      <c r="N383" s="52" t="b">
        <v>0</v>
      </c>
      <c r="O383" s="52" t="b">
        <v>0</v>
      </c>
      <c r="P383" s="52" t="b">
        <v>0</v>
      </c>
      <c r="Q383" s="52" t="b">
        <v>0</v>
      </c>
      <c r="R383" s="44"/>
      <c r="S383" s="44"/>
      <c r="T383" s="44"/>
      <c r="U383" s="44"/>
      <c r="V383" s="44"/>
      <c r="W383" s="44"/>
      <c r="X383" s="45"/>
      <c r="Y383" s="45"/>
      <c r="Z383" s="45"/>
      <c r="AA383" s="45"/>
    </row>
    <row r="384" ht="33.75" customHeight="1">
      <c r="A384" s="46" t="s">
        <v>3812</v>
      </c>
      <c r="B384" s="47" t="s">
        <v>3813</v>
      </c>
      <c r="C384" s="47" t="s">
        <v>3814</v>
      </c>
      <c r="D384" s="29" t="s">
        <v>3815</v>
      </c>
      <c r="E384" s="48" t="str">
        <f>IFERROR(__xludf.DUMMYFUNCTION("GOOGLETRANSLATE(D384,""zh-CN"",""vi"")"),"Anh ấy rất thông minh.")</f>
        <v>Anh ấy rất thông minh.</v>
      </c>
      <c r="F384" s="49" t="s">
        <v>3812</v>
      </c>
      <c r="G384" s="50" t="b">
        <f t="shared" si="1"/>
        <v>1</v>
      </c>
      <c r="H384" s="52" t="b">
        <v>1</v>
      </c>
      <c r="I384" s="52" t="b">
        <v>0</v>
      </c>
      <c r="J384" s="52" t="b">
        <v>0</v>
      </c>
      <c r="K384" s="52" t="b">
        <v>0</v>
      </c>
      <c r="L384" s="52" t="b">
        <v>0</v>
      </c>
      <c r="M384" s="52" t="b">
        <v>0</v>
      </c>
      <c r="N384" s="52" t="b">
        <v>0</v>
      </c>
      <c r="O384" s="52" t="b">
        <v>0</v>
      </c>
      <c r="P384" s="52" t="b">
        <v>0</v>
      </c>
      <c r="Q384" s="52" t="b">
        <v>0</v>
      </c>
      <c r="R384" s="44"/>
      <c r="S384" s="44"/>
      <c r="T384" s="44"/>
      <c r="U384" s="44"/>
      <c r="V384" s="44"/>
      <c r="W384" s="44"/>
      <c r="X384" s="45"/>
      <c r="Y384" s="45"/>
      <c r="Z384" s="45"/>
      <c r="AA384" s="45"/>
    </row>
    <row r="385" ht="33.75" customHeight="1">
      <c r="A385" s="46" t="s">
        <v>3816</v>
      </c>
      <c r="B385" s="47" t="s">
        <v>3817</v>
      </c>
      <c r="C385" s="47" t="s">
        <v>3818</v>
      </c>
      <c r="D385" s="29" t="s">
        <v>3819</v>
      </c>
      <c r="E385" s="48" t="str">
        <f>IFERROR(__xludf.DUMMYFUNCTION("GOOGLETRANSLATE(D385,""zh-CN"",""vi"")"),"Đề xuất của anh ấy rất thiết thực.")</f>
        <v>Đề xuất của anh ấy rất thiết thực.</v>
      </c>
      <c r="F385" s="49" t="s">
        <v>3816</v>
      </c>
      <c r="G385" s="50" t="b">
        <f t="shared" si="1"/>
        <v>1</v>
      </c>
      <c r="H385" s="52" t="b">
        <v>1</v>
      </c>
      <c r="I385" s="52" t="b">
        <v>0</v>
      </c>
      <c r="J385" s="52" t="b">
        <v>0</v>
      </c>
      <c r="K385" s="52" t="b">
        <v>0</v>
      </c>
      <c r="L385" s="52" t="b">
        <v>0</v>
      </c>
      <c r="M385" s="52" t="b">
        <v>0</v>
      </c>
      <c r="N385" s="52" t="b">
        <v>0</v>
      </c>
      <c r="O385" s="52" t="b">
        <v>0</v>
      </c>
      <c r="P385" s="52" t="b">
        <v>0</v>
      </c>
      <c r="Q385" s="52" t="b">
        <v>0</v>
      </c>
      <c r="R385" s="44"/>
      <c r="S385" s="44"/>
      <c r="T385" s="44"/>
      <c r="U385" s="44"/>
      <c r="V385" s="44"/>
      <c r="W385" s="44"/>
      <c r="X385" s="45"/>
      <c r="Y385" s="45"/>
      <c r="Z385" s="45"/>
      <c r="AA385" s="45"/>
    </row>
    <row r="386" ht="33.75" customHeight="1">
      <c r="A386" s="46" t="s">
        <v>3820</v>
      </c>
      <c r="B386" s="47" t="s">
        <v>3821</v>
      </c>
      <c r="C386" s="47" t="s">
        <v>3702</v>
      </c>
      <c r="D386" s="29" t="s">
        <v>3822</v>
      </c>
      <c r="E386" s="48" t="str">
        <f>IFERROR(__xludf.DUMMYFUNCTION("GOOGLETRANSLATE(D386,""zh-CN"",""vi"")"),"Câu chuyện này thật cảm động.")</f>
        <v>Câu chuyện này thật cảm động.</v>
      </c>
      <c r="F386" s="49" t="s">
        <v>3820</v>
      </c>
      <c r="G386" s="50" t="b">
        <f t="shared" si="1"/>
        <v>1</v>
      </c>
      <c r="H386" s="52" t="b">
        <v>1</v>
      </c>
      <c r="I386" s="52" t="b">
        <v>0</v>
      </c>
      <c r="J386" s="52" t="b">
        <v>0</v>
      </c>
      <c r="K386" s="52" t="b">
        <v>0</v>
      </c>
      <c r="L386" s="52" t="b">
        <v>0</v>
      </c>
      <c r="M386" s="52" t="b">
        <v>0</v>
      </c>
      <c r="N386" s="52" t="b">
        <v>0</v>
      </c>
      <c r="O386" s="52" t="b">
        <v>0</v>
      </c>
      <c r="P386" s="52" t="b">
        <v>0</v>
      </c>
      <c r="Q386" s="52" t="b">
        <v>0</v>
      </c>
      <c r="R386" s="44"/>
      <c r="S386" s="44"/>
      <c r="T386" s="44"/>
      <c r="U386" s="44"/>
      <c r="V386" s="44"/>
      <c r="W386" s="44"/>
      <c r="X386" s="45"/>
      <c r="Y386" s="45"/>
      <c r="Z386" s="45"/>
      <c r="AA386" s="45"/>
    </row>
    <row r="387" ht="33.75" customHeight="1">
      <c r="A387" s="46" t="s">
        <v>2757</v>
      </c>
      <c r="B387" s="47" t="s">
        <v>2758</v>
      </c>
      <c r="C387" s="47" t="s">
        <v>3823</v>
      </c>
      <c r="D387" s="72" t="s">
        <v>3824</v>
      </c>
      <c r="E387" s="48" t="str">
        <f>IFERROR(__xludf.DUMMYFUNCTION("GOOGLETRANSLATE(D387,""zh-CN"",""vi"")"),"Màn trình diễn của cô ấy đã làm khán giả vô cùng phấn khích.")</f>
        <v>Màn trình diễn của cô ấy đã làm khán giả vô cùng phấn khích.</v>
      </c>
      <c r="F387" s="49" t="s">
        <v>2757</v>
      </c>
      <c r="G387" s="50" t="b">
        <f t="shared" si="1"/>
        <v>1</v>
      </c>
      <c r="H387" s="52" t="b">
        <v>1</v>
      </c>
      <c r="I387" s="52" t="b">
        <v>0</v>
      </c>
      <c r="J387" s="52" t="b">
        <v>0</v>
      </c>
      <c r="K387" s="52" t="b">
        <v>0</v>
      </c>
      <c r="L387" s="52" t="b">
        <v>0</v>
      </c>
      <c r="M387" s="52" t="b">
        <v>0</v>
      </c>
      <c r="N387" s="52" t="b">
        <v>0</v>
      </c>
      <c r="O387" s="52" t="b">
        <v>0</v>
      </c>
      <c r="P387" s="52" t="b">
        <v>0</v>
      </c>
      <c r="Q387" s="52" t="b">
        <v>0</v>
      </c>
      <c r="R387" s="44"/>
      <c r="S387" s="44"/>
      <c r="T387" s="44"/>
      <c r="U387" s="44"/>
      <c r="V387" s="44"/>
      <c r="W387" s="44"/>
      <c r="X387" s="45"/>
      <c r="Y387" s="45"/>
      <c r="Z387" s="45"/>
      <c r="AA387" s="45"/>
    </row>
    <row r="388" ht="33.75" customHeight="1">
      <c r="A388" s="46" t="s">
        <v>3825</v>
      </c>
      <c r="B388" s="47" t="s">
        <v>3826</v>
      </c>
      <c r="C388" s="47" t="s">
        <v>3827</v>
      </c>
      <c r="D388" s="29" t="s">
        <v>3828</v>
      </c>
      <c r="E388" s="48" t="str">
        <f>IFERROR(__xludf.DUMMYFUNCTION("GOOGLETRANSLATE(D388,""zh-CN"",""vi"")"),"Vui lòng không sử dụng đồ dùng của người khác mà không được phép.")</f>
        <v>Vui lòng không sử dụng đồ dùng của người khác mà không được phép.</v>
      </c>
      <c r="F388" s="49" t="s">
        <v>3825</v>
      </c>
      <c r="G388" s="50" t="b">
        <f t="shared" si="1"/>
        <v>1</v>
      </c>
      <c r="H388" s="52" t="b">
        <v>1</v>
      </c>
      <c r="I388" s="52" t="b">
        <v>0</v>
      </c>
      <c r="J388" s="52" t="b">
        <v>0</v>
      </c>
      <c r="K388" s="52" t="b">
        <v>0</v>
      </c>
      <c r="L388" s="52" t="b">
        <v>0</v>
      </c>
      <c r="M388" s="52" t="b">
        <v>0</v>
      </c>
      <c r="N388" s="52" t="b">
        <v>0</v>
      </c>
      <c r="O388" s="52" t="b">
        <v>0</v>
      </c>
      <c r="P388" s="52" t="b">
        <v>0</v>
      </c>
      <c r="Q388" s="52" t="b">
        <v>0</v>
      </c>
      <c r="R388" s="44"/>
      <c r="S388" s="44"/>
      <c r="T388" s="44"/>
      <c r="U388" s="44"/>
      <c r="V388" s="44"/>
      <c r="W388" s="44"/>
      <c r="X388" s="45"/>
      <c r="Y388" s="45"/>
      <c r="Z388" s="45"/>
      <c r="AA388" s="45"/>
    </row>
    <row r="389" ht="33.75" customHeight="1">
      <c r="A389" s="46" t="s">
        <v>3829</v>
      </c>
      <c r="B389" s="47" t="s">
        <v>3830</v>
      </c>
      <c r="C389" s="47" t="s">
        <v>3831</v>
      </c>
      <c r="D389" s="29" t="s">
        <v>3832</v>
      </c>
      <c r="E389" s="48" t="str">
        <f>IFERROR(__xludf.DUMMYFUNCTION("GOOGLETRANSLATE(D389,""zh-CN"",""vi"")"),"Đây là công nghệ của thế kỷ 21.")</f>
        <v>Đây là công nghệ của thế kỷ 21.</v>
      </c>
      <c r="F389" s="49" t="s">
        <v>3829</v>
      </c>
      <c r="G389" s="50" t="b">
        <f t="shared" si="1"/>
        <v>1</v>
      </c>
      <c r="H389" s="52" t="b">
        <v>1</v>
      </c>
      <c r="I389" s="52" t="b">
        <v>0</v>
      </c>
      <c r="J389" s="52" t="b">
        <v>0</v>
      </c>
      <c r="K389" s="52" t="b">
        <v>0</v>
      </c>
      <c r="L389" s="52" t="b">
        <v>0</v>
      </c>
      <c r="M389" s="52" t="b">
        <v>0</v>
      </c>
      <c r="N389" s="52" t="b">
        <v>0</v>
      </c>
      <c r="O389" s="52" t="b">
        <v>0</v>
      </c>
      <c r="P389" s="52" t="b">
        <v>0</v>
      </c>
      <c r="Q389" s="52" t="b">
        <v>0</v>
      </c>
      <c r="R389" s="44"/>
      <c r="S389" s="44"/>
      <c r="T389" s="44"/>
      <c r="U389" s="44"/>
      <c r="V389" s="44"/>
      <c r="W389" s="44"/>
      <c r="X389" s="45"/>
      <c r="Y389" s="45"/>
      <c r="Z389" s="45"/>
      <c r="AA389" s="45"/>
    </row>
    <row r="390" ht="33.75" customHeight="1">
      <c r="A390" s="46" t="s">
        <v>3833</v>
      </c>
      <c r="B390" s="47" t="s">
        <v>3834</v>
      </c>
      <c r="C390" s="47" t="s">
        <v>3835</v>
      </c>
      <c r="D390" s="29" t="s">
        <v>3836</v>
      </c>
      <c r="E390" s="48" t="str">
        <f>IFERROR(__xludf.DUMMYFUNCTION("GOOGLETRANSLATE(D390,""zh-CN"",""vi"")"),"Chưa rõ liệu ông ấy có đồng ý hay không.")</f>
        <v>Chưa rõ liệu ông ấy có đồng ý hay không.</v>
      </c>
      <c r="F390" s="49" t="s">
        <v>3833</v>
      </c>
      <c r="G390" s="50" t="b">
        <f t="shared" si="1"/>
        <v>1</v>
      </c>
      <c r="H390" s="52" t="b">
        <v>1</v>
      </c>
      <c r="I390" s="52" t="b">
        <v>0</v>
      </c>
      <c r="J390" s="52" t="b">
        <v>0</v>
      </c>
      <c r="K390" s="52" t="b">
        <v>0</v>
      </c>
      <c r="L390" s="52" t="b">
        <v>0</v>
      </c>
      <c r="M390" s="52" t="b">
        <v>0</v>
      </c>
      <c r="N390" s="52" t="b">
        <v>0</v>
      </c>
      <c r="O390" s="52" t="b">
        <v>0</v>
      </c>
      <c r="P390" s="52" t="b">
        <v>0</v>
      </c>
      <c r="Q390" s="52" t="b">
        <v>0</v>
      </c>
      <c r="R390" s="44"/>
      <c r="S390" s="44"/>
      <c r="T390" s="44"/>
      <c r="U390" s="44"/>
      <c r="V390" s="44"/>
      <c r="W390" s="44"/>
      <c r="X390" s="45"/>
      <c r="Y390" s="45"/>
      <c r="Z390" s="45"/>
      <c r="AA390" s="45"/>
    </row>
    <row r="391" ht="33.75" customHeight="1">
      <c r="A391" s="46" t="s">
        <v>3837</v>
      </c>
      <c r="B391" s="47" t="s">
        <v>3838</v>
      </c>
      <c r="C391" s="47" t="s">
        <v>2107</v>
      </c>
      <c r="D391" s="29" t="s">
        <v>3839</v>
      </c>
      <c r="E391" s="48" t="str">
        <f>IFERROR(__xludf.DUMMYFUNCTION("GOOGLETRANSLATE(D391,""zh-CN"",""vi"")"),"Bộ trang phục này rất hợp với bạn.")</f>
        <v>Bộ trang phục này rất hợp với bạn.</v>
      </c>
      <c r="F391" s="49" t="s">
        <v>3837</v>
      </c>
      <c r="G391" s="50" t="b">
        <f t="shared" si="1"/>
        <v>1</v>
      </c>
      <c r="H391" s="52" t="b">
        <v>1</v>
      </c>
      <c r="I391" s="52" t="b">
        <v>0</v>
      </c>
      <c r="J391" s="52" t="b">
        <v>0</v>
      </c>
      <c r="K391" s="52" t="b">
        <v>0</v>
      </c>
      <c r="L391" s="52" t="b">
        <v>0</v>
      </c>
      <c r="M391" s="52" t="b">
        <v>0</v>
      </c>
      <c r="N391" s="52" t="b">
        <v>0</v>
      </c>
      <c r="O391" s="52" t="b">
        <v>0</v>
      </c>
      <c r="P391" s="52" t="b">
        <v>0</v>
      </c>
      <c r="Q391" s="52" t="b">
        <v>0</v>
      </c>
      <c r="R391" s="44"/>
      <c r="S391" s="44"/>
      <c r="T391" s="44"/>
      <c r="U391" s="44"/>
      <c r="V391" s="44"/>
      <c r="W391" s="44"/>
      <c r="X391" s="45"/>
      <c r="Y391" s="45"/>
      <c r="Z391" s="45"/>
      <c r="AA391" s="45"/>
    </row>
    <row r="392" ht="33.75" customHeight="1">
      <c r="A392" s="46" t="s">
        <v>3840</v>
      </c>
      <c r="B392" s="47" t="s">
        <v>3841</v>
      </c>
      <c r="C392" s="47" t="s">
        <v>3842</v>
      </c>
      <c r="D392" s="29" t="s">
        <v>3843</v>
      </c>
      <c r="E392" s="48" t="str">
        <f>IFERROR(__xludf.DUMMYFUNCTION("GOOGLETRANSLATE(D392,""zh-CN"",""vi"")"),"Anh ấy đã thích nghi với môi trường mới.")</f>
        <v>Anh ấy đã thích nghi với môi trường mới.</v>
      </c>
      <c r="F392" s="49" t="s">
        <v>3840</v>
      </c>
      <c r="G392" s="50" t="b">
        <f t="shared" si="1"/>
        <v>1</v>
      </c>
      <c r="H392" s="52" t="b">
        <v>1</v>
      </c>
      <c r="I392" s="52" t="b">
        <v>0</v>
      </c>
      <c r="J392" s="52" t="b">
        <v>0</v>
      </c>
      <c r="K392" s="52" t="b">
        <v>0</v>
      </c>
      <c r="L392" s="52" t="b">
        <v>0</v>
      </c>
      <c r="M392" s="52" t="b">
        <v>0</v>
      </c>
      <c r="N392" s="52" t="b">
        <v>0</v>
      </c>
      <c r="O392" s="52" t="b">
        <v>0</v>
      </c>
      <c r="P392" s="52" t="b">
        <v>0</v>
      </c>
      <c r="Q392" s="52" t="b">
        <v>0</v>
      </c>
      <c r="R392" s="44"/>
      <c r="S392" s="44"/>
      <c r="T392" s="44"/>
      <c r="U392" s="44"/>
      <c r="V392" s="44"/>
      <c r="W392" s="44"/>
      <c r="X392" s="45"/>
      <c r="Y392" s="45"/>
      <c r="Z392" s="45"/>
      <c r="AA392" s="45"/>
    </row>
    <row r="393" ht="33.75" customHeight="1">
      <c r="A393" s="46" t="s">
        <v>3844</v>
      </c>
      <c r="B393" s="47" t="s">
        <v>3845</v>
      </c>
      <c r="C393" s="47" t="s">
        <v>3846</v>
      </c>
      <c r="D393" s="29" t="s">
        <v>3847</v>
      </c>
      <c r="E393" s="48" t="str">
        <f>IFERROR(__xludf.DUMMYFUNCTION("GOOGLETRANSLATE(D393,""zh-CN"",""vi"")"),"Vui lòng nhận gói hàng này.")</f>
        <v>Vui lòng nhận gói hàng này.</v>
      </c>
      <c r="F393" s="49" t="s">
        <v>3844</v>
      </c>
      <c r="G393" s="50" t="b">
        <f t="shared" si="1"/>
        <v>1</v>
      </c>
      <c r="H393" s="52" t="b">
        <v>1</v>
      </c>
      <c r="I393" s="52" t="b">
        <v>0</v>
      </c>
      <c r="J393" s="52" t="b">
        <v>0</v>
      </c>
      <c r="K393" s="52" t="b">
        <v>0</v>
      </c>
      <c r="L393" s="52" t="b">
        <v>0</v>
      </c>
      <c r="M393" s="52" t="b">
        <v>0</v>
      </c>
      <c r="N393" s="52" t="b">
        <v>0</v>
      </c>
      <c r="O393" s="52" t="b">
        <v>0</v>
      </c>
      <c r="P393" s="52" t="b">
        <v>0</v>
      </c>
      <c r="Q393" s="52" t="b">
        <v>0</v>
      </c>
      <c r="R393" s="44"/>
      <c r="S393" s="44"/>
      <c r="T393" s="44"/>
      <c r="U393" s="44"/>
      <c r="V393" s="44"/>
      <c r="W393" s="44"/>
      <c r="X393" s="45"/>
      <c r="Y393" s="45"/>
      <c r="Z393" s="45"/>
      <c r="AA393" s="45"/>
    </row>
    <row r="394" ht="33.75" customHeight="1">
      <c r="A394" s="46" t="s">
        <v>3848</v>
      </c>
      <c r="B394" s="47" t="s">
        <v>3849</v>
      </c>
      <c r="C394" s="47" t="s">
        <v>3850</v>
      </c>
      <c r="D394" s="29" t="s">
        <v>3851</v>
      </c>
      <c r="E394" s="48" t="str">
        <f>IFERROR(__xludf.DUMMYFUNCTION("GOOGLETRANSLATE(D394,""zh-CN"",""vi"")"),"Thu nhập của anh ấy rất cao.")</f>
        <v>Thu nhập của anh ấy rất cao.</v>
      </c>
      <c r="F394" s="49" t="s">
        <v>3848</v>
      </c>
      <c r="G394" s="50" t="b">
        <f t="shared" si="1"/>
        <v>1</v>
      </c>
      <c r="H394" s="52" t="b">
        <v>1</v>
      </c>
      <c r="I394" s="52" t="b">
        <v>0</v>
      </c>
      <c r="J394" s="52" t="b">
        <v>0</v>
      </c>
      <c r="K394" s="52" t="b">
        <v>0</v>
      </c>
      <c r="L394" s="52" t="b">
        <v>0</v>
      </c>
      <c r="M394" s="52" t="b">
        <v>0</v>
      </c>
      <c r="N394" s="52" t="b">
        <v>0</v>
      </c>
      <c r="O394" s="52" t="b">
        <v>0</v>
      </c>
      <c r="P394" s="52" t="b">
        <v>0</v>
      </c>
      <c r="Q394" s="52" t="b">
        <v>0</v>
      </c>
      <c r="R394" s="44"/>
      <c r="S394" s="44"/>
      <c r="T394" s="44"/>
      <c r="U394" s="44"/>
      <c r="V394" s="44"/>
      <c r="W394" s="44"/>
      <c r="X394" s="45"/>
      <c r="Y394" s="45"/>
      <c r="Z394" s="45"/>
      <c r="AA394" s="45"/>
    </row>
    <row r="395" ht="33.75" customHeight="1">
      <c r="A395" s="46" t="s">
        <v>3852</v>
      </c>
      <c r="B395" s="47" t="s">
        <v>3853</v>
      </c>
      <c r="C395" s="47" t="s">
        <v>3854</v>
      </c>
      <c r="D395" s="29" t="s">
        <v>3855</v>
      </c>
      <c r="E395" s="48" t="str">
        <f>IFERROR(__xludf.DUMMYFUNCTION("GOOGLETRANSLATE(D395,""zh-CN"",""vi"")"),"Hãy dọn dẹp phòng.")</f>
        <v>Hãy dọn dẹp phòng.</v>
      </c>
      <c r="F395" s="49" t="s">
        <v>3852</v>
      </c>
      <c r="G395" s="50" t="b">
        <f t="shared" si="1"/>
        <v>1</v>
      </c>
      <c r="H395" s="52" t="b">
        <v>1</v>
      </c>
      <c r="I395" s="52" t="b">
        <v>0</v>
      </c>
      <c r="J395" s="52" t="b">
        <v>0</v>
      </c>
      <c r="K395" s="52" t="b">
        <v>0</v>
      </c>
      <c r="L395" s="52" t="b">
        <v>0</v>
      </c>
      <c r="M395" s="52" t="b">
        <v>0</v>
      </c>
      <c r="N395" s="52" t="b">
        <v>0</v>
      </c>
      <c r="O395" s="52" t="b">
        <v>0</v>
      </c>
      <c r="P395" s="52" t="b">
        <v>0</v>
      </c>
      <c r="Q395" s="52" t="b">
        <v>0</v>
      </c>
      <c r="R395" s="44"/>
      <c r="S395" s="44"/>
      <c r="T395" s="44"/>
      <c r="U395" s="44"/>
      <c r="V395" s="44"/>
      <c r="W395" s="44"/>
      <c r="X395" s="45"/>
      <c r="Y395" s="45"/>
      <c r="Z395" s="45"/>
      <c r="AA395" s="45"/>
    </row>
    <row r="396" ht="33.75" customHeight="1">
      <c r="A396" s="46" t="s">
        <v>3856</v>
      </c>
      <c r="B396" s="47" t="s">
        <v>3857</v>
      </c>
      <c r="C396" s="47" t="s">
        <v>3858</v>
      </c>
      <c r="D396" s="29" t="s">
        <v>3859</v>
      </c>
      <c r="E396" s="48" t="str">
        <f>IFERROR(__xludf.DUMMYFUNCTION("GOOGLETRANSLATE(D396,""zh-CN"",""vi"")"),"Bắc Kinh là thủ đô của Trung Quốc.")</f>
        <v>Bắc Kinh là thủ đô của Trung Quốc.</v>
      </c>
      <c r="F396" s="49" t="s">
        <v>3856</v>
      </c>
      <c r="G396" s="50" t="b">
        <f t="shared" si="1"/>
        <v>1</v>
      </c>
      <c r="H396" s="52" t="b">
        <v>1</v>
      </c>
      <c r="I396" s="52" t="b">
        <v>0</v>
      </c>
      <c r="J396" s="52" t="b">
        <v>0</v>
      </c>
      <c r="K396" s="52" t="b">
        <v>0</v>
      </c>
      <c r="L396" s="52" t="b">
        <v>0</v>
      </c>
      <c r="M396" s="52" t="b">
        <v>0</v>
      </c>
      <c r="N396" s="52" t="b">
        <v>0</v>
      </c>
      <c r="O396" s="52" t="b">
        <v>0</v>
      </c>
      <c r="P396" s="52" t="b">
        <v>0</v>
      </c>
      <c r="Q396" s="52" t="b">
        <v>0</v>
      </c>
      <c r="R396" s="44"/>
      <c r="S396" s="44"/>
      <c r="T396" s="44"/>
      <c r="U396" s="44"/>
      <c r="V396" s="44"/>
      <c r="W396" s="44"/>
      <c r="X396" s="45"/>
      <c r="Y396" s="45"/>
      <c r="Z396" s="45"/>
      <c r="AA396" s="45"/>
    </row>
    <row r="397" ht="33.75" customHeight="1">
      <c r="A397" s="46" t="s">
        <v>3860</v>
      </c>
      <c r="B397" s="47" t="s">
        <v>3861</v>
      </c>
      <c r="C397" s="47" t="s">
        <v>444</v>
      </c>
      <c r="D397" s="29" t="s">
        <v>3862</v>
      </c>
      <c r="E397" s="48" t="str">
        <f>IFERROR(__xludf.DUMMYFUNCTION("GOOGLETRANSLATE(D397,""zh-CN"",""vi"")"),"Thứ nhất, bạn phải học; thứ hai, bạn phải luyện tập.")</f>
        <v>Thứ nhất, bạn phải học; thứ hai, bạn phải luyện tập.</v>
      </c>
      <c r="F397" s="49" t="s">
        <v>3860</v>
      </c>
      <c r="G397" s="50" t="b">
        <f t="shared" si="1"/>
        <v>1</v>
      </c>
      <c r="H397" s="52" t="b">
        <v>1</v>
      </c>
      <c r="I397" s="52" t="b">
        <v>0</v>
      </c>
      <c r="J397" s="52" t="b">
        <v>0</v>
      </c>
      <c r="K397" s="52" t="b">
        <v>0</v>
      </c>
      <c r="L397" s="52" t="b">
        <v>0</v>
      </c>
      <c r="M397" s="52" t="b">
        <v>0</v>
      </c>
      <c r="N397" s="52" t="b">
        <v>0</v>
      </c>
      <c r="O397" s="52" t="b">
        <v>0</v>
      </c>
      <c r="P397" s="52" t="b">
        <v>0</v>
      </c>
      <c r="Q397" s="52" t="b">
        <v>0</v>
      </c>
      <c r="R397" s="44"/>
      <c r="S397" s="44"/>
      <c r="T397" s="44"/>
      <c r="U397" s="44"/>
      <c r="V397" s="44"/>
      <c r="W397" s="44"/>
      <c r="X397" s="45"/>
      <c r="Y397" s="45"/>
      <c r="Z397" s="45"/>
      <c r="AA397" s="45"/>
    </row>
    <row r="398" ht="33.75" customHeight="1">
      <c r="A398" s="46" t="s">
        <v>3863</v>
      </c>
      <c r="B398" s="47" t="s">
        <v>3864</v>
      </c>
      <c r="C398" s="47" t="s">
        <v>3865</v>
      </c>
      <c r="D398" s="29" t="s">
        <v>3866</v>
      </c>
      <c r="E398" s="48" t="str">
        <f>IFERROR(__xludf.DUMMYFUNCTION("GOOGLETRANSLATE(D398,""zh-CN"",""vi"")"),"Tôi không chịu nổi thời tiết nóng nực này.")</f>
        <v>Tôi không chịu nổi thời tiết nóng nực này.</v>
      </c>
      <c r="F398" s="49" t="s">
        <v>3863</v>
      </c>
      <c r="G398" s="50" t="b">
        <f t="shared" si="1"/>
        <v>1</v>
      </c>
      <c r="H398" s="52" t="b">
        <v>1</v>
      </c>
      <c r="I398" s="52" t="b">
        <v>0</v>
      </c>
      <c r="J398" s="52" t="b">
        <v>0</v>
      </c>
      <c r="K398" s="52" t="b">
        <v>0</v>
      </c>
      <c r="L398" s="52" t="b">
        <v>0</v>
      </c>
      <c r="M398" s="52" t="b">
        <v>0</v>
      </c>
      <c r="N398" s="52" t="b">
        <v>0</v>
      </c>
      <c r="O398" s="52" t="b">
        <v>0</v>
      </c>
      <c r="P398" s="52" t="b">
        <v>0</v>
      </c>
      <c r="Q398" s="52" t="b">
        <v>0</v>
      </c>
      <c r="R398" s="44"/>
      <c r="S398" s="44"/>
      <c r="T398" s="44"/>
      <c r="U398" s="44"/>
      <c r="V398" s="44"/>
      <c r="W398" s="44"/>
      <c r="X398" s="45"/>
      <c r="Y398" s="45"/>
      <c r="Z398" s="45"/>
      <c r="AA398" s="45"/>
    </row>
    <row r="399" ht="33.75" customHeight="1">
      <c r="A399" s="46" t="s">
        <v>3867</v>
      </c>
      <c r="B399" s="47" t="s">
        <v>3868</v>
      </c>
      <c r="C399" s="47" t="s">
        <v>3869</v>
      </c>
      <c r="D399" s="29" t="s">
        <v>3870</v>
      </c>
      <c r="E399" s="48" t="str">
        <f>IFERROR(__xludf.DUMMYFUNCTION("GOOGLETRANSLATE(D399,""zh-CN"",""vi"")"),"Tôi nhận được một lá thư.")</f>
        <v>Tôi nhận được một lá thư.</v>
      </c>
      <c r="F399" s="49" t="s">
        <v>3867</v>
      </c>
      <c r="G399" s="50" t="b">
        <f t="shared" si="1"/>
        <v>1</v>
      </c>
      <c r="H399" s="52" t="b">
        <v>1</v>
      </c>
      <c r="I399" s="52" t="b">
        <v>0</v>
      </c>
      <c r="J399" s="52" t="b">
        <v>0</v>
      </c>
      <c r="K399" s="52" t="b">
        <v>0</v>
      </c>
      <c r="L399" s="52" t="b">
        <v>0</v>
      </c>
      <c r="M399" s="52" t="b">
        <v>0</v>
      </c>
      <c r="N399" s="52" t="b">
        <v>0</v>
      </c>
      <c r="O399" s="52" t="b">
        <v>0</v>
      </c>
      <c r="P399" s="52" t="b">
        <v>0</v>
      </c>
      <c r="Q399" s="52" t="b">
        <v>0</v>
      </c>
      <c r="R399" s="44"/>
      <c r="S399" s="44"/>
      <c r="T399" s="44"/>
      <c r="U399" s="44"/>
      <c r="V399" s="44"/>
      <c r="W399" s="44"/>
      <c r="X399" s="45"/>
      <c r="Y399" s="45"/>
      <c r="Z399" s="45"/>
      <c r="AA399" s="45"/>
    </row>
    <row r="400" ht="33.75" customHeight="1">
      <c r="A400" s="70" t="s">
        <v>3871</v>
      </c>
      <c r="B400" s="71" t="s">
        <v>3872</v>
      </c>
      <c r="C400" s="71" t="s">
        <v>3873</v>
      </c>
      <c r="D400" s="72" t="s">
        <v>3874</v>
      </c>
      <c r="E400" s="48" t="str">
        <f>IFERROR(__xludf.DUMMYFUNCTION("GOOGLETRANSLATE(D400,""zh-CN"",""vi"")"),"Nhân viên bán hàng giới thiệu chiếc điện thoại cho tôi.")</f>
        <v>Nhân viên bán hàng giới thiệu chiếc điện thoại cho tôi.</v>
      </c>
      <c r="F400" s="49" t="s">
        <v>3871</v>
      </c>
      <c r="G400" s="50" t="b">
        <f t="shared" si="1"/>
        <v>1</v>
      </c>
      <c r="H400" s="52" t="b">
        <v>1</v>
      </c>
      <c r="I400" s="52" t="b">
        <v>0</v>
      </c>
      <c r="J400" s="52" t="b">
        <v>0</v>
      </c>
      <c r="K400" s="52" t="b">
        <v>0</v>
      </c>
      <c r="L400" s="52" t="b">
        <v>0</v>
      </c>
      <c r="M400" s="52" t="b">
        <v>0</v>
      </c>
      <c r="N400" s="52" t="b">
        <v>0</v>
      </c>
      <c r="O400" s="52" t="b">
        <v>0</v>
      </c>
      <c r="P400" s="52" t="b">
        <v>0</v>
      </c>
      <c r="Q400" s="52" t="b">
        <v>0</v>
      </c>
      <c r="R400" s="82"/>
      <c r="S400" s="82"/>
      <c r="T400" s="82"/>
      <c r="U400" s="82"/>
      <c r="V400" s="82"/>
      <c r="W400" s="82"/>
      <c r="X400" s="45"/>
      <c r="Y400" s="45"/>
      <c r="Z400" s="45"/>
      <c r="AA400" s="45"/>
    </row>
    <row r="401" ht="33.75" customHeight="1">
      <c r="A401" s="46" t="s">
        <v>3875</v>
      </c>
      <c r="B401" s="47" t="s">
        <v>1472</v>
      </c>
      <c r="C401" s="47" t="s">
        <v>3876</v>
      </c>
      <c r="D401" s="29" t="s">
        <v>3877</v>
      </c>
      <c r="E401" s="48" t="str">
        <f>IFERROR(__xludf.DUMMYFUNCTION("GOOGLETRANSLATE(D401,""zh-CN"",""vi"")"),"Chúng tôi đã thua trận đấu.")</f>
        <v>Chúng tôi đã thua trận đấu.</v>
      </c>
      <c r="F401" s="49" t="s">
        <v>3875</v>
      </c>
      <c r="G401" s="50" t="b">
        <f t="shared" si="1"/>
        <v>1</v>
      </c>
      <c r="H401" s="52" t="b">
        <v>1</v>
      </c>
      <c r="I401" s="52" t="b">
        <v>0</v>
      </c>
      <c r="J401" s="52" t="b">
        <v>0</v>
      </c>
      <c r="K401" s="52" t="b">
        <v>0</v>
      </c>
      <c r="L401" s="52" t="b">
        <v>0</v>
      </c>
      <c r="M401" s="52" t="b">
        <v>0</v>
      </c>
      <c r="N401" s="52" t="b">
        <v>0</v>
      </c>
      <c r="O401" s="52" t="b">
        <v>0</v>
      </c>
      <c r="P401" s="52" t="b">
        <v>0</v>
      </c>
      <c r="Q401" s="52" t="b">
        <v>0</v>
      </c>
      <c r="R401" s="44"/>
      <c r="S401" s="44"/>
      <c r="T401" s="44"/>
      <c r="U401" s="44"/>
      <c r="V401" s="44"/>
      <c r="W401" s="44"/>
      <c r="X401" s="45"/>
      <c r="Y401" s="45"/>
      <c r="Z401" s="45"/>
      <c r="AA401" s="45"/>
    </row>
    <row r="402" ht="33.75" customHeight="1">
      <c r="A402" s="46" t="s">
        <v>3878</v>
      </c>
      <c r="B402" s="47" t="s">
        <v>3879</v>
      </c>
      <c r="C402" s="47" t="s">
        <v>3880</v>
      </c>
      <c r="D402" s="29" t="s">
        <v>3881</v>
      </c>
      <c r="E402" s="48" t="str">
        <f>IFERROR(__xludf.DUMMYFUNCTION("GOOGLETRANSLATE(D402,""zh-CN"",""vi"")"),"Tôi rất quen thuộc với nơi này.")</f>
        <v>Tôi rất quen thuộc với nơi này.</v>
      </c>
      <c r="F402" s="49" t="s">
        <v>3878</v>
      </c>
      <c r="G402" s="50" t="b">
        <f t="shared" si="1"/>
        <v>1</v>
      </c>
      <c r="H402" s="52" t="b">
        <v>1</v>
      </c>
      <c r="I402" s="52" t="b">
        <v>0</v>
      </c>
      <c r="J402" s="52" t="b">
        <v>0</v>
      </c>
      <c r="K402" s="52" t="b">
        <v>0</v>
      </c>
      <c r="L402" s="52" t="b">
        <v>0</v>
      </c>
      <c r="M402" s="52" t="b">
        <v>0</v>
      </c>
      <c r="N402" s="52" t="b">
        <v>0</v>
      </c>
      <c r="O402" s="52" t="b">
        <v>0</v>
      </c>
      <c r="P402" s="52" t="b">
        <v>0</v>
      </c>
      <c r="Q402" s="52" t="b">
        <v>0</v>
      </c>
      <c r="R402" s="44"/>
      <c r="S402" s="44"/>
      <c r="T402" s="44"/>
      <c r="U402" s="44"/>
      <c r="V402" s="44"/>
      <c r="W402" s="44"/>
      <c r="X402" s="45"/>
      <c r="Y402" s="45"/>
      <c r="Z402" s="45"/>
      <c r="AA402" s="45"/>
    </row>
    <row r="403" ht="33.75" customHeight="1">
      <c r="A403" s="46" t="s">
        <v>3882</v>
      </c>
      <c r="B403" s="47" t="s">
        <v>3883</v>
      </c>
      <c r="C403" s="47" t="s">
        <v>3884</v>
      </c>
      <c r="D403" s="29" t="s">
        <v>3885</v>
      </c>
      <c r="E403" s="48" t="str">
        <f>IFERROR(__xludf.DUMMYFUNCTION("GOOGLETRANSLATE(D403,""zh-CN"",""vi"")"),"Ở đây có rất nhiều sinh viên.")</f>
        <v>Ở đây có rất nhiều sinh viên.</v>
      </c>
      <c r="F403" s="49" t="s">
        <v>3882</v>
      </c>
      <c r="G403" s="50" t="b">
        <f t="shared" si="1"/>
        <v>1</v>
      </c>
      <c r="H403" s="52" t="b">
        <v>1</v>
      </c>
      <c r="I403" s="52" t="b">
        <v>0</v>
      </c>
      <c r="J403" s="52" t="b">
        <v>0</v>
      </c>
      <c r="K403" s="52" t="b">
        <v>0</v>
      </c>
      <c r="L403" s="52" t="b">
        <v>0</v>
      </c>
      <c r="M403" s="52" t="b">
        <v>0</v>
      </c>
      <c r="N403" s="52" t="b">
        <v>0</v>
      </c>
      <c r="O403" s="52" t="b">
        <v>0</v>
      </c>
      <c r="P403" s="52" t="b">
        <v>0</v>
      </c>
      <c r="Q403" s="52" t="b">
        <v>0</v>
      </c>
      <c r="R403" s="44"/>
      <c r="S403" s="44"/>
      <c r="T403" s="44"/>
      <c r="U403" s="44"/>
      <c r="V403" s="44"/>
      <c r="W403" s="44"/>
      <c r="X403" s="45"/>
      <c r="Y403" s="45"/>
      <c r="Z403" s="45"/>
      <c r="AA403" s="45"/>
    </row>
    <row r="404" ht="33.75" customHeight="1">
      <c r="A404" s="46" t="s">
        <v>3886</v>
      </c>
      <c r="B404" s="47" t="s">
        <v>3887</v>
      </c>
      <c r="C404" s="56" t="s">
        <v>3888</v>
      </c>
      <c r="D404" s="29" t="s">
        <v>3889</v>
      </c>
      <c r="E404" s="48" t="str">
        <f>IFERROR(__xludf.DUMMYFUNCTION("GOOGLETRANSLATE(D404,""zh-CN"",""vi"")"),"Con số này rất lớn.")</f>
        <v>Con số này rất lớn.</v>
      </c>
      <c r="F404" s="49" t="s">
        <v>3886</v>
      </c>
      <c r="G404" s="50" t="b">
        <f t="shared" si="1"/>
        <v>1</v>
      </c>
      <c r="H404" s="52" t="b">
        <v>1</v>
      </c>
      <c r="I404" s="52" t="b">
        <v>0</v>
      </c>
      <c r="J404" s="52" t="b">
        <v>0</v>
      </c>
      <c r="K404" s="52" t="b">
        <v>0</v>
      </c>
      <c r="L404" s="52" t="b">
        <v>0</v>
      </c>
      <c r="M404" s="52" t="b">
        <v>0</v>
      </c>
      <c r="N404" s="52" t="b">
        <v>0</v>
      </c>
      <c r="O404" s="52" t="b">
        <v>0</v>
      </c>
      <c r="P404" s="52" t="b">
        <v>0</v>
      </c>
      <c r="Q404" s="52" t="b">
        <v>0</v>
      </c>
      <c r="R404" s="44"/>
      <c r="S404" s="44"/>
      <c r="T404" s="44"/>
      <c r="U404" s="44"/>
      <c r="V404" s="44"/>
      <c r="W404" s="44"/>
      <c r="X404" s="45"/>
      <c r="Y404" s="45"/>
      <c r="Z404" s="45"/>
      <c r="AA404" s="45"/>
    </row>
    <row r="405" ht="33.75" customHeight="1">
      <c r="A405" s="46" t="s">
        <v>3890</v>
      </c>
      <c r="B405" s="47" t="s">
        <v>3891</v>
      </c>
      <c r="C405" s="47" t="s">
        <v>3892</v>
      </c>
      <c r="D405" s="29" t="s">
        <v>3893</v>
      </c>
      <c r="E405" s="48" t="str">
        <f>IFERROR(__xludf.DUMMYFUNCTION("GOOGLETRANSLATE(D405,""zh-CN"",""vi"")"),"Anh ấy đẹp trai.")</f>
        <v>Anh ấy đẹp trai.</v>
      </c>
      <c r="F405" s="49" t="s">
        <v>3890</v>
      </c>
      <c r="G405" s="50" t="b">
        <f t="shared" si="1"/>
        <v>1</v>
      </c>
      <c r="H405" s="52" t="b">
        <v>1</v>
      </c>
      <c r="I405" s="52" t="b">
        <v>0</v>
      </c>
      <c r="J405" s="52" t="b">
        <v>0</v>
      </c>
      <c r="K405" s="52" t="b">
        <v>0</v>
      </c>
      <c r="L405" s="52" t="b">
        <v>0</v>
      </c>
      <c r="M405" s="52" t="b">
        <v>0</v>
      </c>
      <c r="N405" s="52" t="b">
        <v>0</v>
      </c>
      <c r="O405" s="52" t="b">
        <v>0</v>
      </c>
      <c r="P405" s="52" t="b">
        <v>0</v>
      </c>
      <c r="Q405" s="52" t="b">
        <v>0</v>
      </c>
      <c r="R405" s="44"/>
      <c r="S405" s="44"/>
      <c r="T405" s="44"/>
      <c r="U405" s="44"/>
      <c r="V405" s="44"/>
      <c r="W405" s="44"/>
      <c r="X405" s="45"/>
      <c r="Y405" s="45"/>
      <c r="Z405" s="45"/>
      <c r="AA405" s="45"/>
    </row>
    <row r="406" ht="33.75" customHeight="1">
      <c r="A406" s="46" t="s">
        <v>3894</v>
      </c>
      <c r="B406" s="47" t="s">
        <v>3895</v>
      </c>
      <c r="C406" s="47" t="s">
        <v>3896</v>
      </c>
      <c r="D406" s="29" t="s">
        <v>3897</v>
      </c>
      <c r="E406" s="48" t="str">
        <f>IFERROR(__xludf.DUMMYFUNCTION("GOOGLETRANSLATE(D406,""zh-CN"",""vi"")"),"Tôi cũng mua một ít trái cây.")</f>
        <v>Tôi cũng mua một ít trái cây.</v>
      </c>
      <c r="F406" s="49" t="s">
        <v>3894</v>
      </c>
      <c r="G406" s="50" t="b">
        <f t="shared" si="1"/>
        <v>1</v>
      </c>
      <c r="H406" s="52" t="b">
        <v>1</v>
      </c>
      <c r="I406" s="52" t="b">
        <v>0</v>
      </c>
      <c r="J406" s="52" t="b">
        <v>0</v>
      </c>
      <c r="K406" s="52" t="b">
        <v>0</v>
      </c>
      <c r="L406" s="52" t="b">
        <v>0</v>
      </c>
      <c r="M406" s="52" t="b">
        <v>0</v>
      </c>
      <c r="N406" s="52" t="b">
        <v>0</v>
      </c>
      <c r="O406" s="52" t="b">
        <v>0</v>
      </c>
      <c r="P406" s="52" t="b">
        <v>0</v>
      </c>
      <c r="Q406" s="52" t="b">
        <v>0</v>
      </c>
      <c r="R406" s="44"/>
      <c r="S406" s="44"/>
      <c r="T406" s="44"/>
      <c r="U406" s="44"/>
      <c r="V406" s="44"/>
      <c r="W406" s="44"/>
      <c r="X406" s="45"/>
      <c r="Y406" s="45"/>
      <c r="Z406" s="45"/>
      <c r="AA406" s="45"/>
    </row>
    <row r="407" ht="33.75" customHeight="1">
      <c r="A407" s="46" t="s">
        <v>3898</v>
      </c>
      <c r="B407" s="47" t="s">
        <v>3899</v>
      </c>
      <c r="C407" s="47" t="s">
        <v>3900</v>
      </c>
      <c r="D407" s="29" t="s">
        <v>3901</v>
      </c>
      <c r="E407" s="48" t="str">
        <f>IFERROR(__xludf.DUMMYFUNCTION("GOOGLETRANSLATE(D407,""zh-CN"",""vi"")"),"Mọi việc đang diễn ra rất suôn sẻ.")</f>
        <v>Mọi việc đang diễn ra rất suôn sẻ.</v>
      </c>
      <c r="F407" s="49" t="s">
        <v>3898</v>
      </c>
      <c r="G407" s="50" t="b">
        <f t="shared" si="1"/>
        <v>1</v>
      </c>
      <c r="H407" s="52" t="b">
        <v>1</v>
      </c>
      <c r="I407" s="52" t="b">
        <v>0</v>
      </c>
      <c r="J407" s="52" t="b">
        <v>0</v>
      </c>
      <c r="K407" s="52" t="b">
        <v>0</v>
      </c>
      <c r="L407" s="52" t="b">
        <v>0</v>
      </c>
      <c r="M407" s="52" t="b">
        <v>0</v>
      </c>
      <c r="N407" s="52" t="b">
        <v>0</v>
      </c>
      <c r="O407" s="52" t="b">
        <v>0</v>
      </c>
      <c r="P407" s="52" t="b">
        <v>0</v>
      </c>
      <c r="Q407" s="52" t="b">
        <v>0</v>
      </c>
      <c r="R407" s="44"/>
      <c r="S407" s="44"/>
      <c r="T407" s="44"/>
      <c r="U407" s="44"/>
      <c r="V407" s="44"/>
      <c r="W407" s="44"/>
      <c r="X407" s="45"/>
      <c r="Y407" s="45"/>
      <c r="Z407" s="45"/>
      <c r="AA407" s="45"/>
    </row>
    <row r="408" ht="33.75" customHeight="1">
      <c r="A408" s="46" t="s">
        <v>3902</v>
      </c>
      <c r="B408" s="47" t="s">
        <v>3903</v>
      </c>
      <c r="C408" s="47" t="s">
        <v>3904</v>
      </c>
      <c r="D408" s="29" t="s">
        <v>3905</v>
      </c>
      <c r="E408" s="48" t="str">
        <f>IFERROR(__xludf.DUMMYFUNCTION("GOOGLETRANSLATE(D408,""zh-CN"",""vi"")"),"Vui lòng xếp hàng theo thứ tự.")</f>
        <v>Vui lòng xếp hàng theo thứ tự.</v>
      </c>
      <c r="F408" s="49" t="s">
        <v>3902</v>
      </c>
      <c r="G408" s="50" t="b">
        <f t="shared" si="1"/>
        <v>1</v>
      </c>
      <c r="H408" s="52" t="b">
        <v>1</v>
      </c>
      <c r="I408" s="52" t="b">
        <v>0</v>
      </c>
      <c r="J408" s="52" t="b">
        <v>0</v>
      </c>
      <c r="K408" s="52" t="b">
        <v>0</v>
      </c>
      <c r="L408" s="52" t="b">
        <v>0</v>
      </c>
      <c r="M408" s="52" t="b">
        <v>0</v>
      </c>
      <c r="N408" s="52" t="b">
        <v>0</v>
      </c>
      <c r="O408" s="52" t="b">
        <v>0</v>
      </c>
      <c r="P408" s="52" t="b">
        <v>0</v>
      </c>
      <c r="Q408" s="52" t="b">
        <v>0</v>
      </c>
      <c r="R408" s="44"/>
      <c r="S408" s="44"/>
      <c r="T408" s="44"/>
      <c r="U408" s="44"/>
      <c r="V408" s="44"/>
      <c r="W408" s="44"/>
      <c r="X408" s="45"/>
      <c r="Y408" s="45"/>
      <c r="Z408" s="45"/>
      <c r="AA408" s="45"/>
    </row>
    <row r="409" ht="33.75" customHeight="1">
      <c r="A409" s="46" t="s">
        <v>3906</v>
      </c>
      <c r="B409" s="47" t="s">
        <v>3907</v>
      </c>
      <c r="C409" s="47" t="s">
        <v>3908</v>
      </c>
      <c r="D409" s="29" t="s">
        <v>3909</v>
      </c>
      <c r="E409" s="48" t="str">
        <f>IFERROR(__xludf.DUMMYFUNCTION("GOOGLETRANSLATE(D409,""zh-CN"",""vi"")"),"Hãy giải thích lý do.")</f>
        <v>Hãy giải thích lý do.</v>
      </c>
      <c r="F409" s="49" t="s">
        <v>3906</v>
      </c>
      <c r="G409" s="50" t="b">
        <f t="shared" si="1"/>
        <v>1</v>
      </c>
      <c r="H409" s="52" t="b">
        <v>1</v>
      </c>
      <c r="I409" s="52" t="b">
        <v>0</v>
      </c>
      <c r="J409" s="52" t="b">
        <v>0</v>
      </c>
      <c r="K409" s="52" t="b">
        <v>0</v>
      </c>
      <c r="L409" s="52" t="b">
        <v>0</v>
      </c>
      <c r="M409" s="52" t="b">
        <v>0</v>
      </c>
      <c r="N409" s="52" t="b">
        <v>0</v>
      </c>
      <c r="O409" s="52" t="b">
        <v>0</v>
      </c>
      <c r="P409" s="52" t="b">
        <v>0</v>
      </c>
      <c r="Q409" s="52" t="b">
        <v>0</v>
      </c>
      <c r="R409" s="44"/>
      <c r="S409" s="44"/>
      <c r="T409" s="44"/>
      <c r="U409" s="44"/>
      <c r="V409" s="44"/>
      <c r="W409" s="44"/>
      <c r="X409" s="45"/>
      <c r="Y409" s="45"/>
      <c r="Z409" s="45"/>
      <c r="AA409" s="45"/>
    </row>
    <row r="410" ht="33.75" customHeight="1">
      <c r="A410" s="46" t="s">
        <v>3910</v>
      </c>
      <c r="B410" s="47" t="s">
        <v>3911</v>
      </c>
      <c r="C410" s="47" t="s">
        <v>3912</v>
      </c>
      <c r="D410" s="29" t="s">
        <v>3913</v>
      </c>
      <c r="E410" s="48" t="str">
        <f>IFERROR(__xludf.DUMMYFUNCTION("GOOGLETRANSLATE(D410,""zh-CN"",""vi"")"),"Anh ấy có bằng thạc sĩ.")</f>
        <v>Anh ấy có bằng thạc sĩ.</v>
      </c>
      <c r="F410" s="49" t="s">
        <v>3910</v>
      </c>
      <c r="G410" s="50" t="b">
        <f t="shared" si="1"/>
        <v>1</v>
      </c>
      <c r="H410" s="52" t="b">
        <v>1</v>
      </c>
      <c r="I410" s="52" t="b">
        <v>0</v>
      </c>
      <c r="J410" s="52" t="b">
        <v>0</v>
      </c>
      <c r="K410" s="52" t="b">
        <v>0</v>
      </c>
      <c r="L410" s="52" t="b">
        <v>0</v>
      </c>
      <c r="M410" s="52" t="b">
        <v>0</v>
      </c>
      <c r="N410" s="52" t="b">
        <v>0</v>
      </c>
      <c r="O410" s="52" t="b">
        <v>0</v>
      </c>
      <c r="P410" s="52" t="b">
        <v>0</v>
      </c>
      <c r="Q410" s="52" t="b">
        <v>0</v>
      </c>
      <c r="R410" s="44"/>
      <c r="S410" s="44"/>
      <c r="T410" s="44"/>
      <c r="U410" s="44"/>
      <c r="V410" s="44"/>
      <c r="W410" s="44"/>
      <c r="X410" s="45"/>
      <c r="Y410" s="45"/>
      <c r="Z410" s="45"/>
      <c r="AA410" s="45"/>
    </row>
    <row r="411" ht="33.75" customHeight="1">
      <c r="A411" s="46" t="s">
        <v>3914</v>
      </c>
      <c r="B411" s="47" t="s">
        <v>3915</v>
      </c>
      <c r="C411" s="47" t="s">
        <v>3916</v>
      </c>
      <c r="D411" s="29" t="s">
        <v>3917</v>
      </c>
      <c r="E411" s="48" t="str">
        <f>IFERROR(__xludf.DUMMYFUNCTION("GOOGLETRANSLATE(D411,""zh-CN"",""vi"")"),"Ông ấy qua đời đột ngột.")</f>
        <v>Ông ấy qua đời đột ngột.</v>
      </c>
      <c r="F411" s="49" t="s">
        <v>3914</v>
      </c>
      <c r="G411" s="50" t="b">
        <f t="shared" si="1"/>
        <v>1</v>
      </c>
      <c r="H411" s="52" t="b">
        <v>1</v>
      </c>
      <c r="I411" s="52" t="b">
        <v>0</v>
      </c>
      <c r="J411" s="52" t="b">
        <v>0</v>
      </c>
      <c r="K411" s="52" t="b">
        <v>0</v>
      </c>
      <c r="L411" s="52" t="b">
        <v>0</v>
      </c>
      <c r="M411" s="52" t="b">
        <v>0</v>
      </c>
      <c r="N411" s="52" t="b">
        <v>0</v>
      </c>
      <c r="O411" s="52" t="b">
        <v>0</v>
      </c>
      <c r="P411" s="52" t="b">
        <v>0</v>
      </c>
      <c r="Q411" s="52" t="b">
        <v>0</v>
      </c>
      <c r="R411" s="44"/>
      <c r="S411" s="44"/>
      <c r="T411" s="44"/>
      <c r="U411" s="44"/>
      <c r="V411" s="44"/>
      <c r="W411" s="44"/>
      <c r="X411" s="45"/>
      <c r="Y411" s="45"/>
      <c r="Z411" s="45"/>
      <c r="AA411" s="45"/>
    </row>
    <row r="412" ht="33.75" customHeight="1">
      <c r="A412" s="46" t="s">
        <v>3918</v>
      </c>
      <c r="B412" s="47" t="s">
        <v>3919</v>
      </c>
      <c r="C412" s="47" t="s">
        <v>3920</v>
      </c>
      <c r="D412" s="29" t="s">
        <v>3921</v>
      </c>
      <c r="E412" s="48" t="str">
        <f>IFERROR(__xludf.DUMMYFUNCTION("GOOGLETRANSLATE(D412,""zh-CN"",""vi"")"),"Vui lòng tăng tốc độ.")</f>
        <v>Vui lòng tăng tốc độ.</v>
      </c>
      <c r="F412" s="49" t="s">
        <v>3918</v>
      </c>
      <c r="G412" s="50" t="b">
        <f t="shared" si="1"/>
        <v>1</v>
      </c>
      <c r="H412" s="52" t="b">
        <v>1</v>
      </c>
      <c r="I412" s="52" t="b">
        <v>0</v>
      </c>
      <c r="J412" s="52" t="b">
        <v>0</v>
      </c>
      <c r="K412" s="52" t="b">
        <v>0</v>
      </c>
      <c r="L412" s="52" t="b">
        <v>0</v>
      </c>
      <c r="M412" s="52" t="b">
        <v>0</v>
      </c>
      <c r="N412" s="52" t="b">
        <v>0</v>
      </c>
      <c r="O412" s="52" t="b">
        <v>0</v>
      </c>
      <c r="P412" s="52" t="b">
        <v>0</v>
      </c>
      <c r="Q412" s="52" t="b">
        <v>0</v>
      </c>
      <c r="R412" s="44"/>
      <c r="S412" s="44"/>
      <c r="T412" s="44"/>
      <c r="U412" s="44"/>
      <c r="V412" s="44"/>
      <c r="W412" s="44"/>
      <c r="X412" s="45"/>
      <c r="Y412" s="45"/>
      <c r="Z412" s="45"/>
      <c r="AA412" s="45"/>
    </row>
    <row r="413" ht="33.75" customHeight="1">
      <c r="A413" s="46" t="s">
        <v>3922</v>
      </c>
      <c r="B413" s="47" t="s">
        <v>3923</v>
      </c>
      <c r="C413" s="47" t="s">
        <v>3924</v>
      </c>
      <c r="D413" s="29" t="s">
        <v>3925</v>
      </c>
      <c r="E413" s="48" t="str">
        <f>IFERROR(__xludf.DUMMYFUNCTION("GOOGLETRANSLATE(D413,""zh-CN"",""vi"")"),"Vui lòng không sử dụng túi ni lông.")</f>
        <v>Vui lòng không sử dụng túi ni lông.</v>
      </c>
      <c r="F413" s="49" t="s">
        <v>3922</v>
      </c>
      <c r="G413" s="50" t="b">
        <f t="shared" si="1"/>
        <v>1</v>
      </c>
      <c r="H413" s="52" t="b">
        <v>1</v>
      </c>
      <c r="I413" s="52" t="b">
        <v>0</v>
      </c>
      <c r="J413" s="52" t="b">
        <v>0</v>
      </c>
      <c r="K413" s="52" t="b">
        <v>0</v>
      </c>
      <c r="L413" s="52" t="b">
        <v>0</v>
      </c>
      <c r="M413" s="52" t="b">
        <v>0</v>
      </c>
      <c r="N413" s="52" t="b">
        <v>0</v>
      </c>
      <c r="O413" s="52" t="b">
        <v>0</v>
      </c>
      <c r="P413" s="52" t="b">
        <v>0</v>
      </c>
      <c r="Q413" s="52" t="b">
        <v>0</v>
      </c>
      <c r="R413" s="44"/>
      <c r="S413" s="44"/>
      <c r="T413" s="44"/>
      <c r="U413" s="44"/>
      <c r="V413" s="44"/>
      <c r="W413" s="44"/>
      <c r="X413" s="45"/>
      <c r="Y413" s="45"/>
      <c r="Z413" s="45"/>
      <c r="AA413" s="45"/>
    </row>
    <row r="414" ht="33.75" customHeight="1">
      <c r="A414" s="46" t="s">
        <v>3926</v>
      </c>
      <c r="B414" s="47" t="s">
        <v>3927</v>
      </c>
      <c r="C414" s="47" t="s">
        <v>3928</v>
      </c>
      <c r="D414" s="29" t="s">
        <v>3929</v>
      </c>
      <c r="E414" s="48" t="str">
        <f>IFERROR(__xludf.DUMMYFUNCTION("GOOGLETRANSLATE(D414,""zh-CN"",""vi"")"),"Món này hơi chua.")</f>
        <v>Món này hơi chua.</v>
      </c>
      <c r="F414" s="49" t="s">
        <v>3926</v>
      </c>
      <c r="G414" s="50" t="b">
        <f t="shared" si="1"/>
        <v>1</v>
      </c>
      <c r="H414" s="52" t="b">
        <v>1</v>
      </c>
      <c r="I414" s="52" t="b">
        <v>0</v>
      </c>
      <c r="J414" s="52" t="b">
        <v>0</v>
      </c>
      <c r="K414" s="52" t="b">
        <v>0</v>
      </c>
      <c r="L414" s="52" t="b">
        <v>0</v>
      </c>
      <c r="M414" s="52" t="b">
        <v>0</v>
      </c>
      <c r="N414" s="52" t="b">
        <v>0</v>
      </c>
      <c r="O414" s="52" t="b">
        <v>0</v>
      </c>
      <c r="P414" s="52" t="b">
        <v>0</v>
      </c>
      <c r="Q414" s="52" t="b">
        <v>0</v>
      </c>
      <c r="R414" s="44"/>
      <c r="S414" s="44"/>
      <c r="T414" s="44"/>
      <c r="U414" s="44"/>
      <c r="V414" s="44"/>
      <c r="W414" s="44"/>
      <c r="X414" s="45"/>
      <c r="Y414" s="45"/>
      <c r="Z414" s="45"/>
      <c r="AA414" s="45"/>
    </row>
    <row r="415" ht="33.75" customHeight="1">
      <c r="A415" s="46" t="s">
        <v>3930</v>
      </c>
      <c r="B415" s="47" t="s">
        <v>3931</v>
      </c>
      <c r="C415" s="47" t="s">
        <v>3932</v>
      </c>
      <c r="D415" s="29" t="s">
        <v>3933</v>
      </c>
      <c r="E415" s="48" t="str">
        <f>IFERROR(__xludf.DUMMYFUNCTION("GOOGLETRANSLATE(D415,""zh-CN"",""vi"")"),"Mời bạn cứ tự nhiên như ở nhà.")</f>
        <v>Mời bạn cứ tự nhiên như ở nhà.</v>
      </c>
      <c r="F415" s="49" t="s">
        <v>3930</v>
      </c>
      <c r="G415" s="50" t="b">
        <f t="shared" si="1"/>
        <v>1</v>
      </c>
      <c r="H415" s="52" t="b">
        <v>1</v>
      </c>
      <c r="I415" s="52" t="b">
        <v>0</v>
      </c>
      <c r="J415" s="52" t="b">
        <v>0</v>
      </c>
      <c r="K415" s="52" t="b">
        <v>0</v>
      </c>
      <c r="L415" s="52" t="b">
        <v>0</v>
      </c>
      <c r="M415" s="52" t="b">
        <v>0</v>
      </c>
      <c r="N415" s="52" t="b">
        <v>0</v>
      </c>
      <c r="O415" s="52" t="b">
        <v>0</v>
      </c>
      <c r="P415" s="52" t="b">
        <v>0</v>
      </c>
      <c r="Q415" s="52" t="b">
        <v>0</v>
      </c>
      <c r="R415" s="44"/>
      <c r="S415" s="44"/>
      <c r="T415" s="44"/>
      <c r="U415" s="44"/>
      <c r="V415" s="44"/>
      <c r="W415" s="44"/>
      <c r="X415" s="45"/>
      <c r="Y415" s="45"/>
      <c r="Z415" s="45"/>
      <c r="AA415" s="45"/>
    </row>
    <row r="416" ht="33.75" customHeight="1">
      <c r="A416" s="46" t="s">
        <v>3934</v>
      </c>
      <c r="B416" s="47" t="s">
        <v>3935</v>
      </c>
      <c r="C416" s="47" t="s">
        <v>1226</v>
      </c>
      <c r="D416" s="29" t="s">
        <v>3936</v>
      </c>
      <c r="E416" s="48" t="str">
        <f>IFERROR(__xludf.DUMMYFUNCTION("GOOGLETRANSLATE(D416,""zh-CN"",""vi"")"),"Thời gian trôi qua, anh ấy trưởng thành hơn.")</f>
        <v>Thời gian trôi qua, anh ấy trưởng thành hơn.</v>
      </c>
      <c r="F416" s="49" t="s">
        <v>3934</v>
      </c>
      <c r="G416" s="50" t="b">
        <f t="shared" si="1"/>
        <v>1</v>
      </c>
      <c r="H416" s="52" t="b">
        <v>1</v>
      </c>
      <c r="I416" s="52" t="b">
        <v>0</v>
      </c>
      <c r="J416" s="52" t="b">
        <v>0</v>
      </c>
      <c r="K416" s="52" t="b">
        <v>0</v>
      </c>
      <c r="L416" s="52" t="b">
        <v>0</v>
      </c>
      <c r="M416" s="52" t="b">
        <v>0</v>
      </c>
      <c r="N416" s="52" t="b">
        <v>0</v>
      </c>
      <c r="O416" s="52" t="b">
        <v>0</v>
      </c>
      <c r="P416" s="52" t="b">
        <v>0</v>
      </c>
      <c r="Q416" s="52" t="b">
        <v>0</v>
      </c>
      <c r="R416" s="44"/>
      <c r="S416" s="44"/>
      <c r="T416" s="44"/>
      <c r="U416" s="44"/>
      <c r="V416" s="44"/>
      <c r="W416" s="44"/>
      <c r="X416" s="45"/>
      <c r="Y416" s="45"/>
      <c r="Z416" s="45"/>
      <c r="AA416" s="45"/>
    </row>
    <row r="417" ht="33.75" customHeight="1">
      <c r="A417" s="46" t="s">
        <v>3937</v>
      </c>
      <c r="B417" s="47" t="s">
        <v>3938</v>
      </c>
      <c r="C417" s="47" t="s">
        <v>3939</v>
      </c>
      <c r="D417" s="29" t="s">
        <v>3940</v>
      </c>
      <c r="E417" s="48" t="str">
        <f>IFERROR(__xludf.DUMMYFUNCTION("GOOGLETRANSLATE(D417,""zh-CN"",""vi"")"),"Tôi có hai cháu trai.")</f>
        <v>Tôi có hai cháu trai.</v>
      </c>
      <c r="F417" s="49" t="s">
        <v>3937</v>
      </c>
      <c r="G417" s="50" t="b">
        <f t="shared" si="1"/>
        <v>1</v>
      </c>
      <c r="H417" s="52" t="b">
        <v>1</v>
      </c>
      <c r="I417" s="52" t="b">
        <v>0</v>
      </c>
      <c r="J417" s="52" t="b">
        <v>0</v>
      </c>
      <c r="K417" s="52" t="b">
        <v>0</v>
      </c>
      <c r="L417" s="52" t="b">
        <v>0</v>
      </c>
      <c r="M417" s="52" t="b">
        <v>0</v>
      </c>
      <c r="N417" s="52" t="b">
        <v>0</v>
      </c>
      <c r="O417" s="52" t="b">
        <v>0</v>
      </c>
      <c r="P417" s="52" t="b">
        <v>0</v>
      </c>
      <c r="Q417" s="52" t="b">
        <v>0</v>
      </c>
      <c r="R417" s="44"/>
      <c r="S417" s="44"/>
      <c r="T417" s="44"/>
      <c r="U417" s="44"/>
      <c r="V417" s="44"/>
      <c r="W417" s="44"/>
      <c r="X417" s="45"/>
      <c r="Y417" s="45"/>
      <c r="Z417" s="45"/>
      <c r="AA417" s="45"/>
    </row>
    <row r="418" ht="33.75" customHeight="1">
      <c r="A418" s="46" t="s">
        <v>3941</v>
      </c>
      <c r="B418" s="47" t="s">
        <v>3942</v>
      </c>
      <c r="C418" s="47" t="s">
        <v>3943</v>
      </c>
      <c r="D418" s="29" t="s">
        <v>3944</v>
      </c>
      <c r="E418" s="48" t="str">
        <f>IFERROR(__xludf.DUMMYFUNCTION("GOOGLETRANSLATE(D418,""zh-CN"",""vi"")"),"Mọi người đều đến.")</f>
        <v>Mọi người đều đến.</v>
      </c>
      <c r="F418" s="49" t="s">
        <v>3941</v>
      </c>
      <c r="G418" s="50" t="b">
        <f t="shared" si="1"/>
        <v>1</v>
      </c>
      <c r="H418" s="52" t="b">
        <v>1</v>
      </c>
      <c r="I418" s="52" t="b">
        <v>0</v>
      </c>
      <c r="J418" s="52" t="b">
        <v>0</v>
      </c>
      <c r="K418" s="52" t="b">
        <v>0</v>
      </c>
      <c r="L418" s="52" t="b">
        <v>0</v>
      </c>
      <c r="M418" s="52" t="b">
        <v>0</v>
      </c>
      <c r="N418" s="52" t="b">
        <v>0</v>
      </c>
      <c r="O418" s="52" t="b">
        <v>0</v>
      </c>
      <c r="P418" s="52" t="b">
        <v>0</v>
      </c>
      <c r="Q418" s="52" t="b">
        <v>0</v>
      </c>
      <c r="R418" s="44"/>
      <c r="S418" s="44"/>
      <c r="T418" s="44"/>
      <c r="U418" s="44"/>
      <c r="V418" s="44"/>
      <c r="W418" s="44"/>
      <c r="X418" s="45"/>
      <c r="Y418" s="45"/>
      <c r="Z418" s="45"/>
      <c r="AA418" s="45"/>
    </row>
    <row r="419" ht="33.75" customHeight="1">
      <c r="A419" s="46" t="s">
        <v>3945</v>
      </c>
      <c r="B419" s="47" t="s">
        <v>3946</v>
      </c>
      <c r="C419" s="47" t="s">
        <v>3947</v>
      </c>
      <c r="D419" s="29" t="s">
        <v>3948</v>
      </c>
      <c r="E419" s="48" t="str">
        <f>IFERROR(__xludf.DUMMYFUNCTION("GOOGLETRANSLATE(D419,""zh-CN"",""vi"")"),"Anh ấy đứng trên sân khấu.")</f>
        <v>Anh ấy đứng trên sân khấu.</v>
      </c>
      <c r="F419" s="49" t="s">
        <v>3945</v>
      </c>
      <c r="G419" s="50" t="b">
        <f t="shared" si="1"/>
        <v>1</v>
      </c>
      <c r="H419" s="52" t="b">
        <v>1</v>
      </c>
      <c r="I419" s="52" t="b">
        <v>0</v>
      </c>
      <c r="J419" s="52" t="b">
        <v>0</v>
      </c>
      <c r="K419" s="52" t="b">
        <v>0</v>
      </c>
      <c r="L419" s="52" t="b">
        <v>0</v>
      </c>
      <c r="M419" s="52" t="b">
        <v>0</v>
      </c>
      <c r="N419" s="52" t="b">
        <v>0</v>
      </c>
      <c r="O419" s="52" t="b">
        <v>0</v>
      </c>
      <c r="P419" s="52" t="b">
        <v>0</v>
      </c>
      <c r="Q419" s="52" t="b">
        <v>0</v>
      </c>
      <c r="R419" s="44"/>
      <c r="S419" s="44"/>
      <c r="T419" s="44"/>
      <c r="U419" s="44"/>
      <c r="V419" s="44"/>
      <c r="W419" s="44"/>
      <c r="X419" s="45"/>
      <c r="Y419" s="45"/>
      <c r="Z419" s="45"/>
      <c r="AA419" s="45"/>
    </row>
    <row r="420" ht="33.75" customHeight="1">
      <c r="A420" s="46" t="s">
        <v>3949</v>
      </c>
      <c r="B420" s="47" t="s">
        <v>3946</v>
      </c>
      <c r="C420" s="47" t="s">
        <v>3950</v>
      </c>
      <c r="D420" s="29" t="s">
        <v>3951</v>
      </c>
      <c r="E420" s="48" t="str">
        <f>IFERROR(__xludf.DUMMYFUNCTION("GOOGLETRANSLATE(D420,""zh-CN"",""vi"")"),"Vui lòng nhấc thùng này lên.")</f>
        <v>Vui lòng nhấc thùng này lên.</v>
      </c>
      <c r="F420" s="49" t="s">
        <v>3949</v>
      </c>
      <c r="G420" s="50" t="b">
        <f t="shared" si="1"/>
        <v>1</v>
      </c>
      <c r="H420" s="52" t="b">
        <v>1</v>
      </c>
      <c r="I420" s="52" t="b">
        <v>0</v>
      </c>
      <c r="J420" s="52" t="b">
        <v>0</v>
      </c>
      <c r="K420" s="52" t="b">
        <v>0</v>
      </c>
      <c r="L420" s="52" t="b">
        <v>0</v>
      </c>
      <c r="M420" s="52" t="b">
        <v>0</v>
      </c>
      <c r="N420" s="52" t="b">
        <v>0</v>
      </c>
      <c r="O420" s="52" t="b">
        <v>0</v>
      </c>
      <c r="P420" s="52" t="b">
        <v>0</v>
      </c>
      <c r="Q420" s="52" t="b">
        <v>0</v>
      </c>
      <c r="R420" s="44"/>
      <c r="S420" s="44"/>
      <c r="T420" s="44"/>
      <c r="U420" s="44"/>
      <c r="V420" s="44"/>
      <c r="W420" s="44"/>
      <c r="X420" s="45"/>
      <c r="Y420" s="45"/>
      <c r="Z420" s="45"/>
      <c r="AA420" s="45"/>
    </row>
    <row r="421" ht="33.75" customHeight="1">
      <c r="A421" s="46" t="s">
        <v>3952</v>
      </c>
      <c r="B421" s="47" t="s">
        <v>3953</v>
      </c>
      <c r="C421" s="47" t="s">
        <v>3954</v>
      </c>
      <c r="D421" s="29" t="s">
        <v>3955</v>
      </c>
      <c r="E421" s="48" t="str">
        <f>IFERROR(__xludf.DUMMYFUNCTION("GOOGLETRANSLATE(D421,""zh-CN"",""vi"")"),"Thái độ của anh ta rất tệ.")</f>
        <v>Thái độ của anh ta rất tệ.</v>
      </c>
      <c r="F421" s="49" t="s">
        <v>3952</v>
      </c>
      <c r="G421" s="50" t="b">
        <f t="shared" si="1"/>
        <v>1</v>
      </c>
      <c r="H421" s="52" t="b">
        <v>1</v>
      </c>
      <c r="I421" s="52" t="b">
        <v>0</v>
      </c>
      <c r="J421" s="52" t="b">
        <v>0</v>
      </c>
      <c r="K421" s="52" t="b">
        <v>0</v>
      </c>
      <c r="L421" s="52" t="b">
        <v>0</v>
      </c>
      <c r="M421" s="52" t="b">
        <v>0</v>
      </c>
      <c r="N421" s="52" t="b">
        <v>0</v>
      </c>
      <c r="O421" s="52" t="b">
        <v>0</v>
      </c>
      <c r="P421" s="52" t="b">
        <v>0</v>
      </c>
      <c r="Q421" s="52" t="b">
        <v>0</v>
      </c>
      <c r="R421" s="44"/>
      <c r="S421" s="44"/>
      <c r="T421" s="44"/>
      <c r="U421" s="44"/>
      <c r="V421" s="44"/>
      <c r="W421" s="44"/>
      <c r="X421" s="45"/>
      <c r="Y421" s="45"/>
      <c r="Z421" s="45"/>
      <c r="AA421" s="45"/>
    </row>
    <row r="422" ht="33.75" customHeight="1">
      <c r="A422" s="46" t="s">
        <v>3956</v>
      </c>
      <c r="B422" s="47" t="s">
        <v>3957</v>
      </c>
      <c r="C422" s="47" t="s">
        <v>1547</v>
      </c>
      <c r="D422" s="29" t="s">
        <v>3958</v>
      </c>
      <c r="E422" s="48" t="str">
        <f>IFERROR(__xludf.DUMMYFUNCTION("GOOGLETRANSLATE(D422,""zh-CN"",""vi"")"),"Chúng tôi đã nói chuyện về nhiều thứ.")</f>
        <v>Chúng tôi đã nói chuyện về nhiều thứ.</v>
      </c>
      <c r="F422" s="49" t="s">
        <v>3956</v>
      </c>
      <c r="G422" s="50" t="b">
        <f t="shared" si="1"/>
        <v>1</v>
      </c>
      <c r="H422" s="52" t="b">
        <v>1</v>
      </c>
      <c r="I422" s="52" t="b">
        <v>0</v>
      </c>
      <c r="J422" s="52" t="b">
        <v>0</v>
      </c>
      <c r="K422" s="52" t="b">
        <v>0</v>
      </c>
      <c r="L422" s="52" t="b">
        <v>0</v>
      </c>
      <c r="M422" s="52" t="b">
        <v>0</v>
      </c>
      <c r="N422" s="52" t="b">
        <v>0</v>
      </c>
      <c r="O422" s="52" t="b">
        <v>0</v>
      </c>
      <c r="P422" s="52" t="b">
        <v>0</v>
      </c>
      <c r="Q422" s="52" t="b">
        <v>0</v>
      </c>
      <c r="R422" s="44"/>
      <c r="S422" s="44"/>
      <c r="T422" s="44"/>
      <c r="U422" s="44"/>
      <c r="V422" s="44"/>
      <c r="W422" s="44"/>
      <c r="X422" s="45"/>
      <c r="Y422" s="45"/>
      <c r="Z422" s="45"/>
      <c r="AA422" s="45"/>
    </row>
    <row r="423" ht="33.75" customHeight="1">
      <c r="A423" s="46" t="s">
        <v>3959</v>
      </c>
      <c r="B423" s="47" t="s">
        <v>3960</v>
      </c>
      <c r="C423" s="47" t="s">
        <v>3961</v>
      </c>
      <c r="D423" s="29" t="s">
        <v>3962</v>
      </c>
      <c r="E423" s="48" t="str">
        <f>IFERROR(__xludf.DUMMYFUNCTION("GOOGLETRANSLATE(D423,""zh-CN"",""vi"")"),"Cô ấy có thể chơi piano.")</f>
        <v>Cô ấy có thể chơi piano.</v>
      </c>
      <c r="F423" s="49" t="s">
        <v>3959</v>
      </c>
      <c r="G423" s="50" t="b">
        <f t="shared" si="1"/>
        <v>1</v>
      </c>
      <c r="H423" s="52" t="b">
        <v>1</v>
      </c>
      <c r="I423" s="52" t="b">
        <v>0</v>
      </c>
      <c r="J423" s="52" t="b">
        <v>0</v>
      </c>
      <c r="K423" s="52" t="b">
        <v>0</v>
      </c>
      <c r="L423" s="52" t="b">
        <v>0</v>
      </c>
      <c r="M423" s="52" t="b">
        <v>0</v>
      </c>
      <c r="N423" s="52" t="b">
        <v>0</v>
      </c>
      <c r="O423" s="52" t="b">
        <v>0</v>
      </c>
      <c r="P423" s="52" t="b">
        <v>0</v>
      </c>
      <c r="Q423" s="52" t="b">
        <v>0</v>
      </c>
      <c r="R423" s="44"/>
      <c r="S423" s="44"/>
      <c r="T423" s="44"/>
      <c r="U423" s="44"/>
      <c r="V423" s="44"/>
      <c r="W423" s="44"/>
      <c r="X423" s="45"/>
      <c r="Y423" s="45"/>
      <c r="Z423" s="45"/>
      <c r="AA423" s="45"/>
    </row>
    <row r="424" ht="33.75" customHeight="1">
      <c r="A424" s="46" t="s">
        <v>3963</v>
      </c>
      <c r="B424" s="47" t="s">
        <v>3964</v>
      </c>
      <c r="C424" s="47" t="s">
        <v>3965</v>
      </c>
      <c r="D424" s="29" t="s">
        <v>3966</v>
      </c>
      <c r="E424" s="48" t="str">
        <f>IFERROR(__xludf.DUMMYFUNCTION("GOOGLETRANSLATE(D424,""zh-CN"",""vi"")"),"Tôi thích uống súp gà.")</f>
        <v>Tôi thích uống súp gà.</v>
      </c>
      <c r="F424" s="49" t="s">
        <v>3963</v>
      </c>
      <c r="G424" s="50" t="b">
        <f t="shared" si="1"/>
        <v>1</v>
      </c>
      <c r="H424" s="52" t="b">
        <v>1</v>
      </c>
      <c r="I424" s="52" t="b">
        <v>0</v>
      </c>
      <c r="J424" s="52" t="b">
        <v>0</v>
      </c>
      <c r="K424" s="52" t="b">
        <v>0</v>
      </c>
      <c r="L424" s="52" t="b">
        <v>0</v>
      </c>
      <c r="M424" s="52" t="b">
        <v>0</v>
      </c>
      <c r="N424" s="52" t="b">
        <v>0</v>
      </c>
      <c r="O424" s="52" t="b">
        <v>0</v>
      </c>
      <c r="P424" s="52" t="b">
        <v>0</v>
      </c>
      <c r="Q424" s="52" t="b">
        <v>0</v>
      </c>
      <c r="R424" s="44"/>
      <c r="S424" s="44"/>
      <c r="T424" s="44"/>
      <c r="U424" s="44"/>
      <c r="V424" s="44"/>
      <c r="W424" s="44"/>
      <c r="X424" s="45"/>
      <c r="Y424" s="45"/>
      <c r="Z424" s="45"/>
      <c r="AA424" s="45"/>
    </row>
    <row r="425" ht="33.75" customHeight="1">
      <c r="A425" s="46" t="s">
        <v>2889</v>
      </c>
      <c r="B425" s="47" t="s">
        <v>2890</v>
      </c>
      <c r="C425" s="47" t="s">
        <v>1442</v>
      </c>
      <c r="D425" s="29" t="s">
        <v>3967</v>
      </c>
      <c r="E425" s="48" t="str">
        <f>IFERROR(__xludf.DUMMYFUNCTION("GOOGLETRANSLATE(D425,""zh-CN"",""vi"")"),"Tôi không thích ăn quá nhiều đường.")</f>
        <v>Tôi không thích ăn quá nhiều đường.</v>
      </c>
      <c r="F425" s="49" t="s">
        <v>2889</v>
      </c>
      <c r="G425" s="50" t="b">
        <f t="shared" si="1"/>
        <v>1</v>
      </c>
      <c r="H425" s="52" t="b">
        <v>1</v>
      </c>
      <c r="I425" s="52" t="b">
        <v>0</v>
      </c>
      <c r="J425" s="52" t="b">
        <v>0</v>
      </c>
      <c r="K425" s="52" t="b">
        <v>0</v>
      </c>
      <c r="L425" s="52" t="b">
        <v>0</v>
      </c>
      <c r="M425" s="52" t="b">
        <v>0</v>
      </c>
      <c r="N425" s="52" t="b">
        <v>0</v>
      </c>
      <c r="O425" s="52" t="b">
        <v>0</v>
      </c>
      <c r="P425" s="52" t="b">
        <v>0</v>
      </c>
      <c r="Q425" s="52" t="b">
        <v>0</v>
      </c>
      <c r="R425" s="44"/>
      <c r="S425" s="44"/>
      <c r="T425" s="44"/>
      <c r="U425" s="44"/>
      <c r="V425" s="44"/>
      <c r="W425" s="44"/>
      <c r="X425" s="45"/>
      <c r="Y425" s="45"/>
      <c r="Z425" s="45"/>
      <c r="AA425" s="45"/>
    </row>
    <row r="426" ht="33.75" customHeight="1">
      <c r="A426" s="46" t="s">
        <v>3968</v>
      </c>
      <c r="B426" s="47" t="s">
        <v>3969</v>
      </c>
      <c r="C426" s="47" t="s">
        <v>3970</v>
      </c>
      <c r="D426" s="29" t="s">
        <v>3971</v>
      </c>
      <c r="E426" s="48" t="str">
        <f>IFERROR(__xludf.DUMMYFUNCTION("GOOGLETRANSLATE(D426,""zh-CN"",""vi"")"),"Tôi thích nằm dài trên ghế sofa và đọc sách.")</f>
        <v>Tôi thích nằm dài trên ghế sofa và đọc sách.</v>
      </c>
      <c r="F426" s="49" t="s">
        <v>3968</v>
      </c>
      <c r="G426" s="50" t="b">
        <f t="shared" si="1"/>
        <v>1</v>
      </c>
      <c r="H426" s="52" t="b">
        <v>1</v>
      </c>
      <c r="I426" s="52" t="b">
        <v>0</v>
      </c>
      <c r="J426" s="52" t="b">
        <v>0</v>
      </c>
      <c r="K426" s="52" t="b">
        <v>0</v>
      </c>
      <c r="L426" s="52" t="b">
        <v>0</v>
      </c>
      <c r="M426" s="52" t="b">
        <v>0</v>
      </c>
      <c r="N426" s="52" t="b">
        <v>0</v>
      </c>
      <c r="O426" s="52" t="b">
        <v>0</v>
      </c>
      <c r="P426" s="52" t="b">
        <v>0</v>
      </c>
      <c r="Q426" s="52" t="b">
        <v>0</v>
      </c>
      <c r="R426" s="44"/>
      <c r="S426" s="44"/>
      <c r="T426" s="44"/>
      <c r="U426" s="44"/>
      <c r="V426" s="44"/>
      <c r="W426" s="44"/>
      <c r="X426" s="45"/>
      <c r="Y426" s="45"/>
      <c r="Z426" s="45"/>
      <c r="AA426" s="45"/>
    </row>
    <row r="427" ht="33.75" customHeight="1">
      <c r="A427" s="46" t="s">
        <v>3972</v>
      </c>
      <c r="B427" s="47" t="s">
        <v>3973</v>
      </c>
      <c r="C427" s="47" t="s">
        <v>3974</v>
      </c>
      <c r="D427" s="29" t="s">
        <v>3975</v>
      </c>
      <c r="E427" s="48" t="str">
        <f>IFERROR(__xludf.DUMMYFUNCTION("GOOGLETRANSLATE(D427,""zh-CN"",""vi"")"),"Tôi vừa mới đi đến cửa hàng.")</f>
        <v>Tôi vừa mới đi đến cửa hàng.</v>
      </c>
      <c r="F427" s="49" t="s">
        <v>3972</v>
      </c>
      <c r="G427" s="50" t="b">
        <f t="shared" si="1"/>
        <v>1</v>
      </c>
      <c r="H427" s="52" t="b">
        <v>1</v>
      </c>
      <c r="I427" s="52" t="b">
        <v>0</v>
      </c>
      <c r="J427" s="52" t="b">
        <v>0</v>
      </c>
      <c r="K427" s="52" t="b">
        <v>0</v>
      </c>
      <c r="L427" s="52" t="b">
        <v>0</v>
      </c>
      <c r="M427" s="52" t="b">
        <v>0</v>
      </c>
      <c r="N427" s="52" t="b">
        <v>0</v>
      </c>
      <c r="O427" s="52" t="b">
        <v>0</v>
      </c>
      <c r="P427" s="52" t="b">
        <v>0</v>
      </c>
      <c r="Q427" s="52" t="b">
        <v>0</v>
      </c>
      <c r="R427" s="44"/>
      <c r="S427" s="44"/>
      <c r="T427" s="44"/>
      <c r="U427" s="44"/>
      <c r="V427" s="44"/>
      <c r="W427" s="44"/>
      <c r="X427" s="45"/>
      <c r="Y427" s="45"/>
      <c r="Z427" s="45"/>
      <c r="AA427" s="45"/>
    </row>
    <row r="428" ht="33.75" customHeight="1">
      <c r="A428" s="46" t="s">
        <v>3976</v>
      </c>
      <c r="B428" s="47" t="s">
        <v>3977</v>
      </c>
      <c r="C428" s="47" t="s">
        <v>3978</v>
      </c>
      <c r="D428" s="29" t="s">
        <v>3979</v>
      </c>
      <c r="E428" s="48" t="str">
        <f>IFERROR(__xludf.DUMMYFUNCTION("GOOGLETRANSLATE(D428,""zh-CN"",""vi"")"),"Chúng tôi đã thảo luận vấn đề này tại cuộc họp.")</f>
        <v>Chúng tôi đã thảo luận vấn đề này tại cuộc họp.</v>
      </c>
      <c r="F428" s="49" t="s">
        <v>3976</v>
      </c>
      <c r="G428" s="50" t="b">
        <f t="shared" si="1"/>
        <v>1</v>
      </c>
      <c r="H428" s="52" t="b">
        <v>1</v>
      </c>
      <c r="I428" s="52" t="b">
        <v>0</v>
      </c>
      <c r="J428" s="52" t="b">
        <v>0</v>
      </c>
      <c r="K428" s="52" t="b">
        <v>0</v>
      </c>
      <c r="L428" s="52" t="b">
        <v>0</v>
      </c>
      <c r="M428" s="52" t="b">
        <v>0</v>
      </c>
      <c r="N428" s="52" t="b">
        <v>0</v>
      </c>
      <c r="O428" s="52" t="b">
        <v>0</v>
      </c>
      <c r="P428" s="52" t="b">
        <v>0</v>
      </c>
      <c r="Q428" s="52" t="b">
        <v>0</v>
      </c>
      <c r="R428" s="44"/>
      <c r="S428" s="44"/>
      <c r="T428" s="44"/>
      <c r="U428" s="44"/>
      <c r="V428" s="44"/>
      <c r="W428" s="44"/>
      <c r="X428" s="45"/>
      <c r="Y428" s="45"/>
      <c r="Z428" s="45"/>
      <c r="AA428" s="45"/>
    </row>
    <row r="429" ht="33.75" customHeight="1">
      <c r="A429" s="46" t="s">
        <v>3980</v>
      </c>
      <c r="B429" s="47" t="s">
        <v>3981</v>
      </c>
      <c r="C429" s="47" t="s">
        <v>3982</v>
      </c>
      <c r="D429" s="29" t="s">
        <v>3983</v>
      </c>
      <c r="E429" s="48" t="str">
        <f>IFERROR(__xludf.DUMMYFUNCTION("GOOGLETRANSLATE(D429,""zh-CN"",""vi"")"),"Tôi ghét ăn mướp đắng.")</f>
        <v>Tôi ghét ăn mướp đắng.</v>
      </c>
      <c r="F429" s="49" t="s">
        <v>3980</v>
      </c>
      <c r="G429" s="50" t="b">
        <f t="shared" si="1"/>
        <v>1</v>
      </c>
      <c r="H429" s="52" t="b">
        <v>1</v>
      </c>
      <c r="I429" s="52" t="b">
        <v>0</v>
      </c>
      <c r="J429" s="52" t="b">
        <v>0</v>
      </c>
      <c r="K429" s="52" t="b">
        <v>0</v>
      </c>
      <c r="L429" s="52" t="b">
        <v>0</v>
      </c>
      <c r="M429" s="52" t="b">
        <v>0</v>
      </c>
      <c r="N429" s="52" t="b">
        <v>0</v>
      </c>
      <c r="O429" s="52" t="b">
        <v>0</v>
      </c>
      <c r="P429" s="52" t="b">
        <v>0</v>
      </c>
      <c r="Q429" s="52" t="b">
        <v>0</v>
      </c>
      <c r="R429" s="44"/>
      <c r="S429" s="44"/>
      <c r="T429" s="44"/>
      <c r="U429" s="44"/>
      <c r="V429" s="44"/>
      <c r="W429" s="44"/>
      <c r="X429" s="45"/>
      <c r="Y429" s="45"/>
      <c r="Z429" s="45"/>
      <c r="AA429" s="45"/>
    </row>
    <row r="430" ht="33.75" customHeight="1">
      <c r="A430" s="46" t="s">
        <v>3984</v>
      </c>
      <c r="B430" s="47" t="s">
        <v>3985</v>
      </c>
      <c r="C430" s="47" t="s">
        <v>3986</v>
      </c>
      <c r="D430" s="29" t="s">
        <v>3987</v>
      </c>
      <c r="E430" s="48" t="str">
        <f>IFERROR(__xludf.DUMMYFUNCTION("GOOGLETRANSLATE(D430,""zh-CN"",""vi"")"),"Sản phẩm này có những tính năng gì?")</f>
        <v>Sản phẩm này có những tính năng gì?</v>
      </c>
      <c r="F430" s="49" t="s">
        <v>3984</v>
      </c>
      <c r="G430" s="50" t="b">
        <f t="shared" si="1"/>
        <v>1</v>
      </c>
      <c r="H430" s="52" t="b">
        <v>1</v>
      </c>
      <c r="I430" s="52" t="b">
        <v>0</v>
      </c>
      <c r="J430" s="52" t="b">
        <v>0</v>
      </c>
      <c r="K430" s="52" t="b">
        <v>0</v>
      </c>
      <c r="L430" s="52" t="b">
        <v>0</v>
      </c>
      <c r="M430" s="52" t="b">
        <v>0</v>
      </c>
      <c r="N430" s="52" t="b">
        <v>0</v>
      </c>
      <c r="O430" s="52" t="b">
        <v>0</v>
      </c>
      <c r="P430" s="52" t="b">
        <v>0</v>
      </c>
      <c r="Q430" s="52" t="b">
        <v>0</v>
      </c>
      <c r="R430" s="44"/>
      <c r="S430" s="44"/>
      <c r="T430" s="44"/>
      <c r="U430" s="44"/>
      <c r="V430" s="44"/>
      <c r="W430" s="44"/>
      <c r="X430" s="45"/>
      <c r="Y430" s="45"/>
      <c r="Z430" s="45"/>
      <c r="AA430" s="45"/>
    </row>
    <row r="431" ht="33.75" customHeight="1">
      <c r="A431" s="46" t="s">
        <v>3988</v>
      </c>
      <c r="B431" s="47" t="s">
        <v>2182</v>
      </c>
      <c r="C431" s="47" t="s">
        <v>3989</v>
      </c>
      <c r="D431" s="29" t="s">
        <v>3990</v>
      </c>
      <c r="E431" s="48" t="str">
        <f>IFERROR(__xludf.DUMMYFUNCTION("GOOGLETRANSLATE(D431,""zh-CN"",""vi"")"),"Hãy đưa ra một vài gợi ý.")</f>
        <v>Hãy đưa ra một vài gợi ý.</v>
      </c>
      <c r="F431" s="49" t="s">
        <v>3988</v>
      </c>
      <c r="G431" s="50" t="b">
        <f t="shared" si="1"/>
        <v>1</v>
      </c>
      <c r="H431" s="52" t="b">
        <v>1</v>
      </c>
      <c r="I431" s="52" t="b">
        <v>0</v>
      </c>
      <c r="J431" s="52" t="b">
        <v>0</v>
      </c>
      <c r="K431" s="52" t="b">
        <v>0</v>
      </c>
      <c r="L431" s="52" t="b">
        <v>0</v>
      </c>
      <c r="M431" s="52" t="b">
        <v>0</v>
      </c>
      <c r="N431" s="52" t="b">
        <v>0</v>
      </c>
      <c r="O431" s="52" t="b">
        <v>0</v>
      </c>
      <c r="P431" s="52" t="b">
        <v>0</v>
      </c>
      <c r="Q431" s="52" t="b">
        <v>0</v>
      </c>
      <c r="R431" s="44"/>
      <c r="S431" s="44"/>
      <c r="T431" s="44"/>
      <c r="U431" s="44"/>
      <c r="V431" s="44"/>
      <c r="W431" s="44"/>
      <c r="X431" s="45"/>
      <c r="Y431" s="45"/>
      <c r="Z431" s="45"/>
      <c r="AA431" s="45"/>
    </row>
    <row r="432" ht="33.75" customHeight="1">
      <c r="A432" s="46" t="s">
        <v>3991</v>
      </c>
      <c r="B432" s="47" t="s">
        <v>3992</v>
      </c>
      <c r="C432" s="47" t="s">
        <v>3993</v>
      </c>
      <c r="D432" s="29" t="s">
        <v>3994</v>
      </c>
      <c r="E432" s="48" t="str">
        <f>IFERROR(__xludf.DUMMYFUNCTION("GOOGLETRANSLATE(D432,""zh-CN"",""vi"")"),"Chúng tôi phục vụ bữa sáng miễn phí.")</f>
        <v>Chúng tôi phục vụ bữa sáng miễn phí.</v>
      </c>
      <c r="F432" s="49" t="s">
        <v>3991</v>
      </c>
      <c r="G432" s="50" t="b">
        <f t="shared" si="1"/>
        <v>1</v>
      </c>
      <c r="H432" s="52" t="b">
        <v>1</v>
      </c>
      <c r="I432" s="52" t="b">
        <v>0</v>
      </c>
      <c r="J432" s="52" t="b">
        <v>0</v>
      </c>
      <c r="K432" s="52" t="b">
        <v>0</v>
      </c>
      <c r="L432" s="52" t="b">
        <v>0</v>
      </c>
      <c r="M432" s="52" t="b">
        <v>0</v>
      </c>
      <c r="N432" s="52" t="b">
        <v>0</v>
      </c>
      <c r="O432" s="52" t="b">
        <v>0</v>
      </c>
      <c r="P432" s="52" t="b">
        <v>0</v>
      </c>
      <c r="Q432" s="52" t="b">
        <v>0</v>
      </c>
      <c r="R432" s="44"/>
      <c r="S432" s="44"/>
      <c r="T432" s="44"/>
      <c r="U432" s="44"/>
      <c r="V432" s="44"/>
      <c r="W432" s="44"/>
      <c r="X432" s="45"/>
      <c r="Y432" s="45"/>
      <c r="Z432" s="45"/>
      <c r="AA432" s="45"/>
    </row>
    <row r="433" ht="33.75" customHeight="1">
      <c r="A433" s="46" t="s">
        <v>3995</v>
      </c>
      <c r="B433" s="47" t="s">
        <v>3996</v>
      </c>
      <c r="C433" s="47" t="s">
        <v>3997</v>
      </c>
      <c r="D433" s="29" t="s">
        <v>3998</v>
      </c>
      <c r="E433" s="48" t="str">
        <f>IFERROR(__xludf.DUMMYFUNCTION("GOOGLETRANSLATE(D433,""zh-CN"",""vi"")"),"Vui lòng báo trước cho tôi.")</f>
        <v>Vui lòng báo trước cho tôi.</v>
      </c>
      <c r="F433" s="49" t="s">
        <v>3995</v>
      </c>
      <c r="G433" s="50" t="b">
        <f t="shared" si="1"/>
        <v>1</v>
      </c>
      <c r="H433" s="52" t="b">
        <v>1</v>
      </c>
      <c r="I433" s="52" t="b">
        <v>0</v>
      </c>
      <c r="J433" s="52" t="b">
        <v>0</v>
      </c>
      <c r="K433" s="52" t="b">
        <v>0</v>
      </c>
      <c r="L433" s="52" t="b">
        <v>0</v>
      </c>
      <c r="M433" s="52" t="b">
        <v>0</v>
      </c>
      <c r="N433" s="52" t="b">
        <v>0</v>
      </c>
      <c r="O433" s="52" t="b">
        <v>0</v>
      </c>
      <c r="P433" s="52" t="b">
        <v>0</v>
      </c>
      <c r="Q433" s="52" t="b">
        <v>0</v>
      </c>
      <c r="R433" s="44"/>
      <c r="S433" s="44"/>
      <c r="T433" s="44"/>
      <c r="U433" s="44"/>
      <c r="V433" s="44"/>
      <c r="W433" s="44"/>
      <c r="X433" s="45"/>
      <c r="Y433" s="45"/>
      <c r="Z433" s="45"/>
      <c r="AA433" s="45"/>
    </row>
    <row r="434" ht="33.75" customHeight="1">
      <c r="A434" s="46" t="s">
        <v>3999</v>
      </c>
      <c r="B434" s="47" t="s">
        <v>4000</v>
      </c>
      <c r="C434" s="47" t="s">
        <v>4001</v>
      </c>
      <c r="D434" s="29" t="s">
        <v>4002</v>
      </c>
      <c r="E434" s="48" t="str">
        <f>IFERROR(__xludf.DUMMYFUNCTION("GOOGLETRANSLATE(D434,""zh-CN"",""vi"")"),"Anh ấy nhắc tôi về cuộc họp ngày mai.")</f>
        <v>Anh ấy nhắc tôi về cuộc họp ngày mai.</v>
      </c>
      <c r="F434" s="49" t="s">
        <v>3999</v>
      </c>
      <c r="G434" s="50" t="b">
        <f t="shared" si="1"/>
        <v>1</v>
      </c>
      <c r="H434" s="52" t="b">
        <v>1</v>
      </c>
      <c r="I434" s="52" t="b">
        <v>0</v>
      </c>
      <c r="J434" s="52" t="b">
        <v>0</v>
      </c>
      <c r="K434" s="52" t="b">
        <v>0</v>
      </c>
      <c r="L434" s="52" t="b">
        <v>0</v>
      </c>
      <c r="M434" s="52" t="b">
        <v>0</v>
      </c>
      <c r="N434" s="52" t="b">
        <v>0</v>
      </c>
      <c r="O434" s="52" t="b">
        <v>0</v>
      </c>
      <c r="P434" s="52" t="b">
        <v>0</v>
      </c>
      <c r="Q434" s="52" t="b">
        <v>0</v>
      </c>
      <c r="R434" s="44"/>
      <c r="S434" s="44"/>
      <c r="T434" s="44"/>
      <c r="U434" s="44"/>
      <c r="V434" s="44"/>
      <c r="W434" s="44"/>
      <c r="X434" s="45"/>
      <c r="Y434" s="45"/>
      <c r="Z434" s="45"/>
      <c r="AA434" s="45"/>
    </row>
    <row r="435" ht="33.75" customHeight="1">
      <c r="A435" s="46" t="s">
        <v>4003</v>
      </c>
      <c r="B435" s="47" t="s">
        <v>4004</v>
      </c>
      <c r="C435" s="47" t="s">
        <v>4005</v>
      </c>
      <c r="D435" s="29" t="s">
        <v>4006</v>
      </c>
      <c r="E435" s="48" t="str">
        <f>IFERROR(__xludf.DUMMYFUNCTION("GOOGLETRANSLATE(D435,""zh-CN"",""vi"")"),"Vui lòng viết câu trả lời của bạn vào chỗ trống.")</f>
        <v>Vui lòng viết câu trả lời của bạn vào chỗ trống.</v>
      </c>
      <c r="F435" s="49" t="s">
        <v>4003</v>
      </c>
      <c r="G435" s="50" t="b">
        <f t="shared" si="1"/>
        <v>1</v>
      </c>
      <c r="H435" s="52" t="b">
        <v>1</v>
      </c>
      <c r="I435" s="52" t="b">
        <v>0</v>
      </c>
      <c r="J435" s="52" t="b">
        <v>0</v>
      </c>
      <c r="K435" s="52" t="b">
        <v>0</v>
      </c>
      <c r="L435" s="52" t="b">
        <v>0</v>
      </c>
      <c r="M435" s="52" t="b">
        <v>0</v>
      </c>
      <c r="N435" s="52" t="b">
        <v>0</v>
      </c>
      <c r="O435" s="52" t="b">
        <v>0</v>
      </c>
      <c r="P435" s="52" t="b">
        <v>0</v>
      </c>
      <c r="Q435" s="52" t="b">
        <v>0</v>
      </c>
      <c r="R435" s="44"/>
      <c r="S435" s="44"/>
      <c r="T435" s="44"/>
      <c r="U435" s="44"/>
      <c r="V435" s="44"/>
      <c r="W435" s="44"/>
      <c r="X435" s="45"/>
      <c r="Y435" s="45"/>
      <c r="Z435" s="45"/>
      <c r="AA435" s="45"/>
    </row>
    <row r="436" ht="33.75" customHeight="1">
      <c r="A436" s="46" t="s">
        <v>4007</v>
      </c>
      <c r="B436" s="47" t="s">
        <v>4008</v>
      </c>
      <c r="C436" s="47" t="s">
        <v>4009</v>
      </c>
      <c r="D436" s="29" t="s">
        <v>4010</v>
      </c>
      <c r="E436" s="48" t="str">
        <f>IFERROR(__xludf.DUMMYFUNCTION("GOOGLETRANSLATE(D436,""zh-CN"",""vi"")"),"Điều kiện làm việc rất tốt.")</f>
        <v>Điều kiện làm việc rất tốt.</v>
      </c>
      <c r="F436" s="49" t="s">
        <v>4007</v>
      </c>
      <c r="G436" s="50" t="b">
        <f t="shared" si="1"/>
        <v>1</v>
      </c>
      <c r="H436" s="52" t="b">
        <v>1</v>
      </c>
      <c r="I436" s="52" t="b">
        <v>0</v>
      </c>
      <c r="J436" s="52" t="b">
        <v>0</v>
      </c>
      <c r="K436" s="52" t="b">
        <v>0</v>
      </c>
      <c r="L436" s="52" t="b">
        <v>0</v>
      </c>
      <c r="M436" s="52" t="b">
        <v>0</v>
      </c>
      <c r="N436" s="52" t="b">
        <v>0</v>
      </c>
      <c r="O436" s="52" t="b">
        <v>0</v>
      </c>
      <c r="P436" s="52" t="b">
        <v>0</v>
      </c>
      <c r="Q436" s="52" t="b">
        <v>0</v>
      </c>
      <c r="R436" s="44"/>
      <c r="S436" s="44"/>
      <c r="T436" s="44"/>
      <c r="U436" s="44"/>
      <c r="V436" s="44"/>
      <c r="W436" s="44"/>
      <c r="X436" s="45"/>
      <c r="Y436" s="45"/>
      <c r="Z436" s="45"/>
      <c r="AA436" s="45"/>
    </row>
    <row r="437" ht="33.75" customHeight="1">
      <c r="A437" s="46" t="s">
        <v>4011</v>
      </c>
      <c r="B437" s="47" t="s">
        <v>4012</v>
      </c>
      <c r="C437" s="47" t="s">
        <v>4013</v>
      </c>
      <c r="D437" s="29" t="s">
        <v>4014</v>
      </c>
      <c r="E437" s="48" t="str">
        <f>IFERROR(__xludf.DUMMYFUNCTION("GOOGLETRANSLATE(D437,""zh-CN"",""vi"")"),"Vui lòng dừng xe.")</f>
        <v>Vui lòng dừng xe.</v>
      </c>
      <c r="F437" s="49" t="s">
        <v>4011</v>
      </c>
      <c r="G437" s="50" t="b">
        <f t="shared" si="1"/>
        <v>1</v>
      </c>
      <c r="H437" s="52" t="b">
        <v>1</v>
      </c>
      <c r="I437" s="52" t="b">
        <v>0</v>
      </c>
      <c r="J437" s="52" t="b">
        <v>0</v>
      </c>
      <c r="K437" s="52" t="b">
        <v>0</v>
      </c>
      <c r="L437" s="52" t="b">
        <v>0</v>
      </c>
      <c r="M437" s="52" t="b">
        <v>0</v>
      </c>
      <c r="N437" s="52" t="b">
        <v>0</v>
      </c>
      <c r="O437" s="52" t="b">
        <v>0</v>
      </c>
      <c r="P437" s="52" t="b">
        <v>0</v>
      </c>
      <c r="Q437" s="52" t="b">
        <v>0</v>
      </c>
      <c r="R437" s="44"/>
      <c r="S437" s="44"/>
      <c r="T437" s="44"/>
      <c r="U437" s="44"/>
      <c r="V437" s="44"/>
      <c r="W437" s="44"/>
      <c r="X437" s="45"/>
      <c r="Y437" s="45"/>
      <c r="Z437" s="45"/>
      <c r="AA437" s="45"/>
    </row>
    <row r="438" ht="33.75" customHeight="1">
      <c r="A438" s="46" t="s">
        <v>4015</v>
      </c>
      <c r="B438" s="47" t="s">
        <v>4016</v>
      </c>
      <c r="C438" s="47" t="s">
        <v>427</v>
      </c>
      <c r="D438" s="29" t="s">
        <v>4017</v>
      </c>
      <c r="E438" s="48" t="str">
        <f>IFERROR(__xludf.DUMMYFUNCTION("GOOGLETRANSLATE(D438,""zh-CN"",""vi"")"),"Anh ấy khá cao.")</f>
        <v>Anh ấy khá cao.</v>
      </c>
      <c r="F438" s="49" t="s">
        <v>4015</v>
      </c>
      <c r="G438" s="50" t="b">
        <f t="shared" si="1"/>
        <v>1</v>
      </c>
      <c r="H438" s="52" t="b">
        <v>1</v>
      </c>
      <c r="I438" s="52" t="b">
        <v>0</v>
      </c>
      <c r="J438" s="52" t="b">
        <v>0</v>
      </c>
      <c r="K438" s="52" t="b">
        <v>0</v>
      </c>
      <c r="L438" s="52" t="b">
        <v>0</v>
      </c>
      <c r="M438" s="52" t="b">
        <v>0</v>
      </c>
      <c r="N438" s="52" t="b">
        <v>0</v>
      </c>
      <c r="O438" s="52" t="b">
        <v>0</v>
      </c>
      <c r="P438" s="52" t="b">
        <v>0</v>
      </c>
      <c r="Q438" s="52" t="b">
        <v>0</v>
      </c>
      <c r="R438" s="44"/>
      <c r="S438" s="44"/>
      <c r="T438" s="44"/>
      <c r="U438" s="44"/>
      <c r="V438" s="44"/>
      <c r="W438" s="44"/>
      <c r="X438" s="45"/>
      <c r="Y438" s="45"/>
      <c r="Z438" s="45"/>
      <c r="AA438" s="45"/>
    </row>
    <row r="439" ht="33.75" customHeight="1">
      <c r="A439" s="46" t="s">
        <v>4018</v>
      </c>
      <c r="B439" s="47" t="s">
        <v>4019</v>
      </c>
      <c r="C439" s="47" t="s">
        <v>4020</v>
      </c>
      <c r="D439" s="29" t="s">
        <v>4021</v>
      </c>
      <c r="E439" s="48" t="str">
        <f>IFERROR(__xludf.DUMMYFUNCTION("GOOGLETRANSLATE(D439,""zh-CN"",""vi"")"),"Tôi đã vượt qua kỳ thi.")</f>
        <v>Tôi đã vượt qua kỳ thi.</v>
      </c>
      <c r="F439" s="49" t="s">
        <v>4018</v>
      </c>
      <c r="G439" s="50" t="b">
        <f t="shared" si="1"/>
        <v>1</v>
      </c>
      <c r="H439" s="52" t="b">
        <v>1</v>
      </c>
      <c r="I439" s="52" t="b">
        <v>0</v>
      </c>
      <c r="J439" s="52" t="b">
        <v>0</v>
      </c>
      <c r="K439" s="52" t="b">
        <v>0</v>
      </c>
      <c r="L439" s="52" t="b">
        <v>0</v>
      </c>
      <c r="M439" s="52" t="b">
        <v>0</v>
      </c>
      <c r="N439" s="52" t="b">
        <v>0</v>
      </c>
      <c r="O439" s="52" t="b">
        <v>0</v>
      </c>
      <c r="P439" s="52" t="b">
        <v>0</v>
      </c>
      <c r="Q439" s="52" t="b">
        <v>0</v>
      </c>
      <c r="R439" s="44"/>
      <c r="S439" s="44"/>
      <c r="T439" s="44"/>
      <c r="U439" s="44"/>
      <c r="V439" s="44"/>
      <c r="W439" s="44"/>
      <c r="X439" s="45"/>
      <c r="Y439" s="45"/>
      <c r="Z439" s="45"/>
      <c r="AA439" s="45"/>
    </row>
    <row r="440" ht="33.75" customHeight="1">
      <c r="A440" s="46" t="s">
        <v>4022</v>
      </c>
      <c r="B440" s="47" t="s">
        <v>4023</v>
      </c>
      <c r="C440" s="47" t="s">
        <v>4024</v>
      </c>
      <c r="D440" s="29" t="s">
        <v>4025</v>
      </c>
      <c r="E440" s="48" t="str">
        <f>IFERROR(__xludf.DUMMYFUNCTION("GOOGLETRANSLATE(D440,""zh-CN"",""vi"")"),"Hãy thông báo cho mọi người về cuộc họp ngày mai.")</f>
        <v>Hãy thông báo cho mọi người về cuộc họp ngày mai.</v>
      </c>
      <c r="F440" s="49" t="s">
        <v>4022</v>
      </c>
      <c r="G440" s="50" t="b">
        <f t="shared" si="1"/>
        <v>1</v>
      </c>
      <c r="H440" s="52" t="b">
        <v>1</v>
      </c>
      <c r="I440" s="52" t="b">
        <v>0</v>
      </c>
      <c r="J440" s="52" t="b">
        <v>0</v>
      </c>
      <c r="K440" s="52" t="b">
        <v>0</v>
      </c>
      <c r="L440" s="52" t="b">
        <v>0</v>
      </c>
      <c r="M440" s="52" t="b">
        <v>0</v>
      </c>
      <c r="N440" s="52" t="b">
        <v>0</v>
      </c>
      <c r="O440" s="52" t="b">
        <v>0</v>
      </c>
      <c r="P440" s="52" t="b">
        <v>0</v>
      </c>
      <c r="Q440" s="52" t="b">
        <v>0</v>
      </c>
      <c r="R440" s="44"/>
      <c r="S440" s="44"/>
      <c r="T440" s="44"/>
      <c r="U440" s="44"/>
      <c r="V440" s="44"/>
      <c r="W440" s="44"/>
      <c r="X440" s="45"/>
      <c r="Y440" s="45"/>
      <c r="Z440" s="45"/>
      <c r="AA440" s="45"/>
    </row>
    <row r="441" ht="33.75" customHeight="1">
      <c r="A441" s="46" t="s">
        <v>4026</v>
      </c>
      <c r="B441" s="47" t="s">
        <v>4027</v>
      </c>
      <c r="C441" s="47" t="s">
        <v>4028</v>
      </c>
      <c r="D441" s="29" t="s">
        <v>4029</v>
      </c>
      <c r="E441" s="48" t="str">
        <f>IFERROR(__xludf.DUMMYFUNCTION("GOOGLETRANSLATE(D441,""zh-CN"",""vi"")"),"Chúng tôi đều cảm thấy thương hại anh ấy.")</f>
        <v>Chúng tôi đều cảm thấy thương hại anh ấy.</v>
      </c>
      <c r="F441" s="49" t="s">
        <v>4026</v>
      </c>
      <c r="G441" s="50" t="b">
        <f t="shared" si="1"/>
        <v>1</v>
      </c>
      <c r="H441" s="52" t="b">
        <v>1</v>
      </c>
      <c r="I441" s="52" t="b">
        <v>0</v>
      </c>
      <c r="J441" s="52" t="b">
        <v>0</v>
      </c>
      <c r="K441" s="52" t="b">
        <v>0</v>
      </c>
      <c r="L441" s="52" t="b">
        <v>0</v>
      </c>
      <c r="M441" s="52" t="b">
        <v>0</v>
      </c>
      <c r="N441" s="52" t="b">
        <v>0</v>
      </c>
      <c r="O441" s="52" t="b">
        <v>0</v>
      </c>
      <c r="P441" s="52" t="b">
        <v>0</v>
      </c>
      <c r="Q441" s="52" t="b">
        <v>0</v>
      </c>
      <c r="R441" s="44"/>
      <c r="S441" s="44"/>
      <c r="T441" s="44"/>
      <c r="U441" s="44"/>
      <c r="V441" s="44"/>
      <c r="W441" s="44"/>
      <c r="X441" s="45"/>
      <c r="Y441" s="45"/>
      <c r="Z441" s="45"/>
      <c r="AA441" s="45"/>
    </row>
    <row r="442" ht="33.75" customHeight="1">
      <c r="A442" s="46" t="s">
        <v>4030</v>
      </c>
      <c r="B442" s="47" t="s">
        <v>4031</v>
      </c>
      <c r="C442" s="47" t="s">
        <v>549</v>
      </c>
      <c r="D442" s="29" t="s">
        <v>4032</v>
      </c>
      <c r="E442" s="48" t="str">
        <f>IFERROR(__xludf.DUMMYFUNCTION("GOOGLETRANSLATE(D442,""zh-CN"",""vi"")"),"Anh ấy làm hai công việc cùng một lúc.")</f>
        <v>Anh ấy làm hai công việc cùng một lúc.</v>
      </c>
      <c r="F442" s="49" t="s">
        <v>4030</v>
      </c>
      <c r="G442" s="50" t="b">
        <f t="shared" si="1"/>
        <v>1</v>
      </c>
      <c r="H442" s="52" t="b">
        <v>1</v>
      </c>
      <c r="I442" s="52" t="b">
        <v>0</v>
      </c>
      <c r="J442" s="52" t="b">
        <v>0</v>
      </c>
      <c r="K442" s="52" t="b">
        <v>0</v>
      </c>
      <c r="L442" s="52" t="b">
        <v>0</v>
      </c>
      <c r="M442" s="52" t="b">
        <v>0</v>
      </c>
      <c r="N442" s="52" t="b">
        <v>0</v>
      </c>
      <c r="O442" s="52" t="b">
        <v>0</v>
      </c>
      <c r="P442" s="52" t="b">
        <v>0</v>
      </c>
      <c r="Q442" s="52" t="b">
        <v>0</v>
      </c>
      <c r="R442" s="44"/>
      <c r="S442" s="44"/>
      <c r="T442" s="44"/>
      <c r="U442" s="44"/>
      <c r="V442" s="44"/>
      <c r="W442" s="44"/>
      <c r="X442" s="45"/>
      <c r="Y442" s="45"/>
      <c r="Z442" s="45"/>
      <c r="AA442" s="45"/>
    </row>
    <row r="443" ht="33.75" customHeight="1">
      <c r="A443" s="46" t="s">
        <v>4033</v>
      </c>
      <c r="B443" s="47" t="s">
        <v>4034</v>
      </c>
      <c r="C443" s="47" t="s">
        <v>4035</v>
      </c>
      <c r="D443" s="29" t="s">
        <v>4036</v>
      </c>
      <c r="E443" s="48" t="str">
        <f>IFERROR(__xludf.DUMMYFUNCTION("GOOGLETRANSLATE(D443,""zh-CN"",""vi"")"),"Làm ơn đẩy cửa mở giúp tôi.")</f>
        <v>Làm ơn đẩy cửa mở giúp tôi.</v>
      </c>
      <c r="F443" s="49" t="s">
        <v>4033</v>
      </c>
      <c r="G443" s="50" t="b">
        <f t="shared" si="1"/>
        <v>1</v>
      </c>
      <c r="H443" s="52" t="b">
        <v>1</v>
      </c>
      <c r="I443" s="52" t="b">
        <v>0</v>
      </c>
      <c r="J443" s="52" t="b">
        <v>0</v>
      </c>
      <c r="K443" s="52" t="b">
        <v>0</v>
      </c>
      <c r="L443" s="52" t="b">
        <v>0</v>
      </c>
      <c r="M443" s="52" t="b">
        <v>0</v>
      </c>
      <c r="N443" s="52" t="b">
        <v>0</v>
      </c>
      <c r="O443" s="52" t="b">
        <v>0</v>
      </c>
      <c r="P443" s="52" t="b">
        <v>0</v>
      </c>
      <c r="Q443" s="52" t="b">
        <v>0</v>
      </c>
      <c r="R443" s="44"/>
      <c r="S443" s="44"/>
      <c r="T443" s="44"/>
      <c r="U443" s="44"/>
      <c r="V443" s="44"/>
      <c r="W443" s="44"/>
      <c r="X443" s="45"/>
      <c r="Y443" s="45"/>
      <c r="Z443" s="45"/>
      <c r="AA443" s="45"/>
    </row>
    <row r="444" ht="33.75" customHeight="1">
      <c r="A444" s="46" t="s">
        <v>4037</v>
      </c>
      <c r="B444" s="47" t="s">
        <v>4038</v>
      </c>
      <c r="C444" s="47" t="s">
        <v>4039</v>
      </c>
      <c r="D444" s="29" t="s">
        <v>4040</v>
      </c>
      <c r="E444" s="48" t="str">
        <f>IFERROR(__xludf.DUMMYFUNCTION("GOOGLETRANSLATE(D444,""zh-CN"",""vi"")"),"Cuộc họp đã được hoãn lại đến ngày mai.")</f>
        <v>Cuộc họp đã được hoãn lại đến ngày mai.</v>
      </c>
      <c r="F444" s="49" t="s">
        <v>4037</v>
      </c>
      <c r="G444" s="50" t="b">
        <f t="shared" si="1"/>
        <v>1</v>
      </c>
      <c r="H444" s="52" t="b">
        <v>1</v>
      </c>
      <c r="I444" s="52" t="b">
        <v>0</v>
      </c>
      <c r="J444" s="52" t="b">
        <v>0</v>
      </c>
      <c r="K444" s="52" t="b">
        <v>0</v>
      </c>
      <c r="L444" s="52" t="b">
        <v>0</v>
      </c>
      <c r="M444" s="52" t="b">
        <v>0</v>
      </c>
      <c r="N444" s="52" t="b">
        <v>0</v>
      </c>
      <c r="O444" s="52" t="b">
        <v>0</v>
      </c>
      <c r="P444" s="52" t="b">
        <v>0</v>
      </c>
      <c r="Q444" s="52" t="b">
        <v>0</v>
      </c>
      <c r="R444" s="44"/>
      <c r="S444" s="44"/>
      <c r="T444" s="44"/>
      <c r="U444" s="44"/>
      <c r="V444" s="44"/>
      <c r="W444" s="44"/>
      <c r="X444" s="45"/>
      <c r="Y444" s="45"/>
      <c r="Z444" s="45"/>
      <c r="AA444" s="45"/>
    </row>
    <row r="445" ht="33.75" customHeight="1">
      <c r="A445" s="46" t="s">
        <v>4041</v>
      </c>
      <c r="B445" s="47" t="s">
        <v>4042</v>
      </c>
      <c r="C445" s="47" t="s">
        <v>4043</v>
      </c>
      <c r="D445" s="29" t="s">
        <v>4044</v>
      </c>
      <c r="E445" s="48" t="str">
        <f>IFERROR(__xludf.DUMMYFUNCTION("GOOGLETRANSLATE(D445,""zh-CN"",""vi"")"),"Vui lòng cởi áo khoác.")</f>
        <v>Vui lòng cởi áo khoác.</v>
      </c>
      <c r="F445" s="49" t="s">
        <v>4041</v>
      </c>
      <c r="G445" s="50" t="b">
        <f t="shared" si="1"/>
        <v>1</v>
      </c>
      <c r="H445" s="52" t="b">
        <v>1</v>
      </c>
      <c r="I445" s="52" t="b">
        <v>0</v>
      </c>
      <c r="J445" s="52" t="b">
        <v>0</v>
      </c>
      <c r="K445" s="52" t="b">
        <v>0</v>
      </c>
      <c r="L445" s="52" t="b">
        <v>0</v>
      </c>
      <c r="M445" s="52" t="b">
        <v>0</v>
      </c>
      <c r="N445" s="52" t="b">
        <v>0</v>
      </c>
      <c r="O445" s="52" t="b">
        <v>0</v>
      </c>
      <c r="P445" s="52" t="b">
        <v>0</v>
      </c>
      <c r="Q445" s="52" t="b">
        <v>0</v>
      </c>
      <c r="R445" s="44"/>
      <c r="S445" s="44"/>
      <c r="T445" s="44"/>
      <c r="U445" s="44"/>
      <c r="V445" s="44"/>
      <c r="W445" s="44"/>
      <c r="X445" s="45"/>
      <c r="Y445" s="45"/>
      <c r="Z445" s="45"/>
      <c r="AA445" s="45"/>
    </row>
    <row r="446" ht="33.75" customHeight="1">
      <c r="A446" s="46" t="s">
        <v>4045</v>
      </c>
      <c r="B446" s="47" t="s">
        <v>4046</v>
      </c>
      <c r="C446" s="47" t="s">
        <v>4047</v>
      </c>
      <c r="D446" s="29" t="s">
        <v>4048</v>
      </c>
      <c r="E446" s="48" t="str">
        <f>IFERROR(__xludf.DUMMYFUNCTION("GOOGLETRANSLATE(D446,""zh-CN"",""vi"")"),"Tôi cần một đôi tất mới.")</f>
        <v>Tôi cần một đôi tất mới.</v>
      </c>
      <c r="F446" s="49" t="s">
        <v>4045</v>
      </c>
      <c r="G446" s="50" t="b">
        <f t="shared" si="1"/>
        <v>1</v>
      </c>
      <c r="H446" s="52" t="b">
        <v>1</v>
      </c>
      <c r="I446" s="52" t="b">
        <v>0</v>
      </c>
      <c r="J446" s="52" t="b">
        <v>0</v>
      </c>
      <c r="K446" s="52" t="b">
        <v>0</v>
      </c>
      <c r="L446" s="52" t="b">
        <v>0</v>
      </c>
      <c r="M446" s="52" t="b">
        <v>0</v>
      </c>
      <c r="N446" s="52" t="b">
        <v>0</v>
      </c>
      <c r="O446" s="52" t="b">
        <v>0</v>
      </c>
      <c r="P446" s="52" t="b">
        <v>0</v>
      </c>
      <c r="Q446" s="52" t="b">
        <v>0</v>
      </c>
      <c r="R446" s="44"/>
      <c r="S446" s="44"/>
      <c r="T446" s="44"/>
      <c r="U446" s="44"/>
      <c r="V446" s="44"/>
      <c r="W446" s="44"/>
      <c r="X446" s="45"/>
      <c r="Y446" s="45"/>
      <c r="Z446" s="45"/>
      <c r="AA446" s="45"/>
    </row>
    <row r="447" ht="33.75" customHeight="1">
      <c r="A447" s="46" t="s">
        <v>4049</v>
      </c>
      <c r="B447" s="47" t="s">
        <v>4050</v>
      </c>
      <c r="C447" s="47" t="s">
        <v>4051</v>
      </c>
      <c r="D447" s="29" t="s">
        <v>4052</v>
      </c>
      <c r="E447" s="48" t="str">
        <f>IFERROR(__xludf.DUMMYFUNCTION("GOOGLETRANSLATE(D447,""zh-CN"",""vi"")"),"Tôi hoàn toàn đồng ý với bạn.")</f>
        <v>Tôi hoàn toàn đồng ý với bạn.</v>
      </c>
      <c r="F447" s="49" t="s">
        <v>4049</v>
      </c>
      <c r="G447" s="50" t="b">
        <f t="shared" si="1"/>
        <v>1</v>
      </c>
      <c r="H447" s="52" t="b">
        <v>1</v>
      </c>
      <c r="I447" s="52" t="b">
        <v>0</v>
      </c>
      <c r="J447" s="52" t="b">
        <v>0</v>
      </c>
      <c r="K447" s="52" t="b">
        <v>0</v>
      </c>
      <c r="L447" s="52" t="b">
        <v>0</v>
      </c>
      <c r="M447" s="52" t="b">
        <v>0</v>
      </c>
      <c r="N447" s="52" t="b">
        <v>0</v>
      </c>
      <c r="O447" s="52" t="b">
        <v>0</v>
      </c>
      <c r="P447" s="52" t="b">
        <v>0</v>
      </c>
      <c r="Q447" s="52" t="b">
        <v>0</v>
      </c>
      <c r="R447" s="44"/>
      <c r="S447" s="44"/>
      <c r="T447" s="44"/>
      <c r="U447" s="44"/>
      <c r="V447" s="44"/>
      <c r="W447" s="44"/>
      <c r="X447" s="45"/>
      <c r="Y447" s="45"/>
      <c r="Z447" s="45"/>
      <c r="AA447" s="45"/>
    </row>
    <row r="448" ht="33.75" customHeight="1">
      <c r="A448" s="46" t="s">
        <v>4053</v>
      </c>
      <c r="B448" s="47" t="s">
        <v>4054</v>
      </c>
      <c r="C448" s="47" t="s">
        <v>4055</v>
      </c>
      <c r="D448" s="29" t="s">
        <v>4056</v>
      </c>
      <c r="E448" s="48" t="str">
        <f>IFERROR(__xludf.DUMMYFUNCTION("GOOGLETRANSLATE(D448,""zh-CN"",""vi"")"),"Tôi thích chơi quần vợt.")</f>
        <v>Tôi thích chơi quần vợt.</v>
      </c>
      <c r="F448" s="49" t="s">
        <v>4053</v>
      </c>
      <c r="G448" s="50" t="b">
        <f t="shared" si="1"/>
        <v>1</v>
      </c>
      <c r="H448" s="52" t="b">
        <v>1</v>
      </c>
      <c r="I448" s="52" t="b">
        <v>0</v>
      </c>
      <c r="J448" s="52" t="b">
        <v>0</v>
      </c>
      <c r="K448" s="52" t="b">
        <v>0</v>
      </c>
      <c r="L448" s="52" t="b">
        <v>0</v>
      </c>
      <c r="M448" s="52" t="b">
        <v>0</v>
      </c>
      <c r="N448" s="52" t="b">
        <v>0</v>
      </c>
      <c r="O448" s="52" t="b">
        <v>0</v>
      </c>
      <c r="P448" s="52" t="b">
        <v>0</v>
      </c>
      <c r="Q448" s="52" t="b">
        <v>0</v>
      </c>
      <c r="R448" s="44"/>
      <c r="S448" s="44"/>
      <c r="T448" s="44"/>
      <c r="U448" s="44"/>
      <c r="V448" s="44"/>
      <c r="W448" s="44"/>
      <c r="X448" s="45"/>
      <c r="Y448" s="45"/>
      <c r="Z448" s="45"/>
      <c r="AA448" s="45"/>
    </row>
    <row r="449" ht="33.75" customHeight="1">
      <c r="A449" s="46" t="s">
        <v>4057</v>
      </c>
      <c r="B449" s="47" t="s">
        <v>4058</v>
      </c>
      <c r="C449" s="47" t="s">
        <v>4059</v>
      </c>
      <c r="D449" s="29" t="s">
        <v>4060</v>
      </c>
      <c r="E449" s="48" t="str">
        <f>IFERROR(__xludf.DUMMYFUNCTION("GOOGLETRANSLATE(D449,""zh-CN"",""vi"")"),"Trang web này rất hữu ích.")</f>
        <v>Trang web này rất hữu ích.</v>
      </c>
      <c r="F449" s="49" t="s">
        <v>4057</v>
      </c>
      <c r="G449" s="50" t="b">
        <f t="shared" si="1"/>
        <v>1</v>
      </c>
      <c r="H449" s="52" t="b">
        <v>1</v>
      </c>
      <c r="I449" s="52" t="b">
        <v>0</v>
      </c>
      <c r="J449" s="52" t="b">
        <v>0</v>
      </c>
      <c r="K449" s="52" t="b">
        <v>0</v>
      </c>
      <c r="L449" s="52" t="b">
        <v>0</v>
      </c>
      <c r="M449" s="52" t="b">
        <v>0</v>
      </c>
      <c r="N449" s="52" t="b">
        <v>0</v>
      </c>
      <c r="O449" s="52" t="b">
        <v>0</v>
      </c>
      <c r="P449" s="52" t="b">
        <v>0</v>
      </c>
      <c r="Q449" s="52" t="b">
        <v>0</v>
      </c>
      <c r="R449" s="44"/>
      <c r="S449" s="44"/>
      <c r="T449" s="44"/>
      <c r="U449" s="44"/>
      <c r="V449" s="44"/>
      <c r="W449" s="44"/>
      <c r="X449" s="45"/>
      <c r="Y449" s="45"/>
      <c r="Z449" s="45"/>
      <c r="AA449" s="45"/>
    </row>
    <row r="450" ht="33.75" customHeight="1">
      <c r="A450" s="46" t="s">
        <v>4061</v>
      </c>
      <c r="B450" s="47" t="s">
        <v>4062</v>
      </c>
      <c r="C450" s="47" t="s">
        <v>4063</v>
      </c>
      <c r="D450" s="29" t="s">
        <v>4064</v>
      </c>
      <c r="E450" s="48" t="str">
        <f>IFERROR(__xludf.DUMMYFUNCTION("GOOGLETRANSLATE(D450,""zh-CN"",""vi"")"),"Anh ấy thường xuyên đến muộn.")</f>
        <v>Anh ấy thường xuyên đến muộn.</v>
      </c>
      <c r="F450" s="49" t="s">
        <v>4061</v>
      </c>
      <c r="G450" s="50" t="b">
        <f t="shared" si="1"/>
        <v>1</v>
      </c>
      <c r="H450" s="52" t="b">
        <v>0</v>
      </c>
      <c r="I450" s="52" t="b">
        <v>0</v>
      </c>
      <c r="J450" s="52" t="b">
        <v>0</v>
      </c>
      <c r="K450" s="52" t="b">
        <v>0</v>
      </c>
      <c r="L450" s="52" t="b">
        <v>0</v>
      </c>
      <c r="M450" s="52" t="b">
        <v>0</v>
      </c>
      <c r="N450" s="52" t="b">
        <v>0</v>
      </c>
      <c r="O450" s="52" t="b">
        <v>0</v>
      </c>
      <c r="P450" s="52" t="b">
        <v>0</v>
      </c>
      <c r="Q450" s="52" t="b">
        <v>0</v>
      </c>
      <c r="R450" s="44"/>
      <c r="S450" s="44"/>
      <c r="T450" s="44"/>
      <c r="U450" s="44"/>
      <c r="V450" s="44"/>
      <c r="W450" s="44"/>
      <c r="X450" s="45"/>
      <c r="Y450" s="45"/>
      <c r="Z450" s="45"/>
      <c r="AA450" s="45"/>
    </row>
    <row r="451" ht="33.75" customHeight="1">
      <c r="A451" s="46" t="s">
        <v>4065</v>
      </c>
      <c r="B451" s="47" t="s">
        <v>4066</v>
      </c>
      <c r="C451" s="47" t="s">
        <v>4067</v>
      </c>
      <c r="D451" s="29" t="s">
        <v>4068</v>
      </c>
      <c r="E451" s="48" t="str">
        <f>IFERROR(__xludf.DUMMYFUNCTION("GOOGLETRANSLATE(D451,""zh-CN"",""vi"")"),"Hãy cẩn thận, ở đây rất nguy hiểm.")</f>
        <v>Hãy cẩn thận, ở đây rất nguy hiểm.</v>
      </c>
      <c r="F451" s="49" t="s">
        <v>4065</v>
      </c>
      <c r="G451" s="50" t="b">
        <f t="shared" si="1"/>
        <v>1</v>
      </c>
      <c r="H451" s="52" t="b">
        <v>0</v>
      </c>
      <c r="I451" s="52" t="b">
        <v>0</v>
      </c>
      <c r="J451" s="52" t="b">
        <v>0</v>
      </c>
      <c r="K451" s="52" t="b">
        <v>0</v>
      </c>
      <c r="L451" s="52" t="b">
        <v>0</v>
      </c>
      <c r="M451" s="52" t="b">
        <v>0</v>
      </c>
      <c r="N451" s="52" t="b">
        <v>0</v>
      </c>
      <c r="O451" s="52" t="b">
        <v>0</v>
      </c>
      <c r="P451" s="52" t="b">
        <v>0</v>
      </c>
      <c r="Q451" s="52" t="b">
        <v>0</v>
      </c>
      <c r="R451" s="44"/>
      <c r="S451" s="44"/>
      <c r="T451" s="44"/>
      <c r="U451" s="44"/>
      <c r="V451" s="44"/>
      <c r="W451" s="44"/>
      <c r="X451" s="45"/>
      <c r="Y451" s="45"/>
      <c r="Z451" s="45"/>
      <c r="AA451" s="45"/>
    </row>
    <row r="452" ht="33.75" customHeight="1">
      <c r="A452" s="46" t="s">
        <v>4069</v>
      </c>
      <c r="B452" s="47" t="s">
        <v>4070</v>
      </c>
      <c r="C452" s="47" t="s">
        <v>682</v>
      </c>
      <c r="D452" s="29" t="s">
        <v>4071</v>
      </c>
      <c r="E452" s="48" t="str">
        <f>IFERROR(__xludf.DUMMYFUNCTION("GOOGLETRANSLATE(D452,""zh-CN"",""vi"")"),"Phòng vệ sinh ở đâu?")</f>
        <v>Phòng vệ sinh ở đâu?</v>
      </c>
      <c r="F452" s="49" t="s">
        <v>4069</v>
      </c>
      <c r="G452" s="50" t="b">
        <f t="shared" si="1"/>
        <v>1</v>
      </c>
      <c r="H452" s="52" t="b">
        <v>0</v>
      </c>
      <c r="I452" s="52" t="b">
        <v>0</v>
      </c>
      <c r="J452" s="52" t="b">
        <v>0</v>
      </c>
      <c r="K452" s="52" t="b">
        <v>0</v>
      </c>
      <c r="L452" s="52" t="b">
        <v>0</v>
      </c>
      <c r="M452" s="52" t="b">
        <v>0</v>
      </c>
      <c r="N452" s="52" t="b">
        <v>0</v>
      </c>
      <c r="O452" s="52" t="b">
        <v>0</v>
      </c>
      <c r="P452" s="52" t="b">
        <v>0</v>
      </c>
      <c r="Q452" s="52" t="b">
        <v>0</v>
      </c>
      <c r="R452" s="44"/>
      <c r="S452" s="44"/>
      <c r="T452" s="44"/>
      <c r="U452" s="44"/>
      <c r="V452" s="44"/>
      <c r="W452" s="44"/>
      <c r="X452" s="45"/>
      <c r="Y452" s="45"/>
      <c r="Z452" s="45"/>
      <c r="AA452" s="45"/>
    </row>
    <row r="453" ht="33.75" customHeight="1">
      <c r="A453" s="46" t="s">
        <v>4072</v>
      </c>
      <c r="B453" s="47" t="s">
        <v>4073</v>
      </c>
      <c r="C453" s="47" t="s">
        <v>4074</v>
      </c>
      <c r="D453" s="29" t="s">
        <v>4075</v>
      </c>
      <c r="E453" s="48" t="str">
        <f>IFERROR(__xludf.DUMMYFUNCTION("GOOGLETRANSLATE(D453,""zh-CN"",""vi"")"),"Món này ngon tuyệt.")</f>
        <v>Món này ngon tuyệt.</v>
      </c>
      <c r="F453" s="49" t="s">
        <v>4072</v>
      </c>
      <c r="G453" s="50" t="b">
        <f t="shared" si="1"/>
        <v>1</v>
      </c>
      <c r="H453" s="52" t="b">
        <v>0</v>
      </c>
      <c r="I453" s="52" t="b">
        <v>0</v>
      </c>
      <c r="J453" s="52" t="b">
        <v>0</v>
      </c>
      <c r="K453" s="52" t="b">
        <v>0</v>
      </c>
      <c r="L453" s="52" t="b">
        <v>0</v>
      </c>
      <c r="M453" s="52" t="b">
        <v>0</v>
      </c>
      <c r="N453" s="52" t="b">
        <v>0</v>
      </c>
      <c r="O453" s="52" t="b">
        <v>0</v>
      </c>
      <c r="P453" s="52" t="b">
        <v>0</v>
      </c>
      <c r="Q453" s="52" t="b">
        <v>0</v>
      </c>
      <c r="R453" s="44"/>
      <c r="S453" s="44"/>
      <c r="T453" s="44"/>
      <c r="U453" s="44"/>
      <c r="V453" s="44"/>
      <c r="W453" s="44"/>
      <c r="X453" s="45"/>
      <c r="Y453" s="45"/>
      <c r="Z453" s="45"/>
      <c r="AA453" s="45"/>
    </row>
    <row r="454" ht="33.75" customHeight="1">
      <c r="A454" s="46" t="s">
        <v>4076</v>
      </c>
      <c r="B454" s="47" t="s">
        <v>4077</v>
      </c>
      <c r="C454" s="47" t="s">
        <v>4078</v>
      </c>
      <c r="D454" s="29" t="s">
        <v>4079</v>
      </c>
      <c r="E454" s="48" t="str">
        <f>IFERROR(__xludf.DUMMYFUNCTION("GOOGLETRANSLATE(D454,""zh-CN"",""vi"")"),"Hôm nay trời rất nóng.")</f>
        <v>Hôm nay trời rất nóng.</v>
      </c>
      <c r="F454" s="49" t="s">
        <v>4076</v>
      </c>
      <c r="G454" s="50" t="b">
        <f t="shared" si="1"/>
        <v>1</v>
      </c>
      <c r="H454" s="52" t="b">
        <v>0</v>
      </c>
      <c r="I454" s="52" t="b">
        <v>0</v>
      </c>
      <c r="J454" s="52" t="b">
        <v>0</v>
      </c>
      <c r="K454" s="52" t="b">
        <v>0</v>
      </c>
      <c r="L454" s="52" t="b">
        <v>0</v>
      </c>
      <c r="M454" s="52" t="b">
        <v>0</v>
      </c>
      <c r="N454" s="52" t="b">
        <v>0</v>
      </c>
      <c r="O454" s="52" t="b">
        <v>0</v>
      </c>
      <c r="P454" s="52" t="b">
        <v>0</v>
      </c>
      <c r="Q454" s="52" t="b">
        <v>0</v>
      </c>
      <c r="R454" s="44"/>
      <c r="S454" s="44"/>
      <c r="T454" s="44"/>
      <c r="U454" s="44"/>
      <c r="V454" s="44"/>
      <c r="W454" s="44"/>
      <c r="X454" s="45"/>
      <c r="Y454" s="45"/>
      <c r="Z454" s="45"/>
      <c r="AA454" s="45"/>
    </row>
    <row r="455" ht="33.75" customHeight="1">
      <c r="A455" s="46" t="s">
        <v>4080</v>
      </c>
      <c r="B455" s="47" t="s">
        <v>4081</v>
      </c>
      <c r="C455" s="47" t="s">
        <v>4082</v>
      </c>
      <c r="D455" s="29" t="s">
        <v>4083</v>
      </c>
      <c r="E455" s="48" t="str">
        <f>IFERROR(__xludf.DUMMYFUNCTION("GOOGLETRANSLATE(D455,""zh-CN"",""vi"")"),"Bài viết này được viết rất hay.")</f>
        <v>Bài viết này được viết rất hay.</v>
      </c>
      <c r="F455" s="49" t="s">
        <v>4080</v>
      </c>
      <c r="G455" s="50" t="b">
        <f t="shared" si="1"/>
        <v>1</v>
      </c>
      <c r="H455" s="52" t="b">
        <v>0</v>
      </c>
      <c r="I455" s="52" t="b">
        <v>0</v>
      </c>
      <c r="J455" s="52" t="b">
        <v>0</v>
      </c>
      <c r="K455" s="52" t="b">
        <v>0</v>
      </c>
      <c r="L455" s="52" t="b">
        <v>0</v>
      </c>
      <c r="M455" s="52" t="b">
        <v>0</v>
      </c>
      <c r="N455" s="52" t="b">
        <v>0</v>
      </c>
      <c r="O455" s="52" t="b">
        <v>0</v>
      </c>
      <c r="P455" s="52" t="b">
        <v>0</v>
      </c>
      <c r="Q455" s="52" t="b">
        <v>0</v>
      </c>
      <c r="R455" s="44"/>
      <c r="S455" s="44"/>
      <c r="T455" s="44"/>
      <c r="U455" s="44"/>
      <c r="V455" s="44"/>
      <c r="W455" s="44"/>
      <c r="X455" s="45"/>
      <c r="Y455" s="45"/>
      <c r="Z455" s="45"/>
      <c r="AA455" s="45"/>
    </row>
    <row r="456" ht="33.75" customHeight="1">
      <c r="A456" s="46" t="s">
        <v>4084</v>
      </c>
      <c r="B456" s="47" t="s">
        <v>4085</v>
      </c>
      <c r="C456" s="47" t="s">
        <v>4086</v>
      </c>
      <c r="D456" s="29" t="s">
        <v>4087</v>
      </c>
      <c r="E456" s="48" t="str">
        <f>IFERROR(__xludf.DUMMYFUNCTION("GOOGLETRANSLATE(D456,""zh-CN"",""vi"")"),"Tình trạng ô nhiễm ở đây rất nghiêm trọng.")</f>
        <v>Tình trạng ô nhiễm ở đây rất nghiêm trọng.</v>
      </c>
      <c r="F456" s="49" t="s">
        <v>4084</v>
      </c>
      <c r="G456" s="50" t="b">
        <f t="shared" si="1"/>
        <v>1</v>
      </c>
      <c r="H456" s="52" t="b">
        <v>0</v>
      </c>
      <c r="I456" s="52" t="b">
        <v>0</v>
      </c>
      <c r="J456" s="52" t="b">
        <v>0</v>
      </c>
      <c r="K456" s="52" t="b">
        <v>0</v>
      </c>
      <c r="L456" s="52" t="b">
        <v>0</v>
      </c>
      <c r="M456" s="52" t="b">
        <v>0</v>
      </c>
      <c r="N456" s="52" t="b">
        <v>0</v>
      </c>
      <c r="O456" s="52" t="b">
        <v>0</v>
      </c>
      <c r="P456" s="52" t="b">
        <v>0</v>
      </c>
      <c r="Q456" s="52" t="b">
        <v>0</v>
      </c>
      <c r="R456" s="44"/>
      <c r="S456" s="44"/>
      <c r="T456" s="44"/>
      <c r="U456" s="44"/>
      <c r="V456" s="44"/>
      <c r="W456" s="44"/>
      <c r="X456" s="45"/>
      <c r="Y456" s="45"/>
      <c r="Z456" s="45"/>
      <c r="AA456" s="45"/>
    </row>
    <row r="457" ht="33.75" customHeight="1">
      <c r="A457" s="46" t="s">
        <v>4088</v>
      </c>
      <c r="B457" s="47" t="s">
        <v>4089</v>
      </c>
      <c r="C457" s="47" t="s">
        <v>80</v>
      </c>
      <c r="D457" s="29" t="s">
        <v>4090</v>
      </c>
      <c r="E457" s="48" t="str">
        <f>IFERROR(__xludf.DUMMYFUNCTION("GOOGLETRANSLATE(D457,""zh-CN"",""vi"")"),"Anh ta không nói gì.")</f>
        <v>Anh ta không nói gì.</v>
      </c>
      <c r="F457" s="49" t="s">
        <v>4088</v>
      </c>
      <c r="G457" s="50" t="b">
        <f t="shared" si="1"/>
        <v>1</v>
      </c>
      <c r="H457" s="52" t="b">
        <v>0</v>
      </c>
      <c r="I457" s="52" t="b">
        <v>0</v>
      </c>
      <c r="J457" s="52" t="b">
        <v>0</v>
      </c>
      <c r="K457" s="52" t="b">
        <v>0</v>
      </c>
      <c r="L457" s="52" t="b">
        <v>0</v>
      </c>
      <c r="M457" s="52" t="b">
        <v>0</v>
      </c>
      <c r="N457" s="52" t="b">
        <v>0</v>
      </c>
      <c r="O457" s="52" t="b">
        <v>0</v>
      </c>
      <c r="P457" s="52" t="b">
        <v>0</v>
      </c>
      <c r="Q457" s="52" t="b">
        <v>0</v>
      </c>
      <c r="R457" s="44"/>
      <c r="S457" s="44"/>
      <c r="T457" s="44"/>
      <c r="U457" s="44"/>
      <c r="V457" s="44"/>
      <c r="W457" s="44"/>
      <c r="X457" s="45"/>
      <c r="Y457" s="45"/>
      <c r="Z457" s="45"/>
      <c r="AA457" s="45"/>
    </row>
    <row r="458" ht="33.75" customHeight="1">
      <c r="A458" s="46" t="s">
        <v>4091</v>
      </c>
      <c r="B458" s="47" t="s">
        <v>4092</v>
      </c>
      <c r="C458" s="47" t="s">
        <v>4093</v>
      </c>
      <c r="D458" s="29" t="s">
        <v>4094</v>
      </c>
      <c r="E458" s="48" t="str">
        <f>IFERROR(__xludf.DUMMYFUNCTION("GOOGLETRANSLATE(D458,""zh-CN"",""vi"")"),"Cuốn sách này nhàm chán quá.")</f>
        <v>Cuốn sách này nhàm chán quá.</v>
      </c>
      <c r="F458" s="49" t="s">
        <v>4091</v>
      </c>
      <c r="G458" s="50" t="b">
        <f t="shared" si="1"/>
        <v>1</v>
      </c>
      <c r="H458" s="52" t="b">
        <v>0</v>
      </c>
      <c r="I458" s="52" t="b">
        <v>0</v>
      </c>
      <c r="J458" s="52" t="b">
        <v>0</v>
      </c>
      <c r="K458" s="52" t="b">
        <v>0</v>
      </c>
      <c r="L458" s="52" t="b">
        <v>0</v>
      </c>
      <c r="M458" s="52" t="b">
        <v>0</v>
      </c>
      <c r="N458" s="52" t="b">
        <v>0</v>
      </c>
      <c r="O458" s="52" t="b">
        <v>0</v>
      </c>
      <c r="P458" s="52" t="b">
        <v>0</v>
      </c>
      <c r="Q458" s="52" t="b">
        <v>0</v>
      </c>
      <c r="R458" s="44"/>
      <c r="S458" s="44"/>
      <c r="T458" s="44"/>
      <c r="U458" s="44"/>
      <c r="V458" s="44"/>
      <c r="W458" s="44"/>
      <c r="X458" s="45"/>
      <c r="Y458" s="45"/>
      <c r="Z458" s="45"/>
      <c r="AA458" s="45"/>
    </row>
    <row r="459" ht="33.75" customHeight="1">
      <c r="A459" s="46" t="s">
        <v>4095</v>
      </c>
      <c r="B459" s="47" t="s">
        <v>4096</v>
      </c>
      <c r="C459" s="47" t="s">
        <v>4097</v>
      </c>
      <c r="D459" s="29" t="s">
        <v>4098</v>
      </c>
      <c r="E459" s="48" t="str">
        <f>IFERROR(__xludf.DUMMYFUNCTION("GOOGLETRANSLATE(D459,""zh-CN"",""vi"")"),"Chúng ta sẽ đi bất kể thời tiết thế nào.")</f>
        <v>Chúng ta sẽ đi bất kể thời tiết thế nào.</v>
      </c>
      <c r="F459" s="49" t="s">
        <v>4095</v>
      </c>
      <c r="G459" s="50" t="b">
        <f t="shared" si="1"/>
        <v>1</v>
      </c>
      <c r="H459" s="52" t="b">
        <v>0</v>
      </c>
      <c r="I459" s="52" t="b">
        <v>0</v>
      </c>
      <c r="J459" s="52" t="b">
        <v>0</v>
      </c>
      <c r="K459" s="52" t="b">
        <v>0</v>
      </c>
      <c r="L459" s="52" t="b">
        <v>0</v>
      </c>
      <c r="M459" s="52" t="b">
        <v>0</v>
      </c>
      <c r="N459" s="52" t="b">
        <v>0</v>
      </c>
      <c r="O459" s="52" t="b">
        <v>0</v>
      </c>
      <c r="P459" s="52" t="b">
        <v>0</v>
      </c>
      <c r="Q459" s="52" t="b">
        <v>0</v>
      </c>
      <c r="R459" s="44"/>
      <c r="S459" s="44"/>
      <c r="T459" s="44"/>
      <c r="U459" s="44"/>
      <c r="V459" s="44"/>
      <c r="W459" s="44"/>
      <c r="X459" s="45"/>
      <c r="Y459" s="45"/>
      <c r="Z459" s="45"/>
      <c r="AA459" s="45"/>
    </row>
    <row r="460" ht="33.75" customHeight="1">
      <c r="A460" s="46" t="s">
        <v>4099</v>
      </c>
      <c r="B460" s="47" t="s">
        <v>4100</v>
      </c>
      <c r="C460" s="47" t="s">
        <v>4101</v>
      </c>
      <c r="D460" s="29" t="s">
        <v>4102</v>
      </c>
      <c r="E460" s="48" t="str">
        <f>IFERROR(__xludf.DUMMYFUNCTION("GOOGLETRANSLATE(D460,""zh-CN"",""vi"")"),"Tôi đã hiểu nhầm anh ấy.")</f>
        <v>Tôi đã hiểu nhầm anh ấy.</v>
      </c>
      <c r="F460" s="49" t="s">
        <v>4099</v>
      </c>
      <c r="G460" s="50" t="b">
        <f t="shared" si="1"/>
        <v>1</v>
      </c>
      <c r="H460" s="52" t="b">
        <v>0</v>
      </c>
      <c r="I460" s="52" t="b">
        <v>0</v>
      </c>
      <c r="J460" s="52" t="b">
        <v>0</v>
      </c>
      <c r="K460" s="52" t="b">
        <v>0</v>
      </c>
      <c r="L460" s="52" t="b">
        <v>0</v>
      </c>
      <c r="M460" s="52" t="b">
        <v>0</v>
      </c>
      <c r="N460" s="52" t="b">
        <v>0</v>
      </c>
      <c r="O460" s="52" t="b">
        <v>0</v>
      </c>
      <c r="P460" s="52" t="b">
        <v>0</v>
      </c>
      <c r="Q460" s="52" t="b">
        <v>0</v>
      </c>
      <c r="R460" s="44"/>
      <c r="S460" s="44"/>
      <c r="T460" s="44"/>
      <c r="U460" s="44"/>
      <c r="V460" s="44"/>
      <c r="W460" s="44"/>
      <c r="X460" s="45"/>
      <c r="Y460" s="45"/>
      <c r="Z460" s="45"/>
      <c r="AA460" s="45"/>
    </row>
    <row r="461" ht="33.75" customHeight="1">
      <c r="A461" s="46" t="s">
        <v>4103</v>
      </c>
      <c r="B461" s="47" t="s">
        <v>4104</v>
      </c>
      <c r="C461" s="47" t="s">
        <v>4105</v>
      </c>
      <c r="D461" s="29" t="s">
        <v>4106</v>
      </c>
      <c r="E461" s="48" t="str">
        <f>IFERROR(__xludf.DUMMYFUNCTION("GOOGLETRANSLATE(D461,""zh-CN"",""vi"")"),"Tôi thích ăn cà chua.")</f>
        <v>Tôi thích ăn cà chua.</v>
      </c>
      <c r="F461" s="49" t="s">
        <v>4103</v>
      </c>
      <c r="G461" s="50" t="b">
        <f t="shared" si="1"/>
        <v>1</v>
      </c>
      <c r="H461" s="52" t="b">
        <v>0</v>
      </c>
      <c r="I461" s="52" t="b">
        <v>0</v>
      </c>
      <c r="J461" s="52" t="b">
        <v>0</v>
      </c>
      <c r="K461" s="52" t="b">
        <v>0</v>
      </c>
      <c r="L461" s="52" t="b">
        <v>0</v>
      </c>
      <c r="M461" s="52" t="b">
        <v>0</v>
      </c>
      <c r="N461" s="52" t="b">
        <v>0</v>
      </c>
      <c r="O461" s="52" t="b">
        <v>0</v>
      </c>
      <c r="P461" s="52" t="b">
        <v>0</v>
      </c>
      <c r="Q461" s="52" t="b">
        <v>0</v>
      </c>
      <c r="R461" s="44"/>
      <c r="S461" s="44"/>
      <c r="T461" s="44"/>
      <c r="U461" s="44"/>
      <c r="V461" s="44"/>
      <c r="W461" s="44"/>
      <c r="X461" s="45"/>
      <c r="Y461" s="45"/>
      <c r="Z461" s="45"/>
      <c r="AA461" s="45"/>
    </row>
    <row r="462" ht="33.75" customHeight="1">
      <c r="A462" s="46" t="s">
        <v>4107</v>
      </c>
      <c r="B462" s="47" t="s">
        <v>4108</v>
      </c>
      <c r="C462" s="47" t="s">
        <v>4109</v>
      </c>
      <c r="D462" s="29" t="s">
        <v>4110</v>
      </c>
      <c r="E462" s="48" t="str">
        <f>IFERROR(__xludf.DUMMYFUNCTION("GOOGLETRANSLATE(D462,""zh-CN"",""vi"")"),"Màn trình diễn của anh ấy đã thu hút rất nhiều người.")</f>
        <v>Màn trình diễn của anh ấy đã thu hút rất nhiều người.</v>
      </c>
      <c r="F462" s="49" t="s">
        <v>4107</v>
      </c>
      <c r="G462" s="50" t="b">
        <f t="shared" si="1"/>
        <v>1</v>
      </c>
      <c r="H462" s="52" t="b">
        <v>0</v>
      </c>
      <c r="I462" s="52" t="b">
        <v>0</v>
      </c>
      <c r="J462" s="52" t="b">
        <v>0</v>
      </c>
      <c r="K462" s="52" t="b">
        <v>0</v>
      </c>
      <c r="L462" s="52" t="b">
        <v>0</v>
      </c>
      <c r="M462" s="52" t="b">
        <v>0</v>
      </c>
      <c r="N462" s="52" t="b">
        <v>0</v>
      </c>
      <c r="O462" s="52" t="b">
        <v>0</v>
      </c>
      <c r="P462" s="52" t="b">
        <v>0</v>
      </c>
      <c r="Q462" s="52" t="b">
        <v>0</v>
      </c>
      <c r="R462" s="44"/>
      <c r="S462" s="44"/>
      <c r="T462" s="44"/>
      <c r="U462" s="44"/>
      <c r="V462" s="44"/>
      <c r="W462" s="44"/>
      <c r="X462" s="45"/>
      <c r="Y462" s="45"/>
      <c r="Z462" s="45"/>
      <c r="AA462" s="45"/>
    </row>
    <row r="463" ht="33.75" customHeight="1">
      <c r="A463" s="46" t="s">
        <v>4111</v>
      </c>
      <c r="B463" s="47" t="s">
        <v>4112</v>
      </c>
      <c r="C463" s="47" t="s">
        <v>4113</v>
      </c>
      <c r="D463" s="29" t="s">
        <v>4114</v>
      </c>
      <c r="E463" s="48" t="str">
        <f>IFERROR(__xludf.DUMMYFUNCTION("GOOGLETRANSLATE(D463,""zh-CN"",""vi"")"),"Món này hơi mặn.")</f>
        <v>Món này hơi mặn.</v>
      </c>
      <c r="F463" s="49" t="s">
        <v>4111</v>
      </c>
      <c r="G463" s="50" t="b">
        <f t="shared" si="1"/>
        <v>1</v>
      </c>
      <c r="H463" s="52" t="b">
        <v>0</v>
      </c>
      <c r="I463" s="52" t="b">
        <v>0</v>
      </c>
      <c r="J463" s="52" t="b">
        <v>0</v>
      </c>
      <c r="K463" s="52" t="b">
        <v>0</v>
      </c>
      <c r="L463" s="52" t="b">
        <v>0</v>
      </c>
      <c r="M463" s="52" t="b">
        <v>0</v>
      </c>
      <c r="N463" s="52" t="b">
        <v>0</v>
      </c>
      <c r="O463" s="52" t="b">
        <v>0</v>
      </c>
      <c r="P463" s="52" t="b">
        <v>0</v>
      </c>
      <c r="Q463" s="52" t="b">
        <v>0</v>
      </c>
      <c r="R463" s="44"/>
      <c r="S463" s="44"/>
      <c r="T463" s="44"/>
      <c r="U463" s="44"/>
      <c r="V463" s="44"/>
      <c r="W463" s="44"/>
      <c r="X463" s="45"/>
      <c r="Y463" s="45"/>
      <c r="Z463" s="45"/>
      <c r="AA463" s="45"/>
    </row>
    <row r="464" ht="33.75" customHeight="1">
      <c r="A464" s="46" t="s">
        <v>4115</v>
      </c>
      <c r="B464" s="47" t="s">
        <v>4116</v>
      </c>
      <c r="C464" s="47" t="s">
        <v>4117</v>
      </c>
      <c r="D464" s="29" t="s">
        <v>4118</v>
      </c>
      <c r="E464" s="48" t="str">
        <f>IFERROR(__xludf.DUMMYFUNCTION("GOOGLETRANSLATE(D464,""zh-CN"",""vi"")"),"Vui lòng thanh toán bằng tiền mặt.")</f>
        <v>Vui lòng thanh toán bằng tiền mặt.</v>
      </c>
      <c r="F464" s="49" t="s">
        <v>4115</v>
      </c>
      <c r="G464" s="50" t="b">
        <f t="shared" si="1"/>
        <v>1</v>
      </c>
      <c r="H464" s="52" t="b">
        <v>0</v>
      </c>
      <c r="I464" s="52" t="b">
        <v>0</v>
      </c>
      <c r="J464" s="52" t="b">
        <v>0</v>
      </c>
      <c r="K464" s="52" t="b">
        <v>0</v>
      </c>
      <c r="L464" s="52" t="b">
        <v>0</v>
      </c>
      <c r="M464" s="52" t="b">
        <v>0</v>
      </c>
      <c r="N464" s="52" t="b">
        <v>0</v>
      </c>
      <c r="O464" s="52" t="b">
        <v>0</v>
      </c>
      <c r="P464" s="52" t="b">
        <v>0</v>
      </c>
      <c r="Q464" s="52" t="b">
        <v>0</v>
      </c>
      <c r="R464" s="44"/>
      <c r="S464" s="44"/>
      <c r="T464" s="44"/>
      <c r="U464" s="44"/>
      <c r="V464" s="44"/>
      <c r="W464" s="44"/>
      <c r="X464" s="45"/>
      <c r="Y464" s="45"/>
      <c r="Z464" s="45"/>
      <c r="AA464" s="45"/>
    </row>
    <row r="465" ht="33.75" customHeight="1">
      <c r="A465" s="46" t="s">
        <v>4119</v>
      </c>
      <c r="B465" s="47" t="s">
        <v>4120</v>
      </c>
      <c r="C465" s="47" t="s">
        <v>4121</v>
      </c>
      <c r="D465" s="29" t="s">
        <v>4122</v>
      </c>
      <c r="E465" s="48" t="str">
        <f>IFERROR(__xludf.DUMMYFUNCTION("GOOGLETRANSLATE(D465,""zh-CN"",""vi"")"),"Tôi ghen tị với cuộc sống của anh ấy.")</f>
        <v>Tôi ghen tị với cuộc sống của anh ấy.</v>
      </c>
      <c r="F465" s="49" t="s">
        <v>4119</v>
      </c>
      <c r="G465" s="50" t="b">
        <f t="shared" si="1"/>
        <v>1</v>
      </c>
      <c r="H465" s="52" t="b">
        <v>0</v>
      </c>
      <c r="I465" s="52" t="b">
        <v>0</v>
      </c>
      <c r="J465" s="52" t="b">
        <v>0</v>
      </c>
      <c r="K465" s="52" t="b">
        <v>0</v>
      </c>
      <c r="L465" s="52" t="b">
        <v>0</v>
      </c>
      <c r="M465" s="52" t="b">
        <v>0</v>
      </c>
      <c r="N465" s="52" t="b">
        <v>0</v>
      </c>
      <c r="O465" s="52" t="b">
        <v>0</v>
      </c>
      <c r="P465" s="52" t="b">
        <v>0</v>
      </c>
      <c r="Q465" s="52" t="b">
        <v>0</v>
      </c>
      <c r="R465" s="44"/>
      <c r="S465" s="44"/>
      <c r="T465" s="44"/>
      <c r="U465" s="44"/>
      <c r="V465" s="44"/>
      <c r="W465" s="44"/>
      <c r="X465" s="45"/>
      <c r="Y465" s="45"/>
      <c r="Z465" s="45"/>
      <c r="AA465" s="45"/>
    </row>
    <row r="466" ht="33.75" customHeight="1">
      <c r="A466" s="46" t="s">
        <v>4123</v>
      </c>
      <c r="B466" s="47" t="s">
        <v>4124</v>
      </c>
      <c r="C466" s="47" t="s">
        <v>4125</v>
      </c>
      <c r="D466" s="29" t="s">
        <v>4126</v>
      </c>
      <c r="E466" s="48" t="str">
        <f>IFERROR(__xludf.DUMMYFUNCTION("GOOGLETRANSLATE(D466,""zh-CN"",""vi"")"),"Quan điểm của anh ấy hoàn toàn trái ngược với tôi.")</f>
        <v>Quan điểm của anh ấy hoàn toàn trái ngược với tôi.</v>
      </c>
      <c r="F466" s="49" t="s">
        <v>4123</v>
      </c>
      <c r="G466" s="50" t="b">
        <f t="shared" si="1"/>
        <v>1</v>
      </c>
      <c r="H466" s="52" t="b">
        <v>0</v>
      </c>
      <c r="I466" s="52" t="b">
        <v>0</v>
      </c>
      <c r="J466" s="52" t="b">
        <v>0</v>
      </c>
      <c r="K466" s="52" t="b">
        <v>0</v>
      </c>
      <c r="L466" s="52" t="b">
        <v>0</v>
      </c>
      <c r="M466" s="52" t="b">
        <v>0</v>
      </c>
      <c r="N466" s="52" t="b">
        <v>0</v>
      </c>
      <c r="O466" s="52" t="b">
        <v>0</v>
      </c>
      <c r="P466" s="52" t="b">
        <v>0</v>
      </c>
      <c r="Q466" s="52" t="b">
        <v>0</v>
      </c>
      <c r="R466" s="44"/>
      <c r="S466" s="44"/>
      <c r="T466" s="44"/>
      <c r="U466" s="44"/>
      <c r="V466" s="44"/>
      <c r="W466" s="44"/>
      <c r="X466" s="45"/>
      <c r="Y466" s="45"/>
      <c r="Z466" s="45"/>
      <c r="AA466" s="45"/>
    </row>
    <row r="467" ht="33.75" customHeight="1">
      <c r="A467" s="46" t="s">
        <v>3110</v>
      </c>
      <c r="B467" s="47" t="s">
        <v>4127</v>
      </c>
      <c r="C467" s="47" t="s">
        <v>1756</v>
      </c>
      <c r="D467" s="29" t="s">
        <v>4128</v>
      </c>
      <c r="E467" s="48" t="str">
        <f>IFERROR(__xludf.DUMMYFUNCTION("GOOGLETRANSLATE(D467,""zh-CN"",""vi"")"),"Họ có chung sở thích.")</f>
        <v>Họ có chung sở thích.</v>
      </c>
      <c r="F467" s="49" t="s">
        <v>3110</v>
      </c>
      <c r="G467" s="50" t="b">
        <f t="shared" si="1"/>
        <v>1</v>
      </c>
      <c r="H467" s="52" t="b">
        <v>0</v>
      </c>
      <c r="I467" s="52" t="b">
        <v>0</v>
      </c>
      <c r="J467" s="52" t="b">
        <v>0</v>
      </c>
      <c r="K467" s="52" t="b">
        <v>0</v>
      </c>
      <c r="L467" s="52" t="b">
        <v>0</v>
      </c>
      <c r="M467" s="52" t="b">
        <v>0</v>
      </c>
      <c r="N467" s="52" t="b">
        <v>0</v>
      </c>
      <c r="O467" s="52" t="b">
        <v>0</v>
      </c>
      <c r="P467" s="52" t="b">
        <v>0</v>
      </c>
      <c r="Q467" s="52" t="b">
        <v>0</v>
      </c>
      <c r="R467" s="44"/>
      <c r="S467" s="44"/>
      <c r="T467" s="44"/>
      <c r="U467" s="44"/>
      <c r="V467" s="44"/>
      <c r="W467" s="44"/>
      <c r="X467" s="45"/>
      <c r="Y467" s="45"/>
      <c r="Z467" s="45"/>
      <c r="AA467" s="45"/>
    </row>
    <row r="468" ht="33.75" customHeight="1">
      <c r="A468" s="46" t="s">
        <v>4129</v>
      </c>
      <c r="B468" s="47" t="s">
        <v>4130</v>
      </c>
      <c r="C468" s="47" t="s">
        <v>4131</v>
      </c>
      <c r="D468" s="29" t="s">
        <v>4132</v>
      </c>
      <c r="E468" s="48" t="str">
        <f>IFERROR(__xludf.DUMMYFUNCTION("GOOGLETRANSLATE(D468,""zh-CN"",""vi"")"),"Loài hoa này có mùi rất thơm.")</f>
        <v>Loài hoa này có mùi rất thơm.</v>
      </c>
      <c r="F468" s="49" t="s">
        <v>4129</v>
      </c>
      <c r="G468" s="50" t="b">
        <f t="shared" si="1"/>
        <v>1</v>
      </c>
      <c r="H468" s="52" t="b">
        <v>0</v>
      </c>
      <c r="I468" s="52" t="b">
        <v>0</v>
      </c>
      <c r="J468" s="52" t="b">
        <v>0</v>
      </c>
      <c r="K468" s="52" t="b">
        <v>0</v>
      </c>
      <c r="L468" s="52" t="b">
        <v>0</v>
      </c>
      <c r="M468" s="52" t="b">
        <v>0</v>
      </c>
      <c r="N468" s="52" t="b">
        <v>0</v>
      </c>
      <c r="O468" s="52" t="b">
        <v>0</v>
      </c>
      <c r="P468" s="52" t="b">
        <v>0</v>
      </c>
      <c r="Q468" s="52" t="b">
        <v>0</v>
      </c>
      <c r="R468" s="44"/>
      <c r="S468" s="44"/>
      <c r="T468" s="44"/>
      <c r="U468" s="44"/>
      <c r="V468" s="44"/>
      <c r="W468" s="44"/>
      <c r="X468" s="45"/>
      <c r="Y468" s="45"/>
      <c r="Z468" s="45"/>
      <c r="AA468" s="45"/>
    </row>
    <row r="469" ht="33.75" customHeight="1">
      <c r="A469" s="46" t="s">
        <v>4133</v>
      </c>
      <c r="B469" s="47" t="s">
        <v>4134</v>
      </c>
      <c r="C469" s="47" t="s">
        <v>4135</v>
      </c>
      <c r="D469" s="29" t="s">
        <v>4136</v>
      </c>
      <c r="E469" s="48" t="str">
        <f>IFERROR(__xludf.DUMMYFUNCTION("GOOGLETRANSLATE(D469,""zh-CN"",""vi"")"),"Anh ấy đã giải thích vấn đề cho tôi một cách chi tiết.")</f>
        <v>Anh ấy đã giải thích vấn đề cho tôi một cách chi tiết.</v>
      </c>
      <c r="F469" s="49" t="s">
        <v>4133</v>
      </c>
      <c r="G469" s="50" t="b">
        <f t="shared" si="1"/>
        <v>1</v>
      </c>
      <c r="H469" s="52" t="b">
        <v>0</v>
      </c>
      <c r="I469" s="52" t="b">
        <v>0</v>
      </c>
      <c r="J469" s="52" t="b">
        <v>0</v>
      </c>
      <c r="K469" s="52" t="b">
        <v>0</v>
      </c>
      <c r="L469" s="52" t="b">
        <v>0</v>
      </c>
      <c r="M469" s="52" t="b">
        <v>0</v>
      </c>
      <c r="N469" s="52" t="b">
        <v>0</v>
      </c>
      <c r="O469" s="52" t="b">
        <v>0</v>
      </c>
      <c r="P469" s="52" t="b">
        <v>0</v>
      </c>
      <c r="Q469" s="52" t="b">
        <v>0</v>
      </c>
      <c r="R469" s="44"/>
      <c r="S469" s="44"/>
      <c r="T469" s="44"/>
      <c r="U469" s="44"/>
      <c r="V469" s="44"/>
      <c r="W469" s="44"/>
      <c r="X469" s="45"/>
      <c r="Y469" s="45"/>
      <c r="Z469" s="45"/>
      <c r="AA469" s="45"/>
    </row>
    <row r="470" ht="33.75" customHeight="1">
      <c r="A470" s="46" t="s">
        <v>4137</v>
      </c>
      <c r="B470" s="47" t="s">
        <v>1886</v>
      </c>
      <c r="C470" s="47" t="s">
        <v>4138</v>
      </c>
      <c r="D470" s="29" t="s">
        <v>4139</v>
      </c>
      <c r="E470" s="48" t="str">
        <f>IFERROR(__xludf.DUMMYFUNCTION("GOOGLETRANSLATE(D470,""zh-CN"",""vi"")"),"Chuông cửa reo.")</f>
        <v>Chuông cửa reo.</v>
      </c>
      <c r="F470" s="49" t="s">
        <v>4137</v>
      </c>
      <c r="G470" s="50" t="b">
        <f t="shared" si="1"/>
        <v>1</v>
      </c>
      <c r="H470" s="52" t="b">
        <v>0</v>
      </c>
      <c r="I470" s="52" t="b">
        <v>0</v>
      </c>
      <c r="J470" s="52" t="b">
        <v>0</v>
      </c>
      <c r="K470" s="52" t="b">
        <v>0</v>
      </c>
      <c r="L470" s="52" t="b">
        <v>0</v>
      </c>
      <c r="M470" s="52" t="b">
        <v>0</v>
      </c>
      <c r="N470" s="52" t="b">
        <v>0</v>
      </c>
      <c r="O470" s="52" t="b">
        <v>0</v>
      </c>
      <c r="P470" s="52" t="b">
        <v>0</v>
      </c>
      <c r="Q470" s="52" t="b">
        <v>0</v>
      </c>
      <c r="R470" s="44"/>
      <c r="S470" s="44"/>
      <c r="T470" s="44"/>
      <c r="U470" s="44"/>
      <c r="V470" s="44"/>
      <c r="W470" s="44"/>
      <c r="X470" s="45"/>
      <c r="Y470" s="45"/>
      <c r="Z470" s="45"/>
      <c r="AA470" s="45"/>
    </row>
    <row r="471" ht="33.75" customHeight="1">
      <c r="A471" s="46" t="s">
        <v>4140</v>
      </c>
      <c r="B471" s="47" t="s">
        <v>4141</v>
      </c>
      <c r="C471" s="47" t="s">
        <v>4142</v>
      </c>
      <c r="D471" s="29" t="s">
        <v>4143</v>
      </c>
      <c r="E471" s="48" t="str">
        <f>IFERROR(__xludf.DUMMYFUNCTION("GOOGLETRANSLATE(D471,""zh-CN"",""vi"")"),"Tôi cần một cục tẩy.")</f>
        <v>Tôi cần một cục tẩy.</v>
      </c>
      <c r="F471" s="49" t="s">
        <v>4140</v>
      </c>
      <c r="G471" s="50" t="b">
        <f t="shared" si="1"/>
        <v>1</v>
      </c>
      <c r="H471" s="52" t="b">
        <v>0</v>
      </c>
      <c r="I471" s="52" t="b">
        <v>0</v>
      </c>
      <c r="J471" s="52" t="b">
        <v>0</v>
      </c>
      <c r="K471" s="52" t="b">
        <v>0</v>
      </c>
      <c r="L471" s="52" t="b">
        <v>0</v>
      </c>
      <c r="M471" s="52" t="b">
        <v>0</v>
      </c>
      <c r="N471" s="52" t="b">
        <v>0</v>
      </c>
      <c r="O471" s="52" t="b">
        <v>0</v>
      </c>
      <c r="P471" s="52" t="b">
        <v>0</v>
      </c>
      <c r="Q471" s="52" t="b">
        <v>0</v>
      </c>
      <c r="R471" s="44"/>
      <c r="S471" s="44"/>
      <c r="T471" s="44"/>
      <c r="U471" s="44"/>
      <c r="V471" s="44"/>
      <c r="W471" s="44"/>
      <c r="X471" s="45"/>
      <c r="Y471" s="45"/>
      <c r="Z471" s="45"/>
      <c r="AA471" s="45"/>
    </row>
    <row r="472" ht="33.75" customHeight="1">
      <c r="A472" s="46" t="s">
        <v>4144</v>
      </c>
      <c r="B472" s="47" t="s">
        <v>4145</v>
      </c>
      <c r="C472" s="47" t="s">
        <v>4146</v>
      </c>
      <c r="D472" s="29" t="s">
        <v>4147</v>
      </c>
      <c r="E472" s="48" t="str">
        <f>IFERROR(__xludf.DUMMYFUNCTION("GOOGLETRANSLATE(D472,""zh-CN"",""vi"")"),"Bạn vừa nghe được tin gì?")</f>
        <v>Bạn vừa nghe được tin gì?</v>
      </c>
      <c r="F472" s="49" t="s">
        <v>4144</v>
      </c>
      <c r="G472" s="50" t="b">
        <f t="shared" si="1"/>
        <v>1</v>
      </c>
      <c r="H472" s="52" t="b">
        <v>0</v>
      </c>
      <c r="I472" s="52" t="b">
        <v>0</v>
      </c>
      <c r="J472" s="52" t="b">
        <v>0</v>
      </c>
      <c r="K472" s="52" t="b">
        <v>0</v>
      </c>
      <c r="L472" s="52" t="b">
        <v>0</v>
      </c>
      <c r="M472" s="52" t="b">
        <v>0</v>
      </c>
      <c r="N472" s="52" t="b">
        <v>0</v>
      </c>
      <c r="O472" s="52" t="b">
        <v>0</v>
      </c>
      <c r="P472" s="52" t="b">
        <v>0</v>
      </c>
      <c r="Q472" s="52" t="b">
        <v>0</v>
      </c>
      <c r="R472" s="44"/>
      <c r="S472" s="44"/>
      <c r="T472" s="44"/>
      <c r="U472" s="44"/>
      <c r="V472" s="44"/>
      <c r="W472" s="44"/>
      <c r="X472" s="45"/>
      <c r="Y472" s="45"/>
      <c r="Z472" s="45"/>
      <c r="AA472" s="45"/>
    </row>
    <row r="473" ht="33.75" customHeight="1">
      <c r="A473" s="46" t="s">
        <v>4148</v>
      </c>
      <c r="B473" s="47" t="s">
        <v>4149</v>
      </c>
      <c r="C473" s="47" t="s">
        <v>4150</v>
      </c>
      <c r="D473" s="29" t="s">
        <v>4151</v>
      </c>
      <c r="E473" s="48" t="str">
        <f>IFERROR(__xludf.DUMMYFUNCTION("GOOGLETRANSLATE(D473,""zh-CN"",""vi"")"),"Đồ ăn vặt của Bắc Kinh rất nổi tiếng.")</f>
        <v>Đồ ăn vặt của Bắc Kinh rất nổi tiếng.</v>
      </c>
      <c r="F473" s="49" t="s">
        <v>4148</v>
      </c>
      <c r="G473" s="50" t="b">
        <f t="shared" si="1"/>
        <v>1</v>
      </c>
      <c r="H473" s="52" t="b">
        <v>0</v>
      </c>
      <c r="I473" s="52" t="b">
        <v>0</v>
      </c>
      <c r="J473" s="52" t="b">
        <v>0</v>
      </c>
      <c r="K473" s="52" t="b">
        <v>0</v>
      </c>
      <c r="L473" s="52" t="b">
        <v>0</v>
      </c>
      <c r="M473" s="52" t="b">
        <v>0</v>
      </c>
      <c r="N473" s="52" t="b">
        <v>0</v>
      </c>
      <c r="O473" s="52" t="b">
        <v>0</v>
      </c>
      <c r="P473" s="52" t="b">
        <v>0</v>
      </c>
      <c r="Q473" s="52" t="b">
        <v>0</v>
      </c>
      <c r="R473" s="44"/>
      <c r="S473" s="44"/>
      <c r="T473" s="44"/>
      <c r="U473" s="44"/>
      <c r="V473" s="44"/>
      <c r="W473" s="44"/>
      <c r="X473" s="45"/>
      <c r="Y473" s="45"/>
      <c r="Z473" s="45"/>
      <c r="AA473" s="45"/>
    </row>
    <row r="474" ht="33.75" customHeight="1">
      <c r="A474" s="46" t="s">
        <v>4152</v>
      </c>
      <c r="B474" s="47" t="s">
        <v>4153</v>
      </c>
      <c r="C474" s="47" t="s">
        <v>4154</v>
      </c>
      <c r="D474" s="29" t="s">
        <v>4155</v>
      </c>
      <c r="E474" s="48" t="str">
        <f>IFERROR(__xludf.DUMMYFUNCTION("GOOGLETRANSLATE(D474,""zh-CN"",""vi"")"),"Cậu ấy là một chàng trai trẻ rất chăm chỉ.")</f>
        <v>Cậu ấy là một chàng trai trẻ rất chăm chỉ.</v>
      </c>
      <c r="F474" s="49" t="s">
        <v>4152</v>
      </c>
      <c r="G474" s="50" t="b">
        <f t="shared" si="1"/>
        <v>1</v>
      </c>
      <c r="H474" s="52" t="b">
        <v>0</v>
      </c>
      <c r="I474" s="52" t="b">
        <v>0</v>
      </c>
      <c r="J474" s="52" t="b">
        <v>0</v>
      </c>
      <c r="K474" s="52" t="b">
        <v>0</v>
      </c>
      <c r="L474" s="52" t="b">
        <v>0</v>
      </c>
      <c r="M474" s="52" t="b">
        <v>0</v>
      </c>
      <c r="N474" s="52" t="b">
        <v>0</v>
      </c>
      <c r="O474" s="52" t="b">
        <v>0</v>
      </c>
      <c r="P474" s="52" t="b">
        <v>0</v>
      </c>
      <c r="Q474" s="52" t="b">
        <v>0</v>
      </c>
      <c r="R474" s="44"/>
      <c r="S474" s="44"/>
      <c r="T474" s="44"/>
      <c r="U474" s="44"/>
      <c r="V474" s="44"/>
      <c r="W474" s="44"/>
      <c r="X474" s="45"/>
      <c r="Y474" s="45"/>
      <c r="Z474" s="45"/>
      <c r="AA474" s="45"/>
    </row>
    <row r="475" ht="33.75" customHeight="1">
      <c r="A475" s="46" t="s">
        <v>4156</v>
      </c>
      <c r="B475" s="47" t="s">
        <v>4157</v>
      </c>
      <c r="C475" s="47" t="s">
        <v>4158</v>
      </c>
      <c r="D475" s="29" t="s">
        <v>4159</v>
      </c>
      <c r="E475" s="48" t="str">
        <f>IFERROR(__xludf.DUMMYFUNCTION("GOOGLETRANSLATE(D475,""zh-CN"",""vi"")"),"Cuốn tiểu thuyết này rất thú vị.")</f>
        <v>Cuốn tiểu thuyết này rất thú vị.</v>
      </c>
      <c r="F475" s="49" t="s">
        <v>4156</v>
      </c>
      <c r="G475" s="50" t="b">
        <f t="shared" si="1"/>
        <v>1</v>
      </c>
      <c r="H475" s="52" t="b">
        <v>0</v>
      </c>
      <c r="I475" s="52" t="b">
        <v>0</v>
      </c>
      <c r="J475" s="52" t="b">
        <v>0</v>
      </c>
      <c r="K475" s="52" t="b">
        <v>0</v>
      </c>
      <c r="L475" s="52" t="b">
        <v>0</v>
      </c>
      <c r="M475" s="52" t="b">
        <v>0</v>
      </c>
      <c r="N475" s="52" t="b">
        <v>0</v>
      </c>
      <c r="O475" s="52" t="b">
        <v>0</v>
      </c>
      <c r="P475" s="52" t="b">
        <v>0</v>
      </c>
      <c r="Q475" s="52" t="b">
        <v>0</v>
      </c>
      <c r="R475" s="44"/>
      <c r="S475" s="44"/>
      <c r="T475" s="44"/>
      <c r="U475" s="44"/>
      <c r="V475" s="44"/>
      <c r="W475" s="44"/>
      <c r="X475" s="45"/>
      <c r="Y475" s="45"/>
      <c r="Z475" s="45"/>
      <c r="AA475" s="45"/>
    </row>
    <row r="476" ht="33.75" customHeight="1">
      <c r="A476" s="46" t="s">
        <v>4160</v>
      </c>
      <c r="B476" s="47" t="s">
        <v>4161</v>
      </c>
      <c r="C476" s="47" t="s">
        <v>4162</v>
      </c>
      <c r="D476" s="29" t="s">
        <v>4163</v>
      </c>
      <c r="E476" s="48" t="str">
        <f>IFERROR(__xludf.DUMMYFUNCTION("GOOGLETRANSLATE(D476,""zh-CN"",""vi"")"),"Câu chuyện cười của bạn rất hài hước.")</f>
        <v>Câu chuyện cười của bạn rất hài hước.</v>
      </c>
      <c r="F476" s="49" t="s">
        <v>4160</v>
      </c>
      <c r="G476" s="50" t="b">
        <f t="shared" si="1"/>
        <v>1</v>
      </c>
      <c r="H476" s="52" t="b">
        <v>0</v>
      </c>
      <c r="I476" s="52" t="b">
        <v>0</v>
      </c>
      <c r="J476" s="52" t="b">
        <v>0</v>
      </c>
      <c r="K476" s="52" t="b">
        <v>0</v>
      </c>
      <c r="L476" s="52" t="b">
        <v>0</v>
      </c>
      <c r="M476" s="52" t="b">
        <v>0</v>
      </c>
      <c r="N476" s="52" t="b">
        <v>0</v>
      </c>
      <c r="O476" s="52" t="b">
        <v>0</v>
      </c>
      <c r="P476" s="52" t="b">
        <v>0</v>
      </c>
      <c r="Q476" s="52" t="b">
        <v>0</v>
      </c>
      <c r="R476" s="44"/>
      <c r="S476" s="44"/>
      <c r="T476" s="44"/>
      <c r="U476" s="44"/>
      <c r="V476" s="44"/>
      <c r="W476" s="44"/>
      <c r="X476" s="45"/>
      <c r="Y476" s="45"/>
      <c r="Z476" s="45"/>
      <c r="AA476" s="45"/>
    </row>
    <row r="477" ht="33.75" customHeight="1">
      <c r="A477" s="46" t="s">
        <v>4164</v>
      </c>
      <c r="B477" s="47" t="s">
        <v>4165</v>
      </c>
      <c r="C477" s="47" t="s">
        <v>4166</v>
      </c>
      <c r="D477" s="29" t="s">
        <v>4167</v>
      </c>
      <c r="E477" s="48" t="str">
        <f>IFERROR(__xludf.DUMMYFUNCTION("GOOGLETRANSLATE(D477,""zh-CN"",""vi"")"),"Chính sách mới đã rất hiệu quả.")</f>
        <v>Chính sách mới đã rất hiệu quả.</v>
      </c>
      <c r="F477" s="49" t="s">
        <v>4164</v>
      </c>
      <c r="G477" s="50" t="b">
        <f t="shared" si="1"/>
        <v>1</v>
      </c>
      <c r="H477" s="52" t="b">
        <v>0</v>
      </c>
      <c r="I477" s="52" t="b">
        <v>0</v>
      </c>
      <c r="J477" s="52" t="b">
        <v>0</v>
      </c>
      <c r="K477" s="52" t="b">
        <v>0</v>
      </c>
      <c r="L477" s="52" t="b">
        <v>0</v>
      </c>
      <c r="M477" s="52" t="b">
        <v>0</v>
      </c>
      <c r="N477" s="52" t="b">
        <v>0</v>
      </c>
      <c r="O477" s="52" t="b">
        <v>0</v>
      </c>
      <c r="P477" s="52" t="b">
        <v>0</v>
      </c>
      <c r="Q477" s="52" t="b">
        <v>0</v>
      </c>
      <c r="R477" s="44"/>
      <c r="S477" s="44"/>
      <c r="T477" s="44"/>
      <c r="U477" s="44"/>
      <c r="V477" s="44"/>
      <c r="W477" s="44"/>
      <c r="X477" s="45"/>
      <c r="Y477" s="45"/>
      <c r="Z477" s="45"/>
      <c r="AA477" s="45"/>
    </row>
    <row r="478" ht="33.75" customHeight="1">
      <c r="A478" s="46" t="s">
        <v>4168</v>
      </c>
      <c r="B478" s="47" t="s">
        <v>4169</v>
      </c>
      <c r="C478" s="47" t="s">
        <v>4170</v>
      </c>
      <c r="D478" s="29" t="s">
        <v>4171</v>
      </c>
      <c r="E478" s="48" t="str">
        <f>IFERROR(__xludf.DUMMYFUNCTION("GOOGLETRANSLATE(D478,""zh-CN"",""vi"")"),"Tôi đang có tâm trạng tốt.")</f>
        <v>Tôi đang có tâm trạng tốt.</v>
      </c>
      <c r="F478" s="49" t="s">
        <v>4168</v>
      </c>
      <c r="G478" s="50" t="b">
        <f t="shared" si="1"/>
        <v>1</v>
      </c>
      <c r="H478" s="52" t="b">
        <v>0</v>
      </c>
      <c r="I478" s="52" t="b">
        <v>0</v>
      </c>
      <c r="J478" s="52" t="b">
        <v>0</v>
      </c>
      <c r="K478" s="52" t="b">
        <v>0</v>
      </c>
      <c r="L478" s="52" t="b">
        <v>0</v>
      </c>
      <c r="M478" s="52" t="b">
        <v>0</v>
      </c>
      <c r="N478" s="52" t="b">
        <v>0</v>
      </c>
      <c r="O478" s="52" t="b">
        <v>0</v>
      </c>
      <c r="P478" s="52" t="b">
        <v>0</v>
      </c>
      <c r="Q478" s="52" t="b">
        <v>0</v>
      </c>
      <c r="R478" s="44"/>
      <c r="S478" s="44"/>
      <c r="T478" s="44"/>
      <c r="U478" s="44"/>
      <c r="V478" s="44"/>
      <c r="W478" s="44"/>
      <c r="X478" s="45"/>
      <c r="Y478" s="45"/>
      <c r="Z478" s="45"/>
      <c r="AA478" s="45"/>
    </row>
    <row r="479" ht="33.75" customHeight="1">
      <c r="A479" s="46" t="s">
        <v>4172</v>
      </c>
      <c r="B479" s="47" t="s">
        <v>4173</v>
      </c>
      <c r="C479" s="47" t="s">
        <v>4174</v>
      </c>
      <c r="D479" s="29" t="s">
        <v>4175</v>
      </c>
      <c r="E479" s="48" t="str">
        <f>IFERROR(__xludf.DUMMYFUNCTION("GOOGLETRANSLATE(D479,""zh-CN"",""vi"")"),"Công việc vất vả, nhưng đáng giá.")</f>
        <v>Công việc vất vả, nhưng đáng giá.</v>
      </c>
      <c r="F479" s="49" t="s">
        <v>4172</v>
      </c>
      <c r="G479" s="50" t="b">
        <f t="shared" si="1"/>
        <v>1</v>
      </c>
      <c r="H479" s="52" t="b">
        <v>0</v>
      </c>
      <c r="I479" s="52" t="b">
        <v>0</v>
      </c>
      <c r="J479" s="52" t="b">
        <v>0</v>
      </c>
      <c r="K479" s="52" t="b">
        <v>0</v>
      </c>
      <c r="L479" s="52" t="b">
        <v>0</v>
      </c>
      <c r="M479" s="52" t="b">
        <v>0</v>
      </c>
      <c r="N479" s="52" t="b">
        <v>0</v>
      </c>
      <c r="O479" s="52" t="b">
        <v>0</v>
      </c>
      <c r="P479" s="52" t="b">
        <v>0</v>
      </c>
      <c r="Q479" s="52" t="b">
        <v>0</v>
      </c>
      <c r="R479" s="44"/>
      <c r="S479" s="44"/>
      <c r="T479" s="44"/>
      <c r="U479" s="44"/>
      <c r="V479" s="44"/>
      <c r="W479" s="44"/>
      <c r="X479" s="45"/>
      <c r="Y479" s="45"/>
      <c r="Z479" s="45"/>
      <c r="AA479" s="45"/>
    </row>
    <row r="480" ht="33.75" customHeight="1">
      <c r="A480" s="46" t="s">
        <v>4176</v>
      </c>
      <c r="B480" s="47" t="s">
        <v>4177</v>
      </c>
      <c r="C480" s="47" t="s">
        <v>4178</v>
      </c>
      <c r="D480" s="29" t="s">
        <v>4179</v>
      </c>
      <c r="E480" s="48" t="str">
        <f>IFERROR(__xludf.DUMMYFUNCTION("GOOGLETRANSLATE(D480,""zh-CN"",""vi"")"),"Tôi cần một cái phong bì.")</f>
        <v>Tôi cần một cái phong bì.</v>
      </c>
      <c r="F480" s="49" t="s">
        <v>4176</v>
      </c>
      <c r="G480" s="50" t="b">
        <f t="shared" si="1"/>
        <v>1</v>
      </c>
      <c r="H480" s="52" t="b">
        <v>0</v>
      </c>
      <c r="I480" s="52" t="b">
        <v>0</v>
      </c>
      <c r="J480" s="52" t="b">
        <v>0</v>
      </c>
      <c r="K480" s="52" t="b">
        <v>0</v>
      </c>
      <c r="L480" s="52" t="b">
        <v>0</v>
      </c>
      <c r="M480" s="52" t="b">
        <v>0</v>
      </c>
      <c r="N480" s="52" t="b">
        <v>0</v>
      </c>
      <c r="O480" s="52" t="b">
        <v>0</v>
      </c>
      <c r="P480" s="52" t="b">
        <v>0</v>
      </c>
      <c r="Q480" s="52" t="b">
        <v>0</v>
      </c>
      <c r="R480" s="44"/>
      <c r="S480" s="44"/>
      <c r="T480" s="44"/>
      <c r="U480" s="44"/>
      <c r="V480" s="44"/>
      <c r="W480" s="44"/>
      <c r="X480" s="45"/>
      <c r="Y480" s="45"/>
      <c r="Z480" s="45"/>
      <c r="AA480" s="45"/>
    </row>
    <row r="481" ht="33.75" customHeight="1">
      <c r="A481" s="46" t="s">
        <v>4180</v>
      </c>
      <c r="B481" s="47" t="s">
        <v>4181</v>
      </c>
      <c r="C481" s="47" t="s">
        <v>4182</v>
      </c>
      <c r="D481" s="29" t="s">
        <v>4183</v>
      </c>
      <c r="E481" s="48" t="str">
        <f>IFERROR(__xludf.DUMMYFUNCTION("GOOGLETRANSLATE(D481,""zh-CN"",""vi"")"),"Chúng ta cần thêm thông tin.")</f>
        <v>Chúng ta cần thêm thông tin.</v>
      </c>
      <c r="F481" s="49" t="s">
        <v>4180</v>
      </c>
      <c r="G481" s="50" t="b">
        <f t="shared" si="1"/>
        <v>1</v>
      </c>
      <c r="H481" s="52" t="b">
        <v>0</v>
      </c>
      <c r="I481" s="52" t="b">
        <v>0</v>
      </c>
      <c r="J481" s="52" t="b">
        <v>0</v>
      </c>
      <c r="K481" s="52" t="b">
        <v>0</v>
      </c>
      <c r="L481" s="52" t="b">
        <v>0</v>
      </c>
      <c r="M481" s="52" t="b">
        <v>0</v>
      </c>
      <c r="N481" s="52" t="b">
        <v>0</v>
      </c>
      <c r="O481" s="52" t="b">
        <v>0</v>
      </c>
      <c r="P481" s="52" t="b">
        <v>0</v>
      </c>
      <c r="Q481" s="52" t="b">
        <v>0</v>
      </c>
      <c r="R481" s="44"/>
      <c r="S481" s="44"/>
      <c r="T481" s="44"/>
      <c r="U481" s="44"/>
      <c r="V481" s="44"/>
      <c r="W481" s="44"/>
      <c r="X481" s="45"/>
      <c r="Y481" s="45"/>
      <c r="Z481" s="45"/>
      <c r="AA481" s="45"/>
    </row>
    <row r="482" ht="33.75" customHeight="1">
      <c r="A482" s="46" t="s">
        <v>4184</v>
      </c>
      <c r="B482" s="47" t="s">
        <v>4185</v>
      </c>
      <c r="C482" s="47" t="s">
        <v>4186</v>
      </c>
      <c r="D482" s="29" t="s">
        <v>4187</v>
      </c>
      <c r="E482" s="48" t="str">
        <f>IFERROR(__xludf.DUMMYFUNCTION("GOOGLETRANSLATE(D482,""zh-CN"",""vi"")"),"Tôi tự tin vào bản thân mình.")</f>
        <v>Tôi tự tin vào bản thân mình.</v>
      </c>
      <c r="F482" s="49" t="s">
        <v>4184</v>
      </c>
      <c r="G482" s="50" t="b">
        <f t="shared" si="1"/>
        <v>1</v>
      </c>
      <c r="H482" s="52" t="b">
        <v>0</v>
      </c>
      <c r="I482" s="52" t="b">
        <v>0</v>
      </c>
      <c r="J482" s="52" t="b">
        <v>0</v>
      </c>
      <c r="K482" s="52" t="b">
        <v>0</v>
      </c>
      <c r="L482" s="52" t="b">
        <v>0</v>
      </c>
      <c r="M482" s="52" t="b">
        <v>0</v>
      </c>
      <c r="N482" s="52" t="b">
        <v>0</v>
      </c>
      <c r="O482" s="52" t="b">
        <v>0</v>
      </c>
      <c r="P482" s="52" t="b">
        <v>0</v>
      </c>
      <c r="Q482" s="52" t="b">
        <v>0</v>
      </c>
      <c r="R482" s="44"/>
      <c r="S482" s="44"/>
      <c r="T482" s="44"/>
      <c r="U482" s="44"/>
      <c r="V482" s="44"/>
      <c r="W482" s="44"/>
      <c r="X482" s="45"/>
      <c r="Y482" s="45"/>
      <c r="Z482" s="45"/>
      <c r="AA482" s="45"/>
    </row>
    <row r="483" ht="33.75" customHeight="1">
      <c r="A483" s="46" t="s">
        <v>4188</v>
      </c>
      <c r="B483" s="47" t="s">
        <v>4189</v>
      </c>
      <c r="C483" s="47" t="s">
        <v>4190</v>
      </c>
      <c r="D483" s="29" t="s">
        <v>4191</v>
      </c>
      <c r="E483" s="48" t="str">
        <f>IFERROR(__xludf.DUMMYFUNCTION("GOOGLETRANSLATE(D483,""zh-CN"",""vi"")"),"Tôi rất háo hức được gặp bạn.")</f>
        <v>Tôi rất háo hức được gặp bạn.</v>
      </c>
      <c r="F483" s="49" t="s">
        <v>4188</v>
      </c>
      <c r="G483" s="50" t="b">
        <f t="shared" si="1"/>
        <v>1</v>
      </c>
      <c r="H483" s="52" t="b">
        <v>0</v>
      </c>
      <c r="I483" s="52" t="b">
        <v>0</v>
      </c>
      <c r="J483" s="52" t="b">
        <v>0</v>
      </c>
      <c r="K483" s="52" t="b">
        <v>0</v>
      </c>
      <c r="L483" s="52" t="b">
        <v>0</v>
      </c>
      <c r="M483" s="52" t="b">
        <v>0</v>
      </c>
      <c r="N483" s="52" t="b">
        <v>0</v>
      </c>
      <c r="O483" s="52" t="b">
        <v>0</v>
      </c>
      <c r="P483" s="52" t="b">
        <v>0</v>
      </c>
      <c r="Q483" s="52" t="b">
        <v>0</v>
      </c>
      <c r="R483" s="44"/>
      <c r="S483" s="44"/>
      <c r="T483" s="44"/>
      <c r="U483" s="44"/>
      <c r="V483" s="44"/>
      <c r="W483" s="44"/>
      <c r="X483" s="45"/>
      <c r="Y483" s="45"/>
      <c r="Z483" s="45"/>
      <c r="AA483" s="45"/>
    </row>
    <row r="484" ht="33.75" customHeight="1">
      <c r="A484" s="46" t="s">
        <v>4192</v>
      </c>
      <c r="B484" s="47" t="s">
        <v>4193</v>
      </c>
      <c r="C484" s="47" t="s">
        <v>4194</v>
      </c>
      <c r="D484" s="29" t="s">
        <v>4195</v>
      </c>
      <c r="E484" s="48" t="str">
        <f>IFERROR(__xludf.DUMMYFUNCTION("GOOGLETRANSLATE(D484,""zh-CN"",""vi"")"),"Con đường này có ổn không?")</f>
        <v>Con đường này có ổn không?</v>
      </c>
      <c r="F484" s="49" t="s">
        <v>4192</v>
      </c>
      <c r="G484" s="50" t="b">
        <f t="shared" si="1"/>
        <v>1</v>
      </c>
      <c r="H484" s="52" t="b">
        <v>0</v>
      </c>
      <c r="I484" s="52" t="b">
        <v>0</v>
      </c>
      <c r="J484" s="52" t="b">
        <v>0</v>
      </c>
      <c r="K484" s="52" t="b">
        <v>0</v>
      </c>
      <c r="L484" s="52" t="b">
        <v>0</v>
      </c>
      <c r="M484" s="52" t="b">
        <v>0</v>
      </c>
      <c r="N484" s="52" t="b">
        <v>0</v>
      </c>
      <c r="O484" s="52" t="b">
        <v>0</v>
      </c>
      <c r="P484" s="52" t="b">
        <v>0</v>
      </c>
      <c r="Q484" s="52" t="b">
        <v>0</v>
      </c>
      <c r="R484" s="44"/>
      <c r="S484" s="44"/>
      <c r="T484" s="44"/>
      <c r="U484" s="44"/>
      <c r="V484" s="44"/>
      <c r="W484" s="44"/>
      <c r="X484" s="45"/>
      <c r="Y484" s="45"/>
      <c r="Z484" s="45"/>
      <c r="AA484" s="45"/>
    </row>
    <row r="485" ht="33.75" customHeight="1">
      <c r="A485" s="46" t="s">
        <v>4196</v>
      </c>
      <c r="B485" s="47" t="s">
        <v>4197</v>
      </c>
      <c r="C485" s="47" t="s">
        <v>4198</v>
      </c>
      <c r="D485" s="29" t="s">
        <v>4199</v>
      </c>
      <c r="E485" s="48" t="str">
        <f>IFERROR(__xludf.DUMMYFUNCTION("GOOGLETRANSLATE(D485,""zh-CN"",""vi"")"),"Anh ấy tỉnh dậy.")</f>
        <v>Anh ấy tỉnh dậy.</v>
      </c>
      <c r="F485" s="49" t="s">
        <v>4196</v>
      </c>
      <c r="G485" s="50" t="b">
        <f t="shared" si="1"/>
        <v>1</v>
      </c>
      <c r="H485" s="52" t="b">
        <v>0</v>
      </c>
      <c r="I485" s="52" t="b">
        <v>0</v>
      </c>
      <c r="J485" s="52" t="b">
        <v>0</v>
      </c>
      <c r="K485" s="52" t="b">
        <v>0</v>
      </c>
      <c r="L485" s="52" t="b">
        <v>0</v>
      </c>
      <c r="M485" s="52" t="b">
        <v>0</v>
      </c>
      <c r="N485" s="52" t="b">
        <v>0</v>
      </c>
      <c r="O485" s="52" t="b">
        <v>0</v>
      </c>
      <c r="P485" s="52" t="b">
        <v>0</v>
      </c>
      <c r="Q485" s="52" t="b">
        <v>0</v>
      </c>
      <c r="R485" s="44"/>
      <c r="S485" s="44"/>
      <c r="T485" s="44"/>
      <c r="U485" s="44"/>
      <c r="V485" s="44"/>
      <c r="W485" s="44"/>
      <c r="X485" s="45"/>
      <c r="Y485" s="45"/>
      <c r="Z485" s="45"/>
      <c r="AA485" s="45"/>
    </row>
    <row r="486" ht="33.75" customHeight="1">
      <c r="A486" s="46" t="s">
        <v>4200</v>
      </c>
      <c r="B486" s="47" t="s">
        <v>4201</v>
      </c>
      <c r="C486" s="47" t="s">
        <v>4202</v>
      </c>
      <c r="D486" s="29" t="s">
        <v>4203</v>
      </c>
      <c r="E486" s="48" t="str">
        <f>IFERROR(__xludf.DUMMYFUNCTION("GOOGLETRANSLATE(D486,""zh-CN"",""vi"")"),"Chúng tôi rất hạnh phúc.")</f>
        <v>Chúng tôi rất hạnh phúc.</v>
      </c>
      <c r="F486" s="49" t="s">
        <v>4200</v>
      </c>
      <c r="G486" s="50" t="b">
        <f t="shared" si="1"/>
        <v>1</v>
      </c>
      <c r="H486" s="52" t="b">
        <v>0</v>
      </c>
      <c r="I486" s="52" t="b">
        <v>0</v>
      </c>
      <c r="J486" s="52" t="b">
        <v>0</v>
      </c>
      <c r="K486" s="52" t="b">
        <v>0</v>
      </c>
      <c r="L486" s="52" t="b">
        <v>0</v>
      </c>
      <c r="M486" s="52" t="b">
        <v>0</v>
      </c>
      <c r="N486" s="52" t="b">
        <v>0</v>
      </c>
      <c r="O486" s="52" t="b">
        <v>0</v>
      </c>
      <c r="P486" s="52" t="b">
        <v>0</v>
      </c>
      <c r="Q486" s="52" t="b">
        <v>0</v>
      </c>
      <c r="R486" s="44"/>
      <c r="S486" s="44"/>
      <c r="T486" s="44"/>
      <c r="U486" s="44"/>
      <c r="V486" s="44"/>
      <c r="W486" s="44"/>
      <c r="X486" s="45"/>
      <c r="Y486" s="45"/>
      <c r="Z486" s="45"/>
      <c r="AA486" s="45"/>
    </row>
    <row r="487" ht="33.75" customHeight="1">
      <c r="A487" s="46" t="s">
        <v>4204</v>
      </c>
      <c r="B487" s="47" t="s">
        <v>4205</v>
      </c>
      <c r="C487" s="47" t="s">
        <v>4206</v>
      </c>
      <c r="D487" s="29" t="s">
        <v>4207</v>
      </c>
      <c r="E487" s="48" t="str">
        <f>IFERROR(__xludf.DUMMYFUNCTION("GOOGLETRANSLATE(D487,""zh-CN"",""vi"")"),"Vui lòng điền giới tính của bạn.")</f>
        <v>Vui lòng điền giới tính của bạn.</v>
      </c>
      <c r="F487" s="49" t="s">
        <v>4204</v>
      </c>
      <c r="G487" s="50" t="b">
        <f t="shared" si="1"/>
        <v>1</v>
      </c>
      <c r="H487" s="52" t="b">
        <v>0</v>
      </c>
      <c r="I487" s="52" t="b">
        <v>0</v>
      </c>
      <c r="J487" s="52" t="b">
        <v>0</v>
      </c>
      <c r="K487" s="52" t="b">
        <v>0</v>
      </c>
      <c r="L487" s="52" t="b">
        <v>0</v>
      </c>
      <c r="M487" s="52" t="b">
        <v>0</v>
      </c>
      <c r="N487" s="52" t="b">
        <v>0</v>
      </c>
      <c r="O487" s="52" t="b">
        <v>0</v>
      </c>
      <c r="P487" s="52" t="b">
        <v>0</v>
      </c>
      <c r="Q487" s="52" t="b">
        <v>0</v>
      </c>
      <c r="R487" s="44"/>
      <c r="S487" s="44"/>
      <c r="T487" s="44"/>
      <c r="U487" s="44"/>
      <c r="V487" s="44"/>
      <c r="W487" s="44"/>
      <c r="X487" s="45"/>
      <c r="Y487" s="45"/>
      <c r="Z487" s="45"/>
      <c r="AA487" s="45"/>
    </row>
    <row r="488" ht="33.75" customHeight="1">
      <c r="A488" s="46" t="s">
        <v>4208</v>
      </c>
      <c r="B488" s="47" t="s">
        <v>4209</v>
      </c>
      <c r="C488" s="47" t="s">
        <v>4210</v>
      </c>
      <c r="D488" s="29" t="s">
        <v>4211</v>
      </c>
      <c r="E488" s="48" t="str">
        <f>IFERROR(__xludf.DUMMYFUNCTION("GOOGLETRANSLATE(D488,""zh-CN"",""vi"")"),"Anh ấy có tính cách rất vui vẻ.")</f>
        <v>Anh ấy có tính cách rất vui vẻ.</v>
      </c>
      <c r="F488" s="49" t="s">
        <v>4208</v>
      </c>
      <c r="G488" s="50" t="b">
        <f t="shared" si="1"/>
        <v>1</v>
      </c>
      <c r="H488" s="52" t="b">
        <v>0</v>
      </c>
      <c r="I488" s="52" t="b">
        <v>0</v>
      </c>
      <c r="J488" s="52" t="b">
        <v>0</v>
      </c>
      <c r="K488" s="52" t="b">
        <v>0</v>
      </c>
      <c r="L488" s="52" t="b">
        <v>0</v>
      </c>
      <c r="M488" s="52" t="b">
        <v>0</v>
      </c>
      <c r="N488" s="52" t="b">
        <v>0</v>
      </c>
      <c r="O488" s="52" t="b">
        <v>0</v>
      </c>
      <c r="P488" s="52" t="b">
        <v>0</v>
      </c>
      <c r="Q488" s="52" t="b">
        <v>0</v>
      </c>
      <c r="R488" s="44"/>
      <c r="S488" s="44"/>
      <c r="T488" s="44"/>
      <c r="U488" s="44"/>
      <c r="V488" s="44"/>
      <c r="W488" s="44"/>
      <c r="X488" s="45"/>
      <c r="Y488" s="45"/>
      <c r="Z488" s="45"/>
      <c r="AA488" s="45"/>
    </row>
    <row r="489" ht="33.75" customHeight="1">
      <c r="A489" s="46" t="s">
        <v>4212</v>
      </c>
      <c r="B489" s="47" t="s">
        <v>4213</v>
      </c>
      <c r="C489" s="47" t="s">
        <v>4214</v>
      </c>
      <c r="D489" s="29" t="s">
        <v>4215</v>
      </c>
      <c r="E489" s="48" t="str">
        <f>IFERROR(__xludf.DUMMYFUNCTION("GOOGLETRANSLATE(D489,""zh-CN"",""vi"")"),"Anh ấy đang sửa một chiếc xe đạp.")</f>
        <v>Anh ấy đang sửa một chiếc xe đạp.</v>
      </c>
      <c r="F489" s="49" t="s">
        <v>4212</v>
      </c>
      <c r="G489" s="50" t="b">
        <f t="shared" si="1"/>
        <v>1</v>
      </c>
      <c r="H489" s="52" t="b">
        <v>0</v>
      </c>
      <c r="I489" s="52" t="b">
        <v>0</v>
      </c>
      <c r="J489" s="52" t="b">
        <v>0</v>
      </c>
      <c r="K489" s="52" t="b">
        <v>0</v>
      </c>
      <c r="L489" s="52" t="b">
        <v>0</v>
      </c>
      <c r="M489" s="52" t="b">
        <v>0</v>
      </c>
      <c r="N489" s="52" t="b">
        <v>0</v>
      </c>
      <c r="O489" s="52" t="b">
        <v>0</v>
      </c>
      <c r="P489" s="52" t="b">
        <v>0</v>
      </c>
      <c r="Q489" s="52" t="b">
        <v>0</v>
      </c>
      <c r="R489" s="44"/>
      <c r="S489" s="44"/>
      <c r="T489" s="44"/>
      <c r="U489" s="44"/>
      <c r="V489" s="44"/>
      <c r="W489" s="44"/>
      <c r="X489" s="45"/>
      <c r="Y489" s="45"/>
      <c r="Z489" s="45"/>
      <c r="AA489" s="45"/>
    </row>
    <row r="490" ht="33.75" customHeight="1">
      <c r="A490" s="46" t="s">
        <v>4216</v>
      </c>
      <c r="B490" s="47" t="s">
        <v>4217</v>
      </c>
      <c r="C490" s="47" t="s">
        <v>4218</v>
      </c>
      <c r="D490" s="29" t="s">
        <v>4219</v>
      </c>
      <c r="E490" s="48" t="str">
        <f>IFERROR(__xludf.DUMMYFUNCTION("GOOGLETRANSLATE(D490,""zh-CN"",""vi"")"),"Trường có rất nhiều học sinh.")</f>
        <v>Trường có rất nhiều học sinh.</v>
      </c>
      <c r="F490" s="49" t="s">
        <v>4216</v>
      </c>
      <c r="G490" s="50" t="b">
        <f t="shared" si="1"/>
        <v>1</v>
      </c>
      <c r="H490" s="52" t="b">
        <v>0</v>
      </c>
      <c r="I490" s="52" t="b">
        <v>0</v>
      </c>
      <c r="J490" s="52" t="b">
        <v>0</v>
      </c>
      <c r="K490" s="52" t="b">
        <v>0</v>
      </c>
      <c r="L490" s="52" t="b">
        <v>0</v>
      </c>
      <c r="M490" s="52" t="b">
        <v>0</v>
      </c>
      <c r="N490" s="52" t="b">
        <v>0</v>
      </c>
      <c r="O490" s="52" t="b">
        <v>0</v>
      </c>
      <c r="P490" s="52" t="b">
        <v>0</v>
      </c>
      <c r="Q490" s="52" t="b">
        <v>0</v>
      </c>
      <c r="R490" s="44"/>
      <c r="S490" s="44"/>
      <c r="T490" s="44"/>
      <c r="U490" s="44"/>
      <c r="V490" s="44"/>
      <c r="W490" s="44"/>
      <c r="X490" s="45"/>
      <c r="Y490" s="45"/>
      <c r="Z490" s="45"/>
      <c r="AA490" s="45"/>
    </row>
    <row r="491" ht="33.75" customHeight="1">
      <c r="A491" s="46" t="s">
        <v>4220</v>
      </c>
      <c r="B491" s="47" t="s">
        <v>4221</v>
      </c>
      <c r="C491" s="47" t="s">
        <v>4222</v>
      </c>
      <c r="D491" s="29" t="s">
        <v>4223</v>
      </c>
      <c r="E491" s="48" t="str">
        <f>IFERROR(__xludf.DUMMYFUNCTION("GOOGLETRANSLATE(D491,""zh-CN"",""vi"")"),"Học kỳ này rất bận rộn.")</f>
        <v>Học kỳ này rất bận rộn.</v>
      </c>
      <c r="F491" s="49" t="s">
        <v>4220</v>
      </c>
      <c r="G491" s="50" t="b">
        <f t="shared" si="1"/>
        <v>1</v>
      </c>
      <c r="H491" s="52" t="b">
        <v>0</v>
      </c>
      <c r="I491" s="52" t="b">
        <v>0</v>
      </c>
      <c r="J491" s="52" t="b">
        <v>0</v>
      </c>
      <c r="K491" s="52" t="b">
        <v>0</v>
      </c>
      <c r="L491" s="52" t="b">
        <v>0</v>
      </c>
      <c r="M491" s="52" t="b">
        <v>0</v>
      </c>
      <c r="N491" s="52" t="b">
        <v>0</v>
      </c>
      <c r="O491" s="52" t="b">
        <v>0</v>
      </c>
      <c r="P491" s="52" t="b">
        <v>0</v>
      </c>
      <c r="Q491" s="52" t="b">
        <v>0</v>
      </c>
      <c r="R491" s="44"/>
      <c r="S491" s="44"/>
      <c r="T491" s="44"/>
      <c r="U491" s="44"/>
      <c r="V491" s="44"/>
      <c r="W491" s="44"/>
      <c r="X491" s="45"/>
      <c r="Y491" s="45"/>
      <c r="Z491" s="45"/>
      <c r="AA491" s="45"/>
    </row>
    <row r="492" ht="33.75" customHeight="1">
      <c r="A492" s="46" t="s">
        <v>4224</v>
      </c>
      <c r="B492" s="47" t="s">
        <v>4225</v>
      </c>
      <c r="C492" s="47" t="s">
        <v>4226</v>
      </c>
      <c r="D492" s="29" t="s">
        <v>4227</v>
      </c>
      <c r="E492" s="48" t="str">
        <f>IFERROR(__xludf.DUMMYFUNCTION("GOOGLETRANSLATE(D492,""zh-CN"",""vi"")"),"Tôi đang chịu rất nhiều áp lực.")</f>
        <v>Tôi đang chịu rất nhiều áp lực.</v>
      </c>
      <c r="F492" s="49" t="s">
        <v>4224</v>
      </c>
      <c r="G492" s="50" t="b">
        <f t="shared" si="1"/>
        <v>1</v>
      </c>
      <c r="H492" s="52" t="b">
        <v>0</v>
      </c>
      <c r="I492" s="52" t="b">
        <v>0</v>
      </c>
      <c r="J492" s="52" t="b">
        <v>0</v>
      </c>
      <c r="K492" s="52" t="b">
        <v>0</v>
      </c>
      <c r="L492" s="52" t="b">
        <v>0</v>
      </c>
      <c r="M492" s="52" t="b">
        <v>0</v>
      </c>
      <c r="N492" s="52" t="b">
        <v>0</v>
      </c>
      <c r="O492" s="52" t="b">
        <v>0</v>
      </c>
      <c r="P492" s="52" t="b">
        <v>0</v>
      </c>
      <c r="Q492" s="52" t="b">
        <v>0</v>
      </c>
      <c r="R492" s="44"/>
      <c r="S492" s="44"/>
      <c r="T492" s="44"/>
      <c r="U492" s="44"/>
      <c r="V492" s="44"/>
      <c r="W492" s="44"/>
      <c r="X492" s="45"/>
      <c r="Y492" s="45"/>
      <c r="Z492" s="45"/>
      <c r="AA492" s="45"/>
    </row>
    <row r="493" ht="33.75" customHeight="1">
      <c r="A493" s="46" t="s">
        <v>4228</v>
      </c>
      <c r="B493" s="47" t="s">
        <v>4229</v>
      </c>
      <c r="C493" s="47" t="s">
        <v>28</v>
      </c>
      <c r="D493" s="29" t="s">
        <v>4230</v>
      </c>
      <c r="E493" s="48" t="str">
        <f>IFERROR(__xludf.DUMMYFUNCTION("GOOGLETRANSLATE(D493,""zh-CN"",""vi"")"),"Anh ấy là một người tốt bụng.")</f>
        <v>Anh ấy là một người tốt bụng.</v>
      </c>
      <c r="F493" s="49" t="s">
        <v>4228</v>
      </c>
      <c r="G493" s="50" t="b">
        <f t="shared" si="1"/>
        <v>1</v>
      </c>
      <c r="H493" s="52" t="b">
        <v>0</v>
      </c>
      <c r="I493" s="52" t="b">
        <v>0</v>
      </c>
      <c r="J493" s="52" t="b">
        <v>0</v>
      </c>
      <c r="K493" s="52" t="b">
        <v>0</v>
      </c>
      <c r="L493" s="52" t="b">
        <v>0</v>
      </c>
      <c r="M493" s="52" t="b">
        <v>0</v>
      </c>
      <c r="N493" s="52" t="b">
        <v>0</v>
      </c>
      <c r="O493" s="52" t="b">
        <v>0</v>
      </c>
      <c r="P493" s="52" t="b">
        <v>0</v>
      </c>
      <c r="Q493" s="52" t="b">
        <v>0</v>
      </c>
      <c r="R493" s="44"/>
      <c r="S493" s="44"/>
      <c r="T493" s="44"/>
      <c r="U493" s="44"/>
      <c r="V493" s="44"/>
      <c r="W493" s="44"/>
      <c r="X493" s="45"/>
      <c r="Y493" s="45"/>
      <c r="Z493" s="45"/>
      <c r="AA493" s="45"/>
    </row>
    <row r="494" ht="33.75" customHeight="1">
      <c r="A494" s="46" t="s">
        <v>4231</v>
      </c>
      <c r="B494" s="47" t="s">
        <v>4232</v>
      </c>
      <c r="C494" s="47" t="s">
        <v>4233</v>
      </c>
      <c r="D494" s="29" t="s">
        <v>4234</v>
      </c>
      <c r="E494" s="48" t="str">
        <f>IFERROR(__xludf.DUMMYFUNCTION("GOOGLETRANSLATE(D494,""zh-CN"",""vi"")"),"Tôi cần mua kem đánh răng.")</f>
        <v>Tôi cần mua kem đánh răng.</v>
      </c>
      <c r="F494" s="49" t="s">
        <v>4231</v>
      </c>
      <c r="G494" s="50" t="b">
        <f t="shared" si="1"/>
        <v>1</v>
      </c>
      <c r="H494" s="52" t="b">
        <v>1</v>
      </c>
      <c r="I494" s="52" t="b">
        <v>0</v>
      </c>
      <c r="J494" s="52" t="b">
        <v>0</v>
      </c>
      <c r="K494" s="52" t="b">
        <v>0</v>
      </c>
      <c r="L494" s="52" t="b">
        <v>0</v>
      </c>
      <c r="M494" s="52" t="b">
        <v>0</v>
      </c>
      <c r="N494" s="52" t="b">
        <v>0</v>
      </c>
      <c r="O494" s="52" t="b">
        <v>0</v>
      </c>
      <c r="P494" s="52" t="b">
        <v>0</v>
      </c>
      <c r="Q494" s="52" t="b">
        <v>0</v>
      </c>
      <c r="R494" s="44"/>
      <c r="S494" s="44"/>
      <c r="T494" s="44"/>
      <c r="U494" s="44"/>
      <c r="V494" s="44"/>
      <c r="W494" s="44"/>
      <c r="X494" s="45"/>
      <c r="Y494" s="45"/>
      <c r="Z494" s="45"/>
      <c r="AA494" s="45"/>
    </row>
    <row r="495" ht="33.75" customHeight="1">
      <c r="A495" s="46" t="s">
        <v>4235</v>
      </c>
      <c r="B495" s="47" t="s">
        <v>4236</v>
      </c>
      <c r="C495" s="47" t="s">
        <v>4237</v>
      </c>
      <c r="D495" s="29" t="s">
        <v>4238</v>
      </c>
      <c r="E495" s="48" t="str">
        <f>IFERROR(__xludf.DUMMYFUNCTION("GOOGLETRANSLATE(D495,""zh-CN"",""vi"")"),"Châu Á sở hữu một nền văn hóa phong phú và đa dạng.")</f>
        <v>Châu Á sở hữu một nền văn hóa phong phú và đa dạng.</v>
      </c>
      <c r="F495" s="49" t="s">
        <v>4235</v>
      </c>
      <c r="G495" s="50" t="b">
        <f t="shared" si="1"/>
        <v>1</v>
      </c>
      <c r="H495" s="52" t="b">
        <v>1</v>
      </c>
      <c r="I495" s="52" t="b">
        <v>0</v>
      </c>
      <c r="J495" s="52" t="b">
        <v>0</v>
      </c>
      <c r="K495" s="52" t="b">
        <v>0</v>
      </c>
      <c r="L495" s="52" t="b">
        <v>0</v>
      </c>
      <c r="M495" s="52" t="b">
        <v>0</v>
      </c>
      <c r="N495" s="52" t="b">
        <v>0</v>
      </c>
      <c r="O495" s="52" t="b">
        <v>0</v>
      </c>
      <c r="P495" s="52" t="b">
        <v>0</v>
      </c>
      <c r="Q495" s="52" t="b">
        <v>0</v>
      </c>
      <c r="R495" s="44"/>
      <c r="S495" s="44"/>
      <c r="T495" s="44"/>
      <c r="U495" s="44"/>
      <c r="V495" s="44"/>
      <c r="W495" s="44"/>
      <c r="X495" s="45"/>
      <c r="Y495" s="45"/>
      <c r="Z495" s="45"/>
      <c r="AA495" s="45"/>
    </row>
    <row r="496" ht="33.75" customHeight="1">
      <c r="A496" s="46" t="s">
        <v>4239</v>
      </c>
      <c r="B496" s="47" t="s">
        <v>4240</v>
      </c>
      <c r="C496" s="47" t="s">
        <v>4241</v>
      </c>
      <c r="D496" s="29" t="s">
        <v>4242</v>
      </c>
      <c r="E496" s="48" t="str">
        <f>IFERROR(__xludf.DUMMYFUNCTION("GOOGLETRANSLATE(D496,""zh-CN"",""vi"")"),"Anh ấy rất khắt khe với bản thân.")</f>
        <v>Anh ấy rất khắt khe với bản thân.</v>
      </c>
      <c r="F496" s="49" t="s">
        <v>4239</v>
      </c>
      <c r="G496" s="50" t="b">
        <f t="shared" si="1"/>
        <v>1</v>
      </c>
      <c r="H496" s="52" t="b">
        <v>1</v>
      </c>
      <c r="I496" s="52" t="b">
        <v>0</v>
      </c>
      <c r="J496" s="52" t="b">
        <v>0</v>
      </c>
      <c r="K496" s="52" t="b">
        <v>0</v>
      </c>
      <c r="L496" s="52" t="b">
        <v>0</v>
      </c>
      <c r="M496" s="52" t="b">
        <v>0</v>
      </c>
      <c r="N496" s="52" t="b">
        <v>0</v>
      </c>
      <c r="O496" s="52" t="b">
        <v>0</v>
      </c>
      <c r="P496" s="52" t="b">
        <v>0</v>
      </c>
      <c r="Q496" s="52" t="b">
        <v>0</v>
      </c>
      <c r="R496" s="44"/>
      <c r="S496" s="44"/>
      <c r="T496" s="44"/>
      <c r="U496" s="44"/>
      <c r="V496" s="44"/>
      <c r="W496" s="44"/>
      <c r="X496" s="45"/>
      <c r="Y496" s="45"/>
      <c r="Z496" s="45"/>
      <c r="AA496" s="45"/>
    </row>
    <row r="497" ht="33.75" customHeight="1">
      <c r="A497" s="46" t="s">
        <v>4243</v>
      </c>
      <c r="B497" s="47" t="s">
        <v>4244</v>
      </c>
      <c r="C497" s="47" t="s">
        <v>4245</v>
      </c>
      <c r="D497" s="29" t="s">
        <v>4246</v>
      </c>
      <c r="E497" s="48" t="str">
        <f>IFERROR(__xludf.DUMMYFUNCTION("GOOGLETRANSLATE(D497,""zh-CN"",""vi"")"),"Đây là một vấn đề nghiêm trọng.")</f>
        <v>Đây là một vấn đề nghiêm trọng.</v>
      </c>
      <c r="F497" s="49" t="s">
        <v>4243</v>
      </c>
      <c r="G497" s="50" t="b">
        <f t="shared" si="1"/>
        <v>1</v>
      </c>
      <c r="H497" s="52" t="b">
        <v>1</v>
      </c>
      <c r="I497" s="52" t="b">
        <v>0</v>
      </c>
      <c r="J497" s="52" t="b">
        <v>0</v>
      </c>
      <c r="K497" s="52" t="b">
        <v>0</v>
      </c>
      <c r="L497" s="52" t="b">
        <v>0</v>
      </c>
      <c r="M497" s="52" t="b">
        <v>0</v>
      </c>
      <c r="N497" s="52" t="b">
        <v>0</v>
      </c>
      <c r="O497" s="52" t="b">
        <v>0</v>
      </c>
      <c r="P497" s="52" t="b">
        <v>0</v>
      </c>
      <c r="Q497" s="52" t="b">
        <v>0</v>
      </c>
      <c r="R497" s="44"/>
      <c r="S497" s="44"/>
      <c r="T497" s="44"/>
      <c r="U497" s="44"/>
      <c r="V497" s="44"/>
      <c r="W497" s="44"/>
      <c r="X497" s="45"/>
      <c r="Y497" s="45"/>
      <c r="Z497" s="45"/>
      <c r="AA497" s="45"/>
    </row>
    <row r="498" ht="33.75" customHeight="1">
      <c r="A498" s="46" t="s">
        <v>4247</v>
      </c>
      <c r="B498" s="47" t="s">
        <v>4248</v>
      </c>
      <c r="C498" s="47" t="s">
        <v>4249</v>
      </c>
      <c r="D498" s="29" t="s">
        <v>4250</v>
      </c>
      <c r="E498" s="48" t="str">
        <f>IFERROR(__xludf.DUMMYFUNCTION("GOOGLETRANSLATE(D498,""zh-CN"",""vi"")"),"Anh ấy đang nghiên cứu các công nghệ mới.")</f>
        <v>Anh ấy đang nghiên cứu các công nghệ mới.</v>
      </c>
      <c r="F498" s="49" t="s">
        <v>4247</v>
      </c>
      <c r="G498" s="50" t="b">
        <f t="shared" si="1"/>
        <v>1</v>
      </c>
      <c r="H498" s="52" t="b">
        <v>1</v>
      </c>
      <c r="I498" s="52" t="b">
        <v>0</v>
      </c>
      <c r="J498" s="52" t="b">
        <v>0</v>
      </c>
      <c r="K498" s="52" t="b">
        <v>0</v>
      </c>
      <c r="L498" s="52" t="b">
        <v>0</v>
      </c>
      <c r="M498" s="52" t="b">
        <v>0</v>
      </c>
      <c r="N498" s="52" t="b">
        <v>0</v>
      </c>
      <c r="O498" s="52" t="b">
        <v>0</v>
      </c>
      <c r="P498" s="52" t="b">
        <v>0</v>
      </c>
      <c r="Q498" s="52" t="b">
        <v>0</v>
      </c>
      <c r="R498" s="44"/>
      <c r="S498" s="44"/>
      <c r="T498" s="44"/>
      <c r="U498" s="44"/>
      <c r="V498" s="44"/>
      <c r="W498" s="44"/>
      <c r="X498" s="45"/>
      <c r="Y498" s="45"/>
      <c r="Z498" s="45"/>
      <c r="AA498" s="45"/>
    </row>
    <row r="499" ht="33.75" customHeight="1">
      <c r="A499" s="46" t="s">
        <v>4252</v>
      </c>
      <c r="B499" s="47" t="s">
        <v>4253</v>
      </c>
      <c r="C499" s="47" t="s">
        <v>4254</v>
      </c>
      <c r="D499" s="29" t="s">
        <v>4255</v>
      </c>
      <c r="E499" s="48" t="str">
        <f>IFERROR(__xludf.DUMMYFUNCTION("GOOGLETRANSLATE(D499,""zh-CN"",""vi"")"),"Chúng ta cần thêm chút muối.")</f>
        <v>Chúng ta cần thêm chút muối.</v>
      </c>
      <c r="F499" s="49" t="s">
        <v>4252</v>
      </c>
      <c r="G499" s="50" t="b">
        <f t="shared" si="1"/>
        <v>1</v>
      </c>
      <c r="H499" s="52" t="b">
        <v>1</v>
      </c>
      <c r="I499" s="52" t="b">
        <v>0</v>
      </c>
      <c r="J499" s="52" t="b">
        <v>0</v>
      </c>
      <c r="K499" s="52" t="b">
        <v>0</v>
      </c>
      <c r="L499" s="52" t="b">
        <v>0</v>
      </c>
      <c r="M499" s="52" t="b">
        <v>0</v>
      </c>
      <c r="N499" s="52" t="b">
        <v>0</v>
      </c>
      <c r="O499" s="52" t="b">
        <v>0</v>
      </c>
      <c r="P499" s="52" t="b">
        <v>0</v>
      </c>
      <c r="Q499" s="52" t="b">
        <v>0</v>
      </c>
      <c r="R499" s="44"/>
      <c r="S499" s="44"/>
      <c r="T499" s="44"/>
      <c r="U499" s="44"/>
      <c r="V499" s="44"/>
      <c r="W499" s="44"/>
      <c r="X499" s="45"/>
      <c r="Y499" s="45"/>
      <c r="Z499" s="45"/>
      <c r="AA499" s="45"/>
    </row>
    <row r="500" ht="33.75" customHeight="1">
      <c r="A500" s="46" t="s">
        <v>3204</v>
      </c>
      <c r="B500" s="47" t="s">
        <v>4256</v>
      </c>
      <c r="C500" s="47" t="s">
        <v>4257</v>
      </c>
      <c r="D500" s="29" t="s">
        <v>4258</v>
      </c>
      <c r="E500" s="48" t="str">
        <f>IFERROR(__xludf.DUMMYFUNCTION("GOOGLETRANSLATE(D500,""zh-CN"",""vi"")"),"Tôi cần đeo kính.")</f>
        <v>Tôi cần đeo kính.</v>
      </c>
      <c r="F500" s="49" t="s">
        <v>3204</v>
      </c>
      <c r="G500" s="50" t="b">
        <f t="shared" si="1"/>
        <v>1</v>
      </c>
      <c r="H500" s="52" t="b">
        <v>1</v>
      </c>
      <c r="I500" s="52" t="b">
        <v>0</v>
      </c>
      <c r="J500" s="52" t="b">
        <v>0</v>
      </c>
      <c r="K500" s="52" t="b">
        <v>0</v>
      </c>
      <c r="L500" s="52" t="b">
        <v>0</v>
      </c>
      <c r="M500" s="52" t="b">
        <v>0</v>
      </c>
      <c r="N500" s="52" t="b">
        <v>0</v>
      </c>
      <c r="O500" s="52" t="b">
        <v>0</v>
      </c>
      <c r="P500" s="52" t="b">
        <v>0</v>
      </c>
      <c r="Q500" s="52" t="b">
        <v>0</v>
      </c>
      <c r="R500" s="44"/>
      <c r="S500" s="44"/>
      <c r="T500" s="44"/>
      <c r="U500" s="44"/>
      <c r="V500" s="44"/>
      <c r="W500" s="44"/>
      <c r="X500" s="45"/>
      <c r="Y500" s="45"/>
      <c r="Z500" s="45"/>
      <c r="AA500" s="45"/>
    </row>
    <row r="501" ht="33.75" customHeight="1">
      <c r="A501" s="46" t="s">
        <v>4259</v>
      </c>
      <c r="B501" s="47" t="s">
        <v>4260</v>
      </c>
      <c r="C501" s="47" t="s">
        <v>4261</v>
      </c>
      <c r="D501" s="29" t="s">
        <v>4262</v>
      </c>
      <c r="E501" s="48" t="str">
        <f>IFERROR(__xludf.DUMMYFUNCTION("GOOGLETRANSLATE(D501,""zh-CN"",""vi"")"),"Họ đang chuẩn bị cho một buổi biểu diễn.")</f>
        <v>Họ đang chuẩn bị cho một buổi biểu diễn.</v>
      </c>
      <c r="F501" s="49" t="s">
        <v>4259</v>
      </c>
      <c r="G501" s="50" t="b">
        <f t="shared" si="1"/>
        <v>1</v>
      </c>
      <c r="H501" s="52" t="b">
        <v>1</v>
      </c>
      <c r="I501" s="52" t="b">
        <v>0</v>
      </c>
      <c r="J501" s="52" t="b">
        <v>0</v>
      </c>
      <c r="K501" s="52" t="b">
        <v>0</v>
      </c>
      <c r="L501" s="52" t="b">
        <v>0</v>
      </c>
      <c r="M501" s="52" t="b">
        <v>0</v>
      </c>
      <c r="N501" s="52" t="b">
        <v>0</v>
      </c>
      <c r="O501" s="52" t="b">
        <v>0</v>
      </c>
      <c r="P501" s="52" t="b">
        <v>0</v>
      </c>
      <c r="Q501" s="52" t="b">
        <v>0</v>
      </c>
      <c r="R501" s="44"/>
      <c r="S501" s="44"/>
      <c r="T501" s="44"/>
      <c r="U501" s="44"/>
      <c r="V501" s="44"/>
      <c r="W501" s="44"/>
      <c r="X501" s="45"/>
      <c r="Y501" s="45"/>
      <c r="Z501" s="45"/>
      <c r="AA501" s="45"/>
    </row>
    <row r="502" ht="33.75" customHeight="1">
      <c r="A502" s="46" t="s">
        <v>4263</v>
      </c>
      <c r="B502" s="47" t="s">
        <v>4264</v>
      </c>
      <c r="C502" s="47" t="s">
        <v>4265</v>
      </c>
      <c r="D502" s="29" t="s">
        <v>4266</v>
      </c>
      <c r="E502" s="48" t="str">
        <f>IFERROR(__xludf.DUMMYFUNCTION("GOOGLETRANSLATE(D502,""zh-CN"",""vi"")"),"Anh ấy là một diễn viên.")</f>
        <v>Anh ấy là một diễn viên.</v>
      </c>
      <c r="F502" s="49" t="s">
        <v>4263</v>
      </c>
      <c r="G502" s="50" t="b">
        <f t="shared" si="1"/>
        <v>1</v>
      </c>
      <c r="H502" s="52" t="b">
        <v>1</v>
      </c>
      <c r="I502" s="52" t="b">
        <v>0</v>
      </c>
      <c r="J502" s="52" t="b">
        <v>0</v>
      </c>
      <c r="K502" s="52" t="b">
        <v>0</v>
      </c>
      <c r="L502" s="52" t="b">
        <v>0</v>
      </c>
      <c r="M502" s="52" t="b">
        <v>0</v>
      </c>
      <c r="N502" s="52" t="b">
        <v>0</v>
      </c>
      <c r="O502" s="52" t="b">
        <v>0</v>
      </c>
      <c r="P502" s="52" t="b">
        <v>0</v>
      </c>
      <c r="Q502" s="52" t="b">
        <v>0</v>
      </c>
      <c r="R502" s="44"/>
      <c r="S502" s="44"/>
      <c r="T502" s="44"/>
      <c r="U502" s="44"/>
      <c r="V502" s="44"/>
      <c r="W502" s="44"/>
      <c r="X502" s="45"/>
      <c r="Y502" s="45"/>
      <c r="Z502" s="45"/>
      <c r="AA502" s="45"/>
    </row>
    <row r="503" ht="33.75" customHeight="1">
      <c r="A503" s="46" t="s">
        <v>4268</v>
      </c>
      <c r="B503" s="47" t="s">
        <v>4269</v>
      </c>
      <c r="C503" s="47" t="s">
        <v>4270</v>
      </c>
      <c r="D503" s="29" t="s">
        <v>4271</v>
      </c>
      <c r="E503" s="48" t="str">
        <f>IFERROR(__xludf.DUMMYFUNCTION("GOOGLETRANSLATE(D503,""zh-CN"",""vi"")"),"Hôm nay trời nắng đẹp.")</f>
        <v>Hôm nay trời nắng đẹp.</v>
      </c>
      <c r="F503" s="49" t="s">
        <v>4268</v>
      </c>
      <c r="G503" s="50" t="b">
        <f t="shared" si="1"/>
        <v>1</v>
      </c>
      <c r="H503" s="52" t="b">
        <v>1</v>
      </c>
      <c r="I503" s="52" t="b">
        <v>0</v>
      </c>
      <c r="J503" s="52" t="b">
        <v>0</v>
      </c>
      <c r="K503" s="52" t="b">
        <v>0</v>
      </c>
      <c r="L503" s="52" t="b">
        <v>0</v>
      </c>
      <c r="M503" s="52" t="b">
        <v>0</v>
      </c>
      <c r="N503" s="52" t="b">
        <v>0</v>
      </c>
      <c r="O503" s="52" t="b">
        <v>0</v>
      </c>
      <c r="P503" s="52" t="b">
        <v>0</v>
      </c>
      <c r="Q503" s="52" t="b">
        <v>0</v>
      </c>
      <c r="R503" s="44"/>
      <c r="S503" s="44"/>
      <c r="T503" s="44"/>
      <c r="U503" s="44"/>
      <c r="V503" s="44"/>
      <c r="W503" s="44"/>
      <c r="X503" s="45"/>
      <c r="Y503" s="45"/>
      <c r="Z503" s="45"/>
      <c r="AA503" s="45"/>
    </row>
    <row r="504" ht="33.75" customHeight="1">
      <c r="A504" s="46" t="s">
        <v>4272</v>
      </c>
      <c r="B504" s="47" t="s">
        <v>4273</v>
      </c>
      <c r="C504" s="47" t="s">
        <v>4274</v>
      </c>
      <c r="D504" s="29" t="s">
        <v>4275</v>
      </c>
      <c r="E504" s="48" t="str">
        <f>IFERROR(__xludf.DUMMYFUNCTION("GOOGLETRANSLATE(D504,""zh-CN"",""vi"")"),"Thói quen này cần thời gian để hình thành.")</f>
        <v>Thói quen này cần thời gian để hình thành.</v>
      </c>
      <c r="F504" s="49" t="s">
        <v>4272</v>
      </c>
      <c r="G504" s="50" t="b">
        <f t="shared" si="1"/>
        <v>1</v>
      </c>
      <c r="H504" s="52" t="b">
        <v>1</v>
      </c>
      <c r="I504" s="52" t="b">
        <v>0</v>
      </c>
      <c r="J504" s="52" t="b">
        <v>0</v>
      </c>
      <c r="K504" s="52" t="b">
        <v>0</v>
      </c>
      <c r="L504" s="52" t="b">
        <v>0</v>
      </c>
      <c r="M504" s="52" t="b">
        <v>0</v>
      </c>
      <c r="N504" s="52" t="b">
        <v>0</v>
      </c>
      <c r="O504" s="52" t="b">
        <v>0</v>
      </c>
      <c r="P504" s="52" t="b">
        <v>0</v>
      </c>
      <c r="Q504" s="52" t="b">
        <v>0</v>
      </c>
      <c r="R504" s="44"/>
      <c r="S504" s="44"/>
      <c r="T504" s="44"/>
      <c r="U504" s="44"/>
      <c r="V504" s="44"/>
      <c r="W504" s="44"/>
      <c r="X504" s="45"/>
      <c r="Y504" s="45"/>
      <c r="Z504" s="45"/>
      <c r="AA504" s="45"/>
    </row>
    <row r="505" ht="33.75" customHeight="1">
      <c r="A505" s="46" t="s">
        <v>4276</v>
      </c>
      <c r="B505" s="47" t="s">
        <v>4277</v>
      </c>
      <c r="C505" s="47" t="s">
        <v>4278</v>
      </c>
      <c r="D505" s="29" t="s">
        <v>4279</v>
      </c>
      <c r="E505" s="48" t="str">
        <f>IFERROR(__xludf.DUMMYFUNCTION("GOOGLETRANSLATE(D505,""zh-CN"",""vi"")"),"Chiếc váy này trông thật đẹp.")</f>
        <v>Chiếc váy này trông thật đẹp.</v>
      </c>
      <c r="F505" s="49" t="s">
        <v>4276</v>
      </c>
      <c r="G505" s="50" t="b">
        <f t="shared" si="1"/>
        <v>1</v>
      </c>
      <c r="H505" s="52" t="b">
        <v>1</v>
      </c>
      <c r="I505" s="52" t="b">
        <v>0</v>
      </c>
      <c r="J505" s="52" t="b">
        <v>0</v>
      </c>
      <c r="K505" s="52" t="b">
        <v>0</v>
      </c>
      <c r="L505" s="52" t="b">
        <v>0</v>
      </c>
      <c r="M505" s="52" t="b">
        <v>0</v>
      </c>
      <c r="N505" s="52" t="b">
        <v>0</v>
      </c>
      <c r="O505" s="52" t="b">
        <v>0</v>
      </c>
      <c r="P505" s="52" t="b">
        <v>0</v>
      </c>
      <c r="Q505" s="52" t="b">
        <v>0</v>
      </c>
      <c r="R505" s="44"/>
      <c r="S505" s="44"/>
      <c r="T505" s="44"/>
      <c r="U505" s="44"/>
      <c r="V505" s="44"/>
      <c r="W505" s="44"/>
      <c r="X505" s="45"/>
      <c r="Y505" s="45"/>
      <c r="Z505" s="45"/>
      <c r="AA505" s="45"/>
    </row>
    <row r="506" ht="33.75" customHeight="1">
      <c r="A506" s="46" t="s">
        <v>4280</v>
      </c>
      <c r="B506" s="47" t="s">
        <v>4281</v>
      </c>
      <c r="C506" s="47" t="s">
        <v>4282</v>
      </c>
      <c r="D506" s="29" t="s">
        <v>4283</v>
      </c>
      <c r="E506" s="48" t="str">
        <f>IFERROR(__xludf.DUMMYFUNCTION("GOOGLETRANSLATE(D506,""zh-CN"",""vi"")"),"Chúng tôi đã mời rất nhiều bạn bè.")</f>
        <v>Chúng tôi đã mời rất nhiều bạn bè.</v>
      </c>
      <c r="F506" s="49" t="s">
        <v>4280</v>
      </c>
      <c r="G506" s="50" t="b">
        <f t="shared" si="1"/>
        <v>1</v>
      </c>
      <c r="H506" s="52" t="b">
        <v>1</v>
      </c>
      <c r="I506" s="52" t="b">
        <v>0</v>
      </c>
      <c r="J506" s="52" t="b">
        <v>0</v>
      </c>
      <c r="K506" s="52" t="b">
        <v>0</v>
      </c>
      <c r="L506" s="52" t="b">
        <v>0</v>
      </c>
      <c r="M506" s="52" t="b">
        <v>0</v>
      </c>
      <c r="N506" s="52" t="b">
        <v>0</v>
      </c>
      <c r="O506" s="52" t="b">
        <v>0</v>
      </c>
      <c r="P506" s="52" t="b">
        <v>0</v>
      </c>
      <c r="Q506" s="52" t="b">
        <v>0</v>
      </c>
      <c r="R506" s="44"/>
      <c r="S506" s="44"/>
      <c r="T506" s="44"/>
      <c r="U506" s="44"/>
      <c r="V506" s="44"/>
      <c r="W506" s="44"/>
      <c r="X506" s="45"/>
      <c r="Y506" s="45"/>
      <c r="Z506" s="45"/>
      <c r="AA506" s="45"/>
    </row>
    <row r="507" ht="33.75" customHeight="1">
      <c r="A507" s="46" t="s">
        <v>4284</v>
      </c>
      <c r="B507" s="47" t="s">
        <v>4285</v>
      </c>
      <c r="C507" s="47" t="s">
        <v>4286</v>
      </c>
      <c r="D507" s="29" t="s">
        <v>4287</v>
      </c>
      <c r="E507" s="48" t="str">
        <f>IFERROR(__xludf.DUMMYFUNCTION("GOOGLETRANSLATE(D507,""zh-CN"",""vi"")"),"Nếu bạn có thời gian, chúng ta cùng đi nhé.")</f>
        <v>Nếu bạn có thời gian, chúng ta cùng đi nhé.</v>
      </c>
      <c r="F507" s="49" t="s">
        <v>4284</v>
      </c>
      <c r="G507" s="50" t="b">
        <f t="shared" si="1"/>
        <v>1</v>
      </c>
      <c r="H507" s="52" t="b">
        <v>1</v>
      </c>
      <c r="I507" s="52" t="b">
        <v>0</v>
      </c>
      <c r="J507" s="52" t="b">
        <v>0</v>
      </c>
      <c r="K507" s="52" t="b">
        <v>0</v>
      </c>
      <c r="L507" s="52" t="b">
        <v>0</v>
      </c>
      <c r="M507" s="52" t="b">
        <v>0</v>
      </c>
      <c r="N507" s="52" t="b">
        <v>0</v>
      </c>
      <c r="O507" s="52" t="b">
        <v>0</v>
      </c>
      <c r="P507" s="52" t="b">
        <v>0</v>
      </c>
      <c r="Q507" s="52" t="b">
        <v>0</v>
      </c>
      <c r="R507" s="44"/>
      <c r="S507" s="44"/>
      <c r="T507" s="44"/>
      <c r="U507" s="44"/>
      <c r="V507" s="44"/>
      <c r="W507" s="44"/>
      <c r="X507" s="45"/>
      <c r="Y507" s="45"/>
      <c r="Z507" s="45"/>
      <c r="AA507" s="45"/>
    </row>
    <row r="508" ht="33.75" customHeight="1">
      <c r="A508" s="46" t="s">
        <v>4290</v>
      </c>
      <c r="B508" s="47" t="s">
        <v>4291</v>
      </c>
      <c r="C508" s="47" t="s">
        <v>4292</v>
      </c>
      <c r="D508" s="29" t="s">
        <v>4293</v>
      </c>
      <c r="E508" s="48" t="str">
        <f>IFERROR(__xludf.DUMMYFUNCTION("GOOGLETRANSLATE(D508,""zh-CN"",""vi"")"),"Tôi không tìm thấy chìa khóa của mình.")</f>
        <v>Tôi không tìm thấy chìa khóa của mình.</v>
      </c>
      <c r="F508" s="49" t="s">
        <v>4290</v>
      </c>
      <c r="G508" s="50" t="b">
        <f t="shared" si="1"/>
        <v>1</v>
      </c>
      <c r="H508" s="52" t="b">
        <v>1</v>
      </c>
      <c r="I508" s="52" t="b">
        <v>0</v>
      </c>
      <c r="J508" s="52" t="b">
        <v>0</v>
      </c>
      <c r="K508" s="52" t="b">
        <v>0</v>
      </c>
      <c r="L508" s="52" t="b">
        <v>0</v>
      </c>
      <c r="M508" s="52" t="b">
        <v>0</v>
      </c>
      <c r="N508" s="52" t="b">
        <v>0</v>
      </c>
      <c r="O508" s="52" t="b">
        <v>0</v>
      </c>
      <c r="P508" s="52" t="b">
        <v>0</v>
      </c>
      <c r="Q508" s="52" t="b">
        <v>0</v>
      </c>
      <c r="R508" s="44"/>
      <c r="S508" s="44"/>
      <c r="T508" s="44"/>
      <c r="U508" s="44"/>
      <c r="V508" s="44"/>
      <c r="W508" s="44"/>
      <c r="X508" s="45"/>
      <c r="Y508" s="45"/>
      <c r="Z508" s="45"/>
      <c r="AA508" s="45"/>
    </row>
    <row r="509" ht="33.75" customHeight="1">
      <c r="A509" s="46" t="s">
        <v>4295</v>
      </c>
      <c r="B509" s="47" t="s">
        <v>4297</v>
      </c>
      <c r="C509" s="47" t="s">
        <v>4298</v>
      </c>
      <c r="D509" s="29" t="s">
        <v>4299</v>
      </c>
      <c r="E509" s="48" t="str">
        <f>IFERROR(__xludf.DUMMYFUNCTION("GOOGLETRANSLATE(D509,""zh-CN"",""vi"")"),"Có thể ngày mai trời sẽ mưa.")</f>
        <v>Có thể ngày mai trời sẽ mưa.</v>
      </c>
      <c r="F509" s="49" t="s">
        <v>4295</v>
      </c>
      <c r="G509" s="50" t="b">
        <f t="shared" si="1"/>
        <v>1</v>
      </c>
      <c r="H509" s="52" t="b">
        <v>1</v>
      </c>
      <c r="I509" s="52" t="b">
        <v>0</v>
      </c>
      <c r="J509" s="52" t="b">
        <v>0</v>
      </c>
      <c r="K509" s="52" t="b">
        <v>0</v>
      </c>
      <c r="L509" s="52" t="b">
        <v>0</v>
      </c>
      <c r="M509" s="52" t="b">
        <v>0</v>
      </c>
      <c r="N509" s="52" t="b">
        <v>0</v>
      </c>
      <c r="O509" s="52" t="b">
        <v>0</v>
      </c>
      <c r="P509" s="52" t="b">
        <v>0</v>
      </c>
      <c r="Q509" s="52" t="b">
        <v>0</v>
      </c>
      <c r="R509" s="44"/>
      <c r="S509" s="44"/>
      <c r="T509" s="44"/>
      <c r="U509" s="44"/>
      <c r="V509" s="44"/>
      <c r="W509" s="44"/>
      <c r="X509" s="45"/>
      <c r="Y509" s="45"/>
      <c r="Z509" s="45"/>
      <c r="AA509" s="45"/>
    </row>
    <row r="510" ht="33.75" customHeight="1">
      <c r="A510" s="46" t="s">
        <v>4300</v>
      </c>
      <c r="B510" s="47" t="s">
        <v>4301</v>
      </c>
      <c r="C510" s="47" t="s">
        <v>4302</v>
      </c>
      <c r="D510" s="29" t="s">
        <v>4303</v>
      </c>
      <c r="E510" s="48" t="str">
        <f>IFERROR(__xludf.DUMMYFUNCTION("GOOGLETRANSLATE(D510,""zh-CN"",""vi"")"),"Lá trên cây đã chuyển sang màu vàng.")</f>
        <v>Lá trên cây đã chuyển sang màu vàng.</v>
      </c>
      <c r="F510" s="49" t="s">
        <v>4300</v>
      </c>
      <c r="G510" s="50" t="b">
        <f t="shared" si="1"/>
        <v>1</v>
      </c>
      <c r="H510" s="52" t="b">
        <v>1</v>
      </c>
      <c r="I510" s="52" t="b">
        <v>0</v>
      </c>
      <c r="J510" s="52" t="b">
        <v>0</v>
      </c>
      <c r="K510" s="52" t="b">
        <v>0</v>
      </c>
      <c r="L510" s="52" t="b">
        <v>0</v>
      </c>
      <c r="M510" s="52" t="b">
        <v>0</v>
      </c>
      <c r="N510" s="52" t="b">
        <v>0</v>
      </c>
      <c r="O510" s="52" t="b">
        <v>0</v>
      </c>
      <c r="P510" s="52" t="b">
        <v>0</v>
      </c>
      <c r="Q510" s="52" t="b">
        <v>0</v>
      </c>
      <c r="R510" s="44"/>
      <c r="S510" s="44"/>
      <c r="T510" s="44"/>
      <c r="U510" s="44"/>
      <c r="V510" s="44"/>
      <c r="W510" s="44"/>
      <c r="X510" s="45"/>
      <c r="Y510" s="45"/>
      <c r="Z510" s="45"/>
      <c r="AA510" s="45"/>
    </row>
    <row r="511" ht="33.75" customHeight="1">
      <c r="A511" s="46" t="s">
        <v>4304</v>
      </c>
      <c r="B511" s="47" t="s">
        <v>4305</v>
      </c>
      <c r="C511" s="47" t="s">
        <v>4059</v>
      </c>
      <c r="D511" s="29" t="s">
        <v>4306</v>
      </c>
      <c r="E511" s="48" t="str">
        <f>IFERROR(__xludf.DUMMYFUNCTION("GOOGLETRANSLATE(D511,""zh-CN"",""vi"")"),"Vui lòng chuyển sang trang tiếp theo.")</f>
        <v>Vui lòng chuyển sang trang tiếp theo.</v>
      </c>
      <c r="F511" s="49" t="s">
        <v>4304</v>
      </c>
      <c r="G511" s="50" t="b">
        <f t="shared" si="1"/>
        <v>1</v>
      </c>
      <c r="H511" s="52" t="b">
        <v>1</v>
      </c>
      <c r="I511" s="52" t="b">
        <v>0</v>
      </c>
      <c r="J511" s="52" t="b">
        <v>0</v>
      </c>
      <c r="K511" s="52" t="b">
        <v>0</v>
      </c>
      <c r="L511" s="52" t="b">
        <v>0</v>
      </c>
      <c r="M511" s="52" t="b">
        <v>0</v>
      </c>
      <c r="N511" s="52" t="b">
        <v>0</v>
      </c>
      <c r="O511" s="52" t="b">
        <v>0</v>
      </c>
      <c r="P511" s="52" t="b">
        <v>0</v>
      </c>
      <c r="Q511" s="52" t="b">
        <v>0</v>
      </c>
      <c r="R511" s="44"/>
      <c r="S511" s="44"/>
      <c r="T511" s="44"/>
      <c r="U511" s="44"/>
      <c r="V511" s="44"/>
      <c r="W511" s="44"/>
      <c r="X511" s="45"/>
      <c r="Y511" s="45"/>
      <c r="Z511" s="45"/>
      <c r="AA511" s="45"/>
    </row>
    <row r="512" ht="33.75" customHeight="1">
      <c r="A512" s="46" t="s">
        <v>4307</v>
      </c>
      <c r="B512" s="47" t="s">
        <v>4308</v>
      </c>
      <c r="C512" s="47" t="s">
        <v>3943</v>
      </c>
      <c r="D512" s="29" t="s">
        <v>4309</v>
      </c>
      <c r="E512" s="48" t="str">
        <f>IFERROR(__xludf.DUMMYFUNCTION("GOOGLETRANSLATE(D512,""zh-CN"",""vi"")"),"Mọi chuyện rồi sẽ ổn thôi.")</f>
        <v>Mọi chuyện rồi sẽ ổn thôi.</v>
      </c>
      <c r="F512" s="49" t="s">
        <v>4307</v>
      </c>
      <c r="G512" s="50" t="b">
        <f t="shared" si="1"/>
        <v>1</v>
      </c>
      <c r="H512" s="52" t="b">
        <v>1</v>
      </c>
      <c r="I512" s="52" t="b">
        <v>0</v>
      </c>
      <c r="J512" s="52" t="b">
        <v>0</v>
      </c>
      <c r="K512" s="52" t="b">
        <v>0</v>
      </c>
      <c r="L512" s="52" t="b">
        <v>0</v>
      </c>
      <c r="M512" s="52" t="b">
        <v>0</v>
      </c>
      <c r="N512" s="52" t="b">
        <v>0</v>
      </c>
      <c r="O512" s="52" t="b">
        <v>0</v>
      </c>
      <c r="P512" s="52" t="b">
        <v>0</v>
      </c>
      <c r="Q512" s="52" t="b">
        <v>0</v>
      </c>
      <c r="R512" s="44"/>
      <c r="S512" s="44"/>
      <c r="T512" s="44"/>
      <c r="U512" s="44"/>
      <c r="V512" s="44"/>
      <c r="W512" s="44"/>
      <c r="X512" s="45"/>
      <c r="Y512" s="45"/>
      <c r="Z512" s="45"/>
      <c r="AA512" s="45"/>
    </row>
    <row r="513" ht="33.75" customHeight="1">
      <c r="A513" s="46" t="s">
        <v>4310</v>
      </c>
      <c r="B513" s="47" t="s">
        <v>4311</v>
      </c>
      <c r="C513" s="47" t="s">
        <v>4312</v>
      </c>
      <c r="D513" s="29" t="s">
        <v>4313</v>
      </c>
      <c r="E513" s="48" t="str">
        <f>IFERROR(__xludf.DUMMYFUNCTION("GOOGLETRANSLATE(D513,""zh-CN"",""vi"")"),"Với khả năng của mình, anh ấy hoàn toàn có thể làm được.")</f>
        <v>Với khả năng của mình, anh ấy hoàn toàn có thể làm được.</v>
      </c>
      <c r="F513" s="49" t="s">
        <v>4310</v>
      </c>
      <c r="G513" s="50" t="b">
        <f t="shared" si="1"/>
        <v>1</v>
      </c>
      <c r="H513" s="52" t="b">
        <v>1</v>
      </c>
      <c r="I513" s="52" t="b">
        <v>0</v>
      </c>
      <c r="J513" s="52" t="b">
        <v>0</v>
      </c>
      <c r="K513" s="52" t="b">
        <v>0</v>
      </c>
      <c r="L513" s="52" t="b">
        <v>0</v>
      </c>
      <c r="M513" s="52" t="b">
        <v>0</v>
      </c>
      <c r="N513" s="52" t="b">
        <v>0</v>
      </c>
      <c r="O513" s="52" t="b">
        <v>0</v>
      </c>
      <c r="P513" s="52" t="b">
        <v>0</v>
      </c>
      <c r="Q513" s="52" t="b">
        <v>0</v>
      </c>
      <c r="R513" s="44"/>
      <c r="S513" s="44"/>
      <c r="T513" s="44"/>
      <c r="U513" s="44"/>
      <c r="V513" s="44"/>
      <c r="W513" s="44"/>
      <c r="X513" s="45"/>
      <c r="Y513" s="45"/>
      <c r="Z513" s="45"/>
      <c r="AA513" s="45"/>
    </row>
    <row r="514" ht="33.75" customHeight="1">
      <c r="A514" s="46" t="s">
        <v>3327</v>
      </c>
      <c r="B514" s="47" t="s">
        <v>4314</v>
      </c>
      <c r="C514" s="56" t="s">
        <v>4315</v>
      </c>
      <c r="D514" s="29" t="s">
        <v>4316</v>
      </c>
      <c r="E514" s="48" t="str">
        <f>IFERROR(__xludf.DUMMYFUNCTION("GOOGLETRANSLATE(D514,""zh-CN"",""vi"")"),"Tôi tưởng anh ta đã đi rồi.")</f>
        <v>Tôi tưởng anh ta đã đi rồi.</v>
      </c>
      <c r="F514" s="49" t="s">
        <v>3327</v>
      </c>
      <c r="G514" s="50" t="b">
        <f t="shared" si="1"/>
        <v>1</v>
      </c>
      <c r="H514" s="52" t="b">
        <v>1</v>
      </c>
      <c r="I514" s="52" t="b">
        <v>0</v>
      </c>
      <c r="J514" s="52" t="b">
        <v>0</v>
      </c>
      <c r="K514" s="52" t="b">
        <v>0</v>
      </c>
      <c r="L514" s="52" t="b">
        <v>0</v>
      </c>
      <c r="M514" s="52" t="b">
        <v>0</v>
      </c>
      <c r="N514" s="52" t="b">
        <v>0</v>
      </c>
      <c r="O514" s="52" t="b">
        <v>0</v>
      </c>
      <c r="P514" s="52" t="b">
        <v>0</v>
      </c>
      <c r="Q514" s="52" t="b">
        <v>0</v>
      </c>
      <c r="R514" s="44"/>
      <c r="S514" s="44"/>
      <c r="T514" s="44"/>
      <c r="U514" s="44"/>
      <c r="V514" s="44"/>
      <c r="W514" s="44"/>
      <c r="X514" s="45"/>
      <c r="Y514" s="45"/>
      <c r="Z514" s="45"/>
      <c r="AA514" s="45"/>
    </row>
    <row r="515" ht="33.75" customHeight="1">
      <c r="A515" s="46" t="s">
        <v>4317</v>
      </c>
      <c r="B515" s="47" t="s">
        <v>4318</v>
      </c>
      <c r="C515" s="47" t="s">
        <v>4319</v>
      </c>
      <c r="D515" s="29" t="s">
        <v>4320</v>
      </c>
      <c r="E515" s="48" t="str">
        <f>IFERROR(__xludf.DUMMYFUNCTION("GOOGLETRANSLATE(D515,""zh-CN"",""vi"")"),"Anh ấy rất quan tâm đến nghệ thuật.")</f>
        <v>Anh ấy rất quan tâm đến nghệ thuật.</v>
      </c>
      <c r="F515" s="49" t="s">
        <v>4317</v>
      </c>
      <c r="G515" s="50" t="b">
        <f t="shared" si="1"/>
        <v>1</v>
      </c>
      <c r="H515" s="52" t="b">
        <v>1</v>
      </c>
      <c r="I515" s="52" t="b">
        <v>0</v>
      </c>
      <c r="J515" s="52" t="b">
        <v>0</v>
      </c>
      <c r="K515" s="52" t="b">
        <v>0</v>
      </c>
      <c r="L515" s="52" t="b">
        <v>0</v>
      </c>
      <c r="M515" s="52" t="b">
        <v>0</v>
      </c>
      <c r="N515" s="52" t="b">
        <v>0</v>
      </c>
      <c r="O515" s="52" t="b">
        <v>0</v>
      </c>
      <c r="P515" s="52" t="b">
        <v>0</v>
      </c>
      <c r="Q515" s="52" t="b">
        <v>0</v>
      </c>
      <c r="R515" s="44"/>
      <c r="S515" s="44"/>
      <c r="T515" s="44"/>
      <c r="U515" s="44"/>
      <c r="V515" s="44"/>
      <c r="W515" s="44"/>
      <c r="X515" s="45"/>
      <c r="Y515" s="45"/>
      <c r="Z515" s="45"/>
      <c r="AA515" s="45"/>
    </row>
    <row r="516" ht="33.75" customHeight="1">
      <c r="A516" s="46" t="s">
        <v>4321</v>
      </c>
      <c r="B516" s="47" t="s">
        <v>4322</v>
      </c>
      <c r="C516" s="47" t="s">
        <v>4323</v>
      </c>
      <c r="D516" s="29" t="s">
        <v>4324</v>
      </c>
      <c r="E516" s="48" t="str">
        <f>IFERROR(__xludf.DUMMYFUNCTION("GOOGLETRANSLATE(D516,""zh-CN"",""vi"")"),"Tôi có một số ý kiến ​​khác.")</f>
        <v>Tôi có một số ý kiến ​​khác.</v>
      </c>
      <c r="F516" s="49" t="s">
        <v>4321</v>
      </c>
      <c r="G516" s="50" t="b">
        <f t="shared" si="1"/>
        <v>1</v>
      </c>
      <c r="H516" s="52" t="b">
        <v>1</v>
      </c>
      <c r="I516" s="52" t="b">
        <v>0</v>
      </c>
      <c r="J516" s="52" t="b">
        <v>0</v>
      </c>
      <c r="K516" s="52" t="b">
        <v>0</v>
      </c>
      <c r="L516" s="52" t="b">
        <v>0</v>
      </c>
      <c r="M516" s="52" t="b">
        <v>0</v>
      </c>
      <c r="N516" s="52" t="b">
        <v>0</v>
      </c>
      <c r="O516" s="52" t="b">
        <v>0</v>
      </c>
      <c r="P516" s="52" t="b">
        <v>0</v>
      </c>
      <c r="Q516" s="52" t="b">
        <v>0</v>
      </c>
      <c r="R516" s="44"/>
      <c r="S516" s="44"/>
      <c r="T516" s="44"/>
      <c r="U516" s="44"/>
      <c r="V516" s="44"/>
      <c r="W516" s="44"/>
      <c r="X516" s="45"/>
      <c r="Y516" s="45"/>
      <c r="Z516" s="45"/>
      <c r="AA516" s="45"/>
    </row>
    <row r="517" ht="33.75" customHeight="1">
      <c r="A517" s="46" t="s">
        <v>4325</v>
      </c>
      <c r="B517" s="47" t="s">
        <v>4326</v>
      </c>
      <c r="C517" s="47" t="s">
        <v>4327</v>
      </c>
      <c r="D517" s="29" t="s">
        <v>4328</v>
      </c>
      <c r="E517" s="48" t="str">
        <f>IFERROR(__xludf.DUMMYFUNCTION("GOOGLETRANSLATE(D517,""zh-CN"",""vi"")"),"Do đó, chúng ta cần thay đổi kế hoạch.")</f>
        <v>Do đó, chúng ta cần thay đổi kế hoạch.</v>
      </c>
      <c r="F517" s="49" t="s">
        <v>4325</v>
      </c>
      <c r="G517" s="50" t="b">
        <f t="shared" si="1"/>
        <v>1</v>
      </c>
      <c r="H517" s="52" t="b">
        <v>1</v>
      </c>
      <c r="I517" s="52" t="b">
        <v>0</v>
      </c>
      <c r="J517" s="52" t="b">
        <v>0</v>
      </c>
      <c r="K517" s="52" t="b">
        <v>0</v>
      </c>
      <c r="L517" s="52" t="b">
        <v>0</v>
      </c>
      <c r="M517" s="52" t="b">
        <v>0</v>
      </c>
      <c r="N517" s="52" t="b">
        <v>0</v>
      </c>
      <c r="O517" s="52" t="b">
        <v>0</v>
      </c>
      <c r="P517" s="52" t="b">
        <v>0</v>
      </c>
      <c r="Q517" s="52" t="b">
        <v>0</v>
      </c>
      <c r="R517" s="44"/>
      <c r="S517" s="44"/>
      <c r="T517" s="44"/>
      <c r="U517" s="44"/>
      <c r="V517" s="44"/>
      <c r="W517" s="44"/>
      <c r="X517" s="45"/>
      <c r="Y517" s="45"/>
      <c r="Z517" s="45"/>
      <c r="AA517" s="45"/>
    </row>
    <row r="518" ht="33.75" customHeight="1">
      <c r="A518" s="46" t="s">
        <v>4329</v>
      </c>
      <c r="B518" s="47" t="s">
        <v>4330</v>
      </c>
      <c r="C518" s="47" t="s">
        <v>4331</v>
      </c>
      <c r="D518" s="29" t="s">
        <v>4332</v>
      </c>
      <c r="E518" s="48" t="str">
        <f>IFERROR(__xludf.DUMMYFUNCTION("GOOGLETRANSLATE(D518,""zh-CN"",""vi"")"),"Bài phát biểu của ông đã thu hút sự chú ý của mọi người.")</f>
        <v>Bài phát biểu của ông đã thu hút sự chú ý của mọi người.</v>
      </c>
      <c r="F518" s="49" t="s">
        <v>4329</v>
      </c>
      <c r="G518" s="50" t="b">
        <f t="shared" si="1"/>
        <v>1</v>
      </c>
      <c r="H518" s="52" t="b">
        <v>1</v>
      </c>
      <c r="I518" s="52" t="b">
        <v>0</v>
      </c>
      <c r="J518" s="52" t="b">
        <v>0</v>
      </c>
      <c r="K518" s="52" t="b">
        <v>0</v>
      </c>
      <c r="L518" s="52" t="b">
        <v>0</v>
      </c>
      <c r="M518" s="52" t="b">
        <v>0</v>
      </c>
      <c r="N518" s="52" t="b">
        <v>0</v>
      </c>
      <c r="O518" s="52" t="b">
        <v>0</v>
      </c>
      <c r="P518" s="52" t="b">
        <v>0</v>
      </c>
      <c r="Q518" s="52" t="b">
        <v>0</v>
      </c>
      <c r="R518" s="44"/>
      <c r="S518" s="44"/>
      <c r="T518" s="44"/>
      <c r="U518" s="44"/>
      <c r="V518" s="44"/>
      <c r="W518" s="44"/>
      <c r="X518" s="45"/>
      <c r="Y518" s="45"/>
      <c r="Z518" s="45"/>
      <c r="AA518" s="45"/>
    </row>
    <row r="519" ht="33.75" customHeight="1">
      <c r="A519" s="46" t="s">
        <v>4333</v>
      </c>
      <c r="B519" s="47" t="s">
        <v>4334</v>
      </c>
      <c r="C519" s="47" t="s">
        <v>4335</v>
      </c>
      <c r="D519" s="29" t="s">
        <v>4336</v>
      </c>
      <c r="E519" s="48" t="str">
        <f>IFERROR(__xludf.DUMMYFUNCTION("GOOGLETRANSLATE(D519,""zh-CN"",""vi"")"),"Tôi có ấn tượng rất tốt về anh ấy.")</f>
        <v>Tôi có ấn tượng rất tốt về anh ấy.</v>
      </c>
      <c r="F519" s="49" t="s">
        <v>4333</v>
      </c>
      <c r="G519" s="50" t="b">
        <f t="shared" si="1"/>
        <v>1</v>
      </c>
      <c r="H519" s="52" t="b">
        <v>1</v>
      </c>
      <c r="I519" s="52" t="b">
        <v>0</v>
      </c>
      <c r="J519" s="52" t="b">
        <v>0</v>
      </c>
      <c r="K519" s="52" t="b">
        <v>0</v>
      </c>
      <c r="L519" s="52" t="b">
        <v>0</v>
      </c>
      <c r="M519" s="52" t="b">
        <v>0</v>
      </c>
      <c r="N519" s="52" t="b">
        <v>0</v>
      </c>
      <c r="O519" s="52" t="b">
        <v>0</v>
      </c>
      <c r="P519" s="52" t="b">
        <v>0</v>
      </c>
      <c r="Q519" s="52" t="b">
        <v>0</v>
      </c>
      <c r="R519" s="44"/>
      <c r="S519" s="44"/>
      <c r="T519" s="44"/>
      <c r="U519" s="44"/>
      <c r="V519" s="44"/>
      <c r="W519" s="44"/>
      <c r="X519" s="45"/>
      <c r="Y519" s="45"/>
      <c r="Z519" s="45"/>
      <c r="AA519" s="45"/>
    </row>
    <row r="520" ht="33.75" customHeight="1">
      <c r="A520" s="46" t="s">
        <v>4337</v>
      </c>
      <c r="B520" s="47" t="s">
        <v>4338</v>
      </c>
      <c r="C520" s="47" t="s">
        <v>4339</v>
      </c>
      <c r="D520" s="29" t="s">
        <v>4340</v>
      </c>
      <c r="E520" s="48" t="str">
        <f>IFERROR(__xludf.DUMMYFUNCTION("GOOGLETRANSLATE(D520,""zh-CN"",""vi"")"),"Chúng ta đã thắng trận đấu.")</f>
        <v>Chúng ta đã thắng trận đấu.</v>
      </c>
      <c r="F520" s="49" t="s">
        <v>4337</v>
      </c>
      <c r="G520" s="50" t="b">
        <f t="shared" si="1"/>
        <v>1</v>
      </c>
      <c r="H520" s="52" t="b">
        <v>1</v>
      </c>
      <c r="I520" s="52" t="b">
        <v>0</v>
      </c>
      <c r="J520" s="52" t="b">
        <v>0</v>
      </c>
      <c r="K520" s="52" t="b">
        <v>0</v>
      </c>
      <c r="L520" s="52" t="b">
        <v>0</v>
      </c>
      <c r="M520" s="52" t="b">
        <v>0</v>
      </c>
      <c r="N520" s="52" t="b">
        <v>0</v>
      </c>
      <c r="O520" s="52" t="b">
        <v>0</v>
      </c>
      <c r="P520" s="52" t="b">
        <v>0</v>
      </c>
      <c r="Q520" s="52" t="b">
        <v>0</v>
      </c>
      <c r="R520" s="44"/>
      <c r="S520" s="44"/>
      <c r="T520" s="44"/>
      <c r="U520" s="44"/>
      <c r="V520" s="44"/>
      <c r="W520" s="44"/>
      <c r="X520" s="45"/>
      <c r="Y520" s="45"/>
      <c r="Z520" s="45"/>
      <c r="AA520" s="45"/>
    </row>
    <row r="521" ht="33.75" customHeight="1">
      <c r="A521" s="46" t="s">
        <v>4341</v>
      </c>
      <c r="B521" s="47" t="s">
        <v>4342</v>
      </c>
      <c r="C521" s="47" t="s">
        <v>4343</v>
      </c>
      <c r="D521" s="29" t="s">
        <v>4344</v>
      </c>
      <c r="E521" s="48" t="str">
        <f>IFERROR(__xludf.DUMMYFUNCTION("GOOGLETRANSLATE(D521,""zh-CN"",""vi"")"),"Tôi đã nộp đơn xin việc tại công ty đó.")</f>
        <v>Tôi đã nộp đơn xin việc tại công ty đó.</v>
      </c>
      <c r="F521" s="49" t="s">
        <v>4341</v>
      </c>
      <c r="G521" s="50" t="b">
        <f t="shared" si="1"/>
        <v>1</v>
      </c>
      <c r="H521" s="52" t="b">
        <v>1</v>
      </c>
      <c r="I521" s="52" t="b">
        <v>0</v>
      </c>
      <c r="J521" s="52" t="b">
        <v>0</v>
      </c>
      <c r="K521" s="52" t="b">
        <v>0</v>
      </c>
      <c r="L521" s="52" t="b">
        <v>0</v>
      </c>
      <c r="M521" s="52" t="b">
        <v>0</v>
      </c>
      <c r="N521" s="52" t="b">
        <v>0</v>
      </c>
      <c r="O521" s="52" t="b">
        <v>0</v>
      </c>
      <c r="P521" s="52" t="b">
        <v>0</v>
      </c>
      <c r="Q521" s="52" t="b">
        <v>0</v>
      </c>
      <c r="R521" s="44"/>
      <c r="S521" s="44"/>
      <c r="T521" s="44"/>
      <c r="U521" s="44"/>
      <c r="V521" s="44"/>
      <c r="W521" s="44"/>
      <c r="X521" s="45"/>
      <c r="Y521" s="45"/>
      <c r="Z521" s="45"/>
      <c r="AA521" s="45"/>
    </row>
    <row r="522" ht="33.75" customHeight="1">
      <c r="A522" s="46" t="s">
        <v>4347</v>
      </c>
      <c r="B522" s="47" t="s">
        <v>4348</v>
      </c>
      <c r="C522" s="47" t="s">
        <v>4349</v>
      </c>
      <c r="D522" s="29" t="s">
        <v>4350</v>
      </c>
      <c r="E522" s="48" t="str">
        <f>IFERROR(__xludf.DUMMYFUNCTION("GOOGLETRANSLATE(D522,""zh-CN"",""vi"")"),"Tình bạn của chúng ta sẽ không bao giờ thay đổi.")</f>
        <v>Tình bạn của chúng ta sẽ không bao giờ thay đổi.</v>
      </c>
      <c r="F522" s="49" t="s">
        <v>4347</v>
      </c>
      <c r="G522" s="50" t="b">
        <f t="shared" si="1"/>
        <v>1</v>
      </c>
      <c r="H522" s="52" t="b">
        <v>1</v>
      </c>
      <c r="I522" s="52" t="b">
        <v>0</v>
      </c>
      <c r="J522" s="52" t="b">
        <v>0</v>
      </c>
      <c r="K522" s="52" t="b">
        <v>0</v>
      </c>
      <c r="L522" s="52" t="b">
        <v>0</v>
      </c>
      <c r="M522" s="52" t="b">
        <v>0</v>
      </c>
      <c r="N522" s="52" t="b">
        <v>0</v>
      </c>
      <c r="O522" s="52" t="b">
        <v>0</v>
      </c>
      <c r="P522" s="52" t="b">
        <v>0</v>
      </c>
      <c r="Q522" s="52" t="b">
        <v>0</v>
      </c>
      <c r="R522" s="44"/>
      <c r="S522" s="44"/>
      <c r="T522" s="44"/>
      <c r="U522" s="44"/>
      <c r="V522" s="44"/>
      <c r="W522" s="44"/>
      <c r="X522" s="45"/>
      <c r="Y522" s="45"/>
      <c r="Z522" s="45"/>
      <c r="AA522" s="45"/>
    </row>
    <row r="523" ht="33.75" customHeight="1">
      <c r="A523" s="46" t="s">
        <v>4351</v>
      </c>
      <c r="B523" s="47" t="s">
        <v>4352</v>
      </c>
      <c r="C523" s="47" t="s">
        <v>4353</v>
      </c>
      <c r="D523" s="29" t="s">
        <v>4354</v>
      </c>
      <c r="E523" s="48" t="str">
        <f>IFERROR(__xludf.DUMMYFUNCTION("GOOGLETRANSLATE(D523,""zh-CN"",""vi"")"),"Ông đã dũng cảm đối mặt với khó khăn.")</f>
        <v>Ông đã dũng cảm đối mặt với khó khăn.</v>
      </c>
      <c r="F523" s="49" t="s">
        <v>4351</v>
      </c>
      <c r="G523" s="50" t="b">
        <f t="shared" si="1"/>
        <v>1</v>
      </c>
      <c r="H523" s="52" t="b">
        <v>1</v>
      </c>
      <c r="I523" s="52" t="b">
        <v>0</v>
      </c>
      <c r="J523" s="52" t="b">
        <v>0</v>
      </c>
      <c r="K523" s="52" t="b">
        <v>0</v>
      </c>
      <c r="L523" s="52" t="b">
        <v>0</v>
      </c>
      <c r="M523" s="52" t="b">
        <v>0</v>
      </c>
      <c r="N523" s="52" t="b">
        <v>0</v>
      </c>
      <c r="O523" s="52" t="b">
        <v>0</v>
      </c>
      <c r="P523" s="52" t="b">
        <v>0</v>
      </c>
      <c r="Q523" s="52" t="b">
        <v>0</v>
      </c>
      <c r="R523" s="44"/>
      <c r="S523" s="44"/>
      <c r="T523" s="44"/>
      <c r="U523" s="44"/>
      <c r="V523" s="44"/>
      <c r="W523" s="44"/>
      <c r="X523" s="45"/>
      <c r="Y523" s="45"/>
      <c r="Z523" s="45"/>
      <c r="AA523" s="45"/>
    </row>
    <row r="524" ht="33.75" customHeight="1">
      <c r="A524" s="46" t="s">
        <v>4356</v>
      </c>
      <c r="B524" s="47" t="s">
        <v>4358</v>
      </c>
      <c r="C524" s="47" t="s">
        <v>4359</v>
      </c>
      <c r="D524" s="29" t="s">
        <v>4360</v>
      </c>
      <c r="E524" s="48" t="str">
        <f>IFERROR(__xludf.DUMMYFUNCTION("GOOGLETRANSLATE(D524,""zh-CN"",""vi"")"),"Điểm mạnh của anh ấy là sự tận tâm.")</f>
        <v>Điểm mạnh của anh ấy là sự tận tâm.</v>
      </c>
      <c r="F524" s="49" t="s">
        <v>4356</v>
      </c>
      <c r="G524" s="50" t="b">
        <f t="shared" si="1"/>
        <v>1</v>
      </c>
      <c r="H524" s="52" t="b">
        <v>1</v>
      </c>
      <c r="I524" s="52" t="b">
        <v>0</v>
      </c>
      <c r="J524" s="52" t="b">
        <v>0</v>
      </c>
      <c r="K524" s="52" t="b">
        <v>0</v>
      </c>
      <c r="L524" s="52" t="b">
        <v>0</v>
      </c>
      <c r="M524" s="52" t="b">
        <v>0</v>
      </c>
      <c r="N524" s="52" t="b">
        <v>0</v>
      </c>
      <c r="O524" s="52" t="b">
        <v>0</v>
      </c>
      <c r="P524" s="52" t="b">
        <v>0</v>
      </c>
      <c r="Q524" s="52" t="b">
        <v>0</v>
      </c>
      <c r="R524" s="44"/>
      <c r="S524" s="44"/>
      <c r="T524" s="44"/>
      <c r="U524" s="44"/>
      <c r="V524" s="44"/>
      <c r="W524" s="44"/>
      <c r="X524" s="45"/>
      <c r="Y524" s="45"/>
      <c r="Z524" s="45"/>
      <c r="AA524" s="45"/>
    </row>
    <row r="525" ht="33.75" customHeight="1">
      <c r="A525" s="46" t="s">
        <v>4363</v>
      </c>
      <c r="B525" s="47" t="s">
        <v>4364</v>
      </c>
      <c r="C525" s="47" t="s">
        <v>4365</v>
      </c>
      <c r="D525" s="29" t="s">
        <v>4366</v>
      </c>
      <c r="E525" s="48" t="str">
        <f>IFERROR(__xludf.DUMMYFUNCTION("GOOGLETRANSLATE(D525,""zh-CN"",""vi"")"),"Cô ấy là một học sinh xuất sắc.")</f>
        <v>Cô ấy là một học sinh xuất sắc.</v>
      </c>
      <c r="F525" s="49" t="s">
        <v>4363</v>
      </c>
      <c r="G525" s="50" t="b">
        <f t="shared" si="1"/>
        <v>1</v>
      </c>
      <c r="H525" s="52" t="b">
        <v>1</v>
      </c>
      <c r="I525" s="52" t="b">
        <v>0</v>
      </c>
      <c r="J525" s="52" t="b">
        <v>0</v>
      </c>
      <c r="K525" s="52" t="b">
        <v>0</v>
      </c>
      <c r="L525" s="52" t="b">
        <v>0</v>
      </c>
      <c r="M525" s="52" t="b">
        <v>0</v>
      </c>
      <c r="N525" s="52" t="b">
        <v>0</v>
      </c>
      <c r="O525" s="52" t="b">
        <v>0</v>
      </c>
      <c r="P525" s="52" t="b">
        <v>0</v>
      </c>
      <c r="Q525" s="52" t="b">
        <v>0</v>
      </c>
      <c r="R525" s="44"/>
      <c r="S525" s="44"/>
      <c r="T525" s="44"/>
      <c r="U525" s="44"/>
      <c r="V525" s="44"/>
      <c r="W525" s="44"/>
      <c r="X525" s="45"/>
      <c r="Y525" s="45"/>
      <c r="Z525" s="45"/>
      <c r="AA525" s="45"/>
    </row>
    <row r="526" ht="33.75" customHeight="1">
      <c r="A526" s="46" t="s">
        <v>4379</v>
      </c>
      <c r="B526" s="47" t="s">
        <v>4380</v>
      </c>
      <c r="C526" s="47" t="s">
        <v>4381</v>
      </c>
      <c r="D526" s="29" t="s">
        <v>4382</v>
      </c>
      <c r="E526" s="48" t="str">
        <f>IFERROR(__xludf.DUMMYFUNCTION("GOOGLETRANSLATE(D526,""zh-CN"",""vi"")"),"Anh ấy kể chuyện cười rất hài hước.")</f>
        <v>Anh ấy kể chuyện cười rất hài hước.</v>
      </c>
      <c r="F526" s="49" t="s">
        <v>4379</v>
      </c>
      <c r="G526" s="50" t="b">
        <f t="shared" si="1"/>
        <v>1</v>
      </c>
      <c r="H526" s="52" t="b">
        <v>1</v>
      </c>
      <c r="I526" s="52" t="b">
        <v>0</v>
      </c>
      <c r="J526" s="52" t="b">
        <v>0</v>
      </c>
      <c r="K526" s="52" t="b">
        <v>0</v>
      </c>
      <c r="L526" s="52" t="b">
        <v>0</v>
      </c>
      <c r="M526" s="52" t="b">
        <v>0</v>
      </c>
      <c r="N526" s="52" t="b">
        <v>0</v>
      </c>
      <c r="O526" s="52" t="b">
        <v>0</v>
      </c>
      <c r="P526" s="52" t="b">
        <v>0</v>
      </c>
      <c r="Q526" s="52" t="b">
        <v>0</v>
      </c>
      <c r="R526" s="44"/>
      <c r="S526" s="44"/>
      <c r="T526" s="44"/>
      <c r="U526" s="44"/>
      <c r="V526" s="44"/>
      <c r="W526" s="44"/>
      <c r="X526" s="45"/>
      <c r="Y526" s="45"/>
      <c r="Z526" s="45"/>
      <c r="AA526" s="45"/>
    </row>
    <row r="527" ht="33.75" customHeight="1">
      <c r="A527" s="46" t="s">
        <v>4387</v>
      </c>
      <c r="B527" s="47" t="s">
        <v>4388</v>
      </c>
      <c r="C527" s="47" t="s">
        <v>4389</v>
      </c>
      <c r="D527" s="29" t="s">
        <v>4390</v>
      </c>
      <c r="E527" s="48" t="str">
        <f>IFERROR(__xludf.DUMMYFUNCTION("GOOGLETRANSLATE(D527,""zh-CN"",""vi"")"),"Tôi đặc biệt thích ăn trái cây.")</f>
        <v>Tôi đặc biệt thích ăn trái cây.</v>
      </c>
      <c r="F527" s="49" t="s">
        <v>4387</v>
      </c>
      <c r="G527" s="50" t="b">
        <f t="shared" si="1"/>
        <v>1</v>
      </c>
      <c r="H527" s="52" t="b">
        <v>1</v>
      </c>
      <c r="I527" s="52" t="b">
        <v>0</v>
      </c>
      <c r="J527" s="52" t="b">
        <v>0</v>
      </c>
      <c r="K527" s="52" t="b">
        <v>0</v>
      </c>
      <c r="L527" s="52" t="b">
        <v>0</v>
      </c>
      <c r="M527" s="52" t="b">
        <v>0</v>
      </c>
      <c r="N527" s="52" t="b">
        <v>0</v>
      </c>
      <c r="O527" s="52" t="b">
        <v>0</v>
      </c>
      <c r="P527" s="52" t="b">
        <v>0</v>
      </c>
      <c r="Q527" s="52" t="b">
        <v>0</v>
      </c>
      <c r="R527" s="44"/>
      <c r="S527" s="44"/>
      <c r="T527" s="44"/>
      <c r="U527" s="44"/>
      <c r="V527" s="44"/>
      <c r="W527" s="44"/>
      <c r="X527" s="45"/>
      <c r="Y527" s="45"/>
      <c r="Z527" s="45"/>
      <c r="AA527" s="45"/>
    </row>
    <row r="528" ht="33.75" customHeight="1">
      <c r="A528" s="46" t="s">
        <v>4393</v>
      </c>
      <c r="B528" s="47" t="s">
        <v>4394</v>
      </c>
      <c r="C528" s="47" t="s">
        <v>4395</v>
      </c>
      <c r="D528" s="29" t="s">
        <v>4396</v>
      </c>
      <c r="E528" s="48" t="str">
        <f>IFERROR(__xludf.DUMMYFUNCTION("GOOGLETRANSLATE(D528,""zh-CN"",""vi"")"),"Ông ấy được giao phụ trách công việc này.")</f>
        <v>Ông ấy được giao phụ trách công việc này.</v>
      </c>
      <c r="F528" s="49" t="s">
        <v>4393</v>
      </c>
      <c r="G528" s="50" t="b">
        <f t="shared" si="1"/>
        <v>1</v>
      </c>
      <c r="H528" s="52" t="b">
        <v>1</v>
      </c>
      <c r="I528" s="52" t="b">
        <v>0</v>
      </c>
      <c r="J528" s="52" t="b">
        <v>0</v>
      </c>
      <c r="K528" s="52" t="b">
        <v>0</v>
      </c>
      <c r="L528" s="52" t="b">
        <v>0</v>
      </c>
      <c r="M528" s="52" t="b">
        <v>0</v>
      </c>
      <c r="N528" s="52" t="b">
        <v>0</v>
      </c>
      <c r="O528" s="52" t="b">
        <v>0</v>
      </c>
      <c r="P528" s="52" t="b">
        <v>0</v>
      </c>
      <c r="Q528" s="52" t="b">
        <v>0</v>
      </c>
      <c r="R528" s="44"/>
      <c r="S528" s="44"/>
      <c r="T528" s="44"/>
      <c r="U528" s="44"/>
      <c r="V528" s="44"/>
      <c r="W528" s="44"/>
      <c r="X528" s="45"/>
      <c r="Y528" s="45"/>
      <c r="Z528" s="45"/>
      <c r="AA528" s="45"/>
    </row>
    <row r="529" ht="33.75" customHeight="1">
      <c r="A529" s="46" t="s">
        <v>4398</v>
      </c>
      <c r="B529" s="47" t="s">
        <v>4399</v>
      </c>
      <c r="C529" s="47" t="s">
        <v>4395</v>
      </c>
      <c r="D529" s="29" t="s">
        <v>4400</v>
      </c>
      <c r="E529" s="48" t="str">
        <f>IFERROR(__xludf.DUMMYFUNCTION("GOOGLETRANSLATE(D529,""zh-CN"",""vi"")"),"Chúng tôi đã hủy bỏ kế hoạch vì trời mưa.")</f>
        <v>Chúng tôi đã hủy bỏ kế hoạch vì trời mưa.</v>
      </c>
      <c r="F529" s="49" t="s">
        <v>4398</v>
      </c>
      <c r="G529" s="50" t="b">
        <f t="shared" si="1"/>
        <v>1</v>
      </c>
      <c r="H529" s="52" t="b">
        <v>1</v>
      </c>
      <c r="I529" s="52" t="b">
        <v>0</v>
      </c>
      <c r="J529" s="52" t="b">
        <v>0</v>
      </c>
      <c r="K529" s="52" t="b">
        <v>0</v>
      </c>
      <c r="L529" s="52" t="b">
        <v>0</v>
      </c>
      <c r="M529" s="52" t="b">
        <v>0</v>
      </c>
      <c r="N529" s="52" t="b">
        <v>0</v>
      </c>
      <c r="O529" s="52" t="b">
        <v>0</v>
      </c>
      <c r="P529" s="52" t="b">
        <v>0</v>
      </c>
      <c r="Q529" s="52" t="b">
        <v>0</v>
      </c>
      <c r="R529" s="44"/>
      <c r="S529" s="44"/>
      <c r="T529" s="44"/>
      <c r="U529" s="44"/>
      <c r="V529" s="44"/>
      <c r="W529" s="44"/>
      <c r="X529" s="45"/>
      <c r="Y529" s="45"/>
      <c r="Z529" s="45"/>
      <c r="AA529" s="45"/>
    </row>
    <row r="530" ht="33.75" customHeight="1">
      <c r="A530" s="46" t="s">
        <v>4405</v>
      </c>
      <c r="B530" s="47" t="s">
        <v>4406</v>
      </c>
      <c r="C530" s="47" t="s">
        <v>4407</v>
      </c>
      <c r="D530" s="29" t="s">
        <v>4408</v>
      </c>
      <c r="E530" s="48" t="str">
        <f>IFERROR(__xludf.DUMMYFUNCTION("GOOGLETRANSLATE(D530,""zh-CN"",""vi"")"),"Tôi đến bưu điện để gửi thư.")</f>
        <v>Tôi đến bưu điện để gửi thư.</v>
      </c>
      <c r="F530" s="49" t="s">
        <v>4405</v>
      </c>
      <c r="G530" s="50" t="b">
        <f t="shared" si="1"/>
        <v>1</v>
      </c>
      <c r="H530" s="52" t="b">
        <v>1</v>
      </c>
      <c r="I530" s="52" t="b">
        <v>0</v>
      </c>
      <c r="J530" s="52" t="b">
        <v>0</v>
      </c>
      <c r="K530" s="52" t="b">
        <v>0</v>
      </c>
      <c r="L530" s="52" t="b">
        <v>0</v>
      </c>
      <c r="M530" s="52" t="b">
        <v>0</v>
      </c>
      <c r="N530" s="52" t="b">
        <v>0</v>
      </c>
      <c r="O530" s="52" t="b">
        <v>0</v>
      </c>
      <c r="P530" s="52" t="b">
        <v>0</v>
      </c>
      <c r="Q530" s="52" t="b">
        <v>0</v>
      </c>
      <c r="R530" s="44"/>
      <c r="S530" s="44"/>
      <c r="T530" s="44"/>
      <c r="U530" s="44"/>
      <c r="V530" s="44"/>
      <c r="W530" s="44"/>
      <c r="X530" s="45"/>
      <c r="Y530" s="45"/>
      <c r="Z530" s="45"/>
      <c r="AA530" s="45"/>
    </row>
    <row r="531" ht="33.75" customHeight="1">
      <c r="A531" s="46" t="s">
        <v>4410</v>
      </c>
      <c r="B531" s="47" t="s">
        <v>4412</v>
      </c>
      <c r="C531" s="47" t="s">
        <v>4413</v>
      </c>
      <c r="D531" s="29" t="s">
        <v>4415</v>
      </c>
      <c r="E531" s="48" t="str">
        <f>IFERROR(__xludf.DUMMYFUNCTION("GOOGLETRANSLATE(D531,""zh-CN"",""vi"")"),"Họ rất thân thiện với chúng tôi.")</f>
        <v>Họ rất thân thiện với chúng tôi.</v>
      </c>
      <c r="F531" s="49" t="s">
        <v>4410</v>
      </c>
      <c r="G531" s="50" t="b">
        <f t="shared" si="1"/>
        <v>1</v>
      </c>
      <c r="H531" s="52" t="b">
        <v>1</v>
      </c>
      <c r="I531" s="52" t="b">
        <v>0</v>
      </c>
      <c r="J531" s="52" t="b">
        <v>0</v>
      </c>
      <c r="K531" s="52" t="b">
        <v>0</v>
      </c>
      <c r="L531" s="52" t="b">
        <v>0</v>
      </c>
      <c r="M531" s="52" t="b">
        <v>0</v>
      </c>
      <c r="N531" s="52" t="b">
        <v>0</v>
      </c>
      <c r="O531" s="52" t="b">
        <v>0</v>
      </c>
      <c r="P531" s="52" t="b">
        <v>0</v>
      </c>
      <c r="Q531" s="52" t="b">
        <v>0</v>
      </c>
      <c r="R531" s="44"/>
      <c r="S531" s="44"/>
      <c r="T531" s="44"/>
      <c r="U531" s="44"/>
      <c r="V531" s="44"/>
      <c r="W531" s="44"/>
      <c r="X531" s="45"/>
      <c r="Y531" s="45"/>
      <c r="Z531" s="45"/>
      <c r="AA531" s="45"/>
    </row>
    <row r="532" ht="33.75" customHeight="1">
      <c r="A532" s="46" t="s">
        <v>4417</v>
      </c>
      <c r="B532" s="47" t="s">
        <v>4418</v>
      </c>
      <c r="C532" s="47" t="s">
        <v>4419</v>
      </c>
      <c r="D532" s="29" t="s">
        <v>4420</v>
      </c>
      <c r="E532" s="48" t="str">
        <f>IFERROR(__xludf.DUMMYFUNCTION("GOOGLETRANSLATE(D532,""zh-CN"",""vi"")"),"Tình bạn rất quý giá.")</f>
        <v>Tình bạn rất quý giá.</v>
      </c>
      <c r="F532" s="49" t="s">
        <v>4417</v>
      </c>
      <c r="G532" s="50" t="b">
        <f t="shared" si="1"/>
        <v>1</v>
      </c>
      <c r="H532" s="52" t="b">
        <v>1</v>
      </c>
      <c r="I532" s="52" t="b">
        <v>0</v>
      </c>
      <c r="J532" s="52" t="b">
        <v>0</v>
      </c>
      <c r="K532" s="52" t="b">
        <v>0</v>
      </c>
      <c r="L532" s="52" t="b">
        <v>0</v>
      </c>
      <c r="M532" s="52" t="b">
        <v>0</v>
      </c>
      <c r="N532" s="52" t="b">
        <v>0</v>
      </c>
      <c r="O532" s="52" t="b">
        <v>0</v>
      </c>
      <c r="P532" s="52" t="b">
        <v>0</v>
      </c>
      <c r="Q532" s="52" t="b">
        <v>0</v>
      </c>
      <c r="R532" s="44"/>
      <c r="S532" s="44"/>
      <c r="T532" s="44"/>
      <c r="U532" s="44"/>
      <c r="V532" s="44"/>
      <c r="W532" s="44"/>
      <c r="X532" s="45"/>
      <c r="Y532" s="45"/>
      <c r="Z532" s="45"/>
      <c r="AA532" s="45"/>
    </row>
    <row r="533" ht="33.75" customHeight="1">
      <c r="A533" s="46" t="s">
        <v>4424</v>
      </c>
      <c r="B533" s="47" t="s">
        <v>4425</v>
      </c>
      <c r="C533" s="47" t="s">
        <v>3171</v>
      </c>
      <c r="D533" s="29" t="s">
        <v>1286</v>
      </c>
      <c r="E533" s="48" t="str">
        <f>IFERROR(__xludf.DUMMYFUNCTION("GOOGLETRANSLATE(D533,""zh-CN"",""vi"")"),"Câu chuyện này rất thú vị.")</f>
        <v>Câu chuyện này rất thú vị.</v>
      </c>
      <c r="F533" s="49" t="s">
        <v>4424</v>
      </c>
      <c r="G533" s="50" t="b">
        <f t="shared" si="1"/>
        <v>1</v>
      </c>
      <c r="H533" s="52" t="b">
        <v>1</v>
      </c>
      <c r="I533" s="52" t="b">
        <v>0</v>
      </c>
      <c r="J533" s="52" t="b">
        <v>0</v>
      </c>
      <c r="K533" s="52" t="b">
        <v>0</v>
      </c>
      <c r="L533" s="52" t="b">
        <v>0</v>
      </c>
      <c r="M533" s="52" t="b">
        <v>0</v>
      </c>
      <c r="N533" s="52" t="b">
        <v>0</v>
      </c>
      <c r="O533" s="52" t="b">
        <v>0</v>
      </c>
      <c r="P533" s="52" t="b">
        <v>0</v>
      </c>
      <c r="Q533" s="52" t="b">
        <v>0</v>
      </c>
      <c r="R533" s="44"/>
      <c r="S533" s="44"/>
      <c r="T533" s="44"/>
      <c r="U533" s="44"/>
      <c r="V533" s="44"/>
      <c r="W533" s="44"/>
      <c r="X533" s="45"/>
      <c r="Y533" s="45"/>
      <c r="Z533" s="45"/>
      <c r="AA533" s="45"/>
    </row>
    <row r="534" ht="33.75" customHeight="1">
      <c r="A534" s="46" t="s">
        <v>4429</v>
      </c>
      <c r="B534" s="47" t="s">
        <v>4430</v>
      </c>
      <c r="C534" s="47" t="s">
        <v>4431</v>
      </c>
      <c r="D534" s="29" t="s">
        <v>4432</v>
      </c>
      <c r="E534" s="48" t="str">
        <f>IFERROR(__xludf.DUMMYFUNCTION("GOOGLETRANSLATE(D534,""zh-CN"",""vi"")"),"Trời tối rồi, nên chúng tôi về nhà.")</f>
        <v>Trời tối rồi, nên chúng tôi về nhà.</v>
      </c>
      <c r="F534" s="49" t="s">
        <v>4429</v>
      </c>
      <c r="G534" s="50" t="b">
        <f t="shared" si="1"/>
        <v>1</v>
      </c>
      <c r="H534" s="52" t="b">
        <v>1</v>
      </c>
      <c r="I534" s="52" t="b">
        <v>0</v>
      </c>
      <c r="J534" s="52" t="b">
        <v>0</v>
      </c>
      <c r="K534" s="52" t="b">
        <v>0</v>
      </c>
      <c r="L534" s="52" t="b">
        <v>0</v>
      </c>
      <c r="M534" s="52" t="b">
        <v>0</v>
      </c>
      <c r="N534" s="52" t="b">
        <v>0</v>
      </c>
      <c r="O534" s="52" t="b">
        <v>0</v>
      </c>
      <c r="P534" s="52" t="b">
        <v>0</v>
      </c>
      <c r="Q534" s="52" t="b">
        <v>0</v>
      </c>
      <c r="R534" s="44"/>
      <c r="S534" s="44"/>
      <c r="T534" s="44"/>
      <c r="U534" s="44"/>
      <c r="V534" s="44"/>
      <c r="W534" s="44"/>
      <c r="X534" s="45"/>
      <c r="Y534" s="45"/>
      <c r="Z534" s="45"/>
      <c r="AA534" s="45"/>
    </row>
    <row r="535" ht="33.75" customHeight="1">
      <c r="A535" s="46" t="s">
        <v>4433</v>
      </c>
      <c r="B535" s="47" t="s">
        <v>4434</v>
      </c>
      <c r="C535" s="47" t="s">
        <v>1350</v>
      </c>
      <c r="D535" s="29" t="s">
        <v>4435</v>
      </c>
      <c r="E535" s="48" t="str">
        <f>IFERROR(__xludf.DUMMYFUNCTION("GOOGLETRANSLATE(D535,""zh-CN"",""vi"")"),"Tôi chúc bạn có một kỳ nghỉ tuyệt vời.")</f>
        <v>Tôi chúc bạn có một kỳ nghỉ tuyệt vời.</v>
      </c>
      <c r="F535" s="49" t="s">
        <v>4433</v>
      </c>
      <c r="G535" s="50" t="b">
        <f t="shared" si="1"/>
        <v>1</v>
      </c>
      <c r="H535" s="52" t="b">
        <v>1</v>
      </c>
      <c r="I535" s="52" t="b">
        <v>0</v>
      </c>
      <c r="J535" s="52" t="b">
        <v>0</v>
      </c>
      <c r="K535" s="52" t="b">
        <v>0</v>
      </c>
      <c r="L535" s="52" t="b">
        <v>0</v>
      </c>
      <c r="M535" s="52" t="b">
        <v>0</v>
      </c>
      <c r="N535" s="52" t="b">
        <v>0</v>
      </c>
      <c r="O535" s="52" t="b">
        <v>0</v>
      </c>
      <c r="P535" s="52" t="b">
        <v>0</v>
      </c>
      <c r="Q535" s="52" t="b">
        <v>0</v>
      </c>
      <c r="R535" s="44"/>
      <c r="S535" s="44"/>
      <c r="T535" s="44"/>
      <c r="U535" s="44"/>
      <c r="V535" s="44"/>
      <c r="W535" s="44"/>
      <c r="X535" s="45"/>
      <c r="Y535" s="45"/>
      <c r="Z535" s="45"/>
      <c r="AA535" s="45"/>
    </row>
    <row r="536" ht="33.75" customHeight="1">
      <c r="A536" s="46" t="s">
        <v>4440</v>
      </c>
      <c r="B536" s="47" t="s">
        <v>4441</v>
      </c>
      <c r="C536" s="47" t="s">
        <v>411</v>
      </c>
      <c r="D536" s="29" t="s">
        <v>4442</v>
      </c>
      <c r="E536" s="48" t="str">
        <f>IFERROR(__xludf.DUMMYFUNCTION("GOOGLETRANSLATE(D536,""zh-CN"",""vi"")"),"Anh ấy đã đi du lịch cùng tôi.")</f>
        <v>Anh ấy đã đi du lịch cùng tôi.</v>
      </c>
      <c r="F536" s="49" t="s">
        <v>4440</v>
      </c>
      <c r="G536" s="50" t="b">
        <f t="shared" si="1"/>
        <v>1</v>
      </c>
      <c r="H536" s="52" t="b">
        <v>1</v>
      </c>
      <c r="I536" s="52" t="b">
        <v>0</v>
      </c>
      <c r="J536" s="52" t="b">
        <v>0</v>
      </c>
      <c r="K536" s="52" t="b">
        <v>0</v>
      </c>
      <c r="L536" s="52" t="b">
        <v>0</v>
      </c>
      <c r="M536" s="52" t="b">
        <v>0</v>
      </c>
      <c r="N536" s="52" t="b">
        <v>0</v>
      </c>
      <c r="O536" s="52" t="b">
        <v>0</v>
      </c>
      <c r="P536" s="52" t="b">
        <v>0</v>
      </c>
      <c r="Q536" s="52" t="b">
        <v>0</v>
      </c>
      <c r="R536" s="44"/>
      <c r="S536" s="44"/>
      <c r="T536" s="44"/>
      <c r="U536" s="44"/>
      <c r="V536" s="44"/>
      <c r="W536" s="44"/>
      <c r="X536" s="45"/>
      <c r="Y536" s="45"/>
      <c r="Z536" s="45"/>
      <c r="AA536" s="45"/>
    </row>
    <row r="537" ht="33.75" customHeight="1">
      <c r="A537" s="46" t="s">
        <v>4447</v>
      </c>
      <c r="B537" s="47" t="s">
        <v>4448</v>
      </c>
      <c r="C537" s="47" t="s">
        <v>4449</v>
      </c>
      <c r="D537" s="29" t="s">
        <v>4450</v>
      </c>
      <c r="E537" s="48" t="str">
        <f>IFERROR(__xludf.DUMMYFUNCTION("GOOGLETRANSLATE(D537,""zh-CN"",""vi"")"),"Tôi thích chơi cầu lông.")</f>
        <v>Tôi thích chơi cầu lông.</v>
      </c>
      <c r="F537" s="49" t="s">
        <v>4447</v>
      </c>
      <c r="G537" s="50" t="b">
        <f t="shared" si="1"/>
        <v>1</v>
      </c>
      <c r="H537" s="52" t="b">
        <v>1</v>
      </c>
      <c r="I537" s="52" t="b">
        <v>0</v>
      </c>
      <c r="J537" s="52" t="b">
        <v>0</v>
      </c>
      <c r="K537" s="52" t="b">
        <v>0</v>
      </c>
      <c r="L537" s="52" t="b">
        <v>0</v>
      </c>
      <c r="M537" s="52" t="b">
        <v>0</v>
      </c>
      <c r="N537" s="52" t="b">
        <v>0</v>
      </c>
      <c r="O537" s="52" t="b">
        <v>0</v>
      </c>
      <c r="P537" s="52" t="b">
        <v>0</v>
      </c>
      <c r="Q537" s="52" t="b">
        <v>0</v>
      </c>
      <c r="R537" s="44"/>
      <c r="S537" s="44"/>
      <c r="T537" s="44"/>
      <c r="U537" s="44"/>
      <c r="V537" s="44"/>
      <c r="W537" s="44"/>
      <c r="X537" s="45"/>
      <c r="Y537" s="45"/>
      <c r="Z537" s="45"/>
      <c r="AA537" s="45"/>
    </row>
    <row r="538" ht="33.75" customHeight="1">
      <c r="A538" s="46" t="s">
        <v>4455</v>
      </c>
      <c r="B538" s="47" t="s">
        <v>4456</v>
      </c>
      <c r="C538" s="47" t="s">
        <v>4457</v>
      </c>
      <c r="D538" s="29" t="s">
        <v>4458</v>
      </c>
      <c r="E538" s="48" t="str">
        <f>IFERROR(__xludf.DUMMYFUNCTION("GOOGLETRANSLATE(D538,""zh-CN"",""vi"")"),"Ngữ pháp của anh ấy rất tốt.")</f>
        <v>Ngữ pháp của anh ấy rất tốt.</v>
      </c>
      <c r="F538" s="49" t="s">
        <v>4455</v>
      </c>
      <c r="G538" s="50" t="b">
        <f t="shared" si="1"/>
        <v>1</v>
      </c>
      <c r="H538" s="52" t="b">
        <v>1</v>
      </c>
      <c r="I538" s="52" t="b">
        <v>0</v>
      </c>
      <c r="J538" s="52" t="b">
        <v>0</v>
      </c>
      <c r="K538" s="52" t="b">
        <v>0</v>
      </c>
      <c r="L538" s="52" t="b">
        <v>0</v>
      </c>
      <c r="M538" s="52" t="b">
        <v>0</v>
      </c>
      <c r="N538" s="52" t="b">
        <v>0</v>
      </c>
      <c r="O538" s="52" t="b">
        <v>0</v>
      </c>
      <c r="P538" s="52" t="b">
        <v>0</v>
      </c>
      <c r="Q538" s="52" t="b">
        <v>0</v>
      </c>
      <c r="R538" s="44"/>
      <c r="S538" s="44"/>
      <c r="T538" s="44"/>
      <c r="U538" s="44"/>
      <c r="V538" s="44"/>
      <c r="W538" s="44"/>
      <c r="X538" s="45"/>
      <c r="Y538" s="45"/>
      <c r="Z538" s="45"/>
      <c r="AA538" s="45"/>
    </row>
    <row r="539" ht="33.75" customHeight="1">
      <c r="A539" s="46" t="s">
        <v>4459</v>
      </c>
      <c r="B539" s="47" t="s">
        <v>4460</v>
      </c>
      <c r="C539" s="47" t="s">
        <v>4461</v>
      </c>
      <c r="D539" s="29" t="s">
        <v>4462</v>
      </c>
      <c r="E539" s="48" t="str">
        <f>IFERROR(__xludf.DUMMYFUNCTION("GOOGLETRANSLATE(D539,""zh-CN"",""vi"")"),"Anh ấy nói được nhiều thứ tiếng.")</f>
        <v>Anh ấy nói được nhiều thứ tiếng.</v>
      </c>
      <c r="F539" s="49" t="s">
        <v>4459</v>
      </c>
      <c r="G539" s="50" t="b">
        <f t="shared" si="1"/>
        <v>1</v>
      </c>
      <c r="H539" s="52" t="b">
        <v>1</v>
      </c>
      <c r="I539" s="52" t="b">
        <v>0</v>
      </c>
      <c r="J539" s="52" t="b">
        <v>0</v>
      </c>
      <c r="K539" s="52" t="b">
        <v>0</v>
      </c>
      <c r="L539" s="52" t="b">
        <v>0</v>
      </c>
      <c r="M539" s="52" t="b">
        <v>0</v>
      </c>
      <c r="N539" s="52" t="b">
        <v>0</v>
      </c>
      <c r="O539" s="52" t="b">
        <v>0</v>
      </c>
      <c r="P539" s="52" t="b">
        <v>0</v>
      </c>
      <c r="Q539" s="52" t="b">
        <v>0</v>
      </c>
      <c r="R539" s="44"/>
      <c r="S539" s="44"/>
      <c r="T539" s="44"/>
      <c r="U539" s="44"/>
      <c r="V539" s="44"/>
      <c r="W539" s="44"/>
      <c r="X539" s="45"/>
      <c r="Y539" s="45"/>
      <c r="Z539" s="45"/>
      <c r="AA539" s="45"/>
    </row>
    <row r="540" ht="33.75" customHeight="1">
      <c r="A540" s="46" t="s">
        <v>4467</v>
      </c>
      <c r="B540" s="47" t="s">
        <v>4468</v>
      </c>
      <c r="C540" s="47" t="s">
        <v>4469</v>
      </c>
      <c r="D540" s="29" t="s">
        <v>4470</v>
      </c>
      <c r="E540" s="48" t="str">
        <f>IFERROR(__xludf.DUMMYFUNCTION("GOOGLETRANSLATE(D540,""zh-CN"",""vi"")"),"Vui lòng xem trước bài học ngày mai.")</f>
        <v>Vui lòng xem trước bài học ngày mai.</v>
      </c>
      <c r="F540" s="49" t="s">
        <v>4467</v>
      </c>
      <c r="G540" s="50" t="b">
        <f t="shared" si="1"/>
        <v>1</v>
      </c>
      <c r="H540" s="52" t="b">
        <v>1</v>
      </c>
      <c r="I540" s="52" t="b">
        <v>0</v>
      </c>
      <c r="J540" s="52" t="b">
        <v>0</v>
      </c>
      <c r="K540" s="52" t="b">
        <v>0</v>
      </c>
      <c r="L540" s="52" t="b">
        <v>0</v>
      </c>
      <c r="M540" s="52" t="b">
        <v>0</v>
      </c>
      <c r="N540" s="52" t="b">
        <v>0</v>
      </c>
      <c r="O540" s="52" t="b">
        <v>0</v>
      </c>
      <c r="P540" s="52" t="b">
        <v>0</v>
      </c>
      <c r="Q540" s="52" t="b">
        <v>0</v>
      </c>
      <c r="R540" s="44"/>
      <c r="S540" s="44"/>
      <c r="T540" s="44"/>
      <c r="U540" s="44"/>
      <c r="V540" s="44"/>
      <c r="W540" s="44"/>
      <c r="X540" s="45"/>
      <c r="Y540" s="45"/>
      <c r="Z540" s="45"/>
      <c r="AA540" s="45"/>
    </row>
    <row r="541" ht="33.75" customHeight="1">
      <c r="A541" s="46" t="s">
        <v>4471</v>
      </c>
      <c r="B541" s="47" t="s">
        <v>4472</v>
      </c>
      <c r="C541" s="47" t="s">
        <v>4473</v>
      </c>
      <c r="D541" s="29" t="s">
        <v>4474</v>
      </c>
      <c r="E541" s="48" t="str">
        <f>IFERROR(__xludf.DUMMYFUNCTION("GOOGLETRANSLATE(D541,""zh-CN"",""vi"")"),"Tôi từng sống ở Bắc Kinh.")</f>
        <v>Tôi từng sống ở Bắc Kinh.</v>
      </c>
      <c r="F541" s="49" t="s">
        <v>4471</v>
      </c>
      <c r="G541" s="50" t="b">
        <f t="shared" si="1"/>
        <v>1</v>
      </c>
      <c r="H541" s="52" t="b">
        <v>1</v>
      </c>
      <c r="I541" s="52" t="b">
        <v>0</v>
      </c>
      <c r="J541" s="52" t="b">
        <v>0</v>
      </c>
      <c r="K541" s="52" t="b">
        <v>0</v>
      </c>
      <c r="L541" s="52" t="b">
        <v>0</v>
      </c>
      <c r="M541" s="52" t="b">
        <v>0</v>
      </c>
      <c r="N541" s="52" t="b">
        <v>0</v>
      </c>
      <c r="O541" s="52" t="b">
        <v>0</v>
      </c>
      <c r="P541" s="52" t="b">
        <v>0</v>
      </c>
      <c r="Q541" s="52" t="b">
        <v>0</v>
      </c>
      <c r="R541" s="44"/>
      <c r="S541" s="44"/>
      <c r="T541" s="44"/>
      <c r="U541" s="44"/>
      <c r="V541" s="44"/>
      <c r="W541" s="44"/>
      <c r="X541" s="45"/>
      <c r="Y541" s="45"/>
      <c r="Z541" s="45"/>
      <c r="AA541" s="45"/>
    </row>
    <row r="542" ht="33.75" customHeight="1">
      <c r="A542" s="46" t="s">
        <v>4478</v>
      </c>
      <c r="B542" s="47" t="s">
        <v>4479</v>
      </c>
      <c r="C542" s="47" t="s">
        <v>4480</v>
      </c>
      <c r="D542" s="29" t="s">
        <v>4481</v>
      </c>
      <c r="E542" s="48" t="str">
        <f>IFERROR(__xludf.DUMMYFUNCTION("GOOGLETRANSLATE(D542,""zh-CN"",""vi"")"),"Xin hãy tha thứ cho lỗi lầm của tôi.")</f>
        <v>Xin hãy tha thứ cho lỗi lầm của tôi.</v>
      </c>
      <c r="F542" s="49" t="s">
        <v>4478</v>
      </c>
      <c r="G542" s="50" t="b">
        <f t="shared" si="1"/>
        <v>1</v>
      </c>
      <c r="H542" s="52" t="b">
        <v>1</v>
      </c>
      <c r="I542" s="52" t="b">
        <v>0</v>
      </c>
      <c r="J542" s="52" t="b">
        <v>0</v>
      </c>
      <c r="K542" s="52" t="b">
        <v>0</v>
      </c>
      <c r="L542" s="52" t="b">
        <v>0</v>
      </c>
      <c r="M542" s="52" t="b">
        <v>0</v>
      </c>
      <c r="N542" s="52" t="b">
        <v>0</v>
      </c>
      <c r="O542" s="52" t="b">
        <v>0</v>
      </c>
      <c r="P542" s="52" t="b">
        <v>0</v>
      </c>
      <c r="Q542" s="52" t="b">
        <v>0</v>
      </c>
      <c r="R542" s="44"/>
      <c r="S542" s="44"/>
      <c r="T542" s="44"/>
      <c r="U542" s="44"/>
      <c r="V542" s="44"/>
      <c r="W542" s="44"/>
      <c r="X542" s="45"/>
      <c r="Y542" s="45"/>
      <c r="Z542" s="45"/>
      <c r="AA542" s="45"/>
    </row>
    <row r="543" ht="33.75" customHeight="1">
      <c r="A543" s="46" t="s">
        <v>4482</v>
      </c>
      <c r="B543" s="47" t="s">
        <v>4483</v>
      </c>
      <c r="C543" s="47" t="s">
        <v>4484</v>
      </c>
      <c r="D543" s="29" t="s">
        <v>4485</v>
      </c>
      <c r="E543" s="48" t="str">
        <f>IFERROR(__xludf.DUMMYFUNCTION("GOOGLETRANSLATE(D543,""zh-CN"",""vi"")"),"Ông ấy đã giải thích lý do của vấn đề.")</f>
        <v>Ông ấy đã giải thích lý do của vấn đề.</v>
      </c>
      <c r="F543" s="49" t="s">
        <v>4482</v>
      </c>
      <c r="G543" s="50" t="b">
        <f t="shared" si="1"/>
        <v>1</v>
      </c>
      <c r="H543" s="52" t="b">
        <v>1</v>
      </c>
      <c r="I543" s="52" t="b">
        <v>0</v>
      </c>
      <c r="J543" s="52" t="b">
        <v>0</v>
      </c>
      <c r="K543" s="52" t="b">
        <v>0</v>
      </c>
      <c r="L543" s="52" t="b">
        <v>0</v>
      </c>
      <c r="M543" s="52" t="b">
        <v>0</v>
      </c>
      <c r="N543" s="52" t="b">
        <v>0</v>
      </c>
      <c r="O543" s="52" t="b">
        <v>0</v>
      </c>
      <c r="P543" s="52" t="b">
        <v>0</v>
      </c>
      <c r="Q543" s="52" t="b">
        <v>0</v>
      </c>
      <c r="R543" s="44"/>
      <c r="S543" s="44"/>
      <c r="T543" s="44"/>
      <c r="U543" s="44"/>
      <c r="V543" s="44"/>
      <c r="W543" s="44"/>
      <c r="X543" s="45"/>
      <c r="Y543" s="45"/>
      <c r="Z543" s="45"/>
      <c r="AA543" s="45"/>
    </row>
    <row r="544" ht="33.75" customHeight="1">
      <c r="A544" s="46" t="s">
        <v>4490</v>
      </c>
      <c r="B544" s="47" t="s">
        <v>4491</v>
      </c>
      <c r="C544" s="47" t="s">
        <v>4492</v>
      </c>
      <c r="D544" s="29" t="s">
        <v>4493</v>
      </c>
      <c r="E544" s="48" t="str">
        <f>IFERROR(__xludf.DUMMYFUNCTION("GOOGLETRANSLATE(D544,""zh-CN"",""vi"")"),"Bạn có đến buổi hẹn hò của chúng ta ngày mai không?")</f>
        <v>Bạn có đến buổi hẹn hò của chúng ta ngày mai không?</v>
      </c>
      <c r="F544" s="49" t="s">
        <v>4490</v>
      </c>
      <c r="G544" s="50" t="b">
        <f t="shared" si="1"/>
        <v>1</v>
      </c>
      <c r="H544" s="52" t="b">
        <v>1</v>
      </c>
      <c r="I544" s="52" t="b">
        <v>0</v>
      </c>
      <c r="J544" s="52" t="b">
        <v>0</v>
      </c>
      <c r="K544" s="52" t="b">
        <v>0</v>
      </c>
      <c r="L544" s="52" t="b">
        <v>0</v>
      </c>
      <c r="M544" s="52" t="b">
        <v>0</v>
      </c>
      <c r="N544" s="52" t="b">
        <v>0</v>
      </c>
      <c r="O544" s="52" t="b">
        <v>0</v>
      </c>
      <c r="P544" s="52" t="b">
        <v>0</v>
      </c>
      <c r="Q544" s="52" t="b">
        <v>0</v>
      </c>
      <c r="R544" s="44"/>
      <c r="S544" s="44"/>
      <c r="T544" s="44"/>
      <c r="U544" s="44"/>
      <c r="V544" s="44"/>
      <c r="W544" s="44"/>
      <c r="X544" s="45"/>
      <c r="Y544" s="45"/>
      <c r="Z544" s="45"/>
      <c r="AA544" s="45"/>
    </row>
    <row r="545" ht="33.75" customHeight="1">
      <c r="A545" s="46" t="s">
        <v>4494</v>
      </c>
      <c r="B545" s="47" t="s">
        <v>4495</v>
      </c>
      <c r="C545" s="47" t="s">
        <v>4496</v>
      </c>
      <c r="D545" s="29" t="s">
        <v>4497</v>
      </c>
      <c r="E545" s="48" t="str">
        <f>IFERROR(__xludf.DUMMYFUNCTION("GOOGLETRANSLATE(D545,""zh-CN"",""vi"")"),"Tôi đọc sách mỗi ngày.")</f>
        <v>Tôi đọc sách mỗi ngày.</v>
      </c>
      <c r="F545" s="49" t="s">
        <v>4494</v>
      </c>
      <c r="G545" s="50" t="b">
        <f t="shared" si="1"/>
        <v>1</v>
      </c>
      <c r="H545" s="52" t="b">
        <v>1</v>
      </c>
      <c r="I545" s="52" t="b">
        <v>0</v>
      </c>
      <c r="J545" s="52" t="b">
        <v>0</v>
      </c>
      <c r="K545" s="52" t="b">
        <v>0</v>
      </c>
      <c r="L545" s="52" t="b">
        <v>0</v>
      </c>
      <c r="M545" s="52" t="b">
        <v>0</v>
      </c>
      <c r="N545" s="52" t="b">
        <v>0</v>
      </c>
      <c r="O545" s="52" t="b">
        <v>0</v>
      </c>
      <c r="P545" s="52" t="b">
        <v>0</v>
      </c>
      <c r="Q545" s="52" t="b">
        <v>0</v>
      </c>
      <c r="R545" s="44"/>
      <c r="S545" s="44"/>
      <c r="T545" s="44"/>
      <c r="U545" s="44"/>
      <c r="V545" s="44"/>
      <c r="W545" s="44"/>
      <c r="X545" s="45"/>
      <c r="Y545" s="45"/>
      <c r="Z545" s="45"/>
      <c r="AA545" s="45"/>
    </row>
    <row r="546" ht="33.75" customHeight="1">
      <c r="A546" s="46" t="s">
        <v>3454</v>
      </c>
      <c r="B546" s="47" t="s">
        <v>3455</v>
      </c>
      <c r="C546" s="47" t="s">
        <v>3456</v>
      </c>
      <c r="D546" s="29" t="s">
        <v>4502</v>
      </c>
      <c r="E546" s="48" t="str">
        <f>IFERROR(__xludf.DUMMYFUNCTION("GOOGLETRANSLATE(D546,""zh-CN"",""vi"")"),"Trên bầu trời có rất nhiều mây.")</f>
        <v>Trên bầu trời có rất nhiều mây.</v>
      </c>
      <c r="F546" s="49" t="s">
        <v>3454</v>
      </c>
      <c r="G546" s="50" t="b">
        <f t="shared" si="1"/>
        <v>1</v>
      </c>
      <c r="H546" s="52" t="b">
        <v>1</v>
      </c>
      <c r="I546" s="52" t="b">
        <v>0</v>
      </c>
      <c r="J546" s="52" t="b">
        <v>0</v>
      </c>
      <c r="K546" s="52" t="b">
        <v>0</v>
      </c>
      <c r="L546" s="52" t="b">
        <v>0</v>
      </c>
      <c r="M546" s="52" t="b">
        <v>0</v>
      </c>
      <c r="N546" s="52" t="b">
        <v>0</v>
      </c>
      <c r="O546" s="52" t="b">
        <v>0</v>
      </c>
      <c r="P546" s="52" t="b">
        <v>0</v>
      </c>
      <c r="Q546" s="52" t="b">
        <v>0</v>
      </c>
      <c r="R546" s="44"/>
      <c r="S546" s="44"/>
      <c r="T546" s="44"/>
      <c r="U546" s="44"/>
      <c r="V546" s="44"/>
      <c r="W546" s="44"/>
      <c r="X546" s="45"/>
      <c r="Y546" s="45"/>
      <c r="Z546" s="45"/>
      <c r="AA546" s="45"/>
    </row>
    <row r="547" ht="33.75" customHeight="1">
      <c r="A547" s="46" t="s">
        <v>4503</v>
      </c>
      <c r="B547" s="47" t="s">
        <v>4504</v>
      </c>
      <c r="C547" s="47" t="s">
        <v>4505</v>
      </c>
      <c r="D547" s="29" t="s">
        <v>4506</v>
      </c>
      <c r="E547" s="48" t="str">
        <f>IFERROR(__xludf.DUMMYFUNCTION("GOOGLETRANSLATE(D547,""zh-CN"",""vi"")"),"Cấm hút thuốc tại đây.")</f>
        <v>Cấm hút thuốc tại đây.</v>
      </c>
      <c r="F547" s="49" t="s">
        <v>4503</v>
      </c>
      <c r="G547" s="50" t="b">
        <f t="shared" si="1"/>
        <v>1</v>
      </c>
      <c r="H547" s="52" t="b">
        <v>1</v>
      </c>
      <c r="I547" s="52" t="b">
        <v>0</v>
      </c>
      <c r="J547" s="52" t="b">
        <v>0</v>
      </c>
      <c r="K547" s="52" t="b">
        <v>0</v>
      </c>
      <c r="L547" s="52" t="b">
        <v>0</v>
      </c>
      <c r="M547" s="52" t="b">
        <v>0</v>
      </c>
      <c r="N547" s="52" t="b">
        <v>0</v>
      </c>
      <c r="O547" s="52" t="b">
        <v>0</v>
      </c>
      <c r="P547" s="52" t="b">
        <v>0</v>
      </c>
      <c r="Q547" s="52" t="b">
        <v>0</v>
      </c>
      <c r="R547" s="44"/>
      <c r="S547" s="44"/>
      <c r="T547" s="44"/>
      <c r="U547" s="44"/>
      <c r="V547" s="44"/>
      <c r="W547" s="44"/>
      <c r="X547" s="45"/>
      <c r="Y547" s="45"/>
      <c r="Z547" s="45"/>
      <c r="AA547" s="45"/>
    </row>
    <row r="548" ht="33.75" customHeight="1">
      <c r="A548" s="46" t="s">
        <v>4510</v>
      </c>
      <c r="B548" s="47" t="s">
        <v>4511</v>
      </c>
      <c r="C548" s="47" t="s">
        <v>4512</v>
      </c>
      <c r="D548" s="29" t="s">
        <v>4513</v>
      </c>
      <c r="E548" s="48" t="str">
        <f>IFERROR(__xludf.DUMMYFUNCTION("GOOGLETRANSLATE(D548,""zh-CN"",""vi"")"),"Anh ấy đang đọc một tạp chí.")</f>
        <v>Anh ấy đang đọc một tạp chí.</v>
      </c>
      <c r="F548" s="49" t="s">
        <v>4510</v>
      </c>
      <c r="G548" s="50" t="b">
        <f t="shared" si="1"/>
        <v>1</v>
      </c>
      <c r="H548" s="52" t="b">
        <v>1</v>
      </c>
      <c r="I548" s="52" t="b">
        <v>0</v>
      </c>
      <c r="J548" s="52" t="b">
        <v>0</v>
      </c>
      <c r="K548" s="52" t="b">
        <v>0</v>
      </c>
      <c r="L548" s="52" t="b">
        <v>0</v>
      </c>
      <c r="M548" s="52" t="b">
        <v>0</v>
      </c>
      <c r="N548" s="52" t="b">
        <v>0</v>
      </c>
      <c r="O548" s="52" t="b">
        <v>0</v>
      </c>
      <c r="P548" s="52" t="b">
        <v>0</v>
      </c>
      <c r="Q548" s="52" t="b">
        <v>0</v>
      </c>
      <c r="R548" s="44"/>
      <c r="S548" s="44"/>
      <c r="T548" s="44"/>
      <c r="U548" s="44"/>
      <c r="V548" s="44"/>
      <c r="W548" s="44"/>
      <c r="X548" s="45"/>
      <c r="Y548" s="45"/>
      <c r="Z548" s="45"/>
      <c r="AA548" s="45"/>
    </row>
    <row r="549" ht="33.75" customHeight="1">
      <c r="A549" s="46" t="s">
        <v>4514</v>
      </c>
      <c r="B549" s="47" t="s">
        <v>4515</v>
      </c>
      <c r="C549" s="47" t="s">
        <v>4516</v>
      </c>
      <c r="D549" s="29" t="s">
        <v>4517</v>
      </c>
      <c r="E549" s="48" t="str">
        <f>IFERROR(__xludf.DUMMYFUNCTION("GOOGLETRANSLATE(D549,""zh-CN"",""vi"")"),"Chúng ta cùng đi nhé.")</f>
        <v>Chúng ta cùng đi nhé.</v>
      </c>
      <c r="F549" s="49" t="s">
        <v>4514</v>
      </c>
      <c r="G549" s="50" t="b">
        <f t="shared" si="1"/>
        <v>1</v>
      </c>
      <c r="H549" s="52" t="b">
        <v>1</v>
      </c>
      <c r="I549" s="52" t="b">
        <v>0</v>
      </c>
      <c r="J549" s="52" t="b">
        <v>0</v>
      </c>
      <c r="K549" s="52" t="b">
        <v>0</v>
      </c>
      <c r="L549" s="52" t="b">
        <v>0</v>
      </c>
      <c r="M549" s="52" t="b">
        <v>0</v>
      </c>
      <c r="N549" s="52" t="b">
        <v>0</v>
      </c>
      <c r="O549" s="52" t="b">
        <v>0</v>
      </c>
      <c r="P549" s="52" t="b">
        <v>0</v>
      </c>
      <c r="Q549" s="52" t="b">
        <v>0</v>
      </c>
      <c r="R549" s="44"/>
      <c r="S549" s="44"/>
      <c r="T549" s="44"/>
      <c r="U549" s="44"/>
      <c r="V549" s="44"/>
      <c r="W549" s="44"/>
      <c r="X549" s="45"/>
      <c r="Y549" s="45"/>
      <c r="Z549" s="45"/>
      <c r="AA549" s="45"/>
    </row>
    <row r="550" ht="33.75" customHeight="1">
      <c r="A550" s="46" t="s">
        <v>4522</v>
      </c>
      <c r="B550" s="47" t="s">
        <v>4523</v>
      </c>
      <c r="C550" s="47" t="s">
        <v>4524</v>
      </c>
      <c r="D550" s="29" t="s">
        <v>4525</v>
      </c>
      <c r="E550" s="48" t="str">
        <f>IFERROR(__xludf.DUMMYFUNCTION("GOOGLETRANSLATE(D550,""zh-CN"",""vi"")"),"Hiện tại tôi đang ở nhà một người bạn.")</f>
        <v>Hiện tại tôi đang ở nhà một người bạn.</v>
      </c>
      <c r="F550" s="49" t="s">
        <v>4522</v>
      </c>
      <c r="G550" s="50" t="b">
        <f t="shared" si="1"/>
        <v>1</v>
      </c>
      <c r="H550" s="52" t="b">
        <v>1</v>
      </c>
      <c r="I550" s="52" t="b">
        <v>0</v>
      </c>
      <c r="J550" s="52" t="b">
        <v>0</v>
      </c>
      <c r="K550" s="52" t="b">
        <v>0</v>
      </c>
      <c r="L550" s="52" t="b">
        <v>0</v>
      </c>
      <c r="M550" s="52" t="b">
        <v>0</v>
      </c>
      <c r="N550" s="52" t="b">
        <v>0</v>
      </c>
      <c r="O550" s="52" t="b">
        <v>0</v>
      </c>
      <c r="P550" s="52" t="b">
        <v>0</v>
      </c>
      <c r="Q550" s="52" t="b">
        <v>0</v>
      </c>
      <c r="R550" s="44"/>
      <c r="S550" s="44"/>
      <c r="T550" s="44"/>
      <c r="U550" s="44"/>
      <c r="V550" s="44"/>
      <c r="W550" s="44"/>
      <c r="X550" s="45"/>
      <c r="Y550" s="45"/>
      <c r="Z550" s="45"/>
      <c r="AA550" s="45"/>
    </row>
    <row r="551" ht="33.75" customHeight="1">
      <c r="A551" s="46" t="s">
        <v>4526</v>
      </c>
      <c r="B551" s="47" t="s">
        <v>4527</v>
      </c>
      <c r="C551" s="47" t="s">
        <v>4528</v>
      </c>
      <c r="D551" s="29" t="s">
        <v>4529</v>
      </c>
      <c r="E551" s="48" t="str">
        <f>IFERROR(__xludf.DUMMYFUNCTION("GOOGLETRANSLATE(D551,""zh-CN"",""vi"")"),"Chiếc áo này rất bẩn.")</f>
        <v>Chiếc áo này rất bẩn.</v>
      </c>
      <c r="F551" s="49" t="s">
        <v>4526</v>
      </c>
      <c r="G551" s="50" t="b">
        <f t="shared" si="1"/>
        <v>1</v>
      </c>
      <c r="H551" s="52" t="b">
        <v>1</v>
      </c>
      <c r="I551" s="52" t="b">
        <v>0</v>
      </c>
      <c r="J551" s="52" t="b">
        <v>0</v>
      </c>
      <c r="K551" s="52" t="b">
        <v>0</v>
      </c>
      <c r="L551" s="52" t="b">
        <v>0</v>
      </c>
      <c r="M551" s="52" t="b">
        <v>0</v>
      </c>
      <c r="N551" s="52" t="b">
        <v>0</v>
      </c>
      <c r="O551" s="52" t="b">
        <v>0</v>
      </c>
      <c r="P551" s="52" t="b">
        <v>0</v>
      </c>
      <c r="Q551" s="52" t="b">
        <v>0</v>
      </c>
      <c r="R551" s="44"/>
      <c r="S551" s="44"/>
      <c r="T551" s="44"/>
      <c r="U551" s="44"/>
      <c r="V551" s="44"/>
      <c r="W551" s="44"/>
      <c r="X551" s="45"/>
      <c r="Y551" s="45"/>
      <c r="Z551" s="45"/>
      <c r="AA551" s="45"/>
    </row>
    <row r="552" ht="33.75" customHeight="1">
      <c r="A552" s="46" t="s">
        <v>4534</v>
      </c>
      <c r="B552" s="47" t="s">
        <v>4535</v>
      </c>
      <c r="C552" s="47" t="s">
        <v>4536</v>
      </c>
      <c r="D552" s="29" t="s">
        <v>4537</v>
      </c>
      <c r="E552" s="48" t="str">
        <f>IFERROR(__xludf.DUMMYFUNCTION("GOOGLETRANSLATE(D552,""zh-CN"",""vi"")"),"Bạn phải chịu trách nhiệm.")</f>
        <v>Bạn phải chịu trách nhiệm.</v>
      </c>
      <c r="F552" s="49" t="s">
        <v>4534</v>
      </c>
      <c r="G552" s="50" t="b">
        <f t="shared" si="1"/>
        <v>1</v>
      </c>
      <c r="H552" s="52" t="b">
        <v>1</v>
      </c>
      <c r="I552" s="52" t="b">
        <v>0</v>
      </c>
      <c r="J552" s="52" t="b">
        <v>0</v>
      </c>
      <c r="K552" s="52" t="b">
        <v>0</v>
      </c>
      <c r="L552" s="52" t="b">
        <v>0</v>
      </c>
      <c r="M552" s="52" t="b">
        <v>0</v>
      </c>
      <c r="N552" s="52" t="b">
        <v>0</v>
      </c>
      <c r="O552" s="52" t="b">
        <v>0</v>
      </c>
      <c r="P552" s="52" t="b">
        <v>0</v>
      </c>
      <c r="Q552" s="52" t="b">
        <v>0</v>
      </c>
      <c r="R552" s="44"/>
      <c r="S552" s="44"/>
      <c r="T552" s="44"/>
      <c r="U552" s="44"/>
      <c r="V552" s="44"/>
      <c r="W552" s="44"/>
      <c r="X552" s="45"/>
      <c r="Y552" s="45"/>
      <c r="Z552" s="45"/>
      <c r="AA552" s="45"/>
    </row>
    <row r="553" ht="33.75" customHeight="1">
      <c r="A553" s="46" t="s">
        <v>4539</v>
      </c>
      <c r="B553" s="47" t="s">
        <v>4541</v>
      </c>
      <c r="C553" s="47" t="s">
        <v>4542</v>
      </c>
      <c r="D553" s="29" t="s">
        <v>4544</v>
      </c>
      <c r="E553" s="48" t="str">
        <f>IFERROR(__xludf.DUMMYFUNCTION("GOOGLETRANSLATE(D553,""zh-CN"",""vi"")"),"Chúng ta cần tăng ngân sách.")</f>
        <v>Chúng ta cần tăng ngân sách.</v>
      </c>
      <c r="F553" s="49" t="s">
        <v>4539</v>
      </c>
      <c r="G553" s="50" t="b">
        <f t="shared" si="1"/>
        <v>1</v>
      </c>
      <c r="H553" s="52" t="b">
        <v>1</v>
      </c>
      <c r="I553" s="52" t="b">
        <v>0</v>
      </c>
      <c r="J553" s="52" t="b">
        <v>0</v>
      </c>
      <c r="K553" s="52" t="b">
        <v>0</v>
      </c>
      <c r="L553" s="52" t="b">
        <v>0</v>
      </c>
      <c r="M553" s="52" t="b">
        <v>0</v>
      </c>
      <c r="N553" s="52" t="b">
        <v>0</v>
      </c>
      <c r="O553" s="52" t="b">
        <v>0</v>
      </c>
      <c r="P553" s="52" t="b">
        <v>0</v>
      </c>
      <c r="Q553" s="52" t="b">
        <v>0</v>
      </c>
      <c r="R553" s="44"/>
      <c r="S553" s="44"/>
      <c r="T553" s="44"/>
      <c r="U553" s="44"/>
      <c r="V553" s="44"/>
      <c r="W553" s="44"/>
      <c r="X553" s="45"/>
      <c r="Y553" s="45"/>
      <c r="Z553" s="45"/>
      <c r="AA553" s="45"/>
    </row>
    <row r="554" ht="33.75" customHeight="1">
      <c r="A554" s="46" t="s">
        <v>4546</v>
      </c>
      <c r="B554" s="47" t="s">
        <v>4547</v>
      </c>
      <c r="C554" s="47" t="s">
        <v>4548</v>
      </c>
      <c r="D554" s="29" t="s">
        <v>4549</v>
      </c>
      <c r="E554" s="48" t="str">
        <f>IFERROR(__xludf.DUMMYFUNCTION("GOOGLETRANSLATE(D554,""zh-CN"",""vi"")"),"Đường dây điện thoại luôn bận.")</f>
        <v>Đường dây điện thoại luôn bận.</v>
      </c>
      <c r="F554" s="49" t="s">
        <v>4546</v>
      </c>
      <c r="G554" s="50" t="b">
        <f t="shared" si="1"/>
        <v>1</v>
      </c>
      <c r="H554" s="52" t="b">
        <v>1</v>
      </c>
      <c r="I554" s="52" t="b">
        <v>0</v>
      </c>
      <c r="J554" s="52" t="b">
        <v>0</v>
      </c>
      <c r="K554" s="52" t="b">
        <v>0</v>
      </c>
      <c r="L554" s="52" t="b">
        <v>0</v>
      </c>
      <c r="M554" s="52" t="b">
        <v>0</v>
      </c>
      <c r="N554" s="52" t="b">
        <v>0</v>
      </c>
      <c r="O554" s="52" t="b">
        <v>0</v>
      </c>
      <c r="P554" s="52" t="b">
        <v>0</v>
      </c>
      <c r="Q554" s="52" t="b">
        <v>0</v>
      </c>
      <c r="R554" s="44"/>
      <c r="S554" s="44"/>
      <c r="T554" s="44"/>
      <c r="U554" s="44"/>
      <c r="V554" s="44"/>
      <c r="W554" s="44"/>
      <c r="X554" s="45"/>
      <c r="Y554" s="45"/>
      <c r="Z554" s="45"/>
      <c r="AA554" s="45"/>
    </row>
    <row r="555" ht="33.75" customHeight="1">
      <c r="A555" s="46" t="s">
        <v>4553</v>
      </c>
      <c r="B555" s="47" t="s">
        <v>4554</v>
      </c>
      <c r="C555" s="47" t="s">
        <v>4555</v>
      </c>
      <c r="D555" s="29" t="s">
        <v>4556</v>
      </c>
      <c r="E555" s="48" t="str">
        <f>IFERROR(__xludf.DUMMYFUNCTION("GOOGLETRANSLATE(D555,""zh-CN"",""vi"")"),"Công ty đang tuyển dụng.")</f>
        <v>Công ty đang tuyển dụng.</v>
      </c>
      <c r="F555" s="49" t="s">
        <v>4553</v>
      </c>
      <c r="G555" s="50" t="b">
        <f t="shared" si="1"/>
        <v>1</v>
      </c>
      <c r="H555" s="52" t="b">
        <v>1</v>
      </c>
      <c r="I555" s="52" t="b">
        <v>0</v>
      </c>
      <c r="J555" s="52" t="b">
        <v>0</v>
      </c>
      <c r="K555" s="52" t="b">
        <v>0</v>
      </c>
      <c r="L555" s="52" t="b">
        <v>0</v>
      </c>
      <c r="M555" s="52" t="b">
        <v>0</v>
      </c>
      <c r="N555" s="52" t="b">
        <v>0</v>
      </c>
      <c r="O555" s="52" t="b">
        <v>0</v>
      </c>
      <c r="P555" s="52" t="b">
        <v>0</v>
      </c>
      <c r="Q555" s="52" t="b">
        <v>0</v>
      </c>
      <c r="R555" s="44"/>
      <c r="S555" s="44"/>
      <c r="T555" s="44"/>
      <c r="U555" s="44"/>
      <c r="V555" s="44"/>
      <c r="W555" s="44"/>
      <c r="X555" s="45"/>
      <c r="Y555" s="45"/>
      <c r="Z555" s="45"/>
      <c r="AA555" s="45"/>
    </row>
    <row r="556" ht="33.75" customHeight="1">
      <c r="A556" s="46" t="s">
        <v>4561</v>
      </c>
      <c r="B556" s="47" t="s">
        <v>4562</v>
      </c>
      <c r="C556" s="47" t="s">
        <v>4563</v>
      </c>
      <c r="D556" s="29" t="s">
        <v>4564</v>
      </c>
      <c r="E556" s="48" t="str">
        <f>IFERROR(__xludf.DUMMYFUNCTION("GOOGLETRANSLATE(D556,""zh-CN"",""vi"")"),"Hãy chụp bức ảnh này.")</f>
        <v>Hãy chụp bức ảnh này.</v>
      </c>
      <c r="F556" s="49" t="s">
        <v>4561</v>
      </c>
      <c r="G556" s="50" t="b">
        <f t="shared" si="1"/>
        <v>1</v>
      </c>
      <c r="H556" s="52" t="b">
        <v>1</v>
      </c>
      <c r="I556" s="52" t="b">
        <v>0</v>
      </c>
      <c r="J556" s="52" t="b">
        <v>0</v>
      </c>
      <c r="K556" s="52" t="b">
        <v>0</v>
      </c>
      <c r="L556" s="52" t="b">
        <v>0</v>
      </c>
      <c r="M556" s="52" t="b">
        <v>0</v>
      </c>
      <c r="N556" s="52" t="b">
        <v>0</v>
      </c>
      <c r="O556" s="52" t="b">
        <v>0</v>
      </c>
      <c r="P556" s="52" t="b">
        <v>0</v>
      </c>
      <c r="Q556" s="52" t="b">
        <v>0</v>
      </c>
      <c r="R556" s="44"/>
      <c r="S556" s="44"/>
      <c r="T556" s="44"/>
      <c r="U556" s="44"/>
      <c r="V556" s="44"/>
      <c r="W556" s="44"/>
      <c r="X556" s="45"/>
      <c r="Y556" s="45"/>
      <c r="Z556" s="45"/>
      <c r="AA556" s="45"/>
    </row>
    <row r="557" ht="33.75" customHeight="1">
      <c r="A557" s="46" t="s">
        <v>4566</v>
      </c>
      <c r="B557" s="47" t="s">
        <v>4568</v>
      </c>
      <c r="C557" s="47" t="s">
        <v>2940</v>
      </c>
      <c r="D557" s="29" t="s">
        <v>4571</v>
      </c>
      <c r="E557" s="48" t="str">
        <f>IFERROR(__xludf.DUMMYFUNCTION("GOOGLETRANSLATE(D557,""zh-CN"",""vi"")"),"Anh ấy là một người bạn chân thành.")</f>
        <v>Anh ấy là một người bạn chân thành.</v>
      </c>
      <c r="F557" s="49" t="s">
        <v>4566</v>
      </c>
      <c r="G557" s="50" t="b">
        <f t="shared" si="1"/>
        <v>1</v>
      </c>
      <c r="H557" s="52" t="b">
        <v>1</v>
      </c>
      <c r="I557" s="52" t="b">
        <v>0</v>
      </c>
      <c r="J557" s="52" t="b">
        <v>0</v>
      </c>
      <c r="K557" s="52" t="b">
        <v>0</v>
      </c>
      <c r="L557" s="52" t="b">
        <v>0</v>
      </c>
      <c r="M557" s="52" t="b">
        <v>0</v>
      </c>
      <c r="N557" s="52" t="b">
        <v>0</v>
      </c>
      <c r="O557" s="52" t="b">
        <v>0</v>
      </c>
      <c r="P557" s="52" t="b">
        <v>0</v>
      </c>
      <c r="Q557" s="52" t="b">
        <v>0</v>
      </c>
      <c r="R557" s="44"/>
      <c r="S557" s="44"/>
      <c r="T557" s="44"/>
      <c r="U557" s="44"/>
      <c r="V557" s="44"/>
      <c r="W557" s="44"/>
      <c r="X557" s="45"/>
      <c r="Y557" s="45"/>
      <c r="Z557" s="45"/>
      <c r="AA557" s="45"/>
    </row>
    <row r="558" ht="33.75" customHeight="1">
      <c r="A558" s="46" t="s">
        <v>4576</v>
      </c>
      <c r="B558" s="47" t="s">
        <v>4577</v>
      </c>
      <c r="C558" s="47" t="s">
        <v>4578</v>
      </c>
      <c r="D558" s="29" t="s">
        <v>4579</v>
      </c>
      <c r="E558" s="48" t="str">
        <f>IFERROR(__xludf.DUMMYFUNCTION("GOOGLETRANSLATE(D558,""zh-CN"",""vi"")"),"Tôi cần dọn dẹp phòng của mình.")</f>
        <v>Tôi cần dọn dẹp phòng của mình.</v>
      </c>
      <c r="F558" s="49" t="s">
        <v>4576</v>
      </c>
      <c r="G558" s="50" t="b">
        <f t="shared" si="1"/>
        <v>1</v>
      </c>
      <c r="H558" s="52" t="b">
        <v>1</v>
      </c>
      <c r="I558" s="52" t="b">
        <v>0</v>
      </c>
      <c r="J558" s="52" t="b">
        <v>0</v>
      </c>
      <c r="K558" s="52" t="b">
        <v>0</v>
      </c>
      <c r="L558" s="52" t="b">
        <v>0</v>
      </c>
      <c r="M558" s="52" t="b">
        <v>0</v>
      </c>
      <c r="N558" s="52" t="b">
        <v>0</v>
      </c>
      <c r="O558" s="52" t="b">
        <v>0</v>
      </c>
      <c r="P558" s="52" t="b">
        <v>0</v>
      </c>
      <c r="Q558" s="52" t="b">
        <v>0</v>
      </c>
      <c r="R558" s="44"/>
      <c r="S558" s="44"/>
      <c r="T558" s="44"/>
      <c r="U558" s="44"/>
      <c r="V558" s="44"/>
      <c r="W558" s="44"/>
      <c r="X558" s="45"/>
      <c r="Y558" s="45"/>
      <c r="Z558" s="45"/>
      <c r="AA558" s="45"/>
    </row>
    <row r="559" ht="33.75" customHeight="1">
      <c r="A559" s="46" t="s">
        <v>4580</v>
      </c>
      <c r="B559" s="47" t="s">
        <v>4581</v>
      </c>
      <c r="C559" s="47" t="s">
        <v>3566</v>
      </c>
      <c r="D559" s="29" t="s">
        <v>4582</v>
      </c>
      <c r="E559" s="48" t="str">
        <f>IFERROR(__xludf.DUMMYFUNCTION("GOOGLETRANSLATE(D559,""zh-CN"",""vi"")"),"Mọi thứ đều bình thường.")</f>
        <v>Mọi thứ đều bình thường.</v>
      </c>
      <c r="F559" s="49" t="s">
        <v>4580</v>
      </c>
      <c r="G559" s="50" t="b">
        <f t="shared" si="1"/>
        <v>1</v>
      </c>
      <c r="H559" s="52" t="b">
        <v>1</v>
      </c>
      <c r="I559" s="52" t="b">
        <v>0</v>
      </c>
      <c r="J559" s="52" t="b">
        <v>0</v>
      </c>
      <c r="K559" s="52" t="b">
        <v>0</v>
      </c>
      <c r="L559" s="52" t="b">
        <v>0</v>
      </c>
      <c r="M559" s="52" t="b">
        <v>0</v>
      </c>
      <c r="N559" s="52" t="b">
        <v>0</v>
      </c>
      <c r="O559" s="52" t="b">
        <v>0</v>
      </c>
      <c r="P559" s="52" t="b">
        <v>0</v>
      </c>
      <c r="Q559" s="52" t="b">
        <v>0</v>
      </c>
      <c r="R559" s="44"/>
      <c r="S559" s="44"/>
      <c r="T559" s="44"/>
      <c r="U559" s="44"/>
      <c r="V559" s="44"/>
      <c r="W559" s="44"/>
      <c r="X559" s="45"/>
      <c r="Y559" s="45"/>
      <c r="Z559" s="45"/>
      <c r="AA559" s="45"/>
    </row>
    <row r="560" ht="33.75" customHeight="1">
      <c r="A560" s="46" t="s">
        <v>4586</v>
      </c>
      <c r="B560" s="47" t="s">
        <v>4587</v>
      </c>
      <c r="C560" s="47" t="s">
        <v>4588</v>
      </c>
      <c r="D560" s="29" t="s">
        <v>4589</v>
      </c>
      <c r="E560" s="48" t="str">
        <f>IFERROR(__xludf.DUMMYFUNCTION("GOOGLETRANSLATE(D560,""zh-CN"",""vi"")"),"Bạn đến đúng lúc rồi.")</f>
        <v>Bạn đến đúng lúc rồi.</v>
      </c>
      <c r="F560" s="49" t="s">
        <v>4586</v>
      </c>
      <c r="G560" s="50" t="b">
        <f t="shared" si="1"/>
        <v>1</v>
      </c>
      <c r="H560" s="52" t="b">
        <v>1</v>
      </c>
      <c r="I560" s="52" t="b">
        <v>0</v>
      </c>
      <c r="J560" s="52" t="b">
        <v>0</v>
      </c>
      <c r="K560" s="52" t="b">
        <v>0</v>
      </c>
      <c r="L560" s="52" t="b">
        <v>0</v>
      </c>
      <c r="M560" s="52" t="b">
        <v>0</v>
      </c>
      <c r="N560" s="52" t="b">
        <v>0</v>
      </c>
      <c r="O560" s="52" t="b">
        <v>0</v>
      </c>
      <c r="P560" s="52" t="b">
        <v>0</v>
      </c>
      <c r="Q560" s="52" t="b">
        <v>0</v>
      </c>
      <c r="R560" s="44"/>
      <c r="S560" s="44"/>
      <c r="T560" s="44"/>
      <c r="U560" s="44"/>
      <c r="V560" s="44"/>
      <c r="W560" s="44"/>
      <c r="X560" s="45"/>
      <c r="Y560" s="45"/>
      <c r="Z560" s="45"/>
      <c r="AA560" s="45"/>
    </row>
    <row r="561" ht="33.75" customHeight="1">
      <c r="A561" s="46" t="s">
        <v>4590</v>
      </c>
      <c r="B561" s="47" t="s">
        <v>4591</v>
      </c>
      <c r="C561" s="47" t="s">
        <v>4592</v>
      </c>
      <c r="D561" s="29" t="s">
        <v>4593</v>
      </c>
      <c r="E561" s="48" t="str">
        <f>IFERROR(__xludf.DUMMYFUNCTION("GOOGLETRANSLATE(D561,""zh-CN"",""vi"")"),"Câu trả lời của bạn chính xác.")</f>
        <v>Câu trả lời của bạn chính xác.</v>
      </c>
      <c r="F561" s="49" t="s">
        <v>4590</v>
      </c>
      <c r="G561" s="50" t="b">
        <f t="shared" si="1"/>
        <v>1</v>
      </c>
      <c r="H561" s="52" t="b">
        <v>1</v>
      </c>
      <c r="I561" s="52" t="b">
        <v>0</v>
      </c>
      <c r="J561" s="52" t="b">
        <v>0</v>
      </c>
      <c r="K561" s="52" t="b">
        <v>0</v>
      </c>
      <c r="L561" s="52" t="b">
        <v>0</v>
      </c>
      <c r="M561" s="52" t="b">
        <v>0</v>
      </c>
      <c r="N561" s="52" t="b">
        <v>0</v>
      </c>
      <c r="O561" s="52" t="b">
        <v>0</v>
      </c>
      <c r="P561" s="52" t="b">
        <v>0</v>
      </c>
      <c r="Q561" s="52" t="b">
        <v>0</v>
      </c>
      <c r="R561" s="44"/>
      <c r="S561" s="44"/>
      <c r="T561" s="44"/>
      <c r="U561" s="44"/>
      <c r="V561" s="44"/>
      <c r="W561" s="44"/>
      <c r="X561" s="45"/>
      <c r="Y561" s="45"/>
      <c r="Z561" s="45"/>
      <c r="AA561" s="45"/>
    </row>
    <row r="562" ht="33.75" customHeight="1">
      <c r="A562" s="46" t="s">
        <v>4598</v>
      </c>
      <c r="B562" s="47" t="s">
        <v>4599</v>
      </c>
      <c r="C562" s="47" t="s">
        <v>4600</v>
      </c>
      <c r="D562" s="29" t="s">
        <v>4601</v>
      </c>
      <c r="E562" s="48" t="str">
        <f>IFERROR(__xludf.DUMMYFUNCTION("GOOGLETRANSLATE(D562,""zh-CN"",""vi"")"),"Đây là một cuộc họp chính thức.")</f>
        <v>Đây là một cuộc họp chính thức.</v>
      </c>
      <c r="F562" s="49" t="s">
        <v>4598</v>
      </c>
      <c r="G562" s="50" t="b">
        <f t="shared" si="1"/>
        <v>1</v>
      </c>
      <c r="H562" s="52" t="b">
        <v>1</v>
      </c>
      <c r="I562" s="52" t="b">
        <v>0</v>
      </c>
      <c r="J562" s="52" t="b">
        <v>0</v>
      </c>
      <c r="K562" s="52" t="b">
        <v>0</v>
      </c>
      <c r="L562" s="52" t="b">
        <v>0</v>
      </c>
      <c r="M562" s="52" t="b">
        <v>0</v>
      </c>
      <c r="N562" s="52" t="b">
        <v>0</v>
      </c>
      <c r="O562" s="52" t="b">
        <v>0</v>
      </c>
      <c r="P562" s="52" t="b">
        <v>0</v>
      </c>
      <c r="Q562" s="52" t="b">
        <v>0</v>
      </c>
      <c r="R562" s="44"/>
      <c r="S562" s="44"/>
      <c r="T562" s="44"/>
      <c r="U562" s="44"/>
      <c r="V562" s="44"/>
      <c r="W562" s="44"/>
      <c r="X562" s="45"/>
      <c r="Y562" s="45"/>
      <c r="Z562" s="45"/>
      <c r="AA562" s="45"/>
    </row>
    <row r="563" ht="33.75" customHeight="1">
      <c r="A563" s="46" t="s">
        <v>4602</v>
      </c>
      <c r="B563" s="47" t="s">
        <v>4603</v>
      </c>
      <c r="C563" s="47" t="s">
        <v>4604</v>
      </c>
      <c r="D563" s="29" t="s">
        <v>4605</v>
      </c>
      <c r="E563" s="48" t="str">
        <f>IFERROR(__xludf.DUMMYFUNCTION("GOOGLETRANSLATE(D563,""zh-CN"",""vi"")"),"Vui lòng chứng minh danh tính của bạn.")</f>
        <v>Vui lòng chứng minh danh tính của bạn.</v>
      </c>
      <c r="F563" s="49" t="s">
        <v>4602</v>
      </c>
      <c r="G563" s="50" t="b">
        <f t="shared" si="1"/>
        <v>1</v>
      </c>
      <c r="H563" s="52" t="b">
        <v>1</v>
      </c>
      <c r="I563" s="52" t="b">
        <v>0</v>
      </c>
      <c r="J563" s="52" t="b">
        <v>0</v>
      </c>
      <c r="K563" s="52" t="b">
        <v>0</v>
      </c>
      <c r="L563" s="52" t="b">
        <v>0</v>
      </c>
      <c r="M563" s="52" t="b">
        <v>0</v>
      </c>
      <c r="N563" s="52" t="b">
        <v>0</v>
      </c>
      <c r="O563" s="52" t="b">
        <v>0</v>
      </c>
      <c r="P563" s="52" t="b">
        <v>0</v>
      </c>
      <c r="Q563" s="52" t="b">
        <v>0</v>
      </c>
      <c r="R563" s="44"/>
      <c r="S563" s="44"/>
      <c r="T563" s="44"/>
      <c r="U563" s="44"/>
      <c r="V563" s="44"/>
      <c r="W563" s="44"/>
      <c r="X563" s="45"/>
      <c r="Y563" s="45"/>
      <c r="Z563" s="45"/>
      <c r="AA563" s="45"/>
    </row>
    <row r="564" ht="33.75" customHeight="1">
      <c r="A564" s="46" t="s">
        <v>4610</v>
      </c>
      <c r="B564" s="47" t="s">
        <v>4611</v>
      </c>
      <c r="C564" s="47" t="s">
        <v>4612</v>
      </c>
      <c r="D564" s="29" t="s">
        <v>4613</v>
      </c>
      <c r="E564" s="48" t="str">
        <f>IFERROR(__xludf.DUMMYFUNCTION("GOOGLETRANSLATE(D564,""zh-CN"",""vi"")"),"Cuốn sách này có nội dung rất phong phú.")</f>
        <v>Cuốn sách này có nội dung rất phong phú.</v>
      </c>
      <c r="F564" s="49" t="s">
        <v>4610</v>
      </c>
      <c r="G564" s="50" t="b">
        <f t="shared" si="1"/>
        <v>1</v>
      </c>
      <c r="H564" s="52" t="b">
        <v>1</v>
      </c>
      <c r="I564" s="52" t="b">
        <v>0</v>
      </c>
      <c r="J564" s="52" t="b">
        <v>0</v>
      </c>
      <c r="K564" s="52" t="b">
        <v>0</v>
      </c>
      <c r="L564" s="52" t="b">
        <v>0</v>
      </c>
      <c r="M564" s="52" t="b">
        <v>0</v>
      </c>
      <c r="N564" s="52" t="b">
        <v>0</v>
      </c>
      <c r="O564" s="52" t="b">
        <v>0</v>
      </c>
      <c r="P564" s="52" t="b">
        <v>0</v>
      </c>
      <c r="Q564" s="52" t="b">
        <v>0</v>
      </c>
      <c r="R564" s="44"/>
      <c r="S564" s="44"/>
      <c r="T564" s="44"/>
      <c r="U564" s="44"/>
      <c r="V564" s="44"/>
      <c r="W564" s="44"/>
      <c r="X564" s="45"/>
      <c r="Y564" s="45"/>
      <c r="Z564" s="45"/>
      <c r="AA564" s="45"/>
    </row>
    <row r="565" ht="33.75" customHeight="1">
      <c r="A565" s="46" t="s">
        <v>4615</v>
      </c>
      <c r="B565" s="47" t="s">
        <v>4617</v>
      </c>
      <c r="C565" s="47" t="s">
        <v>4618</v>
      </c>
      <c r="D565" s="29" t="s">
        <v>4620</v>
      </c>
      <c r="E565" s="48" t="str">
        <f>IFERROR(__xludf.DUMMYFUNCTION("GOOGLETRANSLATE(D565,""zh-CN"",""vi"")"),"Chúng tôi ủng hộ quyết định của bạn.")</f>
        <v>Chúng tôi ủng hộ quyết định của bạn.</v>
      </c>
      <c r="F565" s="49" t="s">
        <v>4615</v>
      </c>
      <c r="G565" s="50" t="b">
        <f t="shared" si="1"/>
        <v>1</v>
      </c>
      <c r="H565" s="52" t="b">
        <v>1</v>
      </c>
      <c r="I565" s="52" t="b">
        <v>0</v>
      </c>
      <c r="J565" s="52" t="b">
        <v>0</v>
      </c>
      <c r="K565" s="52" t="b">
        <v>0</v>
      </c>
      <c r="L565" s="52" t="b">
        <v>0</v>
      </c>
      <c r="M565" s="52" t="b">
        <v>0</v>
      </c>
      <c r="N565" s="52" t="b">
        <v>0</v>
      </c>
      <c r="O565" s="52" t="b">
        <v>0</v>
      </c>
      <c r="P565" s="52" t="b">
        <v>0</v>
      </c>
      <c r="Q565" s="52" t="b">
        <v>0</v>
      </c>
      <c r="R565" s="44"/>
      <c r="S565" s="44"/>
      <c r="T565" s="44"/>
      <c r="U565" s="44"/>
      <c r="V565" s="44"/>
      <c r="W565" s="44"/>
      <c r="X565" s="45"/>
      <c r="Y565" s="45"/>
      <c r="Z565" s="45"/>
      <c r="AA565" s="45"/>
    </row>
    <row r="566" ht="33.75" customHeight="1">
      <c r="A566" s="46" t="s">
        <v>4622</v>
      </c>
      <c r="B566" s="47" t="s">
        <v>4623</v>
      </c>
      <c r="C566" s="47" t="s">
        <v>4624</v>
      </c>
      <c r="D566" s="29" t="s">
        <v>4625</v>
      </c>
      <c r="E566" s="48" t="str">
        <f>IFERROR(__xludf.DUMMYFUNCTION("GOOGLETRANSLATE(D566,""zh-CN"",""vi"")"),"Kiến thức là vô giá.")</f>
        <v>Kiến thức là vô giá.</v>
      </c>
      <c r="F566" s="49" t="s">
        <v>4622</v>
      </c>
      <c r="G566" s="50" t="b">
        <f t="shared" si="1"/>
        <v>1</v>
      </c>
      <c r="H566" s="52" t="b">
        <v>1</v>
      </c>
      <c r="I566" s="52" t="b">
        <v>0</v>
      </c>
      <c r="J566" s="52" t="b">
        <v>0</v>
      </c>
      <c r="K566" s="52" t="b">
        <v>0</v>
      </c>
      <c r="L566" s="52" t="b">
        <v>0</v>
      </c>
      <c r="M566" s="52" t="b">
        <v>0</v>
      </c>
      <c r="N566" s="52" t="b">
        <v>0</v>
      </c>
      <c r="O566" s="52" t="b">
        <v>0</v>
      </c>
      <c r="P566" s="52" t="b">
        <v>0</v>
      </c>
      <c r="Q566" s="52" t="b">
        <v>0</v>
      </c>
      <c r="R566" s="44"/>
      <c r="S566" s="44"/>
      <c r="T566" s="44"/>
      <c r="U566" s="44"/>
      <c r="V566" s="44"/>
      <c r="W566" s="44"/>
      <c r="X566" s="45"/>
      <c r="Y566" s="45"/>
      <c r="Z566" s="45"/>
      <c r="AA566" s="45"/>
    </row>
    <row r="567" ht="33.75" customHeight="1">
      <c r="A567" s="46" t="s">
        <v>4630</v>
      </c>
      <c r="B567" s="47" t="s">
        <v>4631</v>
      </c>
      <c r="C567" s="47" t="s">
        <v>4632</v>
      </c>
      <c r="D567" s="29" t="s">
        <v>4633</v>
      </c>
      <c r="E567" s="48" t="str">
        <f>IFERROR(__xludf.DUMMYFUNCTION("GOOGLETRANSLATE(D567,""zh-CN"",""vi"")"),"Hãy cho tôi biết kết quả ngay lập tức.")</f>
        <v>Hãy cho tôi biết kết quả ngay lập tức.</v>
      </c>
      <c r="F567" s="49" t="s">
        <v>4630</v>
      </c>
      <c r="G567" s="50" t="b">
        <f t="shared" si="1"/>
        <v>1</v>
      </c>
      <c r="H567" s="52" t="b">
        <v>1</v>
      </c>
      <c r="I567" s="52" t="b">
        <v>0</v>
      </c>
      <c r="J567" s="52" t="b">
        <v>0</v>
      </c>
      <c r="K567" s="52" t="b">
        <v>0</v>
      </c>
      <c r="L567" s="52" t="b">
        <v>0</v>
      </c>
      <c r="M567" s="52" t="b">
        <v>0</v>
      </c>
      <c r="N567" s="52" t="b">
        <v>0</v>
      </c>
      <c r="O567" s="52" t="b">
        <v>0</v>
      </c>
      <c r="P567" s="52" t="b">
        <v>0</v>
      </c>
      <c r="Q567" s="52" t="b">
        <v>0</v>
      </c>
      <c r="R567" s="44"/>
      <c r="S567" s="44"/>
      <c r="T567" s="44"/>
      <c r="U567" s="44"/>
      <c r="V567" s="44"/>
      <c r="W567" s="44"/>
      <c r="X567" s="45"/>
      <c r="Y567" s="45"/>
      <c r="Z567" s="45"/>
      <c r="AA567" s="45"/>
    </row>
    <row r="568" ht="33.75" customHeight="1">
      <c r="A568" s="46" t="s">
        <v>4638</v>
      </c>
      <c r="B568" s="47" t="s">
        <v>4639</v>
      </c>
      <c r="C568" s="47" t="s">
        <v>4640</v>
      </c>
      <c r="D568" s="29" t="s">
        <v>4641</v>
      </c>
      <c r="E568" s="48" t="str">
        <f>IFERROR(__xludf.DUMMYFUNCTION("GOOGLETRANSLATE(D568,""zh-CN"",""vi"")"),"Bộ phim này chắc chắn đáng xem.")</f>
        <v>Bộ phim này chắc chắn đáng xem.</v>
      </c>
      <c r="F568" s="49" t="s">
        <v>4638</v>
      </c>
      <c r="G568" s="50" t="b">
        <f t="shared" si="1"/>
        <v>1</v>
      </c>
      <c r="H568" s="52" t="b">
        <v>1</v>
      </c>
      <c r="I568" s="52" t="b">
        <v>0</v>
      </c>
      <c r="J568" s="52" t="b">
        <v>0</v>
      </c>
      <c r="K568" s="52" t="b">
        <v>0</v>
      </c>
      <c r="L568" s="52" t="b">
        <v>0</v>
      </c>
      <c r="M568" s="52" t="b">
        <v>0</v>
      </c>
      <c r="N568" s="52" t="b">
        <v>0</v>
      </c>
      <c r="O568" s="52" t="b">
        <v>0</v>
      </c>
      <c r="P568" s="52" t="b">
        <v>0</v>
      </c>
      <c r="Q568" s="52" t="b">
        <v>0</v>
      </c>
      <c r="R568" s="44"/>
      <c r="S568" s="44"/>
      <c r="T568" s="44"/>
      <c r="U568" s="44"/>
      <c r="V568" s="44"/>
      <c r="W568" s="44"/>
      <c r="X568" s="45"/>
      <c r="Y568" s="45"/>
      <c r="Z568" s="45"/>
      <c r="AA568" s="45"/>
    </row>
    <row r="569" ht="33.75" customHeight="1">
      <c r="A569" s="46" t="s">
        <v>4642</v>
      </c>
      <c r="B569" s="47" t="s">
        <v>4643</v>
      </c>
      <c r="C569" s="47" t="s">
        <v>4645</v>
      </c>
      <c r="D569" s="29" t="s">
        <v>4647</v>
      </c>
      <c r="E569" s="48" t="str">
        <f>IFERROR(__xludf.DUMMYFUNCTION("GOOGLETRANSLATE(D569,""zh-CN"",""vi"")"),"Nghề nghiệp của anh ấy là bác sĩ.")</f>
        <v>Nghề nghiệp của anh ấy là bác sĩ.</v>
      </c>
      <c r="F569" s="49" t="s">
        <v>4642</v>
      </c>
      <c r="G569" s="50" t="b">
        <f t="shared" si="1"/>
        <v>1</v>
      </c>
      <c r="H569" s="52" t="b">
        <v>1</v>
      </c>
      <c r="I569" s="52" t="b">
        <v>0</v>
      </c>
      <c r="J569" s="52" t="b">
        <v>0</v>
      </c>
      <c r="K569" s="52" t="b">
        <v>0</v>
      </c>
      <c r="L569" s="52" t="b">
        <v>0</v>
      </c>
      <c r="M569" s="52" t="b">
        <v>0</v>
      </c>
      <c r="N569" s="52" t="b">
        <v>0</v>
      </c>
      <c r="O569" s="52" t="b">
        <v>0</v>
      </c>
      <c r="P569" s="52" t="b">
        <v>0</v>
      </c>
      <c r="Q569" s="52" t="b">
        <v>0</v>
      </c>
      <c r="R569" s="44"/>
      <c r="S569" s="44"/>
      <c r="T569" s="44"/>
      <c r="U569" s="44"/>
      <c r="V569" s="44"/>
      <c r="W569" s="44"/>
      <c r="X569" s="45"/>
      <c r="Y569" s="45"/>
      <c r="Z569" s="45"/>
      <c r="AA569" s="45"/>
    </row>
    <row r="570" ht="33.75" customHeight="1">
      <c r="A570" s="46" t="s">
        <v>4650</v>
      </c>
      <c r="B570" s="47" t="s">
        <v>4651</v>
      </c>
      <c r="C570" s="47" t="s">
        <v>4652</v>
      </c>
      <c r="D570" s="29" t="s">
        <v>4653</v>
      </c>
      <c r="E570" s="48" t="str">
        <f>IFERROR(__xludf.DUMMYFUNCTION("GOOGLETRANSLATE(D570,""zh-CN"",""vi"")"),"Tôi thích trồng cây.")</f>
        <v>Tôi thích trồng cây.</v>
      </c>
      <c r="F570" s="49" t="s">
        <v>4650</v>
      </c>
      <c r="G570" s="50" t="b">
        <f t="shared" si="1"/>
        <v>1</v>
      </c>
      <c r="H570" s="52" t="b">
        <v>1</v>
      </c>
      <c r="I570" s="52" t="b">
        <v>0</v>
      </c>
      <c r="J570" s="52" t="b">
        <v>0</v>
      </c>
      <c r="K570" s="52" t="b">
        <v>0</v>
      </c>
      <c r="L570" s="52" t="b">
        <v>0</v>
      </c>
      <c r="M570" s="52" t="b">
        <v>0</v>
      </c>
      <c r="N570" s="52" t="b">
        <v>0</v>
      </c>
      <c r="O570" s="52" t="b">
        <v>0</v>
      </c>
      <c r="P570" s="52" t="b">
        <v>0</v>
      </c>
      <c r="Q570" s="52" t="b">
        <v>0</v>
      </c>
      <c r="R570" s="44"/>
      <c r="S570" s="44"/>
      <c r="T570" s="44"/>
      <c r="U570" s="44"/>
      <c r="V570" s="44"/>
      <c r="W570" s="44"/>
      <c r="X570" s="45"/>
      <c r="Y570" s="45"/>
      <c r="Z570" s="45"/>
      <c r="AA570" s="45"/>
    </row>
    <row r="571" ht="33.75" customHeight="1">
      <c r="A571" s="46" t="s">
        <v>4658</v>
      </c>
      <c r="B571" s="47" t="s">
        <v>4659</v>
      </c>
      <c r="C571" s="47" t="s">
        <v>569</v>
      </c>
      <c r="D571" s="29" t="s">
        <v>4660</v>
      </c>
      <c r="E571" s="48" t="str">
        <f>IFERROR(__xludf.DUMMYFUNCTION("GOOGLETRANSLATE(D571,""zh-CN"",""vi"")"),"Trời bắt đầu mưa, nên chúng tôi phải về nhà.")</f>
        <v>Trời bắt đầu mưa, nên chúng tôi phải về nhà.</v>
      </c>
      <c r="F571" s="49" t="s">
        <v>4658</v>
      </c>
      <c r="G571" s="50" t="b">
        <f t="shared" si="1"/>
        <v>1</v>
      </c>
      <c r="H571" s="52" t="b">
        <v>1</v>
      </c>
      <c r="I571" s="52" t="b">
        <v>0</v>
      </c>
      <c r="J571" s="52" t="b">
        <v>0</v>
      </c>
      <c r="K571" s="52" t="b">
        <v>0</v>
      </c>
      <c r="L571" s="52" t="b">
        <v>0</v>
      </c>
      <c r="M571" s="52" t="b">
        <v>0</v>
      </c>
      <c r="N571" s="52" t="b">
        <v>0</v>
      </c>
      <c r="O571" s="52" t="b">
        <v>0</v>
      </c>
      <c r="P571" s="52" t="b">
        <v>0</v>
      </c>
      <c r="Q571" s="52" t="b">
        <v>0</v>
      </c>
      <c r="R571" s="44"/>
      <c r="S571" s="44"/>
      <c r="T571" s="44"/>
      <c r="U571" s="44"/>
      <c r="V571" s="44"/>
      <c r="W571" s="44"/>
      <c r="X571" s="45"/>
      <c r="Y571" s="45"/>
      <c r="Z571" s="45"/>
      <c r="AA571" s="45"/>
    </row>
    <row r="572" ht="33.75" customHeight="1">
      <c r="A572" s="46" t="s">
        <v>4661</v>
      </c>
      <c r="B572" s="47" t="s">
        <v>4662</v>
      </c>
      <c r="C572" s="47" t="s">
        <v>4664</v>
      </c>
      <c r="D572" s="29" t="s">
        <v>4665</v>
      </c>
      <c r="E572" s="48" t="str">
        <f>IFERROR(__xludf.DUMMYFUNCTION("GOOGLETRANSLATE(D572,""zh-CN"",""vi"")"),"Với sự chăm chỉ, bạn sẽ thành công.")</f>
        <v>Với sự chăm chỉ, bạn sẽ thành công.</v>
      </c>
      <c r="F572" s="49" t="s">
        <v>4661</v>
      </c>
      <c r="G572" s="50" t="b">
        <f t="shared" si="1"/>
        <v>1</v>
      </c>
      <c r="H572" s="52" t="b">
        <v>1</v>
      </c>
      <c r="I572" s="52" t="b">
        <v>0</v>
      </c>
      <c r="J572" s="52" t="b">
        <v>0</v>
      </c>
      <c r="K572" s="52" t="b">
        <v>0</v>
      </c>
      <c r="L572" s="52" t="b">
        <v>0</v>
      </c>
      <c r="M572" s="52" t="b">
        <v>0</v>
      </c>
      <c r="N572" s="52" t="b">
        <v>0</v>
      </c>
      <c r="O572" s="52" t="b">
        <v>0</v>
      </c>
      <c r="P572" s="52" t="b">
        <v>0</v>
      </c>
      <c r="Q572" s="52" t="b">
        <v>0</v>
      </c>
      <c r="R572" s="44"/>
      <c r="S572" s="44"/>
      <c r="T572" s="44"/>
      <c r="U572" s="44"/>
      <c r="V572" s="44"/>
      <c r="W572" s="44"/>
      <c r="X572" s="45"/>
      <c r="Y572" s="45"/>
      <c r="Z572" s="45"/>
      <c r="AA572" s="45"/>
    </row>
    <row r="573" ht="33.75" customHeight="1">
      <c r="A573" s="46" t="s">
        <v>4669</v>
      </c>
      <c r="B573" s="47" t="s">
        <v>3542</v>
      </c>
      <c r="C573" s="47" t="s">
        <v>3543</v>
      </c>
      <c r="D573" s="29" t="s">
        <v>4670</v>
      </c>
      <c r="E573" s="48" t="str">
        <f>IFERROR(__xludf.DUMMYFUNCTION("GOOGLETRANSLATE(D573,""zh-CN"",""vi"")"),"Anh ta chỉ tay vào cái cây.")</f>
        <v>Anh ta chỉ tay vào cái cây.</v>
      </c>
      <c r="F573" s="49" t="s">
        <v>4669</v>
      </c>
      <c r="G573" s="50" t="b">
        <f t="shared" si="1"/>
        <v>1</v>
      </c>
      <c r="H573" s="52" t="b">
        <v>1</v>
      </c>
      <c r="I573" s="52" t="b">
        <v>0</v>
      </c>
      <c r="J573" s="52" t="b">
        <v>0</v>
      </c>
      <c r="K573" s="52" t="b">
        <v>0</v>
      </c>
      <c r="L573" s="52" t="b">
        <v>0</v>
      </c>
      <c r="M573" s="52" t="b">
        <v>0</v>
      </c>
      <c r="N573" s="52" t="b">
        <v>0</v>
      </c>
      <c r="O573" s="52" t="b">
        <v>0</v>
      </c>
      <c r="P573" s="52" t="b">
        <v>0</v>
      </c>
      <c r="Q573" s="52" t="b">
        <v>0</v>
      </c>
      <c r="R573" s="44"/>
      <c r="S573" s="44"/>
      <c r="T573" s="44"/>
      <c r="U573" s="44"/>
      <c r="V573" s="44"/>
      <c r="W573" s="44"/>
      <c r="X573" s="45"/>
      <c r="Y573" s="45"/>
      <c r="Z573" s="45"/>
      <c r="AA573" s="45"/>
    </row>
    <row r="574" ht="33.75" customHeight="1">
      <c r="A574" s="46" t="s">
        <v>4671</v>
      </c>
      <c r="B574" s="47" t="s">
        <v>4672</v>
      </c>
      <c r="C574" s="47" t="s">
        <v>4674</v>
      </c>
      <c r="D574" s="29" t="s">
        <v>4675</v>
      </c>
      <c r="E574" s="48" t="str">
        <f>IFERROR(__xludf.DUMMYFUNCTION("GOOGLETRANSLATE(D574,""zh-CN"",""vi"")"),"Tôi cần nghỉ ngơi ít nhất một ngày.")</f>
        <v>Tôi cần nghỉ ngơi ít nhất một ngày.</v>
      </c>
      <c r="F574" s="49" t="s">
        <v>4671</v>
      </c>
      <c r="G574" s="50" t="b">
        <f t="shared" si="1"/>
        <v>1</v>
      </c>
      <c r="H574" s="52" t="b">
        <v>1</v>
      </c>
      <c r="I574" s="52" t="b">
        <v>0</v>
      </c>
      <c r="J574" s="52" t="b">
        <v>0</v>
      </c>
      <c r="K574" s="52" t="b">
        <v>0</v>
      </c>
      <c r="L574" s="52" t="b">
        <v>0</v>
      </c>
      <c r="M574" s="52" t="b">
        <v>0</v>
      </c>
      <c r="N574" s="52" t="b">
        <v>0</v>
      </c>
      <c r="O574" s="52" t="b">
        <v>0</v>
      </c>
      <c r="P574" s="52" t="b">
        <v>0</v>
      </c>
      <c r="Q574" s="52" t="b">
        <v>0</v>
      </c>
      <c r="R574" s="44"/>
      <c r="S574" s="44"/>
      <c r="T574" s="44"/>
      <c r="U574" s="44"/>
      <c r="V574" s="44"/>
      <c r="W574" s="44"/>
      <c r="X574" s="45"/>
      <c r="Y574" s="45"/>
      <c r="Z574" s="45"/>
      <c r="AA574" s="45"/>
    </row>
    <row r="575" ht="33.75" customHeight="1">
      <c r="A575" s="46" t="s">
        <v>4679</v>
      </c>
      <c r="B575" s="47" t="s">
        <v>4680</v>
      </c>
      <c r="C575" s="47" t="s">
        <v>4681</v>
      </c>
      <c r="D575" s="29" t="s">
        <v>4682</v>
      </c>
      <c r="E575" s="48" t="str">
        <f>IFERROR(__xludf.DUMMYFUNCTION("GOOGLETRANSLATE(D575,""zh-CN"",""vi"")"),"Các sản phẩm trong cửa hàng này có chất lượng rất tốt.")</f>
        <v>Các sản phẩm trong cửa hàng này có chất lượng rất tốt.</v>
      </c>
      <c r="F575" s="49" t="s">
        <v>4679</v>
      </c>
      <c r="G575" s="50" t="b">
        <f t="shared" si="1"/>
        <v>1</v>
      </c>
      <c r="H575" s="52" t="b">
        <v>1</v>
      </c>
      <c r="I575" s="52" t="b">
        <v>0</v>
      </c>
      <c r="J575" s="52" t="b">
        <v>0</v>
      </c>
      <c r="K575" s="52" t="b">
        <v>0</v>
      </c>
      <c r="L575" s="52" t="b">
        <v>0</v>
      </c>
      <c r="M575" s="52" t="b">
        <v>0</v>
      </c>
      <c r="N575" s="52" t="b">
        <v>0</v>
      </c>
      <c r="O575" s="52" t="b">
        <v>0</v>
      </c>
      <c r="P575" s="52" t="b">
        <v>0</v>
      </c>
      <c r="Q575" s="52" t="b">
        <v>0</v>
      </c>
      <c r="R575" s="44"/>
      <c r="S575" s="44"/>
      <c r="T575" s="44"/>
      <c r="U575" s="44"/>
      <c r="V575" s="44"/>
      <c r="W575" s="44"/>
      <c r="X575" s="45"/>
      <c r="Y575" s="45"/>
      <c r="Z575" s="45"/>
      <c r="AA575" s="45"/>
    </row>
    <row r="576" ht="33.75" customHeight="1">
      <c r="A576" s="46" t="s">
        <v>4687</v>
      </c>
      <c r="B576" s="47" t="s">
        <v>4688</v>
      </c>
      <c r="C576" s="47" t="s">
        <v>4689</v>
      </c>
      <c r="D576" s="29" t="s">
        <v>4690</v>
      </c>
      <c r="E576" s="48" t="str">
        <f>IFERROR(__xludf.DUMMYFUNCTION("GOOGLETRANSLATE(D576,""zh-CN"",""vi"")"),"Chiếc hộp này rất nặng.")</f>
        <v>Chiếc hộp này rất nặng.</v>
      </c>
      <c r="F576" s="49" t="s">
        <v>4687</v>
      </c>
      <c r="G576" s="50" t="b">
        <f t="shared" si="1"/>
        <v>1</v>
      </c>
      <c r="H576" s="52" t="b">
        <v>1</v>
      </c>
      <c r="I576" s="52" t="b">
        <v>0</v>
      </c>
      <c r="J576" s="52" t="b">
        <v>0</v>
      </c>
      <c r="K576" s="52" t="b">
        <v>0</v>
      </c>
      <c r="L576" s="52" t="b">
        <v>0</v>
      </c>
      <c r="M576" s="52" t="b">
        <v>0</v>
      </c>
      <c r="N576" s="52" t="b">
        <v>0</v>
      </c>
      <c r="O576" s="52" t="b">
        <v>0</v>
      </c>
      <c r="P576" s="52" t="b">
        <v>0</v>
      </c>
      <c r="Q576" s="52" t="b">
        <v>0</v>
      </c>
      <c r="R576" s="44"/>
      <c r="S576" s="44"/>
      <c r="T576" s="44"/>
      <c r="U576" s="44"/>
      <c r="V576" s="44"/>
      <c r="W576" s="44"/>
      <c r="X576" s="45"/>
      <c r="Y576" s="45"/>
      <c r="Z576" s="45"/>
      <c r="AA576" s="45"/>
    </row>
    <row r="577" ht="33.75" customHeight="1">
      <c r="A577" s="46" t="s">
        <v>4694</v>
      </c>
      <c r="B577" s="47" t="s">
        <v>4696</v>
      </c>
      <c r="C577" s="47" t="s">
        <v>4697</v>
      </c>
      <c r="D577" s="29" t="s">
        <v>4698</v>
      </c>
      <c r="E577" s="48" t="str">
        <f>IFERROR(__xludf.DUMMYFUNCTION("GOOGLETRANSLATE(D577,""zh-CN"",""vi"")"),"Đây là vấn đề then chốt.")</f>
        <v>Đây là vấn đề then chốt.</v>
      </c>
      <c r="F577" s="49" t="s">
        <v>4694</v>
      </c>
      <c r="G577" s="50" t="b">
        <f t="shared" si="1"/>
        <v>1</v>
      </c>
      <c r="H577" s="52" t="b">
        <v>1</v>
      </c>
      <c r="I577" s="52" t="b">
        <v>0</v>
      </c>
      <c r="J577" s="52" t="b">
        <v>0</v>
      </c>
      <c r="K577" s="52" t="b">
        <v>0</v>
      </c>
      <c r="L577" s="52" t="b">
        <v>0</v>
      </c>
      <c r="M577" s="52" t="b">
        <v>0</v>
      </c>
      <c r="N577" s="52" t="b">
        <v>0</v>
      </c>
      <c r="O577" s="52" t="b">
        <v>0</v>
      </c>
      <c r="P577" s="52" t="b">
        <v>0</v>
      </c>
      <c r="Q577" s="52" t="b">
        <v>0</v>
      </c>
      <c r="R577" s="44"/>
      <c r="S577" s="44"/>
      <c r="T577" s="44"/>
      <c r="U577" s="44"/>
      <c r="V577" s="44"/>
      <c r="W577" s="44"/>
      <c r="X577" s="45"/>
      <c r="Y577" s="45"/>
      <c r="Z577" s="45"/>
      <c r="AA577" s="45"/>
    </row>
    <row r="578" ht="33.75" customHeight="1">
      <c r="A578" s="46" t="s">
        <v>4699</v>
      </c>
      <c r="B578" s="47" t="s">
        <v>4700</v>
      </c>
      <c r="C578" s="47" t="s">
        <v>4701</v>
      </c>
      <c r="D578" s="29" t="s">
        <v>4702</v>
      </c>
      <c r="E578" s="48" t="str">
        <f>IFERROR(__xludf.DUMMYFUNCTION("GOOGLETRANSLATE(D578,""zh-CN"",""vi"")"),"Anh ấy rất coi trọng sức khỏe của mình.")</f>
        <v>Anh ấy rất coi trọng sức khỏe của mình.</v>
      </c>
      <c r="F578" s="49" t="s">
        <v>4699</v>
      </c>
      <c r="G578" s="50" t="b">
        <f t="shared" si="1"/>
        <v>1</v>
      </c>
      <c r="H578" s="52" t="b">
        <v>1</v>
      </c>
      <c r="I578" s="52" t="b">
        <v>0</v>
      </c>
      <c r="J578" s="52" t="b">
        <v>0</v>
      </c>
      <c r="K578" s="52" t="b">
        <v>0</v>
      </c>
      <c r="L578" s="52" t="b">
        <v>0</v>
      </c>
      <c r="M578" s="52" t="b">
        <v>0</v>
      </c>
      <c r="N578" s="52" t="b">
        <v>0</v>
      </c>
      <c r="O578" s="52" t="b">
        <v>0</v>
      </c>
      <c r="P578" s="52" t="b">
        <v>0</v>
      </c>
      <c r="Q578" s="52" t="b">
        <v>0</v>
      </c>
      <c r="R578" s="44"/>
      <c r="S578" s="44"/>
      <c r="T578" s="44"/>
      <c r="U578" s="44"/>
      <c r="V578" s="44"/>
      <c r="W578" s="44"/>
      <c r="X578" s="45"/>
      <c r="Y578" s="45"/>
      <c r="Z578" s="45"/>
      <c r="AA578" s="45"/>
    </row>
    <row r="579" ht="33.75" customHeight="1">
      <c r="A579" s="46" t="s">
        <v>4707</v>
      </c>
      <c r="B579" s="47" t="s">
        <v>4708</v>
      </c>
      <c r="C579" s="47" t="s">
        <v>4709</v>
      </c>
      <c r="D579" s="29" t="s">
        <v>4710</v>
      </c>
      <c r="E579" s="48" t="str">
        <f>IFERROR(__xludf.DUMMYFUNCTION("GOOGLETRANSLATE(D579,""zh-CN"",""vi"")"),"Tôi sống gần trường học.")</f>
        <v>Tôi sống gần trường học.</v>
      </c>
      <c r="F579" s="49" t="s">
        <v>4707</v>
      </c>
      <c r="G579" s="50" t="b">
        <f t="shared" si="1"/>
        <v>1</v>
      </c>
      <c r="H579" s="52" t="b">
        <v>1</v>
      </c>
      <c r="I579" s="52" t="b">
        <v>0</v>
      </c>
      <c r="J579" s="52" t="b">
        <v>0</v>
      </c>
      <c r="K579" s="52" t="b">
        <v>0</v>
      </c>
      <c r="L579" s="52" t="b">
        <v>0</v>
      </c>
      <c r="M579" s="52" t="b">
        <v>0</v>
      </c>
      <c r="N579" s="52" t="b">
        <v>0</v>
      </c>
      <c r="O579" s="52" t="b">
        <v>0</v>
      </c>
      <c r="P579" s="52" t="b">
        <v>0</v>
      </c>
      <c r="Q579" s="52" t="b">
        <v>0</v>
      </c>
      <c r="R579" s="44"/>
      <c r="S579" s="44"/>
      <c r="T579" s="44"/>
      <c r="U579" s="44"/>
      <c r="V579" s="44"/>
      <c r="W579" s="44"/>
      <c r="X579" s="45"/>
      <c r="Y579" s="45"/>
      <c r="Z579" s="45"/>
      <c r="AA579" s="45"/>
    </row>
    <row r="580" ht="33.75" customHeight="1">
      <c r="A580" s="46" t="s">
        <v>4712</v>
      </c>
      <c r="B580" s="47" t="s">
        <v>4713</v>
      </c>
      <c r="C580" s="47" t="s">
        <v>4714</v>
      </c>
      <c r="D580" s="29" t="s">
        <v>4715</v>
      </c>
      <c r="E580" s="48" t="str">
        <f>IFERROR(__xludf.DUMMYFUNCTION("GOOGLETRANSLATE(D580,""zh-CN"",""vi"")"),"Đó là một ý kiến ​​hay.")</f>
        <v>Đó là một ý kiến ​​hay.</v>
      </c>
      <c r="F580" s="49" t="s">
        <v>4712</v>
      </c>
      <c r="G580" s="50" t="b">
        <f t="shared" si="1"/>
        <v>1</v>
      </c>
      <c r="H580" s="52" t="b">
        <v>1</v>
      </c>
      <c r="I580" s="52" t="b">
        <v>0</v>
      </c>
      <c r="J580" s="52" t="b">
        <v>0</v>
      </c>
      <c r="K580" s="52" t="b">
        <v>0</v>
      </c>
      <c r="L580" s="52" t="b">
        <v>0</v>
      </c>
      <c r="M580" s="52" t="b">
        <v>0</v>
      </c>
      <c r="N580" s="52" t="b">
        <v>0</v>
      </c>
      <c r="O580" s="52" t="b">
        <v>0</v>
      </c>
      <c r="P580" s="52" t="b">
        <v>0</v>
      </c>
      <c r="Q580" s="52" t="b">
        <v>0</v>
      </c>
      <c r="R580" s="44"/>
      <c r="S580" s="44"/>
      <c r="T580" s="44"/>
      <c r="U580" s="44"/>
      <c r="V580" s="44"/>
      <c r="W580" s="44"/>
      <c r="X580" s="45"/>
      <c r="Y580" s="45"/>
      <c r="Z580" s="45"/>
      <c r="AA580" s="45"/>
    </row>
    <row r="581" ht="33.75" customHeight="1">
      <c r="A581" s="46" t="s">
        <v>4717</v>
      </c>
      <c r="B581" s="47" t="s">
        <v>4718</v>
      </c>
      <c r="C581" s="47" t="s">
        <v>4719</v>
      </c>
      <c r="D581" s="29" t="s">
        <v>4720</v>
      </c>
      <c r="E581" s="48" t="str">
        <f>IFERROR(__xludf.DUMMYFUNCTION("GOOGLETRANSLATE(D581,""zh-CN"",""vi"")"),"Chúc mừng bạn đã vượt qua kỳ thi.")</f>
        <v>Chúc mừng bạn đã vượt qua kỳ thi.</v>
      </c>
      <c r="F581" s="49" t="s">
        <v>4717</v>
      </c>
      <c r="G581" s="50" t="b">
        <f t="shared" si="1"/>
        <v>1</v>
      </c>
      <c r="H581" s="52" t="b">
        <v>1</v>
      </c>
      <c r="I581" s="52" t="b">
        <v>0</v>
      </c>
      <c r="J581" s="52" t="b">
        <v>0</v>
      </c>
      <c r="K581" s="52" t="b">
        <v>0</v>
      </c>
      <c r="L581" s="52" t="b">
        <v>0</v>
      </c>
      <c r="M581" s="52" t="b">
        <v>0</v>
      </c>
      <c r="N581" s="52" t="b">
        <v>0</v>
      </c>
      <c r="O581" s="52" t="b">
        <v>0</v>
      </c>
      <c r="P581" s="52" t="b">
        <v>0</v>
      </c>
      <c r="Q581" s="52" t="b">
        <v>0</v>
      </c>
      <c r="R581" s="44"/>
      <c r="S581" s="44"/>
      <c r="T581" s="44"/>
      <c r="U581" s="44"/>
      <c r="V581" s="44"/>
      <c r="W581" s="44"/>
      <c r="X581" s="45"/>
      <c r="Y581" s="45"/>
      <c r="Z581" s="45"/>
      <c r="AA581" s="45"/>
    </row>
    <row r="582" ht="33.75" customHeight="1">
      <c r="A582" s="46" t="s">
        <v>4723</v>
      </c>
      <c r="B582" s="47" t="s">
        <v>4724</v>
      </c>
      <c r="C582" s="47" t="s">
        <v>3417</v>
      </c>
      <c r="D582" s="29" t="s">
        <v>4725</v>
      </c>
      <c r="E582" s="48" t="str">
        <f>IFERROR(__xludf.DUMMYFUNCTION("GOOGLETRANSLATE(D582,""zh-CN"",""vi"")"),"Ông ấy là một nhà văn nổi tiếng.")</f>
        <v>Ông ấy là một nhà văn nổi tiếng.</v>
      </c>
      <c r="F582" s="49" t="s">
        <v>4723</v>
      </c>
      <c r="G582" s="50" t="b">
        <f t="shared" si="1"/>
        <v>1</v>
      </c>
      <c r="H582" s="52" t="b">
        <v>1</v>
      </c>
      <c r="I582" s="52" t="b">
        <v>0</v>
      </c>
      <c r="J582" s="52" t="b">
        <v>0</v>
      </c>
      <c r="K582" s="52" t="b">
        <v>0</v>
      </c>
      <c r="L582" s="52" t="b">
        <v>0</v>
      </c>
      <c r="M582" s="52" t="b">
        <v>0</v>
      </c>
      <c r="N582" s="52" t="b">
        <v>0</v>
      </c>
      <c r="O582" s="52" t="b">
        <v>0</v>
      </c>
      <c r="P582" s="52" t="b">
        <v>0</v>
      </c>
      <c r="Q582" s="52" t="b">
        <v>0</v>
      </c>
      <c r="R582" s="44"/>
      <c r="S582" s="44"/>
      <c r="T582" s="44"/>
      <c r="U582" s="44"/>
      <c r="V582" s="44"/>
      <c r="W582" s="44"/>
      <c r="X582" s="45"/>
      <c r="Y582" s="45"/>
      <c r="Z582" s="45"/>
      <c r="AA582" s="45"/>
    </row>
    <row r="583" ht="33.75" customHeight="1">
      <c r="A583" s="46" t="s">
        <v>4727</v>
      </c>
      <c r="B583" s="47" t="s">
        <v>4728</v>
      </c>
      <c r="C583" s="47" t="s">
        <v>4730</v>
      </c>
      <c r="D583" s="29" t="s">
        <v>4732</v>
      </c>
      <c r="E583" s="48" t="str">
        <f>IFERROR(__xludf.DUMMYFUNCTION("GOOGLETRANSLATE(D583,""zh-CN"",""vi"")"),"Anh ấy chuyên về lịch sử.")</f>
        <v>Anh ấy chuyên về lịch sử.</v>
      </c>
      <c r="F583" s="49" t="s">
        <v>4727</v>
      </c>
      <c r="G583" s="50" t="b">
        <f t="shared" si="1"/>
        <v>1</v>
      </c>
      <c r="H583" s="52" t="b">
        <v>1</v>
      </c>
      <c r="I583" s="52" t="b">
        <v>0</v>
      </c>
      <c r="J583" s="52" t="b">
        <v>0</v>
      </c>
      <c r="K583" s="52" t="b">
        <v>0</v>
      </c>
      <c r="L583" s="52" t="b">
        <v>0</v>
      </c>
      <c r="M583" s="52" t="b">
        <v>0</v>
      </c>
      <c r="N583" s="52" t="b">
        <v>0</v>
      </c>
      <c r="O583" s="52" t="b">
        <v>0</v>
      </c>
      <c r="P583" s="52" t="b">
        <v>0</v>
      </c>
      <c r="Q583" s="52" t="b">
        <v>0</v>
      </c>
      <c r="R583" s="44"/>
      <c r="S583" s="44"/>
      <c r="T583" s="44"/>
      <c r="U583" s="44"/>
      <c r="V583" s="44"/>
      <c r="W583" s="44"/>
      <c r="X583" s="45"/>
      <c r="Y583" s="45"/>
      <c r="Z583" s="45"/>
      <c r="AA583" s="45"/>
    </row>
    <row r="584" ht="33.75" customHeight="1">
      <c r="A584" s="46" t="s">
        <v>4733</v>
      </c>
      <c r="B584" s="47" t="s">
        <v>4734</v>
      </c>
      <c r="C584" s="47" t="s">
        <v>4735</v>
      </c>
      <c r="D584" s="29" t="s">
        <v>4736</v>
      </c>
      <c r="E584" s="48" t="str">
        <f>IFERROR(__xludf.DUMMYFUNCTION("GOOGLETRANSLATE(D584,""zh-CN"",""vi"")"),"Chuyên ngành của anh ấy là toán học.")</f>
        <v>Chuyên ngành của anh ấy là toán học.</v>
      </c>
      <c r="F584" s="49" t="s">
        <v>4733</v>
      </c>
      <c r="G584" s="50" t="b">
        <f t="shared" si="1"/>
        <v>1</v>
      </c>
      <c r="H584" s="52" t="b">
        <v>1</v>
      </c>
      <c r="I584" s="52" t="b">
        <v>0</v>
      </c>
      <c r="J584" s="52" t="b">
        <v>0</v>
      </c>
      <c r="K584" s="52" t="b">
        <v>0</v>
      </c>
      <c r="L584" s="52" t="b">
        <v>0</v>
      </c>
      <c r="M584" s="52" t="b">
        <v>0</v>
      </c>
      <c r="N584" s="52" t="b">
        <v>0</v>
      </c>
      <c r="O584" s="52" t="b">
        <v>0</v>
      </c>
      <c r="P584" s="52" t="b">
        <v>0</v>
      </c>
      <c r="Q584" s="52" t="b">
        <v>0</v>
      </c>
      <c r="R584" s="44"/>
      <c r="S584" s="44"/>
      <c r="T584" s="44"/>
      <c r="U584" s="44"/>
      <c r="V584" s="44"/>
      <c r="W584" s="44"/>
      <c r="X584" s="45"/>
      <c r="Y584" s="45"/>
      <c r="Z584" s="45"/>
      <c r="AA584" s="45"/>
    </row>
    <row r="585" ht="33.75" customHeight="1">
      <c r="A585" s="46" t="s">
        <v>4741</v>
      </c>
      <c r="B585" s="47" t="s">
        <v>4742</v>
      </c>
      <c r="C585" s="47" t="s">
        <v>4743</v>
      </c>
      <c r="D585" s="29" t="s">
        <v>4744</v>
      </c>
      <c r="E585" s="48" t="str">
        <f>IFERROR(__xludf.DUMMYFUNCTION("GOOGLETRANSLATE(D585,""zh-CN"",""vi"")"),"Vui lòng xoay ghế lại.")</f>
        <v>Vui lòng xoay ghế lại.</v>
      </c>
      <c r="F585" s="49" t="s">
        <v>4741</v>
      </c>
      <c r="G585" s="50" t="b">
        <f t="shared" si="1"/>
        <v>1</v>
      </c>
      <c r="H585" s="52" t="b">
        <v>1</v>
      </c>
      <c r="I585" s="52" t="b">
        <v>0</v>
      </c>
      <c r="J585" s="52" t="b">
        <v>0</v>
      </c>
      <c r="K585" s="52" t="b">
        <v>0</v>
      </c>
      <c r="L585" s="52" t="b">
        <v>0</v>
      </c>
      <c r="M585" s="52" t="b">
        <v>0</v>
      </c>
      <c r="N585" s="52" t="b">
        <v>0</v>
      </c>
      <c r="O585" s="52" t="b">
        <v>0</v>
      </c>
      <c r="P585" s="52" t="b">
        <v>0</v>
      </c>
      <c r="Q585" s="52" t="b">
        <v>0</v>
      </c>
      <c r="R585" s="44"/>
      <c r="S585" s="44"/>
      <c r="T585" s="44"/>
      <c r="U585" s="44"/>
      <c r="V585" s="44"/>
      <c r="W585" s="44"/>
      <c r="X585" s="45"/>
      <c r="Y585" s="45"/>
      <c r="Z585" s="45"/>
      <c r="AA585" s="45"/>
    </row>
    <row r="586" ht="33.75" customHeight="1">
      <c r="A586" s="46" t="s">
        <v>4749</v>
      </c>
      <c r="B586" s="47" t="s">
        <v>4750</v>
      </c>
      <c r="C586" s="47" t="s">
        <v>4751</v>
      </c>
      <c r="D586" s="29" t="s">
        <v>4752</v>
      </c>
      <c r="E586" s="48" t="str">
        <f>IFERROR(__xludf.DUMMYFUNCTION("GOOGLETRANSLATE(D586,""zh-CN"",""vi"")"),"Anh ấy kiếm được rất nhiều tiền ở công ty đó.")</f>
        <v>Anh ấy kiếm được rất nhiều tiền ở công ty đó.</v>
      </c>
      <c r="F586" s="49" t="s">
        <v>4749</v>
      </c>
      <c r="G586" s="50" t="b">
        <f t="shared" si="1"/>
        <v>1</v>
      </c>
      <c r="H586" s="52" t="b">
        <v>1</v>
      </c>
      <c r="I586" s="52" t="b">
        <v>0</v>
      </c>
      <c r="J586" s="52" t="b">
        <v>0</v>
      </c>
      <c r="K586" s="52" t="b">
        <v>0</v>
      </c>
      <c r="L586" s="52" t="b">
        <v>0</v>
      </c>
      <c r="M586" s="52" t="b">
        <v>0</v>
      </c>
      <c r="N586" s="52" t="b">
        <v>0</v>
      </c>
      <c r="O586" s="52" t="b">
        <v>0</v>
      </c>
      <c r="P586" s="52" t="b">
        <v>0</v>
      </c>
      <c r="Q586" s="52" t="b">
        <v>0</v>
      </c>
      <c r="R586" s="44"/>
      <c r="S586" s="44"/>
      <c r="T586" s="44"/>
      <c r="U586" s="44"/>
      <c r="V586" s="44"/>
      <c r="W586" s="44"/>
      <c r="X586" s="45"/>
      <c r="Y586" s="45"/>
      <c r="Z586" s="45"/>
      <c r="AA586" s="45"/>
    </row>
    <row r="587" ht="33.75" customHeight="1">
      <c r="A587" s="46" t="s">
        <v>4754</v>
      </c>
      <c r="B587" s="47" t="s">
        <v>4756</v>
      </c>
      <c r="C587" s="47" t="s">
        <v>4592</v>
      </c>
      <c r="D587" s="29" t="s">
        <v>4758</v>
      </c>
      <c r="E587" s="48" t="str">
        <f>IFERROR(__xludf.DUMMYFUNCTION("GOOGLETRANSLATE(D587,""zh-CN"",""vi"")"),"Câu trả lời của anh ấy rất chính xác.")</f>
        <v>Câu trả lời của anh ấy rất chính xác.</v>
      </c>
      <c r="F587" s="49" t="s">
        <v>4754</v>
      </c>
      <c r="G587" s="50" t="b">
        <f t="shared" si="1"/>
        <v>1</v>
      </c>
      <c r="H587" s="52" t="b">
        <v>1</v>
      </c>
      <c r="I587" s="52" t="b">
        <v>0</v>
      </c>
      <c r="J587" s="52" t="b">
        <v>0</v>
      </c>
      <c r="K587" s="52" t="b">
        <v>0</v>
      </c>
      <c r="L587" s="52" t="b">
        <v>0</v>
      </c>
      <c r="M587" s="52" t="b">
        <v>0</v>
      </c>
      <c r="N587" s="52" t="b">
        <v>0</v>
      </c>
      <c r="O587" s="52" t="b">
        <v>0</v>
      </c>
      <c r="P587" s="52" t="b">
        <v>0</v>
      </c>
      <c r="Q587" s="52" t="b">
        <v>0</v>
      </c>
      <c r="R587" s="44"/>
      <c r="S587" s="44"/>
      <c r="T587" s="44"/>
      <c r="U587" s="44"/>
      <c r="V587" s="44"/>
      <c r="W587" s="44"/>
      <c r="X587" s="45"/>
      <c r="Y587" s="45"/>
      <c r="Z587" s="45"/>
      <c r="AA587" s="45"/>
    </row>
    <row r="588" ht="33.75" customHeight="1">
      <c r="A588" s="46" t="s">
        <v>4760</v>
      </c>
      <c r="B588" s="47" t="s">
        <v>4761</v>
      </c>
      <c r="C588" s="47" t="s">
        <v>4762</v>
      </c>
      <c r="D588" s="29" t="s">
        <v>4763</v>
      </c>
      <c r="E588" s="48" t="str">
        <f>IFERROR(__xludf.DUMMYFUNCTION("GOOGLETRANSLATE(D588,""zh-CN"",""vi"")"),"Vui lòng đến đúng giờ.")</f>
        <v>Vui lòng đến đúng giờ.</v>
      </c>
      <c r="F588" s="49" t="s">
        <v>4760</v>
      </c>
      <c r="G588" s="50" t="b">
        <f t="shared" si="1"/>
        <v>1</v>
      </c>
      <c r="H588" s="52" t="b">
        <v>1</v>
      </c>
      <c r="I588" s="52" t="b">
        <v>0</v>
      </c>
      <c r="J588" s="52" t="b">
        <v>0</v>
      </c>
      <c r="K588" s="52" t="b">
        <v>0</v>
      </c>
      <c r="L588" s="52" t="b">
        <v>0</v>
      </c>
      <c r="M588" s="52" t="b">
        <v>0</v>
      </c>
      <c r="N588" s="52" t="b">
        <v>0</v>
      </c>
      <c r="O588" s="52" t="b">
        <v>0</v>
      </c>
      <c r="P588" s="52" t="b">
        <v>0</v>
      </c>
      <c r="Q588" s="52" t="b">
        <v>0</v>
      </c>
      <c r="R588" s="44"/>
      <c r="S588" s="44"/>
      <c r="T588" s="44"/>
      <c r="U588" s="44"/>
      <c r="V588" s="44"/>
      <c r="W588" s="44"/>
      <c r="X588" s="45"/>
      <c r="Y588" s="45"/>
      <c r="Z588" s="45"/>
      <c r="AA588" s="45"/>
    </row>
    <row r="589" ht="33.75" customHeight="1">
      <c r="A589" s="46" t="s">
        <v>4768</v>
      </c>
      <c r="B589" s="47" t="s">
        <v>4769</v>
      </c>
      <c r="C589" s="47" t="s">
        <v>3126</v>
      </c>
      <c r="D589" s="29" t="s">
        <v>4770</v>
      </c>
      <c r="E589" s="48" t="str">
        <f>IFERROR(__xludf.DUMMYFUNCTION("GOOGLETRANSLATE(D589,""zh-CN"",""vi"")"),"Anh ấy rất tỉ mỉ trong công việc.")</f>
        <v>Anh ấy rất tỉ mỉ trong công việc.</v>
      </c>
      <c r="F589" s="49" t="s">
        <v>4768</v>
      </c>
      <c r="G589" s="50" t="b">
        <f t="shared" si="1"/>
        <v>1</v>
      </c>
      <c r="H589" s="52" t="b">
        <v>1</v>
      </c>
      <c r="I589" s="52" t="b">
        <v>0</v>
      </c>
      <c r="J589" s="52" t="b">
        <v>0</v>
      </c>
      <c r="K589" s="52" t="b">
        <v>0</v>
      </c>
      <c r="L589" s="52" t="b">
        <v>0</v>
      </c>
      <c r="M589" s="52" t="b">
        <v>0</v>
      </c>
      <c r="N589" s="52" t="b">
        <v>0</v>
      </c>
      <c r="O589" s="52" t="b">
        <v>0</v>
      </c>
      <c r="P589" s="52" t="b">
        <v>0</v>
      </c>
      <c r="Q589" s="52" t="b">
        <v>0</v>
      </c>
      <c r="R589" s="44"/>
      <c r="S589" s="44"/>
      <c r="T589" s="44"/>
      <c r="U589" s="44"/>
      <c r="V589" s="44"/>
      <c r="W589" s="44"/>
      <c r="X589" s="45"/>
      <c r="Y589" s="45"/>
      <c r="Z589" s="45"/>
      <c r="AA589" s="45"/>
    </row>
    <row r="590" ht="33.75" customHeight="1">
      <c r="A590" s="46" t="s">
        <v>4775</v>
      </c>
      <c r="B590" s="47" t="s">
        <v>4776</v>
      </c>
      <c r="C590" s="47" t="s">
        <v>4777</v>
      </c>
      <c r="D590" s="29" t="s">
        <v>4778</v>
      </c>
      <c r="E590" s="48" t="str">
        <f>IFERROR(__xludf.DUMMYFUNCTION("GOOGLETRANSLATE(D590,""zh-CN"",""vi"")"),"Cảnh quan thiên nhiên rất đẹp.")</f>
        <v>Cảnh quan thiên nhiên rất đẹp.</v>
      </c>
      <c r="F590" s="49" t="s">
        <v>4775</v>
      </c>
      <c r="G590" s="50" t="b">
        <f t="shared" si="1"/>
        <v>1</v>
      </c>
      <c r="H590" s="52" t="b">
        <v>1</v>
      </c>
      <c r="I590" s="52" t="b">
        <v>0</v>
      </c>
      <c r="J590" s="52" t="b">
        <v>0</v>
      </c>
      <c r="K590" s="52" t="b">
        <v>0</v>
      </c>
      <c r="L590" s="52" t="b">
        <v>0</v>
      </c>
      <c r="M590" s="52" t="b">
        <v>0</v>
      </c>
      <c r="N590" s="52" t="b">
        <v>0</v>
      </c>
      <c r="O590" s="52" t="b">
        <v>0</v>
      </c>
      <c r="P590" s="52" t="b">
        <v>0</v>
      </c>
      <c r="Q590" s="52" t="b">
        <v>0</v>
      </c>
      <c r="R590" s="44"/>
      <c r="S590" s="44"/>
      <c r="T590" s="44"/>
      <c r="U590" s="44"/>
      <c r="V590" s="44"/>
      <c r="W590" s="44"/>
      <c r="X590" s="45"/>
      <c r="Y590" s="45"/>
      <c r="Z590" s="45"/>
      <c r="AA590" s="45"/>
    </row>
    <row r="591" ht="33.75" customHeight="1">
      <c r="A591" s="46" t="s">
        <v>4779</v>
      </c>
      <c r="B591" s="47" t="s">
        <v>4781</v>
      </c>
      <c r="C591" s="47" t="s">
        <v>4783</v>
      </c>
      <c r="D591" s="29" t="s">
        <v>4785</v>
      </c>
      <c r="E591" s="48" t="str">
        <f>IFERROR(__xludf.DUMMYFUNCTION("GOOGLETRANSLATE(D591,""zh-CN"",""vi"")"),"Tôi rất tự tin vào bản thân mình.")</f>
        <v>Tôi rất tự tin vào bản thân mình.</v>
      </c>
      <c r="F591" s="49" t="s">
        <v>4779</v>
      </c>
      <c r="G591" s="50" t="b">
        <f t="shared" si="1"/>
        <v>1</v>
      </c>
      <c r="H591" s="52" t="b">
        <v>1</v>
      </c>
      <c r="I591" s="52" t="b">
        <v>0</v>
      </c>
      <c r="J591" s="52" t="b">
        <v>0</v>
      </c>
      <c r="K591" s="52" t="b">
        <v>0</v>
      </c>
      <c r="L591" s="52" t="b">
        <v>0</v>
      </c>
      <c r="M591" s="52" t="b">
        <v>0</v>
      </c>
      <c r="N591" s="52" t="b">
        <v>0</v>
      </c>
      <c r="O591" s="52" t="b">
        <v>0</v>
      </c>
      <c r="P591" s="52" t="b">
        <v>0</v>
      </c>
      <c r="Q591" s="52" t="b">
        <v>0</v>
      </c>
      <c r="R591" s="44"/>
      <c r="S591" s="44"/>
      <c r="T591" s="44"/>
      <c r="U591" s="44"/>
      <c r="V591" s="44"/>
      <c r="W591" s="44"/>
      <c r="X591" s="45"/>
      <c r="Y591" s="45"/>
      <c r="Z591" s="45"/>
      <c r="AA591" s="45"/>
    </row>
    <row r="592" ht="33.75" customHeight="1">
      <c r="A592" s="46" t="s">
        <v>4787</v>
      </c>
      <c r="B592" s="47" t="s">
        <v>4788</v>
      </c>
      <c r="C592" s="47" t="s">
        <v>4789</v>
      </c>
      <c r="D592" s="29" t="s">
        <v>4790</v>
      </c>
      <c r="E592" s="48" t="str">
        <f>IFERROR(__xludf.DUMMYFUNCTION("GOOGLETRANSLATE(D592,""zh-CN"",""vi"")"),"Ông đã tóm tắt những điểm chính của cuộc họp.")</f>
        <v>Ông đã tóm tắt những điểm chính của cuộc họp.</v>
      </c>
      <c r="F592" s="49" t="s">
        <v>4787</v>
      </c>
      <c r="G592" s="50" t="b">
        <f t="shared" si="1"/>
        <v>1</v>
      </c>
      <c r="H592" s="52" t="b">
        <v>1</v>
      </c>
      <c r="I592" s="52" t="b">
        <v>0</v>
      </c>
      <c r="J592" s="52" t="b">
        <v>0</v>
      </c>
      <c r="K592" s="52" t="b">
        <v>0</v>
      </c>
      <c r="L592" s="52" t="b">
        <v>0</v>
      </c>
      <c r="M592" s="52" t="b">
        <v>0</v>
      </c>
      <c r="N592" s="52" t="b">
        <v>0</v>
      </c>
      <c r="O592" s="52" t="b">
        <v>0</v>
      </c>
      <c r="P592" s="52" t="b">
        <v>0</v>
      </c>
      <c r="Q592" s="52" t="b">
        <v>0</v>
      </c>
      <c r="R592" s="44"/>
      <c r="S592" s="44"/>
      <c r="T592" s="44"/>
      <c r="U592" s="44"/>
      <c r="V592" s="44"/>
      <c r="W592" s="44"/>
      <c r="X592" s="45"/>
      <c r="Y592" s="45"/>
      <c r="Z592" s="45"/>
      <c r="AA592" s="45"/>
    </row>
    <row r="593" ht="33.75" customHeight="1">
      <c r="A593" s="46" t="s">
        <v>4795</v>
      </c>
      <c r="B593" s="47" t="s">
        <v>4796</v>
      </c>
      <c r="C593" s="47" t="s">
        <v>4797</v>
      </c>
      <c r="D593" s="29" t="s">
        <v>4798</v>
      </c>
      <c r="E593" s="48" t="str">
        <f>IFERROR(__xludf.DUMMYFUNCTION("GOOGLETRANSLATE(D593,""zh-CN"",""vi"")"),"Tôi đã thuê một chiếc xe hơi.")</f>
        <v>Tôi đã thuê một chiếc xe hơi.</v>
      </c>
      <c r="F593" s="49" t="s">
        <v>4795</v>
      </c>
      <c r="G593" s="50" t="b">
        <f t="shared" si="1"/>
        <v>1</v>
      </c>
      <c r="H593" s="52" t="b">
        <v>1</v>
      </c>
      <c r="I593" s="52" t="b">
        <v>0</v>
      </c>
      <c r="J593" s="52" t="b">
        <v>0</v>
      </c>
      <c r="K593" s="52" t="b">
        <v>0</v>
      </c>
      <c r="L593" s="52" t="b">
        <v>0</v>
      </c>
      <c r="M593" s="52" t="b">
        <v>0</v>
      </c>
      <c r="N593" s="52" t="b">
        <v>0</v>
      </c>
      <c r="O593" s="52" t="b">
        <v>0</v>
      </c>
      <c r="P593" s="52" t="b">
        <v>0</v>
      </c>
      <c r="Q593" s="52" t="b">
        <v>0</v>
      </c>
      <c r="R593" s="44"/>
      <c r="S593" s="44"/>
      <c r="T593" s="44"/>
      <c r="U593" s="44"/>
      <c r="V593" s="44"/>
      <c r="W593" s="44"/>
      <c r="X593" s="45"/>
      <c r="Y593" s="45"/>
      <c r="Z593" s="45"/>
      <c r="AA593" s="45"/>
    </row>
    <row r="594" ht="33.75" customHeight="1">
      <c r="A594" s="46" t="s">
        <v>4802</v>
      </c>
      <c r="B594" s="47" t="s">
        <v>4803</v>
      </c>
      <c r="C594" s="47" t="s">
        <v>4805</v>
      </c>
      <c r="D594" s="29" t="s">
        <v>4806</v>
      </c>
      <c r="E594" s="48" t="str">
        <f>IFERROR(__xludf.DUMMYFUNCTION("GOOGLETRANSLATE(D594,""zh-CN"",""vi"")"),"Đây là lựa chọn tốt nhất.")</f>
        <v>Đây là lựa chọn tốt nhất.</v>
      </c>
      <c r="F594" s="49" t="s">
        <v>4802</v>
      </c>
      <c r="G594" s="50" t="b">
        <f t="shared" si="1"/>
        <v>1</v>
      </c>
      <c r="H594" s="52" t="b">
        <v>1</v>
      </c>
      <c r="I594" s="52" t="b">
        <v>0</v>
      </c>
      <c r="J594" s="52" t="b">
        <v>0</v>
      </c>
      <c r="K594" s="52" t="b">
        <v>0</v>
      </c>
      <c r="L594" s="52" t="b">
        <v>0</v>
      </c>
      <c r="M594" s="52" t="b">
        <v>0</v>
      </c>
      <c r="N594" s="52" t="b">
        <v>0</v>
      </c>
      <c r="O594" s="52" t="b">
        <v>0</v>
      </c>
      <c r="P594" s="52" t="b">
        <v>0</v>
      </c>
      <c r="Q594" s="52" t="b">
        <v>0</v>
      </c>
      <c r="R594" s="44"/>
      <c r="S594" s="44"/>
      <c r="T594" s="44"/>
      <c r="U594" s="44"/>
      <c r="V594" s="44"/>
      <c r="W594" s="44"/>
      <c r="X594" s="45"/>
      <c r="Y594" s="45"/>
      <c r="Z594" s="45"/>
      <c r="AA594" s="45"/>
    </row>
    <row r="595" ht="33.75" customHeight="1">
      <c r="A595" s="46" t="s">
        <v>4807</v>
      </c>
      <c r="B595" s="47" t="s">
        <v>4808</v>
      </c>
      <c r="C595" s="47" t="s">
        <v>4809</v>
      </c>
      <c r="D595" s="29" t="s">
        <v>4810</v>
      </c>
      <c r="E595" s="48" t="str">
        <f>IFERROR(__xludf.DUMMYFUNCTION("GOOGLETRANSLATE(D595,""zh-CN"",""vi"")"),"Chúng ta nên tôn trọng ý kiến ​​của người khác.")</f>
        <v>Chúng ta nên tôn trọng ý kiến ​​của người khác.</v>
      </c>
      <c r="F595" s="49" t="s">
        <v>4807</v>
      </c>
      <c r="G595" s="50" t="b">
        <f t="shared" si="1"/>
        <v>1</v>
      </c>
      <c r="H595" s="52" t="b">
        <v>1</v>
      </c>
      <c r="I595" s="52" t="b">
        <v>0</v>
      </c>
      <c r="J595" s="52" t="b">
        <v>0</v>
      </c>
      <c r="K595" s="52" t="b">
        <v>0</v>
      </c>
      <c r="L595" s="52" t="b">
        <v>0</v>
      </c>
      <c r="M595" s="52" t="b">
        <v>0</v>
      </c>
      <c r="N595" s="52" t="b">
        <v>0</v>
      </c>
      <c r="O595" s="52" t="b">
        <v>0</v>
      </c>
      <c r="P595" s="52" t="b">
        <v>0</v>
      </c>
      <c r="Q595" s="52" t="b">
        <v>0</v>
      </c>
      <c r="R595" s="44"/>
      <c r="S595" s="44"/>
      <c r="T595" s="44"/>
      <c r="U595" s="44"/>
      <c r="V595" s="44"/>
      <c r="W595" s="44"/>
      <c r="X595" s="45"/>
      <c r="Y595" s="45"/>
      <c r="Z595" s="45"/>
      <c r="AA595" s="45"/>
    </row>
    <row r="596" ht="33.75" customHeight="1">
      <c r="A596" s="46" t="s">
        <v>4815</v>
      </c>
      <c r="B596" s="47" t="s">
        <v>4816</v>
      </c>
      <c r="C596" s="47" t="s">
        <v>987</v>
      </c>
      <c r="D596" s="29" t="s">
        <v>4817</v>
      </c>
      <c r="E596" s="48" t="str">
        <f>IFERROR(__xludf.DUMMYFUNCTION("GOOGLETRANSLATE(D596,""zh-CN"",""vi"")"),"Anh ấy đứng bên trái và bên phải tôi.")</f>
        <v>Anh ấy đứng bên trái và bên phải tôi.</v>
      </c>
      <c r="F596" s="49" t="s">
        <v>4815</v>
      </c>
      <c r="G596" s="50" t="b">
        <f t="shared" si="1"/>
        <v>1</v>
      </c>
      <c r="H596" s="52" t="b">
        <v>1</v>
      </c>
      <c r="I596" s="52" t="b">
        <v>0</v>
      </c>
      <c r="J596" s="52" t="b">
        <v>0</v>
      </c>
      <c r="K596" s="52" t="b">
        <v>0</v>
      </c>
      <c r="L596" s="52" t="b">
        <v>0</v>
      </c>
      <c r="M596" s="52" t="b">
        <v>0</v>
      </c>
      <c r="N596" s="52" t="b">
        <v>0</v>
      </c>
      <c r="O596" s="52" t="b">
        <v>0</v>
      </c>
      <c r="P596" s="52" t="b">
        <v>0</v>
      </c>
      <c r="Q596" s="52" t="b">
        <v>0</v>
      </c>
      <c r="R596" s="44"/>
      <c r="S596" s="44"/>
      <c r="T596" s="44"/>
      <c r="U596" s="44"/>
      <c r="V596" s="44"/>
      <c r="W596" s="44"/>
      <c r="X596" s="45"/>
      <c r="Y596" s="45"/>
      <c r="Z596" s="45"/>
      <c r="AA596" s="45"/>
    </row>
    <row r="597" ht="33.75" customHeight="1">
      <c r="A597" s="46" t="s">
        <v>4822</v>
      </c>
      <c r="B597" s="47" t="s">
        <v>4823</v>
      </c>
      <c r="C597" s="47" t="s">
        <v>4824</v>
      </c>
      <c r="D597" s="29" t="s">
        <v>4725</v>
      </c>
      <c r="E597" s="48" t="str">
        <f>IFERROR(__xludf.DUMMYFUNCTION("GOOGLETRANSLATE(D597,""zh-CN"",""vi"")"),"Ông ấy là một nhà văn nổi tiếng.")</f>
        <v>Ông ấy là một nhà văn nổi tiếng.</v>
      </c>
      <c r="F597" s="49" t="s">
        <v>4822</v>
      </c>
      <c r="G597" s="50" t="b">
        <f t="shared" si="1"/>
        <v>1</v>
      </c>
      <c r="H597" s="52" t="b">
        <v>1</v>
      </c>
      <c r="I597" s="52" t="b">
        <v>0</v>
      </c>
      <c r="J597" s="52" t="b">
        <v>0</v>
      </c>
      <c r="K597" s="52" t="b">
        <v>0</v>
      </c>
      <c r="L597" s="52" t="b">
        <v>0</v>
      </c>
      <c r="M597" s="52" t="b">
        <v>0</v>
      </c>
      <c r="N597" s="52" t="b">
        <v>0</v>
      </c>
      <c r="O597" s="52" t="b">
        <v>0</v>
      </c>
      <c r="P597" s="52" t="b">
        <v>0</v>
      </c>
      <c r="Q597" s="52" t="b">
        <v>0</v>
      </c>
      <c r="R597" s="44"/>
      <c r="S597" s="44"/>
      <c r="T597" s="44"/>
      <c r="U597" s="44"/>
      <c r="V597" s="44"/>
      <c r="W597" s="44"/>
      <c r="X597" s="45"/>
      <c r="Y597" s="45"/>
      <c r="Z597" s="45"/>
      <c r="AA597" s="45"/>
    </row>
    <row r="598" ht="33.75" customHeight="1">
      <c r="A598" s="46" t="s">
        <v>3645</v>
      </c>
      <c r="B598" s="47" t="s">
        <v>4825</v>
      </c>
      <c r="C598" s="47" t="s">
        <v>3647</v>
      </c>
      <c r="D598" s="29" t="s">
        <v>4826</v>
      </c>
      <c r="E598" s="48" t="str">
        <f>IFERROR(__xludf.DUMMYFUNCTION("GOOGLETRANSLATE(D598,""zh-CN"",""vi"")"),"Thuốc này rất hiệu quả trong điều trị cảm lạnh.")</f>
        <v>Thuốc này rất hiệu quả trong điều trị cảm lạnh.</v>
      </c>
      <c r="F598" s="49" t="s">
        <v>3645</v>
      </c>
      <c r="G598" s="50" t="b">
        <f t="shared" si="1"/>
        <v>1</v>
      </c>
      <c r="H598" s="52" t="b">
        <v>1</v>
      </c>
      <c r="I598" s="52" t="b">
        <v>0</v>
      </c>
      <c r="J598" s="52" t="b">
        <v>0</v>
      </c>
      <c r="K598" s="52" t="b">
        <v>0</v>
      </c>
      <c r="L598" s="52" t="b">
        <v>0</v>
      </c>
      <c r="M598" s="52" t="b">
        <v>0</v>
      </c>
      <c r="N598" s="52" t="b">
        <v>0</v>
      </c>
      <c r="O598" s="52" t="b">
        <v>0</v>
      </c>
      <c r="P598" s="52" t="b">
        <v>0</v>
      </c>
      <c r="Q598" s="52" t="b">
        <v>0</v>
      </c>
      <c r="R598" s="44"/>
      <c r="S598" s="44"/>
      <c r="T598" s="44"/>
      <c r="U598" s="44"/>
      <c r="V598" s="44"/>
      <c r="W598" s="44"/>
      <c r="X598" s="45"/>
      <c r="Y598" s="45"/>
      <c r="Z598" s="45"/>
      <c r="AA598" s="45"/>
    </row>
    <row r="599" ht="33.75" customHeight="1">
      <c r="A599" s="46" t="s">
        <v>4833</v>
      </c>
      <c r="B599" s="47" t="s">
        <v>4834</v>
      </c>
      <c r="C599" s="47" t="s">
        <v>4824</v>
      </c>
      <c r="D599" s="29" t="s">
        <v>4836</v>
      </c>
      <c r="E599" s="48" t="str">
        <f>IFERROR(__xludf.DUMMYFUNCTION("GOOGLETRANSLATE(D599,""zh-CN"",""vi"")"),"Ai là tác giả của cuốn sách này?")</f>
        <v>Ai là tác giả của cuốn sách này?</v>
      </c>
      <c r="F599" s="49" t="s">
        <v>4833</v>
      </c>
      <c r="G599" s="50" t="b">
        <f t="shared" si="1"/>
        <v>1</v>
      </c>
      <c r="H599" s="52" t="b">
        <v>1</v>
      </c>
      <c r="I599" s="52" t="b">
        <v>0</v>
      </c>
      <c r="J599" s="52" t="b">
        <v>0</v>
      </c>
      <c r="K599" s="52" t="b">
        <v>0</v>
      </c>
      <c r="L599" s="52" t="b">
        <v>0</v>
      </c>
      <c r="M599" s="52" t="b">
        <v>0</v>
      </c>
      <c r="N599" s="52" t="b">
        <v>0</v>
      </c>
      <c r="O599" s="52" t="b">
        <v>0</v>
      </c>
      <c r="P599" s="52" t="b">
        <v>0</v>
      </c>
      <c r="Q599" s="52" t="b">
        <v>0</v>
      </c>
      <c r="R599" s="44"/>
      <c r="S599" s="44"/>
      <c r="T599" s="44"/>
      <c r="U599" s="44"/>
      <c r="V599" s="44"/>
      <c r="W599" s="44"/>
      <c r="X599" s="45"/>
      <c r="Y599" s="45"/>
      <c r="Z599" s="45"/>
      <c r="AA599" s="45"/>
    </row>
    <row r="600" ht="33.75" customHeight="1">
      <c r="A600" s="46" t="s">
        <v>4839</v>
      </c>
      <c r="B600" s="47" t="s">
        <v>2425</v>
      </c>
      <c r="C600" s="47" t="s">
        <v>4840</v>
      </c>
      <c r="D600" s="29" t="s">
        <v>507</v>
      </c>
      <c r="E600" s="48" t="str">
        <f>IFERROR(__xludf.DUMMYFUNCTION("GOOGLETRANSLATE(D600,""zh-CN"",""vi"")"),"Thành phố này rất lớn.")</f>
        <v>Thành phố này rất lớn.</v>
      </c>
      <c r="F600" s="49" t="s">
        <v>4839</v>
      </c>
      <c r="G600" s="50" t="b">
        <f t="shared" si="1"/>
        <v>1</v>
      </c>
      <c r="H600" s="52" t="b">
        <v>1</v>
      </c>
      <c r="I600" s="52" t="b">
        <v>0</v>
      </c>
      <c r="J600" s="52" t="b">
        <v>0</v>
      </c>
      <c r="K600" s="52" t="b">
        <v>0</v>
      </c>
      <c r="L600" s="52" t="b">
        <v>0</v>
      </c>
      <c r="M600" s="52" t="b">
        <v>0</v>
      </c>
      <c r="N600" s="52" t="b">
        <v>0</v>
      </c>
      <c r="O600" s="52" t="b">
        <v>0</v>
      </c>
      <c r="P600" s="52" t="b">
        <v>0</v>
      </c>
      <c r="Q600" s="52" t="b">
        <v>0</v>
      </c>
      <c r="R600" s="44"/>
      <c r="S600" s="44"/>
      <c r="T600" s="44"/>
      <c r="U600" s="44"/>
      <c r="V600" s="44"/>
      <c r="W600" s="44"/>
      <c r="X600" s="45"/>
      <c r="Y600" s="45"/>
      <c r="Z600" s="45"/>
      <c r="AA600" s="45"/>
    </row>
    <row r="601" ht="33.75" customHeight="1">
      <c r="A601" s="46" t="s">
        <v>4845</v>
      </c>
      <c r="B601" s="47" t="s">
        <v>4846</v>
      </c>
      <c r="C601" s="47" t="s">
        <v>4847</v>
      </c>
      <c r="D601" s="29" t="s">
        <v>4848</v>
      </c>
      <c r="E601" s="48" t="str">
        <f>IFERROR(__xludf.DUMMYFUNCTION("GOOGLETRANSLATE(D601,""zh-CN"",""vi"")"),"Mời quý vị tìm chỗ ngồi.")</f>
        <v>Mời quý vị tìm chỗ ngồi.</v>
      </c>
      <c r="F601" s="49" t="s">
        <v>4845</v>
      </c>
      <c r="G601" s="50" t="b">
        <f t="shared" si="1"/>
        <v>1</v>
      </c>
      <c r="H601" s="52" t="b">
        <v>1</v>
      </c>
      <c r="I601" s="52" t="b">
        <v>0</v>
      </c>
      <c r="J601" s="52" t="b">
        <v>0</v>
      </c>
      <c r="K601" s="52" t="b">
        <v>0</v>
      </c>
      <c r="L601" s="52" t="b">
        <v>0</v>
      </c>
      <c r="M601" s="52" t="b">
        <v>0</v>
      </c>
      <c r="N601" s="52" t="b">
        <v>0</v>
      </c>
      <c r="O601" s="52" t="b">
        <v>0</v>
      </c>
      <c r="P601" s="52" t="b">
        <v>0</v>
      </c>
      <c r="Q601" s="52" t="b">
        <v>0</v>
      </c>
      <c r="R601" s="44"/>
      <c r="S601" s="44"/>
      <c r="T601" s="44"/>
      <c r="U601" s="44"/>
      <c r="V601" s="44"/>
      <c r="W601" s="44"/>
      <c r="X601" s="45"/>
      <c r="Y601" s="45"/>
      <c r="Z601" s="45"/>
      <c r="AA601" s="45"/>
    </row>
    <row r="602" ht="33.75" customHeight="1">
      <c r="A602" s="112"/>
      <c r="B602" s="44"/>
      <c r="C602" s="44"/>
      <c r="D602" s="64"/>
      <c r="E602" s="113"/>
      <c r="F602" s="114"/>
      <c r="G602" s="115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5"/>
      <c r="Y602" s="45"/>
      <c r="Z602" s="45"/>
      <c r="AA602" s="45"/>
    </row>
    <row r="603" ht="33.75" customHeight="1">
      <c r="A603" s="112"/>
      <c r="B603" s="44"/>
      <c r="C603" s="44"/>
      <c r="D603" s="64"/>
      <c r="E603" s="113"/>
      <c r="F603" s="114"/>
      <c r="G603" s="115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5"/>
      <c r="Y603" s="45"/>
      <c r="Z603" s="45"/>
      <c r="AA603" s="45"/>
    </row>
    <row r="604" ht="33.75" customHeight="1">
      <c r="A604" s="112"/>
      <c r="B604" s="44"/>
      <c r="C604" s="44"/>
      <c r="D604" s="64"/>
      <c r="E604" s="113"/>
      <c r="F604" s="114"/>
      <c r="G604" s="115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5"/>
      <c r="Y604" s="45"/>
      <c r="Z604" s="45"/>
      <c r="AA604" s="45"/>
    </row>
    <row r="605" ht="33.75" customHeight="1">
      <c r="A605" s="112"/>
      <c r="B605" s="44"/>
      <c r="C605" s="44"/>
      <c r="D605" s="64"/>
      <c r="E605" s="113"/>
      <c r="F605" s="114"/>
      <c r="G605" s="115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5"/>
      <c r="Y605" s="45"/>
      <c r="Z605" s="45"/>
      <c r="AA605" s="45"/>
    </row>
    <row r="606" ht="33.75" customHeight="1">
      <c r="A606" s="112"/>
      <c r="B606" s="44"/>
      <c r="C606" s="44"/>
      <c r="D606" s="64"/>
      <c r="E606" s="113"/>
      <c r="F606" s="114"/>
      <c r="G606" s="115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5"/>
      <c r="Y606" s="45"/>
      <c r="Z606" s="45"/>
      <c r="AA606" s="45"/>
    </row>
    <row r="607" ht="33.75" customHeight="1">
      <c r="A607" s="112"/>
      <c r="B607" s="44"/>
      <c r="C607" s="44"/>
      <c r="D607" s="64"/>
      <c r="E607" s="113"/>
      <c r="F607" s="114"/>
      <c r="G607" s="115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5"/>
      <c r="Y607" s="45"/>
      <c r="Z607" s="45"/>
      <c r="AA607" s="45"/>
    </row>
    <row r="608" ht="33.75" customHeight="1">
      <c r="A608" s="112"/>
      <c r="B608" s="44"/>
      <c r="C608" s="44"/>
      <c r="D608" s="64"/>
      <c r="E608" s="113"/>
      <c r="F608" s="114"/>
      <c r="G608" s="115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5"/>
      <c r="Y608" s="45"/>
      <c r="Z608" s="45"/>
      <c r="AA608" s="45"/>
    </row>
    <row r="609" ht="33.75" customHeight="1">
      <c r="A609" s="112"/>
      <c r="B609" s="44"/>
      <c r="C609" s="44"/>
      <c r="D609" s="64"/>
      <c r="E609" s="113"/>
      <c r="F609" s="114"/>
      <c r="G609" s="115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5"/>
      <c r="Y609" s="45"/>
      <c r="Z609" s="45"/>
      <c r="AA609" s="45"/>
    </row>
    <row r="610" ht="33.75" customHeight="1">
      <c r="A610" s="112"/>
      <c r="B610" s="44"/>
      <c r="C610" s="44"/>
      <c r="D610" s="64"/>
      <c r="E610" s="113"/>
      <c r="F610" s="114"/>
      <c r="G610" s="115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5"/>
      <c r="Y610" s="45"/>
      <c r="Z610" s="45"/>
      <c r="AA610" s="45"/>
    </row>
    <row r="611" ht="33.75" customHeight="1">
      <c r="A611" s="112"/>
      <c r="B611" s="44"/>
      <c r="C611" s="44"/>
      <c r="D611" s="64"/>
      <c r="E611" s="113"/>
      <c r="F611" s="114"/>
      <c r="G611" s="115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5"/>
      <c r="Y611" s="45"/>
      <c r="Z611" s="45"/>
      <c r="AA611" s="45"/>
    </row>
    <row r="612" ht="33.75" customHeight="1">
      <c r="A612" s="112"/>
      <c r="B612" s="44"/>
      <c r="C612" s="44"/>
      <c r="D612" s="64"/>
      <c r="E612" s="113"/>
      <c r="F612" s="114"/>
      <c r="G612" s="115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5"/>
      <c r="Y612" s="45"/>
      <c r="Z612" s="45"/>
      <c r="AA612" s="45"/>
    </row>
    <row r="613" ht="33.75" customHeight="1">
      <c r="A613" s="112"/>
      <c r="B613" s="44"/>
      <c r="C613" s="44"/>
      <c r="D613" s="64"/>
      <c r="E613" s="113"/>
      <c r="F613" s="114"/>
      <c r="G613" s="115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5"/>
      <c r="Y613" s="45"/>
      <c r="Z613" s="45"/>
      <c r="AA613" s="45"/>
    </row>
    <row r="614" ht="33.75" customHeight="1">
      <c r="A614" s="112"/>
      <c r="B614" s="44"/>
      <c r="C614" s="44"/>
      <c r="D614" s="64"/>
      <c r="E614" s="113"/>
      <c r="F614" s="114"/>
      <c r="G614" s="115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5"/>
      <c r="Y614" s="45"/>
      <c r="Z614" s="45"/>
      <c r="AA614" s="45"/>
    </row>
    <row r="615" ht="33.75" customHeight="1">
      <c r="A615" s="112"/>
      <c r="B615" s="44"/>
      <c r="C615" s="44"/>
      <c r="D615" s="64"/>
      <c r="E615" s="113"/>
      <c r="F615" s="114"/>
      <c r="G615" s="115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5"/>
      <c r="Y615" s="45"/>
      <c r="Z615" s="45"/>
      <c r="AA615" s="45"/>
    </row>
    <row r="616" ht="33.75" customHeight="1">
      <c r="A616" s="112"/>
      <c r="B616" s="44"/>
      <c r="C616" s="44"/>
      <c r="D616" s="64"/>
      <c r="E616" s="113"/>
      <c r="F616" s="114"/>
      <c r="G616" s="115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5"/>
      <c r="Y616" s="45"/>
      <c r="Z616" s="45"/>
      <c r="AA616" s="45"/>
    </row>
    <row r="617" ht="33.75" customHeight="1">
      <c r="A617" s="112"/>
      <c r="B617" s="44"/>
      <c r="C617" s="44"/>
      <c r="D617" s="64"/>
      <c r="E617" s="113"/>
      <c r="F617" s="114"/>
      <c r="G617" s="115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5"/>
      <c r="Y617" s="45"/>
      <c r="Z617" s="45"/>
      <c r="AA617" s="45"/>
    </row>
    <row r="618" ht="33.75" customHeight="1">
      <c r="A618" s="112"/>
      <c r="B618" s="44"/>
      <c r="C618" s="44"/>
      <c r="D618" s="64"/>
      <c r="E618" s="113"/>
      <c r="F618" s="114"/>
      <c r="G618" s="115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5"/>
      <c r="Y618" s="45"/>
      <c r="Z618" s="45"/>
      <c r="AA618" s="45"/>
    </row>
    <row r="619" ht="33.75" customHeight="1">
      <c r="A619" s="112"/>
      <c r="B619" s="44"/>
      <c r="C619" s="44"/>
      <c r="D619" s="64"/>
      <c r="E619" s="113"/>
      <c r="F619" s="114"/>
      <c r="G619" s="115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5"/>
      <c r="Y619" s="45"/>
      <c r="Z619" s="45"/>
      <c r="AA619" s="45"/>
    </row>
    <row r="620" ht="33.75" customHeight="1">
      <c r="A620" s="112"/>
      <c r="B620" s="44"/>
      <c r="C620" s="44"/>
      <c r="D620" s="64"/>
      <c r="E620" s="113"/>
      <c r="F620" s="114"/>
      <c r="G620" s="115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5"/>
      <c r="Y620" s="45"/>
      <c r="Z620" s="45"/>
      <c r="AA620" s="45"/>
    </row>
    <row r="621" ht="33.75" customHeight="1">
      <c r="A621" s="112"/>
      <c r="B621" s="44"/>
      <c r="C621" s="44"/>
      <c r="D621" s="64"/>
      <c r="E621" s="113"/>
      <c r="F621" s="114"/>
      <c r="G621" s="115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5"/>
      <c r="Y621" s="45"/>
      <c r="Z621" s="45"/>
      <c r="AA621" s="45"/>
    </row>
    <row r="622" ht="33.75" customHeight="1">
      <c r="A622" s="112"/>
      <c r="B622" s="44"/>
      <c r="C622" s="44"/>
      <c r="D622" s="64"/>
      <c r="E622" s="113"/>
      <c r="F622" s="114"/>
      <c r="G622" s="115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5"/>
      <c r="Y622" s="45"/>
      <c r="Z622" s="45"/>
      <c r="AA622" s="45"/>
    </row>
    <row r="623" ht="33.75" customHeight="1">
      <c r="A623" s="112"/>
      <c r="B623" s="44"/>
      <c r="C623" s="44"/>
      <c r="D623" s="64"/>
      <c r="E623" s="113"/>
      <c r="F623" s="114"/>
      <c r="G623" s="115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5"/>
      <c r="Y623" s="45"/>
      <c r="Z623" s="45"/>
      <c r="AA623" s="45"/>
    </row>
    <row r="624" ht="33.75" customHeight="1">
      <c r="A624" s="112"/>
      <c r="B624" s="44"/>
      <c r="C624" s="44"/>
      <c r="D624" s="64"/>
      <c r="E624" s="113"/>
      <c r="F624" s="114"/>
      <c r="G624" s="115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5"/>
      <c r="Y624" s="45"/>
      <c r="Z624" s="45"/>
      <c r="AA624" s="45"/>
    </row>
    <row r="625" ht="33.75" customHeight="1">
      <c r="A625" s="112"/>
      <c r="B625" s="44"/>
      <c r="C625" s="44"/>
      <c r="D625" s="64"/>
      <c r="E625" s="113"/>
      <c r="F625" s="114"/>
      <c r="G625" s="115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5"/>
      <c r="Y625" s="45"/>
      <c r="Z625" s="45"/>
      <c r="AA625" s="45"/>
    </row>
    <row r="626" ht="33.75" customHeight="1">
      <c r="A626" s="112"/>
      <c r="B626" s="44"/>
      <c r="C626" s="44"/>
      <c r="D626" s="64"/>
      <c r="E626" s="113"/>
      <c r="F626" s="114"/>
      <c r="G626" s="115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5"/>
      <c r="Y626" s="45"/>
      <c r="Z626" s="45"/>
      <c r="AA626" s="45"/>
    </row>
    <row r="627" ht="33.75" customHeight="1">
      <c r="A627" s="112"/>
      <c r="B627" s="44"/>
      <c r="C627" s="44"/>
      <c r="D627" s="64"/>
      <c r="E627" s="113"/>
      <c r="F627" s="114"/>
      <c r="G627" s="115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5"/>
      <c r="Y627" s="45"/>
      <c r="Z627" s="45"/>
      <c r="AA627" s="45"/>
    </row>
    <row r="628" ht="33.75" customHeight="1">
      <c r="A628" s="112"/>
      <c r="B628" s="44"/>
      <c r="C628" s="44"/>
      <c r="D628" s="64"/>
      <c r="E628" s="113"/>
      <c r="F628" s="114"/>
      <c r="G628" s="115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5"/>
      <c r="Y628" s="45"/>
      <c r="Z628" s="45"/>
      <c r="AA628" s="45"/>
    </row>
    <row r="629" ht="33.75" customHeight="1">
      <c r="A629" s="112"/>
      <c r="B629" s="44"/>
      <c r="C629" s="44"/>
      <c r="D629" s="64"/>
      <c r="E629" s="113"/>
      <c r="F629" s="114"/>
      <c r="G629" s="115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5"/>
      <c r="Y629" s="45"/>
      <c r="Z629" s="45"/>
      <c r="AA629" s="45"/>
    </row>
    <row r="630" ht="33.75" customHeight="1">
      <c r="A630" s="112"/>
      <c r="B630" s="44"/>
      <c r="C630" s="44"/>
      <c r="D630" s="64"/>
      <c r="E630" s="113"/>
      <c r="F630" s="114"/>
      <c r="G630" s="115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5"/>
      <c r="Y630" s="45"/>
      <c r="Z630" s="45"/>
      <c r="AA630" s="45"/>
    </row>
    <row r="631" ht="33.75" customHeight="1">
      <c r="A631" s="112"/>
      <c r="B631" s="44"/>
      <c r="C631" s="44"/>
      <c r="D631" s="64"/>
      <c r="E631" s="113"/>
      <c r="F631" s="114"/>
      <c r="G631" s="115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5"/>
      <c r="Y631" s="45"/>
      <c r="Z631" s="45"/>
      <c r="AA631" s="45"/>
    </row>
    <row r="632" ht="33.75" customHeight="1">
      <c r="A632" s="112"/>
      <c r="B632" s="44"/>
      <c r="C632" s="44"/>
      <c r="D632" s="64"/>
      <c r="E632" s="113"/>
      <c r="F632" s="114"/>
      <c r="G632" s="115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5"/>
      <c r="Y632" s="45"/>
      <c r="Z632" s="45"/>
      <c r="AA632" s="45"/>
    </row>
    <row r="633" ht="33.75" customHeight="1">
      <c r="A633" s="112"/>
      <c r="B633" s="44"/>
      <c r="C633" s="44"/>
      <c r="D633" s="64"/>
      <c r="E633" s="113"/>
      <c r="F633" s="114"/>
      <c r="G633" s="115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5"/>
      <c r="Y633" s="45"/>
      <c r="Z633" s="45"/>
      <c r="AA633" s="45"/>
    </row>
    <row r="634" ht="33.75" customHeight="1">
      <c r="A634" s="112"/>
      <c r="B634" s="44"/>
      <c r="C634" s="44"/>
      <c r="D634" s="64"/>
      <c r="E634" s="113"/>
      <c r="F634" s="114"/>
      <c r="G634" s="115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5"/>
      <c r="Y634" s="45"/>
      <c r="Z634" s="45"/>
      <c r="AA634" s="45"/>
    </row>
    <row r="635" ht="33.75" customHeight="1">
      <c r="A635" s="112"/>
      <c r="B635" s="44"/>
      <c r="C635" s="44"/>
      <c r="D635" s="64"/>
      <c r="E635" s="113"/>
      <c r="F635" s="114"/>
      <c r="G635" s="115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5"/>
      <c r="Y635" s="45"/>
      <c r="Z635" s="45"/>
      <c r="AA635" s="45"/>
    </row>
    <row r="636" ht="33.75" customHeight="1">
      <c r="A636" s="112"/>
      <c r="B636" s="44"/>
      <c r="C636" s="44"/>
      <c r="D636" s="64"/>
      <c r="E636" s="113"/>
      <c r="F636" s="114"/>
      <c r="G636" s="115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5"/>
      <c r="Y636" s="45"/>
      <c r="Z636" s="45"/>
      <c r="AA636" s="45"/>
    </row>
    <row r="637" ht="33.75" customHeight="1">
      <c r="A637" s="112"/>
      <c r="B637" s="44"/>
      <c r="C637" s="44"/>
      <c r="D637" s="64"/>
      <c r="E637" s="113"/>
      <c r="F637" s="114"/>
      <c r="G637" s="115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5"/>
      <c r="Y637" s="45"/>
      <c r="Z637" s="45"/>
      <c r="AA637" s="45"/>
    </row>
    <row r="638" ht="33.75" customHeight="1">
      <c r="A638" s="112"/>
      <c r="B638" s="44"/>
      <c r="C638" s="44"/>
      <c r="D638" s="64"/>
      <c r="E638" s="113"/>
      <c r="F638" s="114"/>
      <c r="G638" s="115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5"/>
      <c r="Y638" s="45"/>
      <c r="Z638" s="45"/>
      <c r="AA638" s="45"/>
    </row>
    <row r="639" ht="33.75" customHeight="1">
      <c r="A639" s="112"/>
      <c r="B639" s="44"/>
      <c r="C639" s="44"/>
      <c r="D639" s="64"/>
      <c r="E639" s="113"/>
      <c r="F639" s="114"/>
      <c r="G639" s="115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5"/>
      <c r="Y639" s="45"/>
      <c r="Z639" s="45"/>
      <c r="AA639" s="45"/>
    </row>
    <row r="640" ht="33.75" customHeight="1">
      <c r="A640" s="112"/>
      <c r="B640" s="44"/>
      <c r="C640" s="44"/>
      <c r="D640" s="64"/>
      <c r="E640" s="113"/>
      <c r="F640" s="114"/>
      <c r="G640" s="115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5"/>
      <c r="Y640" s="45"/>
      <c r="Z640" s="45"/>
      <c r="AA640" s="45"/>
    </row>
    <row r="641" ht="33.75" customHeight="1">
      <c r="A641" s="112"/>
      <c r="B641" s="44"/>
      <c r="C641" s="44"/>
      <c r="D641" s="64"/>
      <c r="E641" s="113"/>
      <c r="F641" s="114"/>
      <c r="G641" s="115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5"/>
      <c r="Y641" s="45"/>
      <c r="Z641" s="45"/>
      <c r="AA641" s="45"/>
    </row>
    <row r="642" ht="33.75" customHeight="1">
      <c r="A642" s="112"/>
      <c r="B642" s="44"/>
      <c r="C642" s="44"/>
      <c r="D642" s="64"/>
      <c r="E642" s="113"/>
      <c r="F642" s="114"/>
      <c r="G642" s="115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5"/>
      <c r="Y642" s="45"/>
      <c r="Z642" s="45"/>
      <c r="AA642" s="45"/>
    </row>
    <row r="643" ht="33.75" customHeight="1">
      <c r="A643" s="112"/>
      <c r="B643" s="44"/>
      <c r="C643" s="44"/>
      <c r="D643" s="64"/>
      <c r="E643" s="113"/>
      <c r="F643" s="114"/>
      <c r="G643" s="115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5"/>
      <c r="Y643" s="45"/>
      <c r="Z643" s="45"/>
      <c r="AA643" s="45"/>
    </row>
    <row r="644" ht="33.75" customHeight="1">
      <c r="A644" s="112"/>
      <c r="B644" s="44"/>
      <c r="C644" s="44"/>
      <c r="D644" s="64"/>
      <c r="E644" s="113"/>
      <c r="F644" s="114"/>
      <c r="G644" s="115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5"/>
      <c r="Y644" s="45"/>
      <c r="Z644" s="45"/>
      <c r="AA644" s="45"/>
    </row>
    <row r="645" ht="33.75" customHeight="1">
      <c r="A645" s="112"/>
      <c r="B645" s="44"/>
      <c r="C645" s="44"/>
      <c r="D645" s="64"/>
      <c r="E645" s="113"/>
      <c r="F645" s="114"/>
      <c r="G645" s="115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5"/>
      <c r="Y645" s="45"/>
      <c r="Z645" s="45"/>
      <c r="AA645" s="45"/>
    </row>
    <row r="646" ht="33.75" customHeight="1">
      <c r="A646" s="112"/>
      <c r="B646" s="44"/>
      <c r="C646" s="44"/>
      <c r="D646" s="64"/>
      <c r="E646" s="113"/>
      <c r="F646" s="114"/>
      <c r="G646" s="115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5"/>
      <c r="Y646" s="45"/>
      <c r="Z646" s="45"/>
      <c r="AA646" s="45"/>
    </row>
    <row r="647" ht="33.75" customHeight="1">
      <c r="A647" s="112"/>
      <c r="B647" s="44"/>
      <c r="C647" s="44"/>
      <c r="D647" s="64"/>
      <c r="E647" s="113"/>
      <c r="F647" s="114"/>
      <c r="G647" s="115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5"/>
      <c r="Y647" s="45"/>
      <c r="Z647" s="45"/>
      <c r="AA647" s="45"/>
    </row>
    <row r="648" ht="33.75" customHeight="1">
      <c r="A648" s="112"/>
      <c r="B648" s="44"/>
      <c r="C648" s="44"/>
      <c r="D648" s="64"/>
      <c r="E648" s="113"/>
      <c r="F648" s="114"/>
      <c r="G648" s="115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5"/>
      <c r="Y648" s="45"/>
      <c r="Z648" s="45"/>
      <c r="AA648" s="45"/>
    </row>
    <row r="649" ht="33.75" customHeight="1">
      <c r="A649" s="112"/>
      <c r="B649" s="44"/>
      <c r="C649" s="44"/>
      <c r="D649" s="64"/>
      <c r="E649" s="113"/>
      <c r="F649" s="114"/>
      <c r="G649" s="115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5"/>
      <c r="Y649" s="45"/>
      <c r="Z649" s="45"/>
      <c r="AA649" s="45"/>
    </row>
    <row r="650" ht="33.75" customHeight="1">
      <c r="A650" s="112"/>
      <c r="B650" s="44"/>
      <c r="C650" s="44"/>
      <c r="D650" s="64"/>
      <c r="E650" s="113"/>
      <c r="F650" s="114"/>
      <c r="G650" s="115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5"/>
      <c r="Y650" s="45"/>
      <c r="Z650" s="45"/>
      <c r="AA650" s="45"/>
    </row>
    <row r="651" ht="33.75" customHeight="1">
      <c r="A651" s="112"/>
      <c r="B651" s="44"/>
      <c r="C651" s="44"/>
      <c r="D651" s="64"/>
      <c r="E651" s="113"/>
      <c r="F651" s="114"/>
      <c r="G651" s="115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5"/>
      <c r="Y651" s="45"/>
      <c r="Z651" s="45"/>
      <c r="AA651" s="45"/>
    </row>
    <row r="652" ht="33.75" customHeight="1">
      <c r="A652" s="112"/>
      <c r="B652" s="44"/>
      <c r="C652" s="44"/>
      <c r="D652" s="64"/>
      <c r="E652" s="113"/>
      <c r="F652" s="114"/>
      <c r="G652" s="115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5"/>
      <c r="Y652" s="45"/>
      <c r="Z652" s="45"/>
      <c r="AA652" s="45"/>
    </row>
    <row r="653" ht="33.75" customHeight="1">
      <c r="A653" s="112"/>
      <c r="B653" s="44"/>
      <c r="C653" s="44"/>
      <c r="D653" s="64"/>
      <c r="E653" s="113"/>
      <c r="F653" s="114"/>
      <c r="G653" s="115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5"/>
      <c r="Y653" s="45"/>
      <c r="Z653" s="45"/>
      <c r="AA653" s="45"/>
    </row>
    <row r="654" ht="33.75" customHeight="1">
      <c r="A654" s="112"/>
      <c r="B654" s="44"/>
      <c r="C654" s="44"/>
      <c r="D654" s="64"/>
      <c r="E654" s="113"/>
      <c r="F654" s="114"/>
      <c r="G654" s="115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5"/>
      <c r="Y654" s="45"/>
      <c r="Z654" s="45"/>
      <c r="AA654" s="45"/>
    </row>
    <row r="655" ht="33.75" customHeight="1">
      <c r="A655" s="112"/>
      <c r="B655" s="44"/>
      <c r="C655" s="44"/>
      <c r="D655" s="64"/>
      <c r="E655" s="113"/>
      <c r="F655" s="114"/>
      <c r="G655" s="115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5"/>
      <c r="Y655" s="45"/>
      <c r="Z655" s="45"/>
      <c r="AA655" s="45"/>
    </row>
    <row r="656" ht="33.75" customHeight="1">
      <c r="A656" s="112"/>
      <c r="B656" s="44"/>
      <c r="C656" s="44"/>
      <c r="D656" s="64"/>
      <c r="E656" s="113"/>
      <c r="F656" s="114"/>
      <c r="G656" s="115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5"/>
      <c r="Y656" s="45"/>
      <c r="Z656" s="45"/>
      <c r="AA656" s="45"/>
    </row>
    <row r="657" ht="33.75" customHeight="1">
      <c r="A657" s="112"/>
      <c r="B657" s="44"/>
      <c r="C657" s="44"/>
      <c r="D657" s="64"/>
      <c r="E657" s="113"/>
      <c r="F657" s="114"/>
      <c r="G657" s="115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5"/>
      <c r="Y657" s="45"/>
      <c r="Z657" s="45"/>
      <c r="AA657" s="45"/>
    </row>
    <row r="658" ht="33.75" customHeight="1">
      <c r="A658" s="112"/>
      <c r="B658" s="44"/>
      <c r="C658" s="44"/>
      <c r="D658" s="64"/>
      <c r="E658" s="113"/>
      <c r="F658" s="114"/>
      <c r="G658" s="115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5"/>
      <c r="Y658" s="45"/>
      <c r="Z658" s="45"/>
      <c r="AA658" s="45"/>
    </row>
    <row r="659" ht="33.75" customHeight="1">
      <c r="A659" s="112"/>
      <c r="B659" s="44"/>
      <c r="C659" s="44"/>
      <c r="D659" s="64"/>
      <c r="E659" s="113"/>
      <c r="F659" s="114"/>
      <c r="G659" s="115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5"/>
      <c r="Y659" s="45"/>
      <c r="Z659" s="45"/>
      <c r="AA659" s="45"/>
    </row>
    <row r="660" ht="33.75" customHeight="1">
      <c r="A660" s="112"/>
      <c r="B660" s="44"/>
      <c r="C660" s="44"/>
      <c r="D660" s="64"/>
      <c r="E660" s="113"/>
      <c r="F660" s="114"/>
      <c r="G660" s="115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5"/>
      <c r="Y660" s="45"/>
      <c r="Z660" s="45"/>
      <c r="AA660" s="45"/>
    </row>
    <row r="661" ht="33.75" customHeight="1">
      <c r="A661" s="112"/>
      <c r="B661" s="44"/>
      <c r="C661" s="44"/>
      <c r="D661" s="64"/>
      <c r="E661" s="113"/>
      <c r="F661" s="114"/>
      <c r="G661" s="115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5"/>
      <c r="Y661" s="45"/>
      <c r="Z661" s="45"/>
      <c r="AA661" s="45"/>
    </row>
    <row r="662" ht="33.75" customHeight="1">
      <c r="A662" s="112"/>
      <c r="B662" s="44"/>
      <c r="C662" s="44"/>
      <c r="D662" s="64"/>
      <c r="E662" s="113"/>
      <c r="F662" s="114"/>
      <c r="G662" s="115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5"/>
      <c r="Y662" s="45"/>
      <c r="Z662" s="45"/>
      <c r="AA662" s="45"/>
    </row>
    <row r="663" ht="33.75" customHeight="1">
      <c r="A663" s="112"/>
      <c r="B663" s="44"/>
      <c r="C663" s="44"/>
      <c r="D663" s="64"/>
      <c r="E663" s="113"/>
      <c r="F663" s="114"/>
      <c r="G663" s="115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5"/>
      <c r="Y663" s="45"/>
      <c r="Z663" s="45"/>
      <c r="AA663" s="45"/>
    </row>
    <row r="664" ht="33.75" customHeight="1">
      <c r="A664" s="112"/>
      <c r="B664" s="44"/>
      <c r="C664" s="44"/>
      <c r="D664" s="64"/>
      <c r="E664" s="113"/>
      <c r="F664" s="114"/>
      <c r="G664" s="115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5"/>
      <c r="Y664" s="45"/>
      <c r="Z664" s="45"/>
      <c r="AA664" s="45"/>
    </row>
    <row r="665" ht="33.75" customHeight="1">
      <c r="A665" s="112"/>
      <c r="B665" s="44"/>
      <c r="C665" s="44"/>
      <c r="D665" s="64"/>
      <c r="E665" s="113"/>
      <c r="F665" s="114"/>
      <c r="G665" s="115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5"/>
      <c r="Y665" s="45"/>
      <c r="Z665" s="45"/>
      <c r="AA665" s="45"/>
    </row>
    <row r="666" ht="33.75" customHeight="1">
      <c r="A666" s="112"/>
      <c r="B666" s="44"/>
      <c r="C666" s="44"/>
      <c r="D666" s="64"/>
      <c r="E666" s="113"/>
      <c r="F666" s="114"/>
      <c r="G666" s="115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5"/>
      <c r="Y666" s="45"/>
      <c r="Z666" s="45"/>
      <c r="AA666" s="45"/>
    </row>
    <row r="667" ht="33.75" customHeight="1">
      <c r="A667" s="112"/>
      <c r="B667" s="44"/>
      <c r="C667" s="44"/>
      <c r="D667" s="64"/>
      <c r="E667" s="113"/>
      <c r="F667" s="114"/>
      <c r="G667" s="115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5"/>
      <c r="Y667" s="45"/>
      <c r="Z667" s="45"/>
      <c r="AA667" s="45"/>
    </row>
    <row r="668" ht="33.75" customHeight="1">
      <c r="A668" s="112"/>
      <c r="B668" s="44"/>
      <c r="C668" s="44"/>
      <c r="D668" s="64"/>
      <c r="E668" s="113"/>
      <c r="F668" s="114"/>
      <c r="G668" s="115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5"/>
      <c r="Y668" s="45"/>
      <c r="Z668" s="45"/>
      <c r="AA668" s="45"/>
    </row>
    <row r="669" ht="33.75" customHeight="1">
      <c r="A669" s="112"/>
      <c r="B669" s="44"/>
      <c r="C669" s="44"/>
      <c r="D669" s="64"/>
      <c r="E669" s="113"/>
      <c r="F669" s="114"/>
      <c r="G669" s="115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5"/>
      <c r="Y669" s="45"/>
      <c r="Z669" s="45"/>
      <c r="AA669" s="45"/>
    </row>
    <row r="670" ht="33.75" customHeight="1">
      <c r="A670" s="112"/>
      <c r="B670" s="44"/>
      <c r="C670" s="44"/>
      <c r="D670" s="64"/>
      <c r="E670" s="113"/>
      <c r="F670" s="114"/>
      <c r="G670" s="115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5"/>
      <c r="Y670" s="45"/>
      <c r="Z670" s="45"/>
      <c r="AA670" s="45"/>
    </row>
    <row r="671" ht="33.75" customHeight="1">
      <c r="A671" s="112"/>
      <c r="B671" s="44"/>
      <c r="C671" s="44"/>
      <c r="D671" s="64"/>
      <c r="E671" s="113"/>
      <c r="F671" s="114"/>
      <c r="G671" s="115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5"/>
      <c r="Y671" s="45"/>
      <c r="Z671" s="45"/>
      <c r="AA671" s="45"/>
    </row>
    <row r="672" ht="33.75" customHeight="1">
      <c r="A672" s="112"/>
      <c r="B672" s="44"/>
      <c r="C672" s="44"/>
      <c r="D672" s="64"/>
      <c r="E672" s="113"/>
      <c r="F672" s="114"/>
      <c r="G672" s="115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5"/>
      <c r="Y672" s="45"/>
      <c r="Z672" s="45"/>
      <c r="AA672" s="45"/>
    </row>
    <row r="673" ht="33.75" customHeight="1">
      <c r="A673" s="112"/>
      <c r="B673" s="44"/>
      <c r="C673" s="44"/>
      <c r="D673" s="64"/>
      <c r="E673" s="113"/>
      <c r="F673" s="114"/>
      <c r="G673" s="115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5"/>
      <c r="Y673" s="45"/>
      <c r="Z673" s="45"/>
      <c r="AA673" s="45"/>
    </row>
    <row r="674" ht="33.75" customHeight="1">
      <c r="A674" s="112"/>
      <c r="B674" s="44"/>
      <c r="C674" s="44"/>
      <c r="D674" s="64"/>
      <c r="E674" s="113"/>
      <c r="F674" s="114"/>
      <c r="G674" s="115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5"/>
      <c r="Y674" s="45"/>
      <c r="Z674" s="45"/>
      <c r="AA674" s="45"/>
    </row>
    <row r="675" ht="33.75" customHeight="1">
      <c r="A675" s="112"/>
      <c r="B675" s="44"/>
      <c r="C675" s="44"/>
      <c r="D675" s="64"/>
      <c r="E675" s="113"/>
      <c r="F675" s="114"/>
      <c r="G675" s="115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5"/>
      <c r="Y675" s="45"/>
      <c r="Z675" s="45"/>
      <c r="AA675" s="45"/>
    </row>
    <row r="676" ht="33.75" customHeight="1">
      <c r="A676" s="112"/>
      <c r="B676" s="44"/>
      <c r="C676" s="44"/>
      <c r="D676" s="64"/>
      <c r="E676" s="113"/>
      <c r="F676" s="114"/>
      <c r="G676" s="115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5"/>
      <c r="Y676" s="45"/>
      <c r="Z676" s="45"/>
      <c r="AA676" s="45"/>
    </row>
    <row r="677" ht="33.75" customHeight="1">
      <c r="A677" s="112"/>
      <c r="B677" s="44"/>
      <c r="C677" s="44"/>
      <c r="D677" s="64"/>
      <c r="E677" s="113"/>
      <c r="F677" s="114"/>
      <c r="G677" s="115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5"/>
      <c r="Y677" s="45"/>
      <c r="Z677" s="45"/>
      <c r="AA677" s="45"/>
    </row>
    <row r="678" ht="33.75" customHeight="1">
      <c r="A678" s="112"/>
      <c r="B678" s="44"/>
      <c r="C678" s="44"/>
      <c r="D678" s="64"/>
      <c r="E678" s="113"/>
      <c r="F678" s="114"/>
      <c r="G678" s="115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5"/>
      <c r="Y678" s="45"/>
      <c r="Z678" s="45"/>
      <c r="AA678" s="45"/>
    </row>
    <row r="679" ht="33.75" customHeight="1">
      <c r="A679" s="112"/>
      <c r="B679" s="44"/>
      <c r="C679" s="44"/>
      <c r="D679" s="64"/>
      <c r="E679" s="113"/>
      <c r="F679" s="114"/>
      <c r="G679" s="115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5"/>
      <c r="Y679" s="45"/>
      <c r="Z679" s="45"/>
      <c r="AA679" s="45"/>
    </row>
    <row r="680" ht="33.75" customHeight="1">
      <c r="A680" s="112"/>
      <c r="B680" s="44"/>
      <c r="C680" s="44"/>
      <c r="D680" s="64"/>
      <c r="E680" s="113"/>
      <c r="F680" s="114"/>
      <c r="G680" s="115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5"/>
      <c r="Y680" s="45"/>
      <c r="Z680" s="45"/>
      <c r="AA680" s="45"/>
    </row>
    <row r="681" ht="33.75" customHeight="1">
      <c r="A681" s="112"/>
      <c r="B681" s="44"/>
      <c r="C681" s="44"/>
      <c r="D681" s="64"/>
      <c r="E681" s="113"/>
      <c r="F681" s="114"/>
      <c r="G681" s="115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5"/>
      <c r="Y681" s="45"/>
      <c r="Z681" s="45"/>
      <c r="AA681" s="45"/>
    </row>
    <row r="682" ht="33.75" customHeight="1">
      <c r="A682" s="112"/>
      <c r="B682" s="44"/>
      <c r="C682" s="44"/>
      <c r="D682" s="64"/>
      <c r="E682" s="113"/>
      <c r="F682" s="114"/>
      <c r="G682" s="115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5"/>
      <c r="Y682" s="45"/>
      <c r="Z682" s="45"/>
      <c r="AA682" s="45"/>
    </row>
    <row r="683" ht="33.75" customHeight="1">
      <c r="A683" s="112"/>
      <c r="B683" s="44"/>
      <c r="C683" s="44"/>
      <c r="D683" s="64"/>
      <c r="E683" s="113"/>
      <c r="F683" s="114"/>
      <c r="G683" s="115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5"/>
      <c r="Y683" s="45"/>
      <c r="Z683" s="45"/>
      <c r="AA683" s="45"/>
    </row>
    <row r="684" ht="33.75" customHeight="1">
      <c r="A684" s="112"/>
      <c r="B684" s="44"/>
      <c r="C684" s="44"/>
      <c r="D684" s="64"/>
      <c r="E684" s="113"/>
      <c r="F684" s="114"/>
      <c r="G684" s="115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5"/>
      <c r="Y684" s="45"/>
      <c r="Z684" s="45"/>
      <c r="AA684" s="45"/>
    </row>
    <row r="685" ht="33.75" customHeight="1">
      <c r="A685" s="112"/>
      <c r="B685" s="44"/>
      <c r="C685" s="44"/>
      <c r="D685" s="64"/>
      <c r="E685" s="113"/>
      <c r="F685" s="114"/>
      <c r="G685" s="115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5"/>
      <c r="Y685" s="45"/>
      <c r="Z685" s="45"/>
      <c r="AA685" s="45"/>
    </row>
    <row r="686" ht="33.75" customHeight="1">
      <c r="A686" s="112"/>
      <c r="B686" s="44"/>
      <c r="C686" s="44"/>
      <c r="D686" s="64"/>
      <c r="E686" s="113"/>
      <c r="F686" s="114"/>
      <c r="G686" s="115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5"/>
      <c r="Y686" s="45"/>
      <c r="Z686" s="45"/>
      <c r="AA686" s="45"/>
    </row>
    <row r="687" ht="33.75" customHeight="1">
      <c r="A687" s="112"/>
      <c r="B687" s="44"/>
      <c r="C687" s="44"/>
      <c r="D687" s="64"/>
      <c r="E687" s="113"/>
      <c r="F687" s="114"/>
      <c r="G687" s="115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5"/>
      <c r="Y687" s="45"/>
      <c r="Z687" s="45"/>
      <c r="AA687" s="45"/>
    </row>
    <row r="688" ht="33.75" customHeight="1">
      <c r="A688" s="112"/>
      <c r="B688" s="44"/>
      <c r="C688" s="44"/>
      <c r="D688" s="64"/>
      <c r="E688" s="113"/>
      <c r="F688" s="114"/>
      <c r="G688" s="115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5"/>
      <c r="Y688" s="45"/>
      <c r="Z688" s="45"/>
      <c r="AA688" s="45"/>
    </row>
    <row r="689" ht="33.75" customHeight="1">
      <c r="A689" s="112"/>
      <c r="B689" s="44"/>
      <c r="C689" s="44"/>
      <c r="D689" s="64"/>
      <c r="E689" s="113"/>
      <c r="F689" s="114"/>
      <c r="G689" s="115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5"/>
      <c r="Y689" s="45"/>
      <c r="Z689" s="45"/>
      <c r="AA689" s="45"/>
    </row>
    <row r="690" ht="33.75" customHeight="1">
      <c r="A690" s="112"/>
      <c r="B690" s="44"/>
      <c r="C690" s="44"/>
      <c r="D690" s="64"/>
      <c r="E690" s="113"/>
      <c r="F690" s="114"/>
      <c r="G690" s="115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5"/>
      <c r="Y690" s="45"/>
      <c r="Z690" s="45"/>
      <c r="AA690" s="45"/>
    </row>
    <row r="691" ht="33.75" customHeight="1">
      <c r="A691" s="112"/>
      <c r="B691" s="44"/>
      <c r="C691" s="44"/>
      <c r="D691" s="64"/>
      <c r="E691" s="113"/>
      <c r="F691" s="114"/>
      <c r="G691" s="115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5"/>
      <c r="Y691" s="45"/>
      <c r="Z691" s="45"/>
      <c r="AA691" s="45"/>
    </row>
    <row r="692" ht="33.75" customHeight="1">
      <c r="A692" s="112"/>
      <c r="B692" s="44"/>
      <c r="C692" s="44"/>
      <c r="D692" s="64"/>
      <c r="E692" s="113"/>
      <c r="F692" s="114"/>
      <c r="G692" s="115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5"/>
      <c r="Y692" s="45"/>
      <c r="Z692" s="45"/>
      <c r="AA692" s="45"/>
    </row>
    <row r="693" ht="33.75" customHeight="1">
      <c r="A693" s="112"/>
      <c r="B693" s="44"/>
      <c r="C693" s="44"/>
      <c r="D693" s="64"/>
      <c r="E693" s="113"/>
      <c r="F693" s="114"/>
      <c r="G693" s="115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5"/>
      <c r="Y693" s="45"/>
      <c r="Z693" s="45"/>
      <c r="AA693" s="45"/>
    </row>
    <row r="694" ht="33.75" customHeight="1">
      <c r="A694" s="112"/>
      <c r="B694" s="44"/>
      <c r="C694" s="44"/>
      <c r="D694" s="64"/>
      <c r="E694" s="113"/>
      <c r="F694" s="114"/>
      <c r="G694" s="115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5"/>
      <c r="Y694" s="45"/>
      <c r="Z694" s="45"/>
      <c r="AA694" s="45"/>
    </row>
    <row r="695" ht="33.75" customHeight="1">
      <c r="A695" s="112"/>
      <c r="B695" s="44"/>
      <c r="C695" s="44"/>
      <c r="D695" s="64"/>
      <c r="E695" s="113"/>
      <c r="F695" s="114"/>
      <c r="G695" s="115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5"/>
      <c r="Y695" s="45"/>
      <c r="Z695" s="45"/>
      <c r="AA695" s="45"/>
    </row>
    <row r="696" ht="33.75" customHeight="1">
      <c r="A696" s="112"/>
      <c r="B696" s="44"/>
      <c r="C696" s="44"/>
      <c r="D696" s="64"/>
      <c r="E696" s="113"/>
      <c r="F696" s="114"/>
      <c r="G696" s="115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5"/>
      <c r="Y696" s="45"/>
      <c r="Z696" s="45"/>
      <c r="AA696" s="45"/>
    </row>
    <row r="697" ht="33.75" customHeight="1">
      <c r="A697" s="112"/>
      <c r="B697" s="44"/>
      <c r="C697" s="44"/>
      <c r="D697" s="64"/>
      <c r="E697" s="113"/>
      <c r="F697" s="114"/>
      <c r="G697" s="115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5"/>
      <c r="Y697" s="45"/>
      <c r="Z697" s="45"/>
      <c r="AA697" s="45"/>
    </row>
    <row r="698" ht="33.75" customHeight="1">
      <c r="A698" s="112"/>
      <c r="B698" s="44"/>
      <c r="C698" s="44"/>
      <c r="D698" s="64"/>
      <c r="E698" s="113"/>
      <c r="F698" s="114"/>
      <c r="G698" s="115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5"/>
      <c r="Y698" s="45"/>
      <c r="Z698" s="45"/>
      <c r="AA698" s="45"/>
    </row>
    <row r="699" ht="33.75" customHeight="1">
      <c r="A699" s="112"/>
      <c r="B699" s="44"/>
      <c r="C699" s="44"/>
      <c r="D699" s="64"/>
      <c r="E699" s="113"/>
      <c r="F699" s="114"/>
      <c r="G699" s="115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5"/>
      <c r="Y699" s="45"/>
      <c r="Z699" s="45"/>
      <c r="AA699" s="45"/>
    </row>
    <row r="700" ht="33.75" customHeight="1">
      <c r="A700" s="112"/>
      <c r="B700" s="44"/>
      <c r="C700" s="44"/>
      <c r="D700" s="64"/>
      <c r="E700" s="113"/>
      <c r="F700" s="114"/>
      <c r="G700" s="115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5"/>
      <c r="Y700" s="45"/>
      <c r="Z700" s="45"/>
      <c r="AA700" s="45"/>
    </row>
    <row r="701" ht="33.75" customHeight="1">
      <c r="A701" s="112"/>
      <c r="B701" s="44"/>
      <c r="C701" s="44"/>
      <c r="D701" s="64"/>
      <c r="E701" s="113"/>
      <c r="F701" s="114"/>
      <c r="G701" s="115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5"/>
      <c r="Y701" s="45"/>
      <c r="Z701" s="45"/>
      <c r="AA701" s="45"/>
    </row>
    <row r="702" ht="33.75" customHeight="1">
      <c r="A702" s="112"/>
      <c r="B702" s="44"/>
      <c r="C702" s="44"/>
      <c r="D702" s="64"/>
      <c r="E702" s="113"/>
      <c r="F702" s="114"/>
      <c r="G702" s="115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5"/>
      <c r="Y702" s="45"/>
      <c r="Z702" s="45"/>
      <c r="AA702" s="45"/>
    </row>
    <row r="703" ht="33.75" customHeight="1">
      <c r="A703" s="112"/>
      <c r="B703" s="44"/>
      <c r="C703" s="44"/>
      <c r="D703" s="64"/>
      <c r="E703" s="113"/>
      <c r="F703" s="114"/>
      <c r="G703" s="115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5"/>
      <c r="Y703" s="45"/>
      <c r="Z703" s="45"/>
      <c r="AA703" s="45"/>
    </row>
    <row r="704" ht="33.75" customHeight="1">
      <c r="A704" s="112"/>
      <c r="B704" s="44"/>
      <c r="C704" s="44"/>
      <c r="D704" s="64"/>
      <c r="E704" s="113"/>
      <c r="F704" s="114"/>
      <c r="G704" s="115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5"/>
      <c r="Y704" s="45"/>
      <c r="Z704" s="45"/>
      <c r="AA704" s="45"/>
    </row>
    <row r="705" ht="33.75" customHeight="1">
      <c r="A705" s="112"/>
      <c r="B705" s="44"/>
      <c r="C705" s="44"/>
      <c r="D705" s="64"/>
      <c r="E705" s="113"/>
      <c r="F705" s="114"/>
      <c r="G705" s="115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5"/>
      <c r="Y705" s="45"/>
      <c r="Z705" s="45"/>
      <c r="AA705" s="45"/>
    </row>
    <row r="706" ht="33.75" customHeight="1">
      <c r="A706" s="112"/>
      <c r="B706" s="44"/>
      <c r="C706" s="44"/>
      <c r="D706" s="64"/>
      <c r="E706" s="113"/>
      <c r="F706" s="114"/>
      <c r="G706" s="115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5"/>
      <c r="Y706" s="45"/>
      <c r="Z706" s="45"/>
      <c r="AA706" s="45"/>
    </row>
    <row r="707" ht="33.75" customHeight="1">
      <c r="A707" s="112"/>
      <c r="B707" s="44"/>
      <c r="C707" s="44"/>
      <c r="D707" s="64"/>
      <c r="E707" s="113"/>
      <c r="F707" s="114"/>
      <c r="G707" s="115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5"/>
      <c r="Y707" s="45"/>
      <c r="Z707" s="45"/>
      <c r="AA707" s="45"/>
    </row>
    <row r="708" ht="33.75" customHeight="1">
      <c r="A708" s="112"/>
      <c r="B708" s="44"/>
      <c r="C708" s="44"/>
      <c r="D708" s="64"/>
      <c r="E708" s="113"/>
      <c r="F708" s="114"/>
      <c r="G708" s="115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5"/>
      <c r="Y708" s="45"/>
      <c r="Z708" s="45"/>
      <c r="AA708" s="45"/>
    </row>
    <row r="709" ht="33.75" customHeight="1">
      <c r="A709" s="112"/>
      <c r="B709" s="44"/>
      <c r="C709" s="44"/>
      <c r="D709" s="64"/>
      <c r="E709" s="113"/>
      <c r="F709" s="114"/>
      <c r="G709" s="115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5"/>
      <c r="Y709" s="45"/>
      <c r="Z709" s="45"/>
      <c r="AA709" s="45"/>
    </row>
    <row r="710" ht="33.75" customHeight="1">
      <c r="A710" s="112"/>
      <c r="B710" s="44"/>
      <c r="C710" s="44"/>
      <c r="D710" s="64"/>
      <c r="E710" s="113"/>
      <c r="F710" s="114"/>
      <c r="G710" s="115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5"/>
      <c r="Y710" s="45"/>
      <c r="Z710" s="45"/>
      <c r="AA710" s="45"/>
    </row>
    <row r="711" ht="33.75" customHeight="1">
      <c r="A711" s="112"/>
      <c r="B711" s="44"/>
      <c r="C711" s="44"/>
      <c r="D711" s="64"/>
      <c r="E711" s="113"/>
      <c r="F711" s="114"/>
      <c r="G711" s="115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5"/>
      <c r="Y711" s="45"/>
      <c r="Z711" s="45"/>
      <c r="AA711" s="45"/>
    </row>
    <row r="712" ht="33.75" customHeight="1">
      <c r="A712" s="112"/>
      <c r="B712" s="44"/>
      <c r="C712" s="44"/>
      <c r="D712" s="64"/>
      <c r="E712" s="113"/>
      <c r="F712" s="114"/>
      <c r="G712" s="115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5"/>
      <c r="Y712" s="45"/>
      <c r="Z712" s="45"/>
      <c r="AA712" s="45"/>
    </row>
    <row r="713" ht="33.75" customHeight="1">
      <c r="A713" s="112"/>
      <c r="B713" s="44"/>
      <c r="C713" s="44"/>
      <c r="D713" s="64"/>
      <c r="E713" s="113"/>
      <c r="F713" s="114"/>
      <c r="G713" s="115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5"/>
      <c r="Y713" s="45"/>
      <c r="Z713" s="45"/>
      <c r="AA713" s="45"/>
    </row>
    <row r="714" ht="33.75" customHeight="1">
      <c r="A714" s="112"/>
      <c r="B714" s="44"/>
      <c r="C714" s="44"/>
      <c r="D714" s="64"/>
      <c r="E714" s="113"/>
      <c r="F714" s="114"/>
      <c r="G714" s="115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5"/>
      <c r="Y714" s="45"/>
      <c r="Z714" s="45"/>
      <c r="AA714" s="45"/>
    </row>
    <row r="715" ht="33.75" customHeight="1">
      <c r="A715" s="112"/>
      <c r="B715" s="44"/>
      <c r="C715" s="44"/>
      <c r="D715" s="64"/>
      <c r="E715" s="113"/>
      <c r="F715" s="114"/>
      <c r="G715" s="115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5"/>
      <c r="Y715" s="45"/>
      <c r="Z715" s="45"/>
      <c r="AA715" s="45"/>
    </row>
    <row r="716" ht="33.75" customHeight="1">
      <c r="A716" s="112"/>
      <c r="B716" s="44"/>
      <c r="C716" s="44"/>
      <c r="D716" s="64"/>
      <c r="E716" s="113"/>
      <c r="F716" s="114"/>
      <c r="G716" s="115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5"/>
      <c r="Y716" s="45"/>
      <c r="Z716" s="45"/>
      <c r="AA716" s="45"/>
    </row>
    <row r="717" ht="33.75" customHeight="1">
      <c r="A717" s="112"/>
      <c r="B717" s="44"/>
      <c r="C717" s="44"/>
      <c r="D717" s="64"/>
      <c r="E717" s="113"/>
      <c r="F717" s="114"/>
      <c r="G717" s="115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5"/>
      <c r="Y717" s="45"/>
      <c r="Z717" s="45"/>
      <c r="AA717" s="45"/>
    </row>
    <row r="718" ht="33.75" customHeight="1">
      <c r="A718" s="112"/>
      <c r="B718" s="44"/>
      <c r="C718" s="44"/>
      <c r="D718" s="64"/>
      <c r="E718" s="113"/>
      <c r="F718" s="114"/>
      <c r="G718" s="115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5"/>
      <c r="Y718" s="45"/>
      <c r="Z718" s="45"/>
      <c r="AA718" s="45"/>
    </row>
    <row r="719" ht="33.75" customHeight="1">
      <c r="A719" s="112"/>
      <c r="B719" s="44"/>
      <c r="C719" s="44"/>
      <c r="D719" s="64"/>
      <c r="E719" s="113"/>
      <c r="F719" s="114"/>
      <c r="G719" s="115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5"/>
      <c r="Y719" s="45"/>
      <c r="Z719" s="45"/>
      <c r="AA719" s="45"/>
    </row>
    <row r="720" ht="33.75" customHeight="1">
      <c r="A720" s="112"/>
      <c r="B720" s="44"/>
      <c r="C720" s="44"/>
      <c r="D720" s="64"/>
      <c r="E720" s="113"/>
      <c r="F720" s="114"/>
      <c r="G720" s="115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5"/>
      <c r="Y720" s="45"/>
      <c r="Z720" s="45"/>
      <c r="AA720" s="45"/>
    </row>
    <row r="721" ht="33.75" customHeight="1">
      <c r="A721" s="112"/>
      <c r="B721" s="44"/>
      <c r="C721" s="44"/>
      <c r="D721" s="64"/>
      <c r="E721" s="113"/>
      <c r="F721" s="114"/>
      <c r="G721" s="115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5"/>
      <c r="Y721" s="45"/>
      <c r="Z721" s="45"/>
      <c r="AA721" s="45"/>
    </row>
    <row r="722" ht="33.75" customHeight="1">
      <c r="A722" s="112"/>
      <c r="B722" s="44"/>
      <c r="C722" s="44"/>
      <c r="D722" s="64"/>
      <c r="E722" s="113"/>
      <c r="F722" s="114"/>
      <c r="G722" s="115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5"/>
      <c r="Y722" s="45"/>
      <c r="Z722" s="45"/>
      <c r="AA722" s="45"/>
    </row>
    <row r="723" ht="33.75" customHeight="1">
      <c r="A723" s="112"/>
      <c r="B723" s="44"/>
      <c r="C723" s="44"/>
      <c r="D723" s="64"/>
      <c r="E723" s="113"/>
      <c r="F723" s="114"/>
      <c r="G723" s="115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5"/>
      <c r="Y723" s="45"/>
      <c r="Z723" s="45"/>
      <c r="AA723" s="45"/>
    </row>
    <row r="724" ht="33.75" customHeight="1">
      <c r="A724" s="112"/>
      <c r="B724" s="44"/>
      <c r="C724" s="44"/>
      <c r="D724" s="64"/>
      <c r="E724" s="113"/>
      <c r="F724" s="114"/>
      <c r="G724" s="115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5"/>
      <c r="Y724" s="45"/>
      <c r="Z724" s="45"/>
      <c r="AA724" s="45"/>
    </row>
    <row r="725" ht="33.75" customHeight="1">
      <c r="A725" s="112"/>
      <c r="B725" s="44"/>
      <c r="C725" s="44"/>
      <c r="D725" s="64"/>
      <c r="E725" s="113"/>
      <c r="F725" s="114"/>
      <c r="G725" s="115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5"/>
      <c r="Y725" s="45"/>
      <c r="Z725" s="45"/>
      <c r="AA725" s="45"/>
    </row>
    <row r="726" ht="33.75" customHeight="1">
      <c r="A726" s="112"/>
      <c r="B726" s="44"/>
      <c r="C726" s="44"/>
      <c r="D726" s="64"/>
      <c r="E726" s="113"/>
      <c r="F726" s="114"/>
      <c r="G726" s="115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5"/>
      <c r="Y726" s="45"/>
      <c r="Z726" s="45"/>
      <c r="AA726" s="45"/>
    </row>
    <row r="727" ht="33.75" customHeight="1">
      <c r="A727" s="112"/>
      <c r="B727" s="44"/>
      <c r="C727" s="44"/>
      <c r="D727" s="64"/>
      <c r="E727" s="113"/>
      <c r="F727" s="114"/>
      <c r="G727" s="115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5"/>
      <c r="Y727" s="45"/>
      <c r="Z727" s="45"/>
      <c r="AA727" s="45"/>
    </row>
    <row r="728" ht="33.75" customHeight="1">
      <c r="A728" s="112"/>
      <c r="B728" s="44"/>
      <c r="C728" s="44"/>
      <c r="D728" s="64"/>
      <c r="E728" s="113"/>
      <c r="F728" s="114"/>
      <c r="G728" s="115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5"/>
      <c r="Y728" s="45"/>
      <c r="Z728" s="45"/>
      <c r="AA728" s="45"/>
    </row>
    <row r="729" ht="33.75" customHeight="1">
      <c r="A729" s="112"/>
      <c r="B729" s="44"/>
      <c r="C729" s="44"/>
      <c r="D729" s="64"/>
      <c r="E729" s="113"/>
      <c r="F729" s="114"/>
      <c r="G729" s="115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5"/>
      <c r="Y729" s="45"/>
      <c r="Z729" s="45"/>
      <c r="AA729" s="45"/>
    </row>
    <row r="730" ht="33.75" customHeight="1">
      <c r="A730" s="112"/>
      <c r="B730" s="44"/>
      <c r="C730" s="44"/>
      <c r="D730" s="64"/>
      <c r="E730" s="113"/>
      <c r="F730" s="114"/>
      <c r="G730" s="115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5"/>
      <c r="Y730" s="45"/>
      <c r="Z730" s="45"/>
      <c r="AA730" s="45"/>
    </row>
    <row r="731" ht="33.75" customHeight="1">
      <c r="A731" s="112"/>
      <c r="B731" s="44"/>
      <c r="C731" s="44"/>
      <c r="D731" s="64"/>
      <c r="E731" s="113"/>
      <c r="F731" s="114"/>
      <c r="G731" s="115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5"/>
      <c r="Y731" s="45"/>
      <c r="Z731" s="45"/>
      <c r="AA731" s="45"/>
    </row>
    <row r="732" ht="33.75" customHeight="1">
      <c r="A732" s="112"/>
      <c r="B732" s="44"/>
      <c r="C732" s="44"/>
      <c r="D732" s="64"/>
      <c r="E732" s="113"/>
      <c r="F732" s="114"/>
      <c r="G732" s="115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5"/>
      <c r="Y732" s="45"/>
      <c r="Z732" s="45"/>
      <c r="AA732" s="45"/>
    </row>
    <row r="733" ht="33.75" customHeight="1">
      <c r="A733" s="112"/>
      <c r="B733" s="44"/>
      <c r="C733" s="44"/>
      <c r="D733" s="64"/>
      <c r="E733" s="113"/>
      <c r="F733" s="114"/>
      <c r="G733" s="115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5"/>
      <c r="Y733" s="45"/>
      <c r="Z733" s="45"/>
      <c r="AA733" s="45"/>
    </row>
    <row r="734" ht="33.75" customHeight="1">
      <c r="A734" s="112"/>
      <c r="B734" s="44"/>
      <c r="C734" s="44"/>
      <c r="D734" s="64"/>
      <c r="E734" s="113"/>
      <c r="F734" s="114"/>
      <c r="G734" s="115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5"/>
      <c r="Y734" s="45"/>
      <c r="Z734" s="45"/>
      <c r="AA734" s="45"/>
    </row>
    <row r="735" ht="33.75" customHeight="1">
      <c r="A735" s="112"/>
      <c r="B735" s="44"/>
      <c r="C735" s="44"/>
      <c r="D735" s="64"/>
      <c r="E735" s="113"/>
      <c r="F735" s="114"/>
      <c r="G735" s="115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5"/>
      <c r="Y735" s="45"/>
      <c r="Z735" s="45"/>
      <c r="AA735" s="45"/>
    </row>
    <row r="736" ht="33.75" customHeight="1">
      <c r="A736" s="112"/>
      <c r="B736" s="44"/>
      <c r="C736" s="44"/>
      <c r="D736" s="64"/>
      <c r="E736" s="113"/>
      <c r="F736" s="114"/>
      <c r="G736" s="115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5"/>
      <c r="Y736" s="45"/>
      <c r="Z736" s="45"/>
      <c r="AA736" s="45"/>
    </row>
    <row r="737" ht="33.75" customHeight="1">
      <c r="A737" s="112"/>
      <c r="B737" s="44"/>
      <c r="C737" s="44"/>
      <c r="D737" s="64"/>
      <c r="E737" s="113"/>
      <c r="F737" s="114"/>
      <c r="G737" s="115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5"/>
      <c r="Y737" s="45"/>
      <c r="Z737" s="45"/>
      <c r="AA737" s="45"/>
    </row>
    <row r="738" ht="33.75" customHeight="1">
      <c r="A738" s="112"/>
      <c r="B738" s="44"/>
      <c r="C738" s="44"/>
      <c r="D738" s="64"/>
      <c r="E738" s="113"/>
      <c r="F738" s="114"/>
      <c r="G738" s="115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5"/>
      <c r="Y738" s="45"/>
      <c r="Z738" s="45"/>
      <c r="AA738" s="45"/>
    </row>
    <row r="739" ht="33.75" customHeight="1">
      <c r="A739" s="112"/>
      <c r="B739" s="44"/>
      <c r="C739" s="44"/>
      <c r="D739" s="64"/>
      <c r="E739" s="113"/>
      <c r="F739" s="114"/>
      <c r="G739" s="115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5"/>
      <c r="Y739" s="45"/>
      <c r="Z739" s="45"/>
      <c r="AA739" s="45"/>
    </row>
    <row r="740" ht="33.75" customHeight="1">
      <c r="A740" s="112"/>
      <c r="B740" s="44"/>
      <c r="C740" s="44"/>
      <c r="D740" s="64"/>
      <c r="E740" s="113"/>
      <c r="F740" s="114"/>
      <c r="G740" s="115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5"/>
      <c r="Y740" s="45"/>
      <c r="Z740" s="45"/>
      <c r="AA740" s="45"/>
    </row>
    <row r="741" ht="33.75" customHeight="1">
      <c r="A741" s="112"/>
      <c r="B741" s="44"/>
      <c r="C741" s="44"/>
      <c r="D741" s="64"/>
      <c r="E741" s="113"/>
      <c r="F741" s="114"/>
      <c r="G741" s="115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5"/>
      <c r="Y741" s="45"/>
      <c r="Z741" s="45"/>
      <c r="AA741" s="45"/>
    </row>
    <row r="742" ht="33.75" customHeight="1">
      <c r="A742" s="112"/>
      <c r="B742" s="44"/>
      <c r="C742" s="44"/>
      <c r="D742" s="64"/>
      <c r="E742" s="113"/>
      <c r="F742" s="114"/>
      <c r="G742" s="115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5"/>
      <c r="Y742" s="45"/>
      <c r="Z742" s="45"/>
      <c r="AA742" s="45"/>
    </row>
    <row r="743" ht="33.75" customHeight="1">
      <c r="A743" s="112"/>
      <c r="B743" s="44"/>
      <c r="C743" s="44"/>
      <c r="D743" s="64"/>
      <c r="E743" s="113"/>
      <c r="F743" s="114"/>
      <c r="G743" s="115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5"/>
      <c r="Y743" s="45"/>
      <c r="Z743" s="45"/>
      <c r="AA743" s="45"/>
    </row>
    <row r="744" ht="33.75" customHeight="1">
      <c r="A744" s="112"/>
      <c r="B744" s="44"/>
      <c r="C744" s="44"/>
      <c r="D744" s="64"/>
      <c r="E744" s="113"/>
      <c r="F744" s="114"/>
      <c r="G744" s="115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5"/>
      <c r="Y744" s="45"/>
      <c r="Z744" s="45"/>
      <c r="AA744" s="45"/>
    </row>
    <row r="745" ht="33.75" customHeight="1">
      <c r="A745" s="112"/>
      <c r="B745" s="44"/>
      <c r="C745" s="44"/>
      <c r="D745" s="64"/>
      <c r="E745" s="113"/>
      <c r="F745" s="114"/>
      <c r="G745" s="115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5"/>
      <c r="Y745" s="45"/>
      <c r="Z745" s="45"/>
      <c r="AA745" s="45"/>
    </row>
    <row r="746" ht="33.75" customHeight="1">
      <c r="A746" s="112"/>
      <c r="B746" s="44"/>
      <c r="C746" s="44"/>
      <c r="D746" s="64"/>
      <c r="E746" s="113"/>
      <c r="F746" s="114"/>
      <c r="G746" s="115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5"/>
      <c r="Y746" s="45"/>
      <c r="Z746" s="45"/>
      <c r="AA746" s="45"/>
    </row>
    <row r="747" ht="33.75" customHeight="1">
      <c r="A747" s="112"/>
      <c r="B747" s="44"/>
      <c r="C747" s="44"/>
      <c r="D747" s="64"/>
      <c r="E747" s="113"/>
      <c r="F747" s="114"/>
      <c r="G747" s="115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5"/>
      <c r="Y747" s="45"/>
      <c r="Z747" s="45"/>
      <c r="AA747" s="45"/>
    </row>
    <row r="748" ht="33.75" customHeight="1">
      <c r="A748" s="112"/>
      <c r="B748" s="44"/>
      <c r="C748" s="44"/>
      <c r="D748" s="64"/>
      <c r="E748" s="113"/>
      <c r="F748" s="114"/>
      <c r="G748" s="115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5"/>
      <c r="Y748" s="45"/>
      <c r="Z748" s="45"/>
      <c r="AA748" s="45"/>
    </row>
    <row r="749" ht="33.75" customHeight="1">
      <c r="A749" s="112"/>
      <c r="B749" s="44"/>
      <c r="C749" s="44"/>
      <c r="D749" s="64"/>
      <c r="E749" s="113"/>
      <c r="F749" s="114"/>
      <c r="G749" s="115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5"/>
      <c r="Y749" s="45"/>
      <c r="Z749" s="45"/>
      <c r="AA749" s="45"/>
    </row>
    <row r="750" ht="33.75" customHeight="1">
      <c r="A750" s="112"/>
      <c r="B750" s="44"/>
      <c r="C750" s="44"/>
      <c r="D750" s="64"/>
      <c r="E750" s="113"/>
      <c r="F750" s="114"/>
      <c r="G750" s="115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5"/>
      <c r="Y750" s="45"/>
      <c r="Z750" s="45"/>
      <c r="AA750" s="45"/>
    </row>
    <row r="751" ht="33.75" customHeight="1">
      <c r="A751" s="112"/>
      <c r="B751" s="44"/>
      <c r="C751" s="44"/>
      <c r="D751" s="64"/>
      <c r="E751" s="113"/>
      <c r="F751" s="114"/>
      <c r="G751" s="115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5"/>
      <c r="Y751" s="45"/>
      <c r="Z751" s="45"/>
      <c r="AA751" s="45"/>
    </row>
    <row r="752" ht="33.75" customHeight="1">
      <c r="A752" s="112"/>
      <c r="B752" s="44"/>
      <c r="C752" s="44"/>
      <c r="D752" s="64"/>
      <c r="E752" s="113"/>
      <c r="F752" s="114"/>
      <c r="G752" s="115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5"/>
      <c r="Y752" s="45"/>
      <c r="Z752" s="45"/>
      <c r="AA752" s="45"/>
    </row>
    <row r="753" ht="33.75" customHeight="1">
      <c r="A753" s="112"/>
      <c r="B753" s="44"/>
      <c r="C753" s="44"/>
      <c r="D753" s="64"/>
      <c r="E753" s="113"/>
      <c r="F753" s="114"/>
      <c r="G753" s="115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5"/>
      <c r="Y753" s="45"/>
      <c r="Z753" s="45"/>
      <c r="AA753" s="45"/>
    </row>
    <row r="754" ht="33.75" customHeight="1">
      <c r="A754" s="112"/>
      <c r="B754" s="44"/>
      <c r="C754" s="44"/>
      <c r="D754" s="64"/>
      <c r="E754" s="113"/>
      <c r="F754" s="114"/>
      <c r="G754" s="115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5"/>
      <c r="Y754" s="45"/>
      <c r="Z754" s="45"/>
      <c r="AA754" s="45"/>
    </row>
    <row r="755" ht="33.75" customHeight="1">
      <c r="A755" s="112"/>
      <c r="B755" s="44"/>
      <c r="C755" s="44"/>
      <c r="D755" s="64"/>
      <c r="E755" s="113"/>
      <c r="F755" s="114"/>
      <c r="G755" s="115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5"/>
      <c r="Y755" s="45"/>
      <c r="Z755" s="45"/>
      <c r="AA755" s="45"/>
    </row>
    <row r="756" ht="33.75" customHeight="1">
      <c r="A756" s="112"/>
      <c r="B756" s="44"/>
      <c r="C756" s="44"/>
      <c r="D756" s="64"/>
      <c r="E756" s="113"/>
      <c r="F756" s="114"/>
      <c r="G756" s="115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5"/>
      <c r="Y756" s="45"/>
      <c r="Z756" s="45"/>
      <c r="AA756" s="45"/>
    </row>
    <row r="757" ht="33.75" customHeight="1">
      <c r="A757" s="112"/>
      <c r="B757" s="44"/>
      <c r="C757" s="44"/>
      <c r="D757" s="64"/>
      <c r="E757" s="113"/>
      <c r="F757" s="114"/>
      <c r="G757" s="115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5"/>
      <c r="Y757" s="45"/>
      <c r="Z757" s="45"/>
      <c r="AA757" s="45"/>
    </row>
    <row r="758" ht="33.75" customHeight="1">
      <c r="A758" s="112"/>
      <c r="B758" s="44"/>
      <c r="C758" s="44"/>
      <c r="D758" s="64"/>
      <c r="E758" s="113"/>
      <c r="F758" s="114"/>
      <c r="G758" s="115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5"/>
      <c r="Y758" s="45"/>
      <c r="Z758" s="45"/>
      <c r="AA758" s="45"/>
    </row>
    <row r="759" ht="33.75" customHeight="1">
      <c r="A759" s="112"/>
      <c r="B759" s="44"/>
      <c r="C759" s="44"/>
      <c r="D759" s="64"/>
      <c r="E759" s="113"/>
      <c r="F759" s="114"/>
      <c r="G759" s="115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5"/>
      <c r="Y759" s="45"/>
      <c r="Z759" s="45"/>
      <c r="AA759" s="45"/>
    </row>
    <row r="760" ht="33.75" customHeight="1">
      <c r="A760" s="112"/>
      <c r="B760" s="44"/>
      <c r="C760" s="44"/>
      <c r="D760" s="64"/>
      <c r="E760" s="113"/>
      <c r="F760" s="114"/>
      <c r="G760" s="115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5"/>
      <c r="Y760" s="45"/>
      <c r="Z760" s="45"/>
      <c r="AA760" s="45"/>
    </row>
    <row r="761" ht="33.75" customHeight="1">
      <c r="A761" s="112"/>
      <c r="B761" s="44"/>
      <c r="C761" s="44"/>
      <c r="D761" s="64"/>
      <c r="E761" s="113"/>
      <c r="F761" s="114"/>
      <c r="G761" s="115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5"/>
      <c r="Y761" s="45"/>
      <c r="Z761" s="45"/>
      <c r="AA761" s="45"/>
    </row>
    <row r="762" ht="33.75" customHeight="1">
      <c r="A762" s="112"/>
      <c r="B762" s="44"/>
      <c r="C762" s="44"/>
      <c r="D762" s="64"/>
      <c r="E762" s="113"/>
      <c r="F762" s="114"/>
      <c r="G762" s="115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5"/>
      <c r="Y762" s="45"/>
      <c r="Z762" s="45"/>
      <c r="AA762" s="45"/>
    </row>
    <row r="763" ht="33.75" customHeight="1">
      <c r="A763" s="112"/>
      <c r="B763" s="44"/>
      <c r="C763" s="44"/>
      <c r="D763" s="64"/>
      <c r="E763" s="113"/>
      <c r="F763" s="114"/>
      <c r="G763" s="115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5"/>
      <c r="Y763" s="45"/>
      <c r="Z763" s="45"/>
      <c r="AA763" s="45"/>
    </row>
    <row r="764" ht="33.75" customHeight="1">
      <c r="A764" s="112"/>
      <c r="B764" s="44"/>
      <c r="C764" s="44"/>
      <c r="D764" s="64"/>
      <c r="E764" s="113"/>
      <c r="F764" s="114"/>
      <c r="G764" s="115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5"/>
      <c r="Y764" s="45"/>
      <c r="Z764" s="45"/>
      <c r="AA764" s="45"/>
    </row>
    <row r="765" ht="33.75" customHeight="1">
      <c r="A765" s="112"/>
      <c r="B765" s="44"/>
      <c r="C765" s="44"/>
      <c r="D765" s="64"/>
      <c r="E765" s="113"/>
      <c r="F765" s="114"/>
      <c r="G765" s="115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5"/>
      <c r="Y765" s="45"/>
      <c r="Z765" s="45"/>
      <c r="AA765" s="45"/>
    </row>
    <row r="766" ht="33.75" customHeight="1">
      <c r="A766" s="112"/>
      <c r="B766" s="44"/>
      <c r="C766" s="44"/>
      <c r="D766" s="64"/>
      <c r="E766" s="113"/>
      <c r="F766" s="114"/>
      <c r="G766" s="115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5"/>
      <c r="Y766" s="45"/>
      <c r="Z766" s="45"/>
      <c r="AA766" s="45"/>
    </row>
    <row r="767" ht="33.75" customHeight="1">
      <c r="A767" s="112"/>
      <c r="B767" s="44"/>
      <c r="C767" s="44"/>
      <c r="D767" s="64"/>
      <c r="E767" s="113"/>
      <c r="F767" s="114"/>
      <c r="G767" s="115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5"/>
      <c r="Y767" s="45"/>
      <c r="Z767" s="45"/>
      <c r="AA767" s="45"/>
    </row>
    <row r="768" ht="33.75" customHeight="1">
      <c r="A768" s="112"/>
      <c r="B768" s="44"/>
      <c r="C768" s="44"/>
      <c r="D768" s="64"/>
      <c r="E768" s="113"/>
      <c r="F768" s="114"/>
      <c r="G768" s="115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5"/>
      <c r="Y768" s="45"/>
      <c r="Z768" s="45"/>
      <c r="AA768" s="45"/>
    </row>
    <row r="769" ht="33.75" customHeight="1">
      <c r="A769" s="112"/>
      <c r="B769" s="44"/>
      <c r="C769" s="44"/>
      <c r="D769" s="64"/>
      <c r="E769" s="113"/>
      <c r="F769" s="114"/>
      <c r="G769" s="115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5"/>
      <c r="Y769" s="45"/>
      <c r="Z769" s="45"/>
      <c r="AA769" s="45"/>
    </row>
    <row r="770" ht="33.75" customHeight="1">
      <c r="A770" s="112"/>
      <c r="B770" s="44"/>
      <c r="C770" s="44"/>
      <c r="D770" s="64"/>
      <c r="E770" s="113"/>
      <c r="F770" s="114"/>
      <c r="G770" s="115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5"/>
      <c r="Y770" s="45"/>
      <c r="Z770" s="45"/>
      <c r="AA770" s="45"/>
    </row>
    <row r="771" ht="33.75" customHeight="1">
      <c r="A771" s="112"/>
      <c r="B771" s="44"/>
      <c r="C771" s="44"/>
      <c r="D771" s="64"/>
      <c r="E771" s="113"/>
      <c r="F771" s="114"/>
      <c r="G771" s="115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5"/>
      <c r="Y771" s="45"/>
      <c r="Z771" s="45"/>
      <c r="AA771" s="45"/>
    </row>
    <row r="772" ht="33.75" customHeight="1">
      <c r="A772" s="112"/>
      <c r="B772" s="44"/>
      <c r="C772" s="44"/>
      <c r="D772" s="64"/>
      <c r="E772" s="113"/>
      <c r="F772" s="114"/>
      <c r="G772" s="115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5"/>
      <c r="Y772" s="45"/>
      <c r="Z772" s="45"/>
      <c r="AA772" s="45"/>
    </row>
    <row r="773" ht="33.75" customHeight="1">
      <c r="A773" s="112"/>
      <c r="B773" s="44"/>
      <c r="C773" s="44"/>
      <c r="D773" s="64"/>
      <c r="E773" s="113"/>
      <c r="F773" s="114"/>
      <c r="G773" s="115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5"/>
      <c r="Y773" s="45"/>
      <c r="Z773" s="45"/>
      <c r="AA773" s="45"/>
    </row>
    <row r="774" ht="33.75" customHeight="1">
      <c r="A774" s="112"/>
      <c r="B774" s="44"/>
      <c r="C774" s="44"/>
      <c r="D774" s="64"/>
      <c r="E774" s="113"/>
      <c r="F774" s="114"/>
      <c r="G774" s="115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5"/>
      <c r="Y774" s="45"/>
      <c r="Z774" s="45"/>
      <c r="AA774" s="45"/>
    </row>
    <row r="775" ht="33.75" customHeight="1">
      <c r="A775" s="112"/>
      <c r="B775" s="44"/>
      <c r="C775" s="44"/>
      <c r="D775" s="64"/>
      <c r="E775" s="113"/>
      <c r="F775" s="114"/>
      <c r="G775" s="115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5"/>
      <c r="Y775" s="45"/>
      <c r="Z775" s="45"/>
      <c r="AA775" s="45"/>
    </row>
    <row r="776" ht="33.75" customHeight="1">
      <c r="A776" s="112"/>
      <c r="B776" s="44"/>
      <c r="C776" s="44"/>
      <c r="D776" s="64"/>
      <c r="E776" s="113"/>
      <c r="F776" s="114"/>
      <c r="G776" s="115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5"/>
      <c r="Y776" s="45"/>
      <c r="Z776" s="45"/>
      <c r="AA776" s="45"/>
    </row>
    <row r="777" ht="33.75" customHeight="1">
      <c r="A777" s="112"/>
      <c r="B777" s="44"/>
      <c r="C777" s="44"/>
      <c r="D777" s="64"/>
      <c r="E777" s="113"/>
      <c r="F777" s="114"/>
      <c r="G777" s="115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5"/>
      <c r="Y777" s="45"/>
      <c r="Z777" s="45"/>
      <c r="AA777" s="45"/>
    </row>
    <row r="778" ht="33.75" customHeight="1">
      <c r="A778" s="112"/>
      <c r="B778" s="44"/>
      <c r="C778" s="44"/>
      <c r="D778" s="64"/>
      <c r="E778" s="113"/>
      <c r="F778" s="114"/>
      <c r="G778" s="115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5"/>
      <c r="Y778" s="45"/>
      <c r="Z778" s="45"/>
      <c r="AA778" s="45"/>
    </row>
    <row r="779" ht="33.75" customHeight="1">
      <c r="A779" s="112"/>
      <c r="B779" s="44"/>
      <c r="C779" s="44"/>
      <c r="D779" s="64"/>
      <c r="E779" s="113"/>
      <c r="F779" s="114"/>
      <c r="G779" s="115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5"/>
      <c r="Y779" s="45"/>
      <c r="Z779" s="45"/>
      <c r="AA779" s="45"/>
    </row>
    <row r="780" ht="33.75" customHeight="1">
      <c r="A780" s="112"/>
      <c r="B780" s="44"/>
      <c r="C780" s="44"/>
      <c r="D780" s="64"/>
      <c r="E780" s="113"/>
      <c r="F780" s="114"/>
      <c r="G780" s="115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5"/>
      <c r="Y780" s="45"/>
      <c r="Z780" s="45"/>
      <c r="AA780" s="45"/>
    </row>
    <row r="781" ht="33.75" customHeight="1">
      <c r="A781" s="112"/>
      <c r="B781" s="44"/>
      <c r="C781" s="44"/>
      <c r="D781" s="64"/>
      <c r="E781" s="113"/>
      <c r="F781" s="114"/>
      <c r="G781" s="115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5"/>
      <c r="Y781" s="45"/>
      <c r="Z781" s="45"/>
      <c r="AA781" s="45"/>
    </row>
    <row r="782" ht="33.75" customHeight="1">
      <c r="A782" s="112"/>
      <c r="B782" s="44"/>
      <c r="C782" s="44"/>
      <c r="D782" s="64"/>
      <c r="E782" s="113"/>
      <c r="F782" s="114"/>
      <c r="G782" s="115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5"/>
      <c r="Y782" s="45"/>
      <c r="Z782" s="45"/>
      <c r="AA782" s="45"/>
    </row>
    <row r="783" ht="33.75" customHeight="1">
      <c r="A783" s="112"/>
      <c r="B783" s="44"/>
      <c r="C783" s="44"/>
      <c r="D783" s="64"/>
      <c r="E783" s="113"/>
      <c r="F783" s="114"/>
      <c r="G783" s="115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5"/>
      <c r="Y783" s="45"/>
      <c r="Z783" s="45"/>
      <c r="AA783" s="45"/>
    </row>
    <row r="784" ht="33.75" customHeight="1">
      <c r="A784" s="112"/>
      <c r="B784" s="44"/>
      <c r="C784" s="44"/>
      <c r="D784" s="64"/>
      <c r="E784" s="113"/>
      <c r="F784" s="114"/>
      <c r="G784" s="115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5"/>
      <c r="Y784" s="45"/>
      <c r="Z784" s="45"/>
      <c r="AA784" s="45"/>
    </row>
    <row r="785" ht="33.75" customHeight="1">
      <c r="A785" s="112"/>
      <c r="B785" s="44"/>
      <c r="C785" s="44"/>
      <c r="D785" s="64"/>
      <c r="E785" s="113"/>
      <c r="F785" s="114"/>
      <c r="G785" s="115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5"/>
      <c r="Y785" s="45"/>
      <c r="Z785" s="45"/>
      <c r="AA785" s="45"/>
    </row>
    <row r="786" ht="33.75" customHeight="1">
      <c r="A786" s="112"/>
      <c r="B786" s="44"/>
      <c r="C786" s="44"/>
      <c r="D786" s="64"/>
      <c r="E786" s="113"/>
      <c r="F786" s="114"/>
      <c r="G786" s="115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5"/>
      <c r="Y786" s="45"/>
      <c r="Z786" s="45"/>
      <c r="AA786" s="45"/>
    </row>
    <row r="787" ht="33.75" customHeight="1">
      <c r="A787" s="112"/>
      <c r="B787" s="44"/>
      <c r="C787" s="44"/>
      <c r="D787" s="64"/>
      <c r="E787" s="113"/>
      <c r="F787" s="114"/>
      <c r="G787" s="115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5"/>
      <c r="Y787" s="45"/>
      <c r="Z787" s="45"/>
      <c r="AA787" s="45"/>
    </row>
    <row r="788" ht="33.75" customHeight="1">
      <c r="A788" s="112"/>
      <c r="B788" s="44"/>
      <c r="C788" s="44"/>
      <c r="D788" s="64"/>
      <c r="E788" s="113"/>
      <c r="F788" s="114"/>
      <c r="G788" s="115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5"/>
      <c r="Y788" s="45"/>
      <c r="Z788" s="45"/>
      <c r="AA788" s="45"/>
    </row>
    <row r="789" ht="33.75" customHeight="1">
      <c r="A789" s="112"/>
      <c r="B789" s="44"/>
      <c r="C789" s="44"/>
      <c r="D789" s="64"/>
      <c r="E789" s="113"/>
      <c r="F789" s="114"/>
      <c r="G789" s="115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5"/>
      <c r="Y789" s="45"/>
      <c r="Z789" s="45"/>
      <c r="AA789" s="45"/>
    </row>
    <row r="790" ht="33.75" customHeight="1">
      <c r="A790" s="112"/>
      <c r="B790" s="44"/>
      <c r="C790" s="44"/>
      <c r="D790" s="64"/>
      <c r="E790" s="113"/>
      <c r="F790" s="114"/>
      <c r="G790" s="115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5"/>
      <c r="Y790" s="45"/>
      <c r="Z790" s="45"/>
      <c r="AA790" s="45"/>
    </row>
    <row r="791" ht="33.75" customHeight="1">
      <c r="A791" s="112"/>
      <c r="B791" s="44"/>
      <c r="C791" s="44"/>
      <c r="D791" s="64"/>
      <c r="E791" s="113"/>
      <c r="F791" s="114"/>
      <c r="G791" s="115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5"/>
      <c r="Y791" s="45"/>
      <c r="Z791" s="45"/>
      <c r="AA791" s="45"/>
    </row>
    <row r="792" ht="33.75" customHeight="1">
      <c r="A792" s="112"/>
      <c r="B792" s="44"/>
      <c r="C792" s="44"/>
      <c r="D792" s="64"/>
      <c r="E792" s="113"/>
      <c r="F792" s="114"/>
      <c r="G792" s="115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5"/>
      <c r="Y792" s="45"/>
      <c r="Z792" s="45"/>
      <c r="AA792" s="45"/>
    </row>
    <row r="793" ht="33.75" customHeight="1">
      <c r="A793" s="112"/>
      <c r="B793" s="44"/>
      <c r="C793" s="44"/>
      <c r="D793" s="64"/>
      <c r="E793" s="113"/>
      <c r="F793" s="114"/>
      <c r="G793" s="115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5"/>
      <c r="Y793" s="45"/>
      <c r="Z793" s="45"/>
      <c r="AA793" s="45"/>
    </row>
    <row r="794" ht="33.75" customHeight="1">
      <c r="A794" s="112"/>
      <c r="B794" s="44"/>
      <c r="C794" s="44"/>
      <c r="D794" s="64"/>
      <c r="E794" s="113"/>
      <c r="F794" s="114"/>
      <c r="G794" s="115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5"/>
      <c r="Y794" s="45"/>
      <c r="Z794" s="45"/>
      <c r="AA794" s="45"/>
    </row>
    <row r="795" ht="33.75" customHeight="1">
      <c r="A795" s="112"/>
      <c r="B795" s="44"/>
      <c r="C795" s="44"/>
      <c r="D795" s="64"/>
      <c r="E795" s="113"/>
      <c r="F795" s="114"/>
      <c r="G795" s="115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5"/>
      <c r="Y795" s="45"/>
      <c r="Z795" s="45"/>
      <c r="AA795" s="45"/>
    </row>
    <row r="796" ht="33.75" customHeight="1">
      <c r="A796" s="112"/>
      <c r="B796" s="44"/>
      <c r="C796" s="44"/>
      <c r="D796" s="64"/>
      <c r="E796" s="113"/>
      <c r="F796" s="114"/>
      <c r="G796" s="115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5"/>
      <c r="Y796" s="45"/>
      <c r="Z796" s="45"/>
      <c r="AA796" s="45"/>
    </row>
    <row r="797" ht="33.75" customHeight="1">
      <c r="A797" s="112"/>
      <c r="B797" s="44"/>
      <c r="C797" s="44"/>
      <c r="D797" s="64"/>
      <c r="E797" s="113"/>
      <c r="F797" s="114"/>
      <c r="G797" s="115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5"/>
      <c r="Y797" s="45"/>
      <c r="Z797" s="45"/>
      <c r="AA797" s="45"/>
    </row>
    <row r="798" ht="33.75" customHeight="1">
      <c r="A798" s="112"/>
      <c r="B798" s="44"/>
      <c r="C798" s="44"/>
      <c r="D798" s="64"/>
      <c r="E798" s="113"/>
      <c r="F798" s="114"/>
      <c r="G798" s="115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5"/>
      <c r="Y798" s="45"/>
      <c r="Z798" s="45"/>
      <c r="AA798" s="45"/>
    </row>
    <row r="799" ht="33.75" customHeight="1">
      <c r="A799" s="112"/>
      <c r="B799" s="44"/>
      <c r="C799" s="44"/>
      <c r="D799" s="64"/>
      <c r="E799" s="113"/>
      <c r="F799" s="114"/>
      <c r="G799" s="115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5"/>
      <c r="Y799" s="45"/>
      <c r="Z799" s="45"/>
      <c r="AA799" s="45"/>
    </row>
    <row r="800" ht="33.75" customHeight="1">
      <c r="A800" s="112"/>
      <c r="B800" s="44"/>
      <c r="C800" s="44"/>
      <c r="D800" s="64"/>
      <c r="E800" s="113"/>
      <c r="F800" s="114"/>
      <c r="G800" s="115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5"/>
      <c r="Y800" s="45"/>
      <c r="Z800" s="45"/>
      <c r="AA800" s="45"/>
    </row>
    <row r="801" ht="33.75" customHeight="1">
      <c r="A801" s="112"/>
      <c r="B801" s="44"/>
      <c r="C801" s="44"/>
      <c r="D801" s="64"/>
      <c r="E801" s="113"/>
      <c r="F801" s="114"/>
      <c r="G801" s="115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5"/>
      <c r="Y801" s="45"/>
      <c r="Z801" s="45"/>
      <c r="AA801" s="45"/>
    </row>
    <row r="802" ht="33.75" customHeight="1">
      <c r="A802" s="120"/>
      <c r="B802" s="45"/>
      <c r="C802" s="45"/>
      <c r="D802" s="121"/>
      <c r="E802" s="122"/>
      <c r="F802" s="123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</row>
    <row r="803" ht="33.75" customHeight="1">
      <c r="A803" s="120"/>
      <c r="B803" s="45"/>
      <c r="C803" s="45"/>
      <c r="D803" s="121"/>
      <c r="E803" s="122"/>
      <c r="F803" s="123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</row>
    <row r="804" ht="33.75" customHeight="1">
      <c r="A804" s="120"/>
      <c r="B804" s="45"/>
      <c r="C804" s="45"/>
      <c r="D804" s="121"/>
      <c r="E804" s="122"/>
      <c r="F804" s="123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</row>
    <row r="805" ht="33.75" customHeight="1">
      <c r="A805" s="120"/>
      <c r="B805" s="45"/>
      <c r="C805" s="45"/>
      <c r="D805" s="121"/>
      <c r="E805" s="122"/>
      <c r="F805" s="123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</row>
    <row r="806" ht="33.75" customHeight="1">
      <c r="A806" s="120"/>
      <c r="B806" s="45"/>
      <c r="C806" s="45"/>
      <c r="D806" s="121"/>
      <c r="E806" s="122"/>
      <c r="F806" s="123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</row>
    <row r="807" ht="33.75" customHeight="1">
      <c r="A807" s="120"/>
      <c r="B807" s="45"/>
      <c r="C807" s="45"/>
      <c r="D807" s="121"/>
      <c r="E807" s="122"/>
      <c r="F807" s="123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</row>
    <row r="808" ht="33.75" customHeight="1">
      <c r="A808" s="120"/>
      <c r="B808" s="45"/>
      <c r="C808" s="45"/>
      <c r="D808" s="121"/>
      <c r="E808" s="122"/>
      <c r="F808" s="123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</row>
    <row r="809" ht="33.75" customHeight="1">
      <c r="A809" s="120"/>
      <c r="B809" s="45"/>
      <c r="C809" s="45"/>
      <c r="D809" s="121"/>
      <c r="E809" s="122"/>
      <c r="F809" s="123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</row>
    <row r="810" ht="33.75" customHeight="1">
      <c r="A810" s="120"/>
      <c r="B810" s="45"/>
      <c r="C810" s="45"/>
      <c r="D810" s="121"/>
      <c r="E810" s="122"/>
      <c r="F810" s="123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</row>
    <row r="811" ht="33.75" customHeight="1">
      <c r="A811" s="120"/>
      <c r="B811" s="45"/>
      <c r="C811" s="45"/>
      <c r="D811" s="121"/>
      <c r="E811" s="122"/>
      <c r="F811" s="123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</row>
    <row r="812" ht="33.75" customHeight="1">
      <c r="A812" s="120"/>
      <c r="B812" s="45"/>
      <c r="C812" s="45"/>
      <c r="D812" s="121"/>
      <c r="E812" s="122"/>
      <c r="F812" s="123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</row>
    <row r="813" ht="33.75" customHeight="1">
      <c r="A813" s="120"/>
      <c r="B813" s="45"/>
      <c r="C813" s="45"/>
      <c r="D813" s="121"/>
      <c r="E813" s="122"/>
      <c r="F813" s="123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</row>
    <row r="814" ht="33.75" customHeight="1">
      <c r="A814" s="120"/>
      <c r="B814" s="45"/>
      <c r="C814" s="45"/>
      <c r="D814" s="121"/>
      <c r="E814" s="122"/>
      <c r="F814" s="123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</row>
    <row r="815" ht="33.75" customHeight="1">
      <c r="A815" s="120"/>
      <c r="B815" s="45"/>
      <c r="C815" s="45"/>
      <c r="D815" s="121"/>
      <c r="E815" s="122"/>
      <c r="F815" s="123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</row>
    <row r="816" ht="33.75" customHeight="1">
      <c r="A816" s="120"/>
      <c r="B816" s="45"/>
      <c r="C816" s="45"/>
      <c r="D816" s="121"/>
      <c r="E816" s="122"/>
      <c r="F816" s="123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</row>
    <row r="817" ht="33.75" customHeight="1">
      <c r="A817" s="120"/>
      <c r="B817" s="45"/>
      <c r="C817" s="45"/>
      <c r="D817" s="121"/>
      <c r="E817" s="122"/>
      <c r="F817" s="123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</row>
    <row r="818" ht="33.75" customHeight="1">
      <c r="A818" s="120"/>
      <c r="B818" s="45"/>
      <c r="C818" s="45"/>
      <c r="D818" s="121"/>
      <c r="E818" s="122"/>
      <c r="F818" s="123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</row>
    <row r="819" ht="33.75" customHeight="1">
      <c r="A819" s="120"/>
      <c r="B819" s="45"/>
      <c r="C819" s="45"/>
      <c r="D819" s="121"/>
      <c r="E819" s="122"/>
      <c r="F819" s="123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</row>
    <row r="820" ht="33.75" customHeight="1">
      <c r="A820" s="120"/>
      <c r="B820" s="45"/>
      <c r="C820" s="45"/>
      <c r="D820" s="121"/>
      <c r="E820" s="122"/>
      <c r="F820" s="123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</row>
    <row r="821" ht="33.75" customHeight="1">
      <c r="A821" s="120"/>
      <c r="B821" s="45"/>
      <c r="C821" s="45"/>
      <c r="D821" s="121"/>
      <c r="E821" s="122"/>
      <c r="F821" s="123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</row>
    <row r="822" ht="33.75" customHeight="1">
      <c r="A822" s="120"/>
      <c r="B822" s="45"/>
      <c r="C822" s="45"/>
      <c r="D822" s="121"/>
      <c r="E822" s="122"/>
      <c r="F822" s="123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</row>
    <row r="823" ht="33.75" customHeight="1">
      <c r="A823" s="120"/>
      <c r="B823" s="45"/>
      <c r="C823" s="45"/>
      <c r="D823" s="121"/>
      <c r="E823" s="122"/>
      <c r="F823" s="123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 ht="33.75" customHeight="1">
      <c r="A824" s="120"/>
      <c r="B824" s="45"/>
      <c r="C824" s="45"/>
      <c r="D824" s="121"/>
      <c r="E824" s="122"/>
      <c r="F824" s="123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 ht="33.75" customHeight="1">
      <c r="A825" s="120"/>
      <c r="B825" s="45"/>
      <c r="C825" s="45"/>
      <c r="D825" s="121"/>
      <c r="E825" s="122"/>
      <c r="F825" s="123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 ht="33.75" customHeight="1">
      <c r="A826" s="120"/>
      <c r="B826" s="45"/>
      <c r="C826" s="45"/>
      <c r="D826" s="121"/>
      <c r="E826" s="122"/>
      <c r="F826" s="123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</row>
    <row r="827" ht="33.75" customHeight="1">
      <c r="A827" s="120"/>
      <c r="B827" s="45"/>
      <c r="C827" s="45"/>
      <c r="D827" s="121"/>
      <c r="E827" s="122"/>
      <c r="F827" s="123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</row>
    <row r="828" ht="33.75" customHeight="1">
      <c r="A828" s="120"/>
      <c r="B828" s="45"/>
      <c r="C828" s="45"/>
      <c r="D828" s="121"/>
      <c r="E828" s="122"/>
      <c r="F828" s="123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</row>
    <row r="829" ht="33.75" customHeight="1">
      <c r="A829" s="120"/>
      <c r="B829" s="45"/>
      <c r="C829" s="45"/>
      <c r="D829" s="121"/>
      <c r="E829" s="122"/>
      <c r="F829" s="123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</row>
    <row r="830" ht="33.75" customHeight="1">
      <c r="A830" s="120"/>
      <c r="B830" s="45"/>
      <c r="C830" s="45"/>
      <c r="D830" s="121"/>
      <c r="E830" s="122"/>
      <c r="F830" s="123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</row>
    <row r="831" ht="33.75" customHeight="1">
      <c r="A831" s="120"/>
      <c r="B831" s="45"/>
      <c r="C831" s="45"/>
      <c r="D831" s="121"/>
      <c r="E831" s="122"/>
      <c r="F831" s="123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</row>
    <row r="832" ht="33.75" customHeight="1">
      <c r="A832" s="120"/>
      <c r="B832" s="45"/>
      <c r="C832" s="45"/>
      <c r="D832" s="121"/>
      <c r="E832" s="122"/>
      <c r="F832" s="123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</row>
    <row r="833" ht="33.75" customHeight="1">
      <c r="A833" s="120"/>
      <c r="B833" s="45"/>
      <c r="C833" s="45"/>
      <c r="D833" s="121"/>
      <c r="E833" s="122"/>
      <c r="F833" s="123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</row>
    <row r="834" ht="33.75" customHeight="1">
      <c r="A834" s="120"/>
      <c r="B834" s="45"/>
      <c r="C834" s="45"/>
      <c r="D834" s="121"/>
      <c r="E834" s="122"/>
      <c r="F834" s="123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</row>
    <row r="835" ht="33.75" customHeight="1">
      <c r="A835" s="120"/>
      <c r="B835" s="45"/>
      <c r="C835" s="45"/>
      <c r="D835" s="121"/>
      <c r="E835" s="122"/>
      <c r="F835" s="123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</row>
    <row r="836" ht="33.75" customHeight="1">
      <c r="A836" s="120"/>
      <c r="B836" s="45"/>
      <c r="C836" s="45"/>
      <c r="D836" s="121"/>
      <c r="E836" s="122"/>
      <c r="F836" s="123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</row>
    <row r="837" ht="33.75" customHeight="1">
      <c r="A837" s="120"/>
      <c r="B837" s="45"/>
      <c r="C837" s="45"/>
      <c r="D837" s="121"/>
      <c r="E837" s="122"/>
      <c r="F837" s="123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</row>
    <row r="838" ht="33.75" customHeight="1">
      <c r="A838" s="120"/>
      <c r="B838" s="45"/>
      <c r="C838" s="45"/>
      <c r="D838" s="121"/>
      <c r="E838" s="122"/>
      <c r="F838" s="123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 ht="33.75" customHeight="1">
      <c r="A839" s="120"/>
      <c r="B839" s="45"/>
      <c r="C839" s="45"/>
      <c r="D839" s="121"/>
      <c r="E839" s="122"/>
      <c r="F839" s="123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 ht="33.75" customHeight="1">
      <c r="A840" s="120"/>
      <c r="B840" s="45"/>
      <c r="C840" s="45"/>
      <c r="D840" s="121"/>
      <c r="E840" s="122"/>
      <c r="F840" s="123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 ht="33.75" customHeight="1">
      <c r="A841" s="120"/>
      <c r="B841" s="45"/>
      <c r="C841" s="45"/>
      <c r="D841" s="121"/>
      <c r="E841" s="122"/>
      <c r="F841" s="123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</row>
    <row r="842" ht="33.75" customHeight="1">
      <c r="A842" s="120"/>
      <c r="B842" s="45"/>
      <c r="C842" s="45"/>
      <c r="D842" s="121"/>
      <c r="E842" s="122"/>
      <c r="F842" s="123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</row>
    <row r="843" ht="33.75" customHeight="1">
      <c r="A843" s="120"/>
      <c r="B843" s="45"/>
      <c r="C843" s="45"/>
      <c r="D843" s="121"/>
      <c r="E843" s="122"/>
      <c r="F843" s="123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</row>
    <row r="844" ht="33.75" customHeight="1">
      <c r="A844" s="120"/>
      <c r="B844" s="45"/>
      <c r="C844" s="45"/>
      <c r="D844" s="121"/>
      <c r="E844" s="122"/>
      <c r="F844" s="123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</row>
    <row r="845" ht="33.75" customHeight="1">
      <c r="A845" s="120"/>
      <c r="B845" s="45"/>
      <c r="C845" s="45"/>
      <c r="D845" s="121"/>
      <c r="E845" s="122"/>
      <c r="F845" s="123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</row>
    <row r="846" ht="33.75" customHeight="1">
      <c r="A846" s="120"/>
      <c r="B846" s="45"/>
      <c r="C846" s="45"/>
      <c r="D846" s="121"/>
      <c r="E846" s="122"/>
      <c r="F846" s="123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</row>
    <row r="847" ht="33.75" customHeight="1">
      <c r="A847" s="120"/>
      <c r="B847" s="45"/>
      <c r="C847" s="45"/>
      <c r="D847" s="121"/>
      <c r="E847" s="122"/>
      <c r="F847" s="123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</row>
    <row r="848" ht="33.75" customHeight="1">
      <c r="A848" s="120"/>
      <c r="B848" s="45"/>
      <c r="C848" s="45"/>
      <c r="D848" s="121"/>
      <c r="E848" s="122"/>
      <c r="F848" s="123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</row>
    <row r="849" ht="33.75" customHeight="1">
      <c r="A849" s="120"/>
      <c r="B849" s="45"/>
      <c r="C849" s="45"/>
      <c r="D849" s="121"/>
      <c r="E849" s="122"/>
      <c r="F849" s="123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</row>
    <row r="850" ht="33.75" customHeight="1">
      <c r="A850" s="120"/>
      <c r="B850" s="45"/>
      <c r="C850" s="45"/>
      <c r="D850" s="121"/>
      <c r="E850" s="122"/>
      <c r="F850" s="123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</row>
    <row r="851" ht="33.75" customHeight="1">
      <c r="A851" s="120"/>
      <c r="B851" s="45"/>
      <c r="C851" s="45"/>
      <c r="D851" s="121"/>
      <c r="E851" s="122"/>
      <c r="F851" s="123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</row>
    <row r="852" ht="33.75" customHeight="1">
      <c r="A852" s="120"/>
      <c r="B852" s="45"/>
      <c r="C852" s="45"/>
      <c r="D852" s="121"/>
      <c r="E852" s="122"/>
      <c r="F852" s="123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</row>
    <row r="853" ht="33.75" customHeight="1">
      <c r="A853" s="120"/>
      <c r="B853" s="45"/>
      <c r="C853" s="45"/>
      <c r="D853" s="121"/>
      <c r="E853" s="122"/>
      <c r="F853" s="123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</row>
    <row r="854" ht="33.75" customHeight="1">
      <c r="A854" s="120"/>
      <c r="B854" s="45"/>
      <c r="C854" s="45"/>
      <c r="D854" s="121"/>
      <c r="E854" s="122"/>
      <c r="F854" s="123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</row>
    <row r="855" ht="33.75" customHeight="1">
      <c r="A855" s="120"/>
      <c r="B855" s="45"/>
      <c r="C855" s="45"/>
      <c r="D855" s="121"/>
      <c r="E855" s="122"/>
      <c r="F855" s="123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</row>
    <row r="856" ht="33.75" customHeight="1">
      <c r="A856" s="120"/>
      <c r="B856" s="45"/>
      <c r="C856" s="45"/>
      <c r="D856" s="121"/>
      <c r="E856" s="122"/>
      <c r="F856" s="123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</row>
    <row r="857" ht="33.75" customHeight="1">
      <c r="A857" s="120"/>
      <c r="B857" s="45"/>
      <c r="C857" s="45"/>
      <c r="D857" s="121"/>
      <c r="E857" s="122"/>
      <c r="F857" s="123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</row>
    <row r="858" ht="33.75" customHeight="1">
      <c r="A858" s="120"/>
      <c r="B858" s="45"/>
      <c r="C858" s="45"/>
      <c r="D858" s="121"/>
      <c r="E858" s="122"/>
      <c r="F858" s="123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</row>
    <row r="859" ht="33.75" customHeight="1">
      <c r="A859" s="120"/>
      <c r="B859" s="45"/>
      <c r="C859" s="45"/>
      <c r="D859" s="121"/>
      <c r="E859" s="122"/>
      <c r="F859" s="123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</row>
    <row r="860" ht="33.75" customHeight="1">
      <c r="A860" s="120"/>
      <c r="B860" s="45"/>
      <c r="C860" s="45"/>
      <c r="D860" s="121"/>
      <c r="E860" s="122"/>
      <c r="F860" s="123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</row>
    <row r="861" ht="33.75" customHeight="1">
      <c r="A861" s="120"/>
      <c r="B861" s="45"/>
      <c r="C861" s="45"/>
      <c r="D861" s="121"/>
      <c r="E861" s="122"/>
      <c r="F861" s="123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</row>
    <row r="862" ht="33.75" customHeight="1">
      <c r="A862" s="120"/>
      <c r="B862" s="45"/>
      <c r="C862" s="45"/>
      <c r="D862" s="121"/>
      <c r="E862" s="122"/>
      <c r="F862" s="123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</row>
    <row r="863" ht="33.75" customHeight="1">
      <c r="A863" s="120"/>
      <c r="B863" s="45"/>
      <c r="C863" s="45"/>
      <c r="D863" s="121"/>
      <c r="E863" s="122"/>
      <c r="F863" s="123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</row>
    <row r="864" ht="33.75" customHeight="1">
      <c r="A864" s="120"/>
      <c r="B864" s="45"/>
      <c r="C864" s="45"/>
      <c r="D864" s="121"/>
      <c r="E864" s="122"/>
      <c r="F864" s="123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</row>
    <row r="865" ht="33.75" customHeight="1">
      <c r="A865" s="120"/>
      <c r="B865" s="45"/>
      <c r="C865" s="45"/>
      <c r="D865" s="121"/>
      <c r="E865" s="122"/>
      <c r="F865" s="123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</row>
    <row r="866" ht="33.75" customHeight="1">
      <c r="A866" s="120"/>
      <c r="B866" s="45"/>
      <c r="C866" s="45"/>
      <c r="D866" s="121"/>
      <c r="E866" s="122"/>
      <c r="F866" s="123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</row>
    <row r="867" ht="33.75" customHeight="1">
      <c r="A867" s="120"/>
      <c r="B867" s="45"/>
      <c r="C867" s="45"/>
      <c r="D867" s="121"/>
      <c r="E867" s="122"/>
      <c r="F867" s="123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</row>
    <row r="868" ht="33.75" customHeight="1">
      <c r="A868" s="120"/>
      <c r="B868" s="45"/>
      <c r="C868" s="45"/>
      <c r="D868" s="121"/>
      <c r="E868" s="122"/>
      <c r="F868" s="123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</row>
    <row r="869" ht="33.75" customHeight="1">
      <c r="A869" s="120"/>
      <c r="B869" s="45"/>
      <c r="C869" s="45"/>
      <c r="D869" s="121"/>
      <c r="E869" s="122"/>
      <c r="F869" s="123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</row>
    <row r="870" ht="33.75" customHeight="1">
      <c r="A870" s="120"/>
      <c r="B870" s="45"/>
      <c r="C870" s="45"/>
      <c r="D870" s="121"/>
      <c r="E870" s="122"/>
      <c r="F870" s="123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</row>
    <row r="871" ht="33.75" customHeight="1">
      <c r="A871" s="120"/>
      <c r="B871" s="45"/>
      <c r="C871" s="45"/>
      <c r="D871" s="121"/>
      <c r="E871" s="122"/>
      <c r="F871" s="123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</row>
    <row r="872" ht="33.75" customHeight="1">
      <c r="A872" s="120"/>
      <c r="B872" s="45"/>
      <c r="C872" s="45"/>
      <c r="D872" s="121"/>
      <c r="E872" s="122"/>
      <c r="F872" s="123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</row>
    <row r="873" ht="33.75" customHeight="1">
      <c r="A873" s="120"/>
      <c r="B873" s="45"/>
      <c r="C873" s="45"/>
      <c r="D873" s="121"/>
      <c r="E873" s="122"/>
      <c r="F873" s="123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</row>
    <row r="874" ht="33.75" customHeight="1">
      <c r="A874" s="120"/>
      <c r="B874" s="45"/>
      <c r="C874" s="45"/>
      <c r="D874" s="121"/>
      <c r="E874" s="122"/>
      <c r="F874" s="123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</row>
    <row r="875" ht="33.75" customHeight="1">
      <c r="A875" s="120"/>
      <c r="B875" s="45"/>
      <c r="C875" s="45"/>
      <c r="D875" s="121"/>
      <c r="E875" s="122"/>
      <c r="F875" s="123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</row>
    <row r="876" ht="33.75" customHeight="1">
      <c r="A876" s="120"/>
      <c r="B876" s="45"/>
      <c r="C876" s="45"/>
      <c r="D876" s="121"/>
      <c r="E876" s="122"/>
      <c r="F876" s="123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</row>
    <row r="877" ht="33.75" customHeight="1">
      <c r="A877" s="120"/>
      <c r="B877" s="45"/>
      <c r="C877" s="45"/>
      <c r="D877" s="121"/>
      <c r="E877" s="122"/>
      <c r="F877" s="123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</row>
    <row r="878" ht="33.75" customHeight="1">
      <c r="A878" s="120"/>
      <c r="B878" s="45"/>
      <c r="C878" s="45"/>
      <c r="D878" s="121"/>
      <c r="E878" s="122"/>
      <c r="F878" s="123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</row>
    <row r="879" ht="33.75" customHeight="1">
      <c r="A879" s="120"/>
      <c r="B879" s="45"/>
      <c r="C879" s="45"/>
      <c r="D879" s="121"/>
      <c r="E879" s="122"/>
      <c r="F879" s="123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</row>
    <row r="880" ht="33.75" customHeight="1">
      <c r="A880" s="120"/>
      <c r="B880" s="45"/>
      <c r="C880" s="45"/>
      <c r="D880" s="121"/>
      <c r="E880" s="122"/>
      <c r="F880" s="123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</row>
    <row r="881" ht="33.75" customHeight="1">
      <c r="A881" s="120"/>
      <c r="B881" s="45"/>
      <c r="C881" s="45"/>
      <c r="D881" s="121"/>
      <c r="E881" s="122"/>
      <c r="F881" s="123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</row>
    <row r="882" ht="33.75" customHeight="1">
      <c r="A882" s="120"/>
      <c r="B882" s="45"/>
      <c r="C882" s="45"/>
      <c r="D882" s="121"/>
      <c r="E882" s="122"/>
      <c r="F882" s="123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</row>
    <row r="883" ht="33.75" customHeight="1">
      <c r="A883" s="120"/>
      <c r="B883" s="45"/>
      <c r="C883" s="45"/>
      <c r="D883" s="121"/>
      <c r="E883" s="122"/>
      <c r="F883" s="123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</row>
    <row r="884" ht="33.75" customHeight="1">
      <c r="A884" s="120"/>
      <c r="B884" s="45"/>
      <c r="C884" s="45"/>
      <c r="D884" s="121"/>
      <c r="E884" s="122"/>
      <c r="F884" s="123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</row>
    <row r="885" ht="33.75" customHeight="1">
      <c r="A885" s="120"/>
      <c r="B885" s="45"/>
      <c r="C885" s="45"/>
      <c r="D885" s="121"/>
      <c r="E885" s="122"/>
      <c r="F885" s="123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</row>
    <row r="886" ht="33.75" customHeight="1">
      <c r="A886" s="120"/>
      <c r="B886" s="45"/>
      <c r="C886" s="45"/>
      <c r="D886" s="121"/>
      <c r="E886" s="122"/>
      <c r="F886" s="123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</row>
    <row r="887" ht="33.75" customHeight="1">
      <c r="A887" s="120"/>
      <c r="B887" s="45"/>
      <c r="C887" s="45"/>
      <c r="D887" s="121"/>
      <c r="E887" s="122"/>
      <c r="F887" s="123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</row>
    <row r="888" ht="33.75" customHeight="1">
      <c r="A888" s="120"/>
      <c r="B888" s="45"/>
      <c r="C888" s="45"/>
      <c r="D888" s="121"/>
      <c r="E888" s="122"/>
      <c r="F888" s="123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</row>
    <row r="889" ht="33.75" customHeight="1">
      <c r="A889" s="120"/>
      <c r="B889" s="45"/>
      <c r="C889" s="45"/>
      <c r="D889" s="121"/>
      <c r="E889" s="122"/>
      <c r="F889" s="123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</row>
    <row r="890" ht="33.75" customHeight="1">
      <c r="A890" s="120"/>
      <c r="B890" s="45"/>
      <c r="C890" s="45"/>
      <c r="D890" s="121"/>
      <c r="E890" s="122"/>
      <c r="F890" s="123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</row>
    <row r="891" ht="33.75" customHeight="1">
      <c r="A891" s="120"/>
      <c r="B891" s="45"/>
      <c r="C891" s="45"/>
      <c r="D891" s="121"/>
      <c r="E891" s="122"/>
      <c r="F891" s="123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</row>
    <row r="892" ht="33.75" customHeight="1">
      <c r="A892" s="120"/>
      <c r="B892" s="45"/>
      <c r="C892" s="45"/>
      <c r="D892" s="121"/>
      <c r="E892" s="122"/>
      <c r="F892" s="123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</row>
    <row r="893" ht="33.75" customHeight="1">
      <c r="A893" s="120"/>
      <c r="B893" s="45"/>
      <c r="C893" s="45"/>
      <c r="D893" s="121"/>
      <c r="E893" s="122"/>
      <c r="F893" s="123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</row>
    <row r="894" ht="33.75" customHeight="1">
      <c r="A894" s="120"/>
      <c r="B894" s="45"/>
      <c r="C894" s="45"/>
      <c r="D894" s="121"/>
      <c r="E894" s="122"/>
      <c r="F894" s="123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</row>
    <row r="895" ht="33.75" customHeight="1">
      <c r="A895" s="120"/>
      <c r="B895" s="45"/>
      <c r="C895" s="45"/>
      <c r="D895" s="121"/>
      <c r="E895" s="122"/>
      <c r="F895" s="123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</row>
    <row r="896" ht="33.75" customHeight="1">
      <c r="A896" s="120"/>
      <c r="B896" s="45"/>
      <c r="C896" s="45"/>
      <c r="D896" s="121"/>
      <c r="E896" s="122"/>
      <c r="F896" s="123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</row>
    <row r="897" ht="33.75" customHeight="1">
      <c r="A897" s="120"/>
      <c r="B897" s="45"/>
      <c r="C897" s="45"/>
      <c r="D897" s="121"/>
      <c r="E897" s="122"/>
      <c r="F897" s="123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</row>
    <row r="898" ht="33.75" customHeight="1">
      <c r="A898" s="120"/>
      <c r="B898" s="45"/>
      <c r="C898" s="45"/>
      <c r="D898" s="121"/>
      <c r="E898" s="122"/>
      <c r="F898" s="123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</row>
    <row r="899" ht="33.75" customHeight="1">
      <c r="A899" s="120"/>
      <c r="B899" s="45"/>
      <c r="C899" s="45"/>
      <c r="D899" s="121"/>
      <c r="E899" s="122"/>
      <c r="F899" s="123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</row>
    <row r="900" ht="33.75" customHeight="1">
      <c r="A900" s="120"/>
      <c r="B900" s="45"/>
      <c r="C900" s="45"/>
      <c r="D900" s="121"/>
      <c r="E900" s="122"/>
      <c r="F900" s="123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</row>
    <row r="901" ht="33.75" customHeight="1">
      <c r="A901" s="120"/>
      <c r="B901" s="45"/>
      <c r="C901" s="45"/>
      <c r="D901" s="121"/>
      <c r="E901" s="122"/>
      <c r="F901" s="123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</row>
    <row r="902" ht="33.75" customHeight="1">
      <c r="A902" s="120"/>
      <c r="B902" s="45"/>
      <c r="C902" s="45"/>
      <c r="D902" s="121"/>
      <c r="E902" s="122"/>
      <c r="F902" s="123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</row>
    <row r="903" ht="33.75" customHeight="1">
      <c r="A903" s="120"/>
      <c r="B903" s="45"/>
      <c r="C903" s="45"/>
      <c r="D903" s="121"/>
      <c r="E903" s="122"/>
      <c r="F903" s="123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</row>
    <row r="904" ht="33.75" customHeight="1">
      <c r="A904" s="120"/>
      <c r="B904" s="45"/>
      <c r="C904" s="45"/>
      <c r="D904" s="121"/>
      <c r="E904" s="122"/>
      <c r="F904" s="123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</row>
    <row r="905" ht="33.75" customHeight="1">
      <c r="A905" s="120"/>
      <c r="B905" s="45"/>
      <c r="C905" s="45"/>
      <c r="D905" s="121"/>
      <c r="E905" s="122"/>
      <c r="F905" s="123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</row>
    <row r="906" ht="33.75" customHeight="1">
      <c r="A906" s="120"/>
      <c r="B906" s="45"/>
      <c r="C906" s="45"/>
      <c r="D906" s="121"/>
      <c r="E906" s="122"/>
      <c r="F906" s="123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</row>
    <row r="907" ht="33.75" customHeight="1">
      <c r="A907" s="120"/>
      <c r="B907" s="45"/>
      <c r="C907" s="45"/>
      <c r="D907" s="121"/>
      <c r="E907" s="122"/>
      <c r="F907" s="123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</row>
    <row r="908" ht="33.75" customHeight="1">
      <c r="A908" s="120"/>
      <c r="B908" s="45"/>
      <c r="C908" s="45"/>
      <c r="D908" s="121"/>
      <c r="E908" s="122"/>
      <c r="F908" s="123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</row>
    <row r="909" ht="33.75" customHeight="1">
      <c r="A909" s="120"/>
      <c r="B909" s="45"/>
      <c r="C909" s="45"/>
      <c r="D909" s="121"/>
      <c r="E909" s="122"/>
      <c r="F909" s="123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</row>
    <row r="910" ht="33.75" customHeight="1">
      <c r="A910" s="120"/>
      <c r="B910" s="45"/>
      <c r="C910" s="45"/>
      <c r="D910" s="121"/>
      <c r="E910" s="122"/>
      <c r="F910" s="123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</row>
    <row r="911" ht="33.75" customHeight="1">
      <c r="A911" s="120"/>
      <c r="B911" s="45"/>
      <c r="C911" s="45"/>
      <c r="D911" s="121"/>
      <c r="E911" s="122"/>
      <c r="F911" s="123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</row>
    <row r="912" ht="33.75" customHeight="1">
      <c r="A912" s="120"/>
      <c r="B912" s="45"/>
      <c r="C912" s="45"/>
      <c r="D912" s="121"/>
      <c r="E912" s="122"/>
      <c r="F912" s="123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</row>
    <row r="913" ht="33.75" customHeight="1">
      <c r="A913" s="120"/>
      <c r="B913" s="45"/>
      <c r="C913" s="45"/>
      <c r="D913" s="121"/>
      <c r="E913" s="122"/>
      <c r="F913" s="123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 ht="33.75" customHeight="1">
      <c r="A914" s="120"/>
      <c r="B914" s="45"/>
      <c r="C914" s="45"/>
      <c r="D914" s="121"/>
      <c r="E914" s="122"/>
      <c r="F914" s="123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</row>
    <row r="915" ht="33.75" customHeight="1">
      <c r="A915" s="120"/>
      <c r="B915" s="45"/>
      <c r="C915" s="45"/>
      <c r="D915" s="121"/>
      <c r="E915" s="122"/>
      <c r="F915" s="123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</row>
    <row r="916" ht="33.75" customHeight="1">
      <c r="A916" s="120"/>
      <c r="B916" s="45"/>
      <c r="C916" s="45"/>
      <c r="D916" s="121"/>
      <c r="E916" s="122"/>
      <c r="F916" s="123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</row>
    <row r="917" ht="33.75" customHeight="1">
      <c r="A917" s="120"/>
      <c r="B917" s="45"/>
      <c r="C917" s="45"/>
      <c r="D917" s="121"/>
      <c r="E917" s="122"/>
      <c r="F917" s="123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</row>
    <row r="918" ht="33.75" customHeight="1">
      <c r="A918" s="120"/>
      <c r="B918" s="45"/>
      <c r="C918" s="45"/>
      <c r="D918" s="121"/>
      <c r="E918" s="122"/>
      <c r="F918" s="123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</row>
    <row r="919" ht="33.75" customHeight="1">
      <c r="A919" s="120"/>
      <c r="B919" s="45"/>
      <c r="C919" s="45"/>
      <c r="D919" s="121"/>
      <c r="E919" s="122"/>
      <c r="F919" s="123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</row>
    <row r="920" ht="33.75" customHeight="1">
      <c r="A920" s="120"/>
      <c r="B920" s="45"/>
      <c r="C920" s="45"/>
      <c r="D920" s="121"/>
      <c r="E920" s="122"/>
      <c r="F920" s="123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</row>
    <row r="921" ht="33.75" customHeight="1">
      <c r="A921" s="120"/>
      <c r="B921" s="45"/>
      <c r="C921" s="45"/>
      <c r="D921" s="121"/>
      <c r="E921" s="122"/>
      <c r="F921" s="123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</row>
    <row r="922" ht="33.75" customHeight="1">
      <c r="A922" s="120"/>
      <c r="B922" s="45"/>
      <c r="C922" s="45"/>
      <c r="D922" s="121"/>
      <c r="E922" s="122"/>
      <c r="F922" s="123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</row>
    <row r="923" ht="33.75" customHeight="1">
      <c r="A923" s="120"/>
      <c r="B923" s="45"/>
      <c r="C923" s="45"/>
      <c r="D923" s="121"/>
      <c r="E923" s="122"/>
      <c r="F923" s="123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</row>
    <row r="924" ht="33.75" customHeight="1">
      <c r="A924" s="120"/>
      <c r="B924" s="45"/>
      <c r="C924" s="45"/>
      <c r="D924" s="121"/>
      <c r="E924" s="122"/>
      <c r="F924" s="123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</row>
    <row r="925" ht="33.75" customHeight="1">
      <c r="A925" s="120"/>
      <c r="B925" s="45"/>
      <c r="C925" s="45"/>
      <c r="D925" s="121"/>
      <c r="E925" s="122"/>
      <c r="F925" s="123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</row>
    <row r="926" ht="33.75" customHeight="1">
      <c r="A926" s="120"/>
      <c r="B926" s="45"/>
      <c r="C926" s="45"/>
      <c r="D926" s="121"/>
      <c r="E926" s="122"/>
      <c r="F926" s="123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</row>
    <row r="927" ht="33.75" customHeight="1">
      <c r="A927" s="120"/>
      <c r="B927" s="45"/>
      <c r="C927" s="45"/>
      <c r="D927" s="121"/>
      <c r="E927" s="122"/>
      <c r="F927" s="123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</row>
    <row r="928" ht="33.75" customHeight="1">
      <c r="A928" s="120"/>
      <c r="B928" s="45"/>
      <c r="C928" s="45"/>
      <c r="D928" s="121"/>
      <c r="E928" s="122"/>
      <c r="F928" s="123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</row>
    <row r="929" ht="33.75" customHeight="1">
      <c r="A929" s="120"/>
      <c r="B929" s="45"/>
      <c r="C929" s="45"/>
      <c r="D929" s="121"/>
      <c r="E929" s="122"/>
      <c r="F929" s="123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</row>
    <row r="930" ht="33.75" customHeight="1">
      <c r="A930" s="120"/>
      <c r="B930" s="45"/>
      <c r="C930" s="45"/>
      <c r="D930" s="121"/>
      <c r="E930" s="122"/>
      <c r="F930" s="123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</row>
    <row r="931" ht="33.75" customHeight="1">
      <c r="A931" s="120"/>
      <c r="B931" s="45"/>
      <c r="C931" s="45"/>
      <c r="D931" s="121"/>
      <c r="E931" s="122"/>
      <c r="F931" s="123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</row>
    <row r="932" ht="33.75" customHeight="1">
      <c r="A932" s="120"/>
      <c r="B932" s="45"/>
      <c r="C932" s="45"/>
      <c r="D932" s="121"/>
      <c r="E932" s="122"/>
      <c r="F932" s="123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</row>
    <row r="933" ht="33.75" customHeight="1">
      <c r="A933" s="120"/>
      <c r="B933" s="45"/>
      <c r="C933" s="45"/>
      <c r="D933" s="121"/>
      <c r="E933" s="122"/>
      <c r="F933" s="123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</row>
    <row r="934" ht="33.75" customHeight="1">
      <c r="A934" s="120"/>
      <c r="B934" s="45"/>
      <c r="C934" s="45"/>
      <c r="D934" s="121"/>
      <c r="E934" s="122"/>
      <c r="F934" s="123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</row>
    <row r="935" ht="33.75" customHeight="1">
      <c r="A935" s="120"/>
      <c r="B935" s="45"/>
      <c r="C935" s="45"/>
      <c r="D935" s="121"/>
      <c r="E935" s="122"/>
      <c r="F935" s="123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</row>
    <row r="936" ht="33.75" customHeight="1">
      <c r="A936" s="120"/>
      <c r="B936" s="45"/>
      <c r="C936" s="45"/>
      <c r="D936" s="121"/>
      <c r="E936" s="122"/>
      <c r="F936" s="123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</row>
    <row r="937" ht="33.75" customHeight="1">
      <c r="A937" s="120"/>
      <c r="B937" s="45"/>
      <c r="C937" s="45"/>
      <c r="D937" s="121"/>
      <c r="E937" s="122"/>
      <c r="F937" s="123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</row>
    <row r="938" ht="33.75" customHeight="1">
      <c r="A938" s="120"/>
      <c r="B938" s="45"/>
      <c r="C938" s="45"/>
      <c r="D938" s="121"/>
      <c r="E938" s="122"/>
      <c r="F938" s="123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</row>
    <row r="939" ht="33.75" customHeight="1">
      <c r="A939" s="120"/>
      <c r="B939" s="45"/>
      <c r="C939" s="45"/>
      <c r="D939" s="121"/>
      <c r="E939" s="122"/>
      <c r="F939" s="123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</row>
    <row r="940" ht="33.75" customHeight="1">
      <c r="A940" s="120"/>
      <c r="B940" s="45"/>
      <c r="C940" s="45"/>
      <c r="D940" s="121"/>
      <c r="E940" s="122"/>
      <c r="F940" s="123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</row>
    <row r="941" ht="33.75" customHeight="1">
      <c r="A941" s="120"/>
      <c r="B941" s="45"/>
      <c r="C941" s="45"/>
      <c r="D941" s="121"/>
      <c r="E941" s="122"/>
      <c r="F941" s="123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</row>
    <row r="942" ht="33.75" customHeight="1">
      <c r="A942" s="120"/>
      <c r="B942" s="45"/>
      <c r="C942" s="45"/>
      <c r="D942" s="121"/>
      <c r="E942" s="122"/>
      <c r="F942" s="123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</row>
    <row r="943" ht="33.75" customHeight="1">
      <c r="A943" s="120"/>
      <c r="B943" s="45"/>
      <c r="C943" s="45"/>
      <c r="D943" s="121"/>
      <c r="E943" s="122"/>
      <c r="F943" s="123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</row>
    <row r="944" ht="33.75" customHeight="1">
      <c r="A944" s="120"/>
      <c r="B944" s="45"/>
      <c r="C944" s="45"/>
      <c r="D944" s="121"/>
      <c r="E944" s="122"/>
      <c r="F944" s="123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</row>
    <row r="945" ht="33.75" customHeight="1">
      <c r="A945" s="120"/>
      <c r="B945" s="45"/>
      <c r="C945" s="45"/>
      <c r="D945" s="121"/>
      <c r="E945" s="122"/>
      <c r="F945" s="123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</row>
    <row r="946" ht="33.75" customHeight="1">
      <c r="A946" s="120"/>
      <c r="B946" s="45"/>
      <c r="C946" s="45"/>
      <c r="D946" s="121"/>
      <c r="E946" s="122"/>
      <c r="F946" s="123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</row>
    <row r="947" ht="33.75" customHeight="1">
      <c r="A947" s="120"/>
      <c r="B947" s="45"/>
      <c r="C947" s="45"/>
      <c r="D947" s="121"/>
      <c r="E947" s="122"/>
      <c r="F947" s="123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</row>
    <row r="948" ht="33.75" customHeight="1">
      <c r="A948" s="120"/>
      <c r="B948" s="45"/>
      <c r="C948" s="45"/>
      <c r="D948" s="121"/>
      <c r="E948" s="122"/>
      <c r="F948" s="123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</row>
    <row r="949" ht="33.75" customHeight="1">
      <c r="A949" s="120"/>
      <c r="B949" s="45"/>
      <c r="C949" s="45"/>
      <c r="D949" s="121"/>
      <c r="E949" s="122"/>
      <c r="F949" s="123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</row>
    <row r="950" ht="33.75" customHeight="1">
      <c r="A950" s="120"/>
      <c r="B950" s="45"/>
      <c r="C950" s="45"/>
      <c r="D950" s="121"/>
      <c r="E950" s="122"/>
      <c r="F950" s="123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</row>
    <row r="951" ht="33.75" customHeight="1">
      <c r="A951" s="120"/>
      <c r="B951" s="45"/>
      <c r="C951" s="45"/>
      <c r="D951" s="121"/>
      <c r="E951" s="122"/>
      <c r="F951" s="123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</row>
    <row r="952" ht="33.75" customHeight="1">
      <c r="A952" s="120"/>
      <c r="B952" s="45"/>
      <c r="C952" s="45"/>
      <c r="D952" s="121"/>
      <c r="E952" s="122"/>
      <c r="F952" s="123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</row>
    <row r="953" ht="33.75" customHeight="1">
      <c r="A953" s="120"/>
      <c r="B953" s="45"/>
      <c r="C953" s="45"/>
      <c r="D953" s="121"/>
      <c r="E953" s="122"/>
      <c r="F953" s="123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</row>
    <row r="954" ht="33.75" customHeight="1">
      <c r="A954" s="120"/>
      <c r="B954" s="45"/>
      <c r="C954" s="45"/>
      <c r="D954" s="121"/>
      <c r="E954" s="122"/>
      <c r="F954" s="123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</row>
    <row r="955" ht="33.75" customHeight="1">
      <c r="A955" s="120"/>
      <c r="B955" s="45"/>
      <c r="C955" s="45"/>
      <c r="D955" s="121"/>
      <c r="E955" s="122"/>
      <c r="F955" s="123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</row>
    <row r="956" ht="33.75" customHeight="1">
      <c r="A956" s="120"/>
      <c r="B956" s="45"/>
      <c r="C956" s="45"/>
      <c r="D956" s="121"/>
      <c r="E956" s="122"/>
      <c r="F956" s="123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</row>
    <row r="957" ht="33.75" customHeight="1">
      <c r="A957" s="120"/>
      <c r="B957" s="45"/>
      <c r="C957" s="45"/>
      <c r="D957" s="121"/>
      <c r="E957" s="122"/>
      <c r="F957" s="123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</row>
    <row r="958" ht="33.75" customHeight="1">
      <c r="A958" s="120"/>
      <c r="B958" s="45"/>
      <c r="C958" s="45"/>
      <c r="D958" s="121"/>
      <c r="E958" s="122"/>
      <c r="F958" s="123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</row>
    <row r="959" ht="33.75" customHeight="1">
      <c r="A959" s="120"/>
      <c r="B959" s="45"/>
      <c r="C959" s="45"/>
      <c r="D959" s="121"/>
      <c r="E959" s="122"/>
      <c r="F959" s="123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</row>
    <row r="960" ht="33.75" customHeight="1">
      <c r="A960" s="120"/>
      <c r="B960" s="45"/>
      <c r="C960" s="45"/>
      <c r="D960" s="121"/>
      <c r="E960" s="122"/>
      <c r="F960" s="123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</row>
    <row r="961" ht="33.75" customHeight="1">
      <c r="A961" s="120"/>
      <c r="B961" s="45"/>
      <c r="C961" s="45"/>
      <c r="D961" s="121"/>
      <c r="E961" s="122"/>
      <c r="F961" s="123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</row>
    <row r="962" ht="33.75" customHeight="1">
      <c r="A962" s="120"/>
      <c r="B962" s="45"/>
      <c r="C962" s="45"/>
      <c r="D962" s="121"/>
      <c r="E962" s="122"/>
      <c r="F962" s="123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</row>
    <row r="963" ht="33.75" customHeight="1">
      <c r="A963" s="120"/>
      <c r="B963" s="45"/>
      <c r="C963" s="45"/>
      <c r="D963" s="121"/>
      <c r="E963" s="122"/>
      <c r="F963" s="123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</row>
    <row r="964" ht="33.75" customHeight="1">
      <c r="A964" s="120"/>
      <c r="B964" s="45"/>
      <c r="C964" s="45"/>
      <c r="D964" s="121"/>
      <c r="E964" s="122"/>
      <c r="F964" s="123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</row>
    <row r="965" ht="33.75" customHeight="1">
      <c r="A965" s="120"/>
      <c r="B965" s="45"/>
      <c r="C965" s="45"/>
      <c r="D965" s="121"/>
      <c r="E965" s="122"/>
      <c r="F965" s="123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</row>
    <row r="966" ht="33.75" customHeight="1">
      <c r="A966" s="120"/>
      <c r="B966" s="45"/>
      <c r="C966" s="45"/>
      <c r="D966" s="121"/>
      <c r="E966" s="122"/>
      <c r="F966" s="123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</row>
    <row r="967" ht="33.75" customHeight="1">
      <c r="A967" s="120"/>
      <c r="B967" s="45"/>
      <c r="C967" s="45"/>
      <c r="D967" s="121"/>
      <c r="E967" s="122"/>
      <c r="F967" s="123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</row>
    <row r="968" ht="33.75" customHeight="1">
      <c r="A968" s="120"/>
      <c r="B968" s="45"/>
      <c r="C968" s="45"/>
      <c r="D968" s="121"/>
      <c r="E968" s="122"/>
      <c r="F968" s="123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</row>
    <row r="969" ht="33.75" customHeight="1">
      <c r="A969" s="120"/>
      <c r="B969" s="45"/>
      <c r="C969" s="45"/>
      <c r="D969" s="121"/>
      <c r="E969" s="122"/>
      <c r="F969" s="123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</row>
    <row r="970" ht="33.75" customHeight="1">
      <c r="A970" s="120"/>
      <c r="B970" s="45"/>
      <c r="C970" s="45"/>
      <c r="D970" s="121"/>
      <c r="E970" s="122"/>
      <c r="F970" s="123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</row>
    <row r="971" ht="33.75" customHeight="1">
      <c r="A971" s="120"/>
      <c r="B971" s="45"/>
      <c r="C971" s="45"/>
      <c r="D971" s="121"/>
      <c r="E971" s="122"/>
      <c r="F971" s="123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</row>
    <row r="972" ht="33.75" customHeight="1">
      <c r="A972" s="120"/>
      <c r="B972" s="45"/>
      <c r="C972" s="45"/>
      <c r="D972" s="121"/>
      <c r="E972" s="122"/>
      <c r="F972" s="123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</row>
    <row r="973" ht="33.75" customHeight="1">
      <c r="A973" s="120"/>
      <c r="B973" s="45"/>
      <c r="C973" s="45"/>
      <c r="D973" s="121"/>
      <c r="E973" s="122"/>
      <c r="F973" s="123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</row>
    <row r="974" ht="33.75" customHeight="1">
      <c r="A974" s="120"/>
      <c r="B974" s="45"/>
      <c r="C974" s="45"/>
      <c r="D974" s="121"/>
      <c r="E974" s="122"/>
      <c r="F974" s="123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</row>
    <row r="975" ht="33.75" customHeight="1">
      <c r="A975" s="120"/>
      <c r="B975" s="45"/>
      <c r="C975" s="45"/>
      <c r="D975" s="121"/>
      <c r="E975" s="122"/>
      <c r="F975" s="123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</row>
    <row r="976" ht="33.75" customHeight="1">
      <c r="A976" s="120"/>
      <c r="B976" s="45"/>
      <c r="C976" s="45"/>
      <c r="D976" s="121"/>
      <c r="E976" s="122"/>
      <c r="F976" s="123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</row>
    <row r="977" ht="33.75" customHeight="1">
      <c r="A977" s="120"/>
      <c r="B977" s="45"/>
      <c r="C977" s="45"/>
      <c r="D977" s="121"/>
      <c r="E977" s="122"/>
      <c r="F977" s="123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</row>
    <row r="978" ht="33.75" customHeight="1">
      <c r="A978" s="120"/>
      <c r="B978" s="45"/>
      <c r="C978" s="45"/>
      <c r="D978" s="121"/>
      <c r="E978" s="122"/>
      <c r="F978" s="123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</row>
    <row r="979" ht="33.75" customHeight="1">
      <c r="A979" s="120"/>
      <c r="B979" s="45"/>
      <c r="C979" s="45"/>
      <c r="D979" s="121"/>
      <c r="E979" s="122"/>
      <c r="F979" s="123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</row>
    <row r="980" ht="33.75" customHeight="1">
      <c r="A980" s="120"/>
      <c r="B980" s="45"/>
      <c r="C980" s="45"/>
      <c r="D980" s="121"/>
      <c r="E980" s="122"/>
      <c r="F980" s="123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</row>
    <row r="981" ht="33.75" customHeight="1">
      <c r="A981" s="120"/>
      <c r="B981" s="45"/>
      <c r="C981" s="45"/>
      <c r="D981" s="121"/>
      <c r="E981" s="122"/>
      <c r="F981" s="123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</row>
    <row r="982" ht="33.75" customHeight="1">
      <c r="A982" s="120"/>
      <c r="B982" s="45"/>
      <c r="C982" s="45"/>
      <c r="D982" s="121"/>
      <c r="E982" s="122"/>
      <c r="F982" s="123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</row>
    <row r="983" ht="33.75" customHeight="1">
      <c r="A983" s="120"/>
      <c r="B983" s="45"/>
      <c r="C983" s="45"/>
      <c r="D983" s="121"/>
      <c r="E983" s="122"/>
      <c r="F983" s="123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</row>
    <row r="984" ht="33.75" customHeight="1">
      <c r="A984" s="120"/>
      <c r="B984" s="45"/>
      <c r="C984" s="45"/>
      <c r="D984" s="121"/>
      <c r="E984" s="122"/>
      <c r="F984" s="123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</row>
    <row r="985" ht="33.75" customHeight="1">
      <c r="A985" s="120"/>
      <c r="B985" s="45"/>
      <c r="C985" s="45"/>
      <c r="D985" s="121"/>
      <c r="E985" s="122"/>
      <c r="F985" s="123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</row>
    <row r="986" ht="33.75" customHeight="1">
      <c r="A986" s="120"/>
      <c r="B986" s="45"/>
      <c r="C986" s="45"/>
      <c r="D986" s="121"/>
      <c r="E986" s="122"/>
      <c r="F986" s="123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</row>
    <row r="987" ht="33.75" customHeight="1">
      <c r="A987" s="120"/>
      <c r="B987" s="45"/>
      <c r="C987" s="45"/>
      <c r="D987" s="121"/>
      <c r="E987" s="122"/>
      <c r="F987" s="123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</row>
    <row r="988" ht="33.75" customHeight="1">
      <c r="A988" s="120"/>
      <c r="B988" s="45"/>
      <c r="C988" s="45"/>
      <c r="D988" s="121"/>
      <c r="E988" s="122"/>
      <c r="F988" s="123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</row>
    <row r="989" ht="33.75" customHeight="1">
      <c r="A989" s="120"/>
      <c r="B989" s="45"/>
      <c r="C989" s="45"/>
      <c r="D989" s="121"/>
      <c r="E989" s="122"/>
      <c r="F989" s="123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</row>
    <row r="990" ht="33.75" customHeight="1">
      <c r="A990" s="120"/>
      <c r="B990" s="45"/>
      <c r="C990" s="45"/>
      <c r="D990" s="121"/>
      <c r="E990" s="122"/>
      <c r="F990" s="123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</row>
    <row r="991" ht="33.75" customHeight="1">
      <c r="A991" s="120"/>
      <c r="B991" s="45"/>
      <c r="C991" s="45"/>
      <c r="D991" s="121"/>
      <c r="E991" s="122"/>
      <c r="F991" s="123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</row>
    <row r="992" ht="33.75" customHeight="1">
      <c r="A992" s="120"/>
      <c r="B992" s="45"/>
      <c r="C992" s="45"/>
      <c r="D992" s="121"/>
      <c r="E992" s="122"/>
      <c r="F992" s="123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</row>
    <row r="993" ht="33.75" customHeight="1">
      <c r="A993" s="120"/>
      <c r="B993" s="45"/>
      <c r="C993" s="45"/>
      <c r="D993" s="121"/>
      <c r="E993" s="122"/>
      <c r="F993" s="123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</row>
    <row r="994" ht="33.75" customHeight="1">
      <c r="A994" s="120"/>
      <c r="B994" s="45"/>
      <c r="C994" s="45"/>
      <c r="D994" s="121"/>
      <c r="E994" s="122"/>
      <c r="F994" s="123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</row>
    <row r="995" ht="33.75" customHeight="1">
      <c r="A995" s="120"/>
      <c r="B995" s="45"/>
      <c r="C995" s="45"/>
      <c r="D995" s="121"/>
      <c r="E995" s="122"/>
      <c r="F995" s="123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</row>
    <row r="996" ht="33.75" customHeight="1">
      <c r="A996" s="120"/>
      <c r="B996" s="45"/>
      <c r="C996" s="45"/>
      <c r="D996" s="121"/>
      <c r="E996" s="122"/>
      <c r="F996" s="123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</row>
    <row r="997" ht="33.75" customHeight="1">
      <c r="A997" s="120"/>
      <c r="B997" s="45"/>
      <c r="C997" s="45"/>
      <c r="D997" s="121"/>
      <c r="E997" s="122"/>
      <c r="F997" s="123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</row>
    <row r="998" ht="33.75" customHeight="1">
      <c r="A998" s="120"/>
      <c r="B998" s="45"/>
      <c r="C998" s="45"/>
      <c r="D998" s="121"/>
      <c r="E998" s="122"/>
      <c r="F998" s="123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</row>
    <row r="999" ht="33.75" customHeight="1">
      <c r="A999" s="120"/>
      <c r="B999" s="45"/>
      <c r="C999" s="45"/>
      <c r="D999" s="121"/>
      <c r="E999" s="122"/>
      <c r="F999" s="123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</row>
    <row r="1000" ht="33.75" customHeight="1">
      <c r="A1000" s="120"/>
      <c r="B1000" s="45"/>
      <c r="C1000" s="45"/>
      <c r="D1000" s="121"/>
      <c r="E1000" s="122"/>
      <c r="F1000" s="123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</row>
  </sheetData>
  <mergeCells count="1">
    <mergeCell ref="H1:Q1"/>
  </mergeCells>
  <conditionalFormatting sqref="G2:G601">
    <cfRule type="expression" dxfId="0" priority="1">
      <formula>$G2=TRUE</formula>
    </cfRule>
  </conditionalFormatting>
  <conditionalFormatting sqref="G2:G601">
    <cfRule type="expression" dxfId="2" priority="2">
      <formula>$G2=FALSE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25.88"/>
    <col customWidth="1" min="4" max="4" width="27.63"/>
    <col customWidth="1" min="5" max="5" width="44.38"/>
    <col customWidth="1" min="6" max="6" width="24.88"/>
    <col customWidth="1" min="7" max="7" width="24.5"/>
    <col customWidth="1" min="8" max="17" width="7.0"/>
    <col customWidth="1" min="18" max="23" width="11.0"/>
  </cols>
  <sheetData>
    <row r="1" ht="35.25" customHeight="1">
      <c r="A1" s="85" t="s">
        <v>4251</v>
      </c>
      <c r="B1" s="86" t="s">
        <v>2</v>
      </c>
      <c r="C1" s="87" t="s">
        <v>3</v>
      </c>
      <c r="D1" s="87" t="s">
        <v>4</v>
      </c>
      <c r="E1" s="88" t="s">
        <v>4267</v>
      </c>
      <c r="F1" s="89" t="s">
        <v>6</v>
      </c>
      <c r="G1" s="86" t="s">
        <v>7</v>
      </c>
      <c r="H1" s="90" t="s">
        <v>8</v>
      </c>
      <c r="I1" s="8"/>
      <c r="J1" s="8"/>
      <c r="K1" s="8"/>
      <c r="L1" s="8"/>
      <c r="M1" s="8"/>
      <c r="N1" s="8"/>
      <c r="O1" s="8"/>
      <c r="P1" s="8"/>
      <c r="Q1" s="11"/>
      <c r="R1" s="91"/>
      <c r="S1" s="91"/>
      <c r="T1" s="91"/>
      <c r="U1" s="91"/>
      <c r="V1" s="91"/>
      <c r="W1" s="91"/>
    </row>
    <row r="2" ht="35.25" customHeight="1">
      <c r="A2" s="92" t="s">
        <v>4288</v>
      </c>
      <c r="B2" s="93" t="s">
        <v>4289</v>
      </c>
      <c r="C2" s="94" t="s">
        <v>4294</v>
      </c>
      <c r="D2" s="95" t="s">
        <v>4296</v>
      </c>
      <c r="E2" s="96" t="str">
        <f>IFERROR(__xludf.DUMMYFUNCTION("GOOGLETRANSLATE(D2,""zh-CN"",""vi"")"),"Ôi không, tôi quên chìa khóa rồi!")</f>
        <v>Ôi không, tôi quên chìa khóa rồi!</v>
      </c>
      <c r="F2" s="97" t="s">
        <v>4288</v>
      </c>
      <c r="G2" s="98" t="b">
        <f t="shared" ref="G2:G942" si="1">EXACT(A2,F2)</f>
        <v>1</v>
      </c>
      <c r="H2" s="99" t="b">
        <v>0</v>
      </c>
      <c r="I2" s="99" t="b">
        <v>0</v>
      </c>
      <c r="J2" s="99" t="b">
        <v>0</v>
      </c>
      <c r="K2" s="99" t="b">
        <v>0</v>
      </c>
      <c r="L2" s="99" t="b">
        <v>0</v>
      </c>
      <c r="M2" s="99" t="b">
        <v>0</v>
      </c>
      <c r="N2" s="99" t="b">
        <v>0</v>
      </c>
      <c r="O2" s="99" t="b">
        <v>0</v>
      </c>
      <c r="P2" s="99" t="b">
        <v>0</v>
      </c>
      <c r="Q2" s="99" t="b">
        <v>0</v>
      </c>
      <c r="R2" s="14"/>
      <c r="S2" s="14"/>
      <c r="T2" s="14"/>
      <c r="U2" s="14"/>
      <c r="V2" s="14"/>
      <c r="W2" s="14"/>
    </row>
    <row r="3" ht="35.25" customHeight="1">
      <c r="A3" s="92" t="s">
        <v>4345</v>
      </c>
      <c r="B3" s="93" t="s">
        <v>4289</v>
      </c>
      <c r="C3" s="94" t="s">
        <v>4294</v>
      </c>
      <c r="D3" s="95" t="s">
        <v>4346</v>
      </c>
      <c r="E3" s="96" t="str">
        <f>IFERROR(__xludf.DUMMYFUNCTION("GOOGLETRANSLATE(D3,""zh-CN"",""vi"")"),"Ôi, đây quả là một câu hỏi khó!")</f>
        <v>Ôi, đây quả là một câu hỏi khó!</v>
      </c>
      <c r="F3" s="100" t="s">
        <v>4345</v>
      </c>
      <c r="G3" s="98" t="b">
        <f t="shared" si="1"/>
        <v>1</v>
      </c>
      <c r="H3" s="99" t="b">
        <v>0</v>
      </c>
      <c r="I3" s="99" t="b">
        <v>0</v>
      </c>
      <c r="J3" s="99" t="b">
        <v>0</v>
      </c>
      <c r="K3" s="99" t="b">
        <v>0</v>
      </c>
      <c r="L3" s="99" t="b">
        <v>0</v>
      </c>
      <c r="M3" s="99" t="b">
        <v>0</v>
      </c>
      <c r="N3" s="99" t="b">
        <v>0</v>
      </c>
      <c r="O3" s="99" t="b">
        <v>0</v>
      </c>
      <c r="P3" s="99" t="b">
        <v>0</v>
      </c>
      <c r="Q3" s="99" t="b">
        <v>0</v>
      </c>
      <c r="R3" s="14"/>
      <c r="S3" s="14"/>
      <c r="T3" s="14"/>
      <c r="U3" s="14"/>
      <c r="V3" s="14"/>
      <c r="W3" s="14"/>
    </row>
    <row r="4" ht="35.25" customHeight="1">
      <c r="A4" s="92" t="s">
        <v>4355</v>
      </c>
      <c r="B4" s="93" t="s">
        <v>4357</v>
      </c>
      <c r="C4" s="94" t="s">
        <v>4361</v>
      </c>
      <c r="D4" s="95" t="s">
        <v>4362</v>
      </c>
      <c r="E4" s="96" t="str">
        <f>IFERROR(__xludf.DUMMYFUNCTION("GOOGLETRANSLATE(D4,""zh-CN"",""vi"")"),"Chúng ta phải bảo vệ môi trường.")</f>
        <v>Chúng ta phải bảo vệ môi trường.</v>
      </c>
      <c r="F4" s="100" t="s">
        <v>4355</v>
      </c>
      <c r="G4" s="98" t="b">
        <f t="shared" si="1"/>
        <v>1</v>
      </c>
      <c r="H4" s="99" t="b">
        <v>0</v>
      </c>
      <c r="I4" s="99" t="b">
        <v>0</v>
      </c>
      <c r="J4" s="99" t="b">
        <v>0</v>
      </c>
      <c r="K4" s="99" t="b">
        <v>0</v>
      </c>
      <c r="L4" s="99" t="b">
        <v>0</v>
      </c>
      <c r="M4" s="99" t="b">
        <v>0</v>
      </c>
      <c r="N4" s="99" t="b">
        <v>0</v>
      </c>
      <c r="O4" s="99" t="b">
        <v>0</v>
      </c>
      <c r="P4" s="99" t="b">
        <v>0</v>
      </c>
      <c r="Q4" s="99" t="b">
        <v>0</v>
      </c>
      <c r="R4" s="14"/>
      <c r="S4" s="14"/>
      <c r="T4" s="14"/>
      <c r="U4" s="14"/>
      <c r="V4" s="14"/>
      <c r="W4" s="14"/>
    </row>
    <row r="5" ht="35.25" customHeight="1">
      <c r="A5" s="92" t="s">
        <v>4367</v>
      </c>
      <c r="B5" s="93" t="s">
        <v>4368</v>
      </c>
      <c r="C5" s="94" t="s">
        <v>4369</v>
      </c>
      <c r="D5" s="95" t="s">
        <v>4370</v>
      </c>
      <c r="E5" s="96" t="str">
        <f>IFERROR(__xludf.DUMMYFUNCTION("GOOGLETRANSLATE(D5,""zh-CN"",""vi"")"),"Ông ấy rất trân trọng những cuốn sách của mình.")</f>
        <v>Ông ấy rất trân trọng những cuốn sách của mình.</v>
      </c>
      <c r="F5" s="101" t="s">
        <v>4367</v>
      </c>
      <c r="G5" s="98" t="b">
        <f t="shared" si="1"/>
        <v>1</v>
      </c>
      <c r="H5" s="99" t="b">
        <v>0</v>
      </c>
      <c r="I5" s="99" t="b">
        <v>0</v>
      </c>
      <c r="J5" s="99" t="b">
        <v>0</v>
      </c>
      <c r="K5" s="99" t="b">
        <v>0</v>
      </c>
      <c r="L5" s="99" t="b">
        <v>0</v>
      </c>
      <c r="M5" s="99" t="b">
        <v>0</v>
      </c>
      <c r="N5" s="99" t="b">
        <v>0</v>
      </c>
      <c r="O5" s="99" t="b">
        <v>0</v>
      </c>
      <c r="P5" s="99" t="b">
        <v>0</v>
      </c>
      <c r="Q5" s="99" t="b">
        <v>0</v>
      </c>
      <c r="R5" s="14"/>
      <c r="S5" s="14"/>
      <c r="T5" s="14"/>
      <c r="U5" s="14"/>
      <c r="V5" s="14"/>
      <c r="W5" s="14"/>
    </row>
    <row r="6" ht="35.25" customHeight="1">
      <c r="A6" s="92" t="s">
        <v>4371</v>
      </c>
      <c r="B6" s="93" t="s">
        <v>4372</v>
      </c>
      <c r="C6" s="94" t="s">
        <v>4373</v>
      </c>
      <c r="D6" s="95" t="s">
        <v>4374</v>
      </c>
      <c r="E6" s="96" t="str">
        <f>IFERROR(__xludf.DUMMYFUNCTION("GOOGLETRANSLATE(D6,""zh-CN"",""vi"")"),"Cô ấy có một trái tim nhân hậu và giàu tình yêu thương.")</f>
        <v>Cô ấy có một trái tim nhân hậu và giàu tình yêu thương.</v>
      </c>
      <c r="F6" s="101" t="s">
        <v>4371</v>
      </c>
      <c r="G6" s="98" t="b">
        <f t="shared" si="1"/>
        <v>1</v>
      </c>
      <c r="H6" s="99" t="b">
        <v>0</v>
      </c>
      <c r="I6" s="99" t="b">
        <v>0</v>
      </c>
      <c r="J6" s="99" t="b">
        <v>0</v>
      </c>
      <c r="K6" s="99" t="b">
        <v>0</v>
      </c>
      <c r="L6" s="99" t="b">
        <v>0</v>
      </c>
      <c r="M6" s="99" t="b">
        <v>0</v>
      </c>
      <c r="N6" s="99" t="b">
        <v>0</v>
      </c>
      <c r="O6" s="99" t="b">
        <v>0</v>
      </c>
      <c r="P6" s="99" t="b">
        <v>0</v>
      </c>
      <c r="Q6" s="99" t="b">
        <v>0</v>
      </c>
      <c r="R6" s="14"/>
      <c r="S6" s="14"/>
      <c r="T6" s="14"/>
      <c r="U6" s="14"/>
      <c r="V6" s="14"/>
      <c r="W6" s="14"/>
    </row>
    <row r="7" ht="35.25" customHeight="1">
      <c r="A7" s="92" t="s">
        <v>4375</v>
      </c>
      <c r="B7" s="93" t="s">
        <v>4376</v>
      </c>
      <c r="C7" s="94" t="s">
        <v>4377</v>
      </c>
      <c r="D7" s="95" t="s">
        <v>4378</v>
      </c>
      <c r="E7" s="96" t="str">
        <f>IFERROR(__xludf.DUMMYFUNCTION("GOOGLETRANSLATE(D7,""zh-CN"",""vi"")"),"Chúng tôi đang cài đặt phần mềm mới.")</f>
        <v>Chúng tôi đang cài đặt phần mềm mới.</v>
      </c>
      <c r="F7" s="101" t="s">
        <v>4375</v>
      </c>
      <c r="G7" s="98" t="b">
        <f t="shared" si="1"/>
        <v>1</v>
      </c>
      <c r="H7" s="99" t="b">
        <v>0</v>
      </c>
      <c r="I7" s="99" t="b">
        <v>0</v>
      </c>
      <c r="J7" s="99" t="b">
        <v>0</v>
      </c>
      <c r="K7" s="99" t="b">
        <v>0</v>
      </c>
      <c r="L7" s="99" t="b">
        <v>0</v>
      </c>
      <c r="M7" s="99" t="b">
        <v>0</v>
      </c>
      <c r="N7" s="99" t="b">
        <v>0</v>
      </c>
      <c r="O7" s="99" t="b">
        <v>0</v>
      </c>
      <c r="P7" s="99" t="b">
        <v>0</v>
      </c>
      <c r="Q7" s="99" t="b">
        <v>0</v>
      </c>
      <c r="R7" s="14"/>
      <c r="S7" s="14"/>
      <c r="T7" s="14"/>
      <c r="U7" s="14"/>
      <c r="V7" s="14"/>
      <c r="W7" s="14"/>
    </row>
    <row r="8" ht="35.25" customHeight="1">
      <c r="A8" s="92" t="s">
        <v>4383</v>
      </c>
      <c r="B8" s="93" t="s">
        <v>4384</v>
      </c>
      <c r="C8" s="94" t="s">
        <v>4385</v>
      </c>
      <c r="D8" s="95" t="s">
        <v>4386</v>
      </c>
      <c r="E8" s="96" t="str">
        <f>IFERROR(__xludf.DUMMYFUNCTION("GOOGLETRANSLATE(D8,""zh-CN"",""vi"")"),"Anh ta đứng ở bờ bên kia sông.")</f>
        <v>Anh ta đứng ở bờ bên kia sông.</v>
      </c>
      <c r="F8" s="101" t="s">
        <v>4383</v>
      </c>
      <c r="G8" s="98" t="b">
        <f t="shared" si="1"/>
        <v>1</v>
      </c>
      <c r="H8" s="99" t="b">
        <v>0</v>
      </c>
      <c r="I8" s="99" t="b">
        <v>0</v>
      </c>
      <c r="J8" s="99" t="b">
        <v>0</v>
      </c>
      <c r="K8" s="99" t="b">
        <v>0</v>
      </c>
      <c r="L8" s="99" t="b">
        <v>0</v>
      </c>
      <c r="M8" s="99" t="b">
        <v>0</v>
      </c>
      <c r="N8" s="99" t="b">
        <v>0</v>
      </c>
      <c r="O8" s="99" t="b">
        <v>0</v>
      </c>
      <c r="P8" s="99" t="b">
        <v>0</v>
      </c>
      <c r="Q8" s="99" t="b">
        <v>0</v>
      </c>
      <c r="R8" s="14"/>
      <c r="S8" s="14"/>
      <c r="T8" s="14"/>
      <c r="U8" s="14"/>
      <c r="V8" s="14"/>
      <c r="W8" s="14"/>
    </row>
    <row r="9" ht="35.25" customHeight="1">
      <c r="A9" s="92" t="s">
        <v>4391</v>
      </c>
      <c r="B9" s="93" t="s">
        <v>4384</v>
      </c>
      <c r="C9" s="102" t="s">
        <v>4392</v>
      </c>
      <c r="D9" s="95" t="s">
        <v>4397</v>
      </c>
      <c r="E9" s="96" t="str">
        <f>IFERROR(__xludf.DUMMYFUNCTION("GOOGLETRANSLATE(D9,""zh-CN"",""vi"")"),"Căn phòng tối om.")</f>
        <v>Căn phòng tối om.</v>
      </c>
      <c r="F9" s="101" t="s">
        <v>4391</v>
      </c>
      <c r="G9" s="98" t="b">
        <f t="shared" si="1"/>
        <v>1</v>
      </c>
      <c r="H9" s="99" t="b">
        <v>0</v>
      </c>
      <c r="I9" s="99" t="b">
        <v>0</v>
      </c>
      <c r="J9" s="99" t="b">
        <v>0</v>
      </c>
      <c r="K9" s="99" t="b">
        <v>0</v>
      </c>
      <c r="L9" s="99" t="b">
        <v>0</v>
      </c>
      <c r="M9" s="99" t="b">
        <v>0</v>
      </c>
      <c r="N9" s="99" t="b">
        <v>0</v>
      </c>
      <c r="O9" s="99" t="b">
        <v>0</v>
      </c>
      <c r="P9" s="99" t="b">
        <v>0</v>
      </c>
      <c r="Q9" s="99" t="b">
        <v>0</v>
      </c>
      <c r="R9" s="14"/>
      <c r="S9" s="14"/>
      <c r="T9" s="14"/>
      <c r="U9" s="14"/>
      <c r="V9" s="14"/>
      <c r="W9" s="14"/>
    </row>
    <row r="10" ht="35.25" customHeight="1">
      <c r="A10" s="92" t="s">
        <v>4401</v>
      </c>
      <c r="B10" s="93" t="s">
        <v>4402</v>
      </c>
      <c r="C10" s="94" t="s">
        <v>4403</v>
      </c>
      <c r="D10" s="95" t="s">
        <v>4404</v>
      </c>
      <c r="E10" s="96" t="str">
        <f>IFERROR(__xludf.DUMMYFUNCTION("GOOGLETRANSLATE(D10,""zh-CN"",""vi"")"),"Anh ấy thường làm việc muộn đến tận đêm khuya.")</f>
        <v>Anh ấy thường làm việc muộn đến tận đêm khuya.</v>
      </c>
      <c r="F10" s="101" t="s">
        <v>4401</v>
      </c>
      <c r="G10" s="98" t="b">
        <f t="shared" si="1"/>
        <v>1</v>
      </c>
      <c r="H10" s="99" t="b">
        <v>0</v>
      </c>
      <c r="I10" s="99" t="b">
        <v>0</v>
      </c>
      <c r="J10" s="99" t="b">
        <v>0</v>
      </c>
      <c r="K10" s="99" t="b">
        <v>0</v>
      </c>
      <c r="L10" s="99" t="b">
        <v>0</v>
      </c>
      <c r="M10" s="99" t="b">
        <v>0</v>
      </c>
      <c r="N10" s="99" t="b">
        <v>0</v>
      </c>
      <c r="O10" s="99" t="b">
        <v>0</v>
      </c>
      <c r="P10" s="99" t="b">
        <v>0</v>
      </c>
      <c r="Q10" s="99" t="b">
        <v>0</v>
      </c>
      <c r="R10" s="14"/>
      <c r="S10" s="14"/>
      <c r="T10" s="14"/>
      <c r="U10" s="14"/>
      <c r="V10" s="14"/>
      <c r="W10" s="14"/>
    </row>
    <row r="11" ht="35.25" customHeight="1">
      <c r="A11" s="92" t="s">
        <v>4409</v>
      </c>
      <c r="B11" s="93" t="s">
        <v>4411</v>
      </c>
      <c r="C11" s="94" t="s">
        <v>4414</v>
      </c>
      <c r="D11" s="95" t="s">
        <v>4416</v>
      </c>
      <c r="E11" s="96" t="str">
        <f>IFERROR(__xludf.DUMMYFUNCTION("GOOGLETRANSLATE(D11,""zh-CN"",""vi"")"),"Chúng ta phải nắm bắt cơ hội.")</f>
        <v>Chúng ta phải nắm bắt cơ hội.</v>
      </c>
      <c r="F11" s="100" t="s">
        <v>4409</v>
      </c>
      <c r="G11" s="98" t="b">
        <f t="shared" si="1"/>
        <v>1</v>
      </c>
      <c r="H11" s="99" t="b">
        <v>0</v>
      </c>
      <c r="I11" s="99" t="b">
        <v>0</v>
      </c>
      <c r="J11" s="99" t="b">
        <v>0</v>
      </c>
      <c r="K11" s="99" t="b">
        <v>0</v>
      </c>
      <c r="L11" s="99" t="b">
        <v>0</v>
      </c>
      <c r="M11" s="99" t="b">
        <v>0</v>
      </c>
      <c r="N11" s="99" t="b">
        <v>0</v>
      </c>
      <c r="O11" s="99" t="b">
        <v>0</v>
      </c>
      <c r="P11" s="99" t="b">
        <v>0</v>
      </c>
      <c r="Q11" s="99" t="b">
        <v>0</v>
      </c>
      <c r="R11" s="14"/>
      <c r="S11" s="14"/>
      <c r="T11" s="14"/>
      <c r="U11" s="14"/>
      <c r="V11" s="14"/>
      <c r="W11" s="14"/>
    </row>
    <row r="12" ht="35.25" customHeight="1">
      <c r="A12" s="92" t="s">
        <v>4421</v>
      </c>
      <c r="B12" s="93" t="s">
        <v>47</v>
      </c>
      <c r="C12" s="94" t="s">
        <v>4422</v>
      </c>
      <c r="D12" s="95" t="s">
        <v>4423</v>
      </c>
      <c r="E12" s="96" t="str">
        <f>IFERROR(__xludf.DUMMYFUNCTION("GOOGLETRANSLATE(D12,""zh-CN"",""vi"")"),"Trên bàn có rất nhiều sách.")</f>
        <v>Trên bàn có rất nhiều sách.</v>
      </c>
      <c r="F12" s="101" t="s">
        <v>4421</v>
      </c>
      <c r="G12" s="98" t="b">
        <f t="shared" si="1"/>
        <v>1</v>
      </c>
      <c r="H12" s="99" t="b">
        <v>0</v>
      </c>
      <c r="I12" s="99" t="b">
        <v>0</v>
      </c>
      <c r="J12" s="99" t="b">
        <v>0</v>
      </c>
      <c r="K12" s="99" t="b">
        <v>0</v>
      </c>
      <c r="L12" s="99" t="b">
        <v>0</v>
      </c>
      <c r="M12" s="99" t="b">
        <v>0</v>
      </c>
      <c r="N12" s="99" t="b">
        <v>0</v>
      </c>
      <c r="O12" s="99" t="b">
        <v>0</v>
      </c>
      <c r="P12" s="99" t="b">
        <v>0</v>
      </c>
      <c r="Q12" s="99" t="b">
        <v>0</v>
      </c>
      <c r="R12" s="14"/>
      <c r="S12" s="14"/>
      <c r="T12" s="14"/>
      <c r="U12" s="14"/>
      <c r="V12" s="14"/>
      <c r="W12" s="14"/>
    </row>
    <row r="13" ht="35.25" customHeight="1">
      <c r="A13" s="92" t="s">
        <v>4426</v>
      </c>
      <c r="B13" s="93" t="s">
        <v>4427</v>
      </c>
      <c r="C13" s="94" t="s">
        <v>4428</v>
      </c>
      <c r="D13" s="95" t="s">
        <v>3636</v>
      </c>
      <c r="E13" s="96" t="str">
        <f>IFERROR(__xludf.DUMMYFUNCTION("GOOGLETRANSLATE(D13,""zh-CN"",""vi"")"),"Tôi cần xin visa.")</f>
        <v>Tôi cần xin visa.</v>
      </c>
      <c r="F13" s="101" t="s">
        <v>4426</v>
      </c>
      <c r="G13" s="98" t="b">
        <f t="shared" si="1"/>
        <v>1</v>
      </c>
      <c r="H13" s="99" t="b">
        <v>0</v>
      </c>
      <c r="I13" s="99" t="b">
        <v>0</v>
      </c>
      <c r="J13" s="99" t="b">
        <v>0</v>
      </c>
      <c r="K13" s="99" t="b">
        <v>0</v>
      </c>
      <c r="L13" s="99" t="b">
        <v>0</v>
      </c>
      <c r="M13" s="99" t="b">
        <v>0</v>
      </c>
      <c r="N13" s="99" t="b">
        <v>0</v>
      </c>
      <c r="O13" s="99" t="b">
        <v>0</v>
      </c>
      <c r="P13" s="99" t="b">
        <v>0</v>
      </c>
      <c r="Q13" s="99" t="b">
        <v>0</v>
      </c>
      <c r="R13" s="14"/>
      <c r="S13" s="14"/>
      <c r="T13" s="14"/>
      <c r="U13" s="14"/>
      <c r="V13" s="14"/>
      <c r="W13" s="14"/>
    </row>
    <row r="14" ht="35.25" customHeight="1">
      <c r="A14" s="92" t="s">
        <v>4436</v>
      </c>
      <c r="B14" s="93" t="s">
        <v>4437</v>
      </c>
      <c r="C14" s="94" t="s">
        <v>4438</v>
      </c>
      <c r="D14" s="95" t="s">
        <v>4439</v>
      </c>
      <c r="E14" s="96" t="str">
        <f>IFERROR(__xludf.DUMMYFUNCTION("GOOGLETRANSLATE(D14,""zh-CN"",""vi"")"),"Tối nay chúng ta cùng đi dạo nhé.")</f>
        <v>Tối nay chúng ta cùng đi dạo nhé.</v>
      </c>
      <c r="F14" s="101" t="s">
        <v>4436</v>
      </c>
      <c r="G14" s="98" t="b">
        <f t="shared" si="1"/>
        <v>1</v>
      </c>
      <c r="H14" s="99" t="b">
        <v>0</v>
      </c>
      <c r="I14" s="99" t="b">
        <v>0</v>
      </c>
      <c r="J14" s="99" t="b">
        <v>0</v>
      </c>
      <c r="K14" s="99" t="b">
        <v>0</v>
      </c>
      <c r="L14" s="99" t="b">
        <v>0</v>
      </c>
      <c r="M14" s="99" t="b">
        <v>0</v>
      </c>
      <c r="N14" s="99" t="b">
        <v>0</v>
      </c>
      <c r="O14" s="99" t="b">
        <v>0</v>
      </c>
      <c r="P14" s="99" t="b">
        <v>0</v>
      </c>
      <c r="Q14" s="99" t="b">
        <v>0</v>
      </c>
      <c r="R14" s="14"/>
      <c r="S14" s="14"/>
      <c r="T14" s="14"/>
      <c r="U14" s="14"/>
      <c r="V14" s="14"/>
      <c r="W14" s="14"/>
    </row>
    <row r="15" ht="35.25" customHeight="1">
      <c r="A15" s="92" t="s">
        <v>4443</v>
      </c>
      <c r="B15" s="93" t="s">
        <v>4444</v>
      </c>
      <c r="C15" s="94" t="s">
        <v>4445</v>
      </c>
      <c r="D15" s="95" t="s">
        <v>4446</v>
      </c>
      <c r="E15" s="96" t="str">
        <f>IFERROR(__xludf.DUMMYFUNCTION("GOOGLETRANSLATE(D15,""zh-CN"",""vi"")"),"Gói hàng của bạn đã đến.")</f>
        <v>Gói hàng của bạn đã đến.</v>
      </c>
      <c r="F15" s="101" t="s">
        <v>4443</v>
      </c>
      <c r="G15" s="98" t="b">
        <f t="shared" si="1"/>
        <v>1</v>
      </c>
      <c r="H15" s="99" t="b">
        <v>0</v>
      </c>
      <c r="I15" s="99" t="b">
        <v>0</v>
      </c>
      <c r="J15" s="99" t="b">
        <v>0</v>
      </c>
      <c r="K15" s="99" t="b">
        <v>0</v>
      </c>
      <c r="L15" s="99" t="b">
        <v>0</v>
      </c>
      <c r="M15" s="99" t="b">
        <v>0</v>
      </c>
      <c r="N15" s="99" t="b">
        <v>0</v>
      </c>
      <c r="O15" s="99" t="b">
        <v>0</v>
      </c>
      <c r="P15" s="99" t="b">
        <v>0</v>
      </c>
      <c r="Q15" s="99" t="b">
        <v>0</v>
      </c>
      <c r="R15" s="14"/>
      <c r="S15" s="14"/>
      <c r="T15" s="14"/>
      <c r="U15" s="14"/>
      <c r="V15" s="14"/>
      <c r="W15" s="14"/>
    </row>
    <row r="16" ht="35.25" customHeight="1">
      <c r="A16" s="92" t="s">
        <v>4451</v>
      </c>
      <c r="B16" s="93" t="s">
        <v>4452</v>
      </c>
      <c r="C16" s="94" t="s">
        <v>4453</v>
      </c>
      <c r="D16" s="95" t="s">
        <v>4454</v>
      </c>
      <c r="E16" s="96" t="str">
        <f>IFERROR(__xludf.DUMMYFUNCTION("GOOGLETRANSLATE(D16,""zh-CN"",""vi"")"),"Cuốn sách này chứa rất nhiều thông tin.")</f>
        <v>Cuốn sách này chứa rất nhiều thông tin.</v>
      </c>
      <c r="F16" s="101" t="s">
        <v>4451</v>
      </c>
      <c r="G16" s="98" t="b">
        <f t="shared" si="1"/>
        <v>1</v>
      </c>
      <c r="H16" s="99" t="b">
        <v>0</v>
      </c>
      <c r="I16" s="99" t="b">
        <v>0</v>
      </c>
      <c r="J16" s="99" t="b">
        <v>0</v>
      </c>
      <c r="K16" s="99" t="b">
        <v>0</v>
      </c>
      <c r="L16" s="99" t="b">
        <v>0</v>
      </c>
      <c r="M16" s="99" t="b">
        <v>0</v>
      </c>
      <c r="N16" s="99" t="b">
        <v>0</v>
      </c>
      <c r="O16" s="99" t="b">
        <v>0</v>
      </c>
      <c r="P16" s="99" t="b">
        <v>0</v>
      </c>
      <c r="Q16" s="99" t="b">
        <v>0</v>
      </c>
      <c r="R16" s="14"/>
      <c r="S16" s="14"/>
      <c r="T16" s="14"/>
      <c r="U16" s="14"/>
      <c r="V16" s="14"/>
      <c r="W16" s="14"/>
    </row>
    <row r="17" ht="35.25" customHeight="1">
      <c r="A17" s="92" t="s">
        <v>4463</v>
      </c>
      <c r="B17" s="93" t="s">
        <v>4464</v>
      </c>
      <c r="C17" s="94" t="s">
        <v>4465</v>
      </c>
      <c r="D17" s="95" t="s">
        <v>4466</v>
      </c>
      <c r="E17" s="96" t="str">
        <f>IFERROR(__xludf.DUMMYFUNCTION("GOOGLETRANSLATE(D17,""zh-CN"",""vi"")"),"Giá đã bao gồm thuế.")</f>
        <v>Giá đã bao gồm thuế.</v>
      </c>
      <c r="F17" s="101" t="s">
        <v>4463</v>
      </c>
      <c r="G17" s="98" t="b">
        <f t="shared" si="1"/>
        <v>1</v>
      </c>
      <c r="H17" s="99" t="b">
        <v>0</v>
      </c>
      <c r="I17" s="99" t="b">
        <v>0</v>
      </c>
      <c r="J17" s="99" t="b">
        <v>0</v>
      </c>
      <c r="K17" s="99" t="b">
        <v>0</v>
      </c>
      <c r="L17" s="99" t="b">
        <v>0</v>
      </c>
      <c r="M17" s="99" t="b">
        <v>0</v>
      </c>
      <c r="N17" s="99" t="b">
        <v>0</v>
      </c>
      <c r="O17" s="99" t="b">
        <v>0</v>
      </c>
      <c r="P17" s="99" t="b">
        <v>0</v>
      </c>
      <c r="Q17" s="99" t="b">
        <v>0</v>
      </c>
      <c r="R17" s="14"/>
      <c r="S17" s="14"/>
      <c r="T17" s="14"/>
      <c r="U17" s="14"/>
      <c r="V17" s="14"/>
      <c r="W17" s="14"/>
    </row>
    <row r="18" ht="35.25" customHeight="1">
      <c r="A18" s="92" t="s">
        <v>4475</v>
      </c>
      <c r="B18" s="93" t="s">
        <v>84</v>
      </c>
      <c r="C18" s="94" t="s">
        <v>4476</v>
      </c>
      <c r="D18" s="95" t="s">
        <v>4477</v>
      </c>
      <c r="E18" s="96" t="str">
        <f>IFERROR(__xludf.DUMMYFUNCTION("GOOGLETRANSLATE(D18,""zh-CN"",""vi"")"),"Miếng bánh mì này rất mỏng.")</f>
        <v>Miếng bánh mì này rất mỏng.</v>
      </c>
      <c r="F18" s="101" t="s">
        <v>4475</v>
      </c>
      <c r="G18" s="98" t="b">
        <f t="shared" si="1"/>
        <v>1</v>
      </c>
      <c r="H18" s="99" t="b">
        <v>0</v>
      </c>
      <c r="I18" s="99" t="b">
        <v>0</v>
      </c>
      <c r="J18" s="99" t="b">
        <v>0</v>
      </c>
      <c r="K18" s="99" t="b">
        <v>0</v>
      </c>
      <c r="L18" s="99" t="b">
        <v>0</v>
      </c>
      <c r="M18" s="99" t="b">
        <v>0</v>
      </c>
      <c r="N18" s="99" t="b">
        <v>0</v>
      </c>
      <c r="O18" s="99" t="b">
        <v>0</v>
      </c>
      <c r="P18" s="99" t="b">
        <v>0</v>
      </c>
      <c r="Q18" s="99" t="b">
        <v>0</v>
      </c>
      <c r="R18" s="14"/>
      <c r="S18" s="14"/>
      <c r="T18" s="14"/>
      <c r="U18" s="14"/>
      <c r="V18" s="14"/>
      <c r="W18" s="14"/>
    </row>
    <row r="19" ht="35.25" customHeight="1">
      <c r="A19" s="92" t="s">
        <v>4486</v>
      </c>
      <c r="B19" s="93" t="s">
        <v>4487</v>
      </c>
      <c r="C19" s="94" t="s">
        <v>4488</v>
      </c>
      <c r="D19" s="95" t="s">
        <v>4489</v>
      </c>
      <c r="E19" s="96" t="str">
        <f>IFERROR(__xludf.DUMMYFUNCTION("GOOGLETRANSLATE(D19,""zh-CN"",""vi"")"),"Cậu ấy là em bé nhỏ của tôi.")</f>
        <v>Cậu ấy là em bé nhỏ của tôi.</v>
      </c>
      <c r="F19" s="101" t="s">
        <v>4486</v>
      </c>
      <c r="G19" s="98" t="b">
        <f t="shared" si="1"/>
        <v>1</v>
      </c>
      <c r="H19" s="99" t="b">
        <v>0</v>
      </c>
      <c r="I19" s="99" t="b">
        <v>0</v>
      </c>
      <c r="J19" s="99" t="b">
        <v>0</v>
      </c>
      <c r="K19" s="99" t="b">
        <v>0</v>
      </c>
      <c r="L19" s="99" t="b">
        <v>0</v>
      </c>
      <c r="M19" s="99" t="b">
        <v>0</v>
      </c>
      <c r="N19" s="99" t="b">
        <v>0</v>
      </c>
      <c r="O19" s="99" t="b">
        <v>0</v>
      </c>
      <c r="P19" s="99" t="b">
        <v>0</v>
      </c>
      <c r="Q19" s="99" t="b">
        <v>0</v>
      </c>
      <c r="R19" s="14"/>
      <c r="S19" s="14"/>
      <c r="T19" s="14"/>
      <c r="U19" s="14"/>
      <c r="V19" s="14"/>
      <c r="W19" s="14"/>
    </row>
    <row r="20" ht="35.25" customHeight="1">
      <c r="A20" s="92" t="s">
        <v>4498</v>
      </c>
      <c r="B20" s="93" t="s">
        <v>4499</v>
      </c>
      <c r="C20" s="94" t="s">
        <v>4500</v>
      </c>
      <c r="D20" s="95" t="s">
        <v>4501</v>
      </c>
      <c r="E20" s="96" t="str">
        <f>IFERROR(__xludf.DUMMYFUNCTION("GOOGLETRANSLATE(D20,""zh-CN"",""vi"")"),"Thời gian vô cùng quý giá.")</f>
        <v>Thời gian vô cùng quý giá.</v>
      </c>
      <c r="F20" s="101" t="s">
        <v>4498</v>
      </c>
      <c r="G20" s="98" t="b">
        <f t="shared" si="1"/>
        <v>1</v>
      </c>
      <c r="H20" s="99" t="b">
        <v>0</v>
      </c>
      <c r="I20" s="99" t="b">
        <v>0</v>
      </c>
      <c r="J20" s="99" t="b">
        <v>0</v>
      </c>
      <c r="K20" s="99" t="b">
        <v>0</v>
      </c>
      <c r="L20" s="99" t="b">
        <v>0</v>
      </c>
      <c r="M20" s="99" t="b">
        <v>0</v>
      </c>
      <c r="N20" s="99" t="b">
        <v>0</v>
      </c>
      <c r="O20" s="99" t="b">
        <v>0</v>
      </c>
      <c r="P20" s="99" t="b">
        <v>0</v>
      </c>
      <c r="Q20" s="99" t="b">
        <v>0</v>
      </c>
      <c r="R20" s="14"/>
      <c r="S20" s="14"/>
      <c r="T20" s="14"/>
      <c r="U20" s="14"/>
      <c r="V20" s="14"/>
      <c r="W20" s="14"/>
    </row>
    <row r="21" ht="35.25" customHeight="1">
      <c r="A21" s="92" t="s">
        <v>4507</v>
      </c>
      <c r="B21" s="93" t="s">
        <v>4508</v>
      </c>
      <c r="C21" s="94" t="s">
        <v>4509</v>
      </c>
      <c r="D21" s="95" t="s">
        <v>66</v>
      </c>
      <c r="E21" s="96" t="str">
        <f>IFERROR(__xludf.DUMMYFUNCTION("GOOGLETRANSLATE(D21,""zh-CN"",""vi"")"),"Hãy giữ im lặng.")</f>
        <v>Hãy giữ im lặng.</v>
      </c>
      <c r="F21" s="101" t="s">
        <v>4507</v>
      </c>
      <c r="G21" s="98" t="b">
        <f t="shared" si="1"/>
        <v>1</v>
      </c>
      <c r="H21" s="99" t="b">
        <v>0</v>
      </c>
      <c r="I21" s="99" t="b">
        <v>0</v>
      </c>
      <c r="J21" s="99" t="b">
        <v>0</v>
      </c>
      <c r="K21" s="99" t="b">
        <v>0</v>
      </c>
      <c r="L21" s="99" t="b">
        <v>0</v>
      </c>
      <c r="M21" s="99" t="b">
        <v>0</v>
      </c>
      <c r="N21" s="99" t="b">
        <v>0</v>
      </c>
      <c r="O21" s="99" t="b">
        <v>0</v>
      </c>
      <c r="P21" s="99" t="b">
        <v>0</v>
      </c>
      <c r="Q21" s="99" t="b">
        <v>0</v>
      </c>
      <c r="R21" s="14"/>
      <c r="S21" s="14"/>
      <c r="T21" s="14"/>
      <c r="U21" s="14"/>
      <c r="V21" s="14"/>
      <c r="W21" s="14"/>
    </row>
    <row r="22" ht="35.25" customHeight="1">
      <c r="A22" s="92" t="s">
        <v>4518</v>
      </c>
      <c r="B22" s="93" t="s">
        <v>4519</v>
      </c>
      <c r="C22" s="94" t="s">
        <v>4520</v>
      </c>
      <c r="D22" s="95" t="s">
        <v>4521</v>
      </c>
      <c r="E22" s="96" t="str">
        <f>IFERROR(__xludf.DUMMYFUNCTION("GOOGLETRANSLATE(D22,""zh-CN"",""vi"")"),"Chúng ta nên bảo tồn văn hóa truyền thống.")</f>
        <v>Chúng ta nên bảo tồn văn hóa truyền thống.</v>
      </c>
      <c r="F22" s="101" t="s">
        <v>4518</v>
      </c>
      <c r="G22" s="98" t="b">
        <f t="shared" si="1"/>
        <v>1</v>
      </c>
      <c r="H22" s="99" t="b">
        <v>0</v>
      </c>
      <c r="I22" s="99" t="b">
        <v>0</v>
      </c>
      <c r="J22" s="99" t="b">
        <v>0</v>
      </c>
      <c r="K22" s="99" t="b">
        <v>0</v>
      </c>
      <c r="L22" s="99" t="b">
        <v>0</v>
      </c>
      <c r="M22" s="99" t="b">
        <v>0</v>
      </c>
      <c r="N22" s="99" t="b">
        <v>0</v>
      </c>
      <c r="O22" s="99" t="b">
        <v>0</v>
      </c>
      <c r="P22" s="99" t="b">
        <v>0</v>
      </c>
      <c r="Q22" s="99" t="b">
        <v>0</v>
      </c>
      <c r="R22" s="14"/>
      <c r="S22" s="14"/>
      <c r="T22" s="14"/>
      <c r="U22" s="14"/>
      <c r="V22" s="14"/>
      <c r="W22" s="14"/>
    </row>
    <row r="23" ht="35.25" customHeight="1">
      <c r="A23" s="92" t="s">
        <v>4530</v>
      </c>
      <c r="B23" s="93" t="s">
        <v>4531</v>
      </c>
      <c r="C23" s="94" t="s">
        <v>4532</v>
      </c>
      <c r="D23" s="95" t="s">
        <v>4533</v>
      </c>
      <c r="E23" s="96" t="str">
        <f>IFERROR(__xludf.DUMMYFUNCTION("GOOGLETRANSLATE(D23,""zh-CN"",""vi"")"),"Bạn có bảo hiểm y tế không?")</f>
        <v>Bạn có bảo hiểm y tế không?</v>
      </c>
      <c r="F23" s="101" t="s">
        <v>4530</v>
      </c>
      <c r="G23" s="98" t="b">
        <f t="shared" si="1"/>
        <v>1</v>
      </c>
      <c r="H23" s="99" t="b">
        <v>0</v>
      </c>
      <c r="I23" s="99" t="b">
        <v>0</v>
      </c>
      <c r="J23" s="99" t="b">
        <v>0</v>
      </c>
      <c r="K23" s="99" t="b">
        <v>0</v>
      </c>
      <c r="L23" s="99" t="b">
        <v>0</v>
      </c>
      <c r="M23" s="99" t="b">
        <v>0</v>
      </c>
      <c r="N23" s="99" t="b">
        <v>0</v>
      </c>
      <c r="O23" s="99" t="b">
        <v>0</v>
      </c>
      <c r="P23" s="99" t="b">
        <v>0</v>
      </c>
      <c r="Q23" s="99" t="b">
        <v>0</v>
      </c>
      <c r="R23" s="14"/>
      <c r="S23" s="14"/>
      <c r="T23" s="14"/>
      <c r="U23" s="14"/>
      <c r="V23" s="14"/>
      <c r="W23" s="14"/>
    </row>
    <row r="24" ht="35.25" customHeight="1">
      <c r="A24" s="92" t="s">
        <v>4538</v>
      </c>
      <c r="B24" s="93" t="s">
        <v>4540</v>
      </c>
      <c r="C24" s="94" t="s">
        <v>4543</v>
      </c>
      <c r="D24" s="95" t="s">
        <v>4545</v>
      </c>
      <c r="E24" s="96" t="str">
        <f>IFERROR(__xludf.DUMMYFUNCTION("GOOGLETRANSLATE(D24,""zh-CN"",""vi"")"),"Nhân viên mới cần phải đến trình diện làm việc trước.")</f>
        <v>Nhân viên mới cần phải đến trình diện làm việc trước.</v>
      </c>
      <c r="F24" s="101" t="s">
        <v>4538</v>
      </c>
      <c r="G24" s="98" t="b">
        <f t="shared" si="1"/>
        <v>1</v>
      </c>
      <c r="H24" s="99" t="b">
        <v>0</v>
      </c>
      <c r="I24" s="99" t="b">
        <v>0</v>
      </c>
      <c r="J24" s="99" t="b">
        <v>0</v>
      </c>
      <c r="K24" s="99" t="b">
        <v>0</v>
      </c>
      <c r="L24" s="99" t="b">
        <v>0</v>
      </c>
      <c r="M24" s="99" t="b">
        <v>0</v>
      </c>
      <c r="N24" s="99" t="b">
        <v>0</v>
      </c>
      <c r="O24" s="99" t="b">
        <v>0</v>
      </c>
      <c r="P24" s="99" t="b">
        <v>0</v>
      </c>
      <c r="Q24" s="99" t="b">
        <v>0</v>
      </c>
      <c r="R24" s="14"/>
      <c r="S24" s="14"/>
      <c r="T24" s="14"/>
      <c r="U24" s="14"/>
      <c r="V24" s="14"/>
      <c r="W24" s="14"/>
    </row>
    <row r="25" ht="35.25" customHeight="1">
      <c r="A25" s="92" t="s">
        <v>4550</v>
      </c>
      <c r="B25" s="93" t="s">
        <v>4540</v>
      </c>
      <c r="C25" s="94" t="s">
        <v>4551</v>
      </c>
      <c r="D25" s="95" t="s">
        <v>4552</v>
      </c>
      <c r="E25" s="96" t="str">
        <f>IFERROR(__xludf.DUMMYFUNCTION("GOOGLETRANSLATE(D25,""zh-CN"",""vi"")"),"Các bản tin cho biết...")</f>
        <v>Các bản tin cho biết...</v>
      </c>
      <c r="F25" s="101" t="s">
        <v>4550</v>
      </c>
      <c r="G25" s="98" t="b">
        <f t="shared" si="1"/>
        <v>1</v>
      </c>
      <c r="H25" s="99" t="b">
        <v>0</v>
      </c>
      <c r="I25" s="99" t="b">
        <v>0</v>
      </c>
      <c r="J25" s="99" t="b">
        <v>0</v>
      </c>
      <c r="K25" s="99" t="b">
        <v>0</v>
      </c>
      <c r="L25" s="99" t="b">
        <v>0</v>
      </c>
      <c r="M25" s="99" t="b">
        <v>0</v>
      </c>
      <c r="N25" s="99" t="b">
        <v>0</v>
      </c>
      <c r="O25" s="99" t="b">
        <v>0</v>
      </c>
      <c r="P25" s="99" t="b">
        <v>0</v>
      </c>
      <c r="Q25" s="99" t="b">
        <v>0</v>
      </c>
      <c r="R25" s="14"/>
      <c r="S25" s="14"/>
      <c r="T25" s="14"/>
      <c r="U25" s="14"/>
      <c r="V25" s="14"/>
      <c r="W25" s="14"/>
    </row>
    <row r="26" ht="35.25" customHeight="1">
      <c r="A26" s="92" t="s">
        <v>4557</v>
      </c>
      <c r="B26" s="93" t="s">
        <v>4558</v>
      </c>
      <c r="C26" s="94" t="s">
        <v>4559</v>
      </c>
      <c r="D26" s="95" t="s">
        <v>4560</v>
      </c>
      <c r="E26" s="96" t="str">
        <f>IFERROR(__xludf.DUMMYFUNCTION("GOOGLETRANSLATE(D26,""zh-CN"",""vi"")"),"Ông ấy đã báo cáo tại cuộc họp.")</f>
        <v>Ông ấy đã báo cáo tại cuộc họp.</v>
      </c>
      <c r="F26" s="101" t="s">
        <v>4557</v>
      </c>
      <c r="G26" s="98" t="b">
        <f t="shared" si="1"/>
        <v>1</v>
      </c>
      <c r="H26" s="99" t="b">
        <v>0</v>
      </c>
      <c r="I26" s="99" t="b">
        <v>0</v>
      </c>
      <c r="J26" s="99" t="b">
        <v>0</v>
      </c>
      <c r="K26" s="99" t="b">
        <v>0</v>
      </c>
      <c r="L26" s="99" t="b">
        <v>0</v>
      </c>
      <c r="M26" s="99" t="b">
        <v>0</v>
      </c>
      <c r="N26" s="99" t="b">
        <v>0</v>
      </c>
      <c r="O26" s="99" t="b">
        <v>0</v>
      </c>
      <c r="P26" s="99" t="b">
        <v>0</v>
      </c>
      <c r="Q26" s="99" t="b">
        <v>0</v>
      </c>
      <c r="R26" s="14"/>
      <c r="S26" s="14"/>
      <c r="T26" s="14"/>
      <c r="U26" s="14"/>
      <c r="V26" s="14"/>
      <c r="W26" s="14"/>
    </row>
    <row r="27" ht="35.25" customHeight="1">
      <c r="A27" s="92" t="s">
        <v>4565</v>
      </c>
      <c r="B27" s="93" t="s">
        <v>4567</v>
      </c>
      <c r="C27" s="94" t="s">
        <v>4569</v>
      </c>
      <c r="D27" s="95" t="s">
        <v>4570</v>
      </c>
      <c r="E27" s="96" t="str">
        <f>IFERROR(__xludf.DUMMYFUNCTION("GOOGLETRANSLATE(D27,""zh-CN"",""vi"")"),"Anh ấy làm việc tại một tờ báo.")</f>
        <v>Anh ấy làm việc tại một tờ báo.</v>
      </c>
      <c r="F27" s="101" t="s">
        <v>4565</v>
      </c>
      <c r="G27" s="98" t="b">
        <f t="shared" si="1"/>
        <v>1</v>
      </c>
      <c r="H27" s="99" t="b">
        <v>0</v>
      </c>
      <c r="I27" s="99" t="b">
        <v>0</v>
      </c>
      <c r="J27" s="99" t="b">
        <v>0</v>
      </c>
      <c r="K27" s="99" t="b">
        <v>0</v>
      </c>
      <c r="L27" s="99" t="b">
        <v>0</v>
      </c>
      <c r="M27" s="99" t="b">
        <v>0</v>
      </c>
      <c r="N27" s="99" t="b">
        <v>0</v>
      </c>
      <c r="O27" s="99" t="b">
        <v>0</v>
      </c>
      <c r="P27" s="99" t="b">
        <v>0</v>
      </c>
      <c r="Q27" s="99" t="b">
        <v>0</v>
      </c>
      <c r="R27" s="14"/>
      <c r="S27" s="14"/>
      <c r="T27" s="14"/>
      <c r="U27" s="14"/>
      <c r="V27" s="14"/>
      <c r="W27" s="14"/>
    </row>
    <row r="28" ht="35.25" customHeight="1">
      <c r="A28" s="92" t="s">
        <v>4572</v>
      </c>
      <c r="B28" s="93" t="s">
        <v>4573</v>
      </c>
      <c r="C28" s="102" t="s">
        <v>4574</v>
      </c>
      <c r="D28" s="95" t="s">
        <v>4575</v>
      </c>
      <c r="E28" s="96" t="str">
        <f>IFERROR(__xludf.DUMMYFUNCTION("GOOGLETRANSLATE(D28,""zh-CN"",""vi"")"),"Cô ấy thường phàn nàn về việc có quá nhiều việc phải làm.")</f>
        <v>Cô ấy thường phàn nàn về việc có quá nhiều việc phải làm.</v>
      </c>
      <c r="F28" s="101" t="s">
        <v>4572</v>
      </c>
      <c r="G28" s="98" t="b">
        <f t="shared" si="1"/>
        <v>1</v>
      </c>
      <c r="H28" s="99" t="b">
        <v>0</v>
      </c>
      <c r="I28" s="99" t="b">
        <v>0</v>
      </c>
      <c r="J28" s="99" t="b">
        <v>0</v>
      </c>
      <c r="K28" s="99" t="b">
        <v>0</v>
      </c>
      <c r="L28" s="99" t="b">
        <v>0</v>
      </c>
      <c r="M28" s="99" t="b">
        <v>0</v>
      </c>
      <c r="N28" s="99" t="b">
        <v>0</v>
      </c>
      <c r="O28" s="99" t="b">
        <v>0</v>
      </c>
      <c r="P28" s="99" t="b">
        <v>0</v>
      </c>
      <c r="Q28" s="99" t="b">
        <v>0</v>
      </c>
      <c r="R28" s="14"/>
      <c r="S28" s="14"/>
      <c r="T28" s="14"/>
      <c r="U28" s="14"/>
      <c r="V28" s="14"/>
      <c r="W28" s="14"/>
    </row>
    <row r="29" ht="35.25" customHeight="1">
      <c r="A29" s="92" t="s">
        <v>4583</v>
      </c>
      <c r="B29" s="93" t="s">
        <v>197</v>
      </c>
      <c r="C29" s="94" t="s">
        <v>4584</v>
      </c>
      <c r="D29" s="95" t="s">
        <v>4585</v>
      </c>
      <c r="E29" s="96" t="str">
        <f>IFERROR(__xludf.DUMMYFUNCTION("GOOGLETRANSLATE(D29,""zh-CN"",""vi"")"),"Anh ta đang mang một chiếc túi lớn.")</f>
        <v>Anh ta đang mang một chiếc túi lớn.</v>
      </c>
      <c r="F29" s="101" t="s">
        <v>4583</v>
      </c>
      <c r="G29" s="98" t="b">
        <f t="shared" si="1"/>
        <v>1</v>
      </c>
      <c r="H29" s="99" t="b">
        <v>0</v>
      </c>
      <c r="I29" s="99" t="b">
        <v>0</v>
      </c>
      <c r="J29" s="99" t="b">
        <v>0</v>
      </c>
      <c r="K29" s="99" t="b">
        <v>0</v>
      </c>
      <c r="L29" s="99" t="b">
        <v>0</v>
      </c>
      <c r="M29" s="99" t="b">
        <v>0</v>
      </c>
      <c r="N29" s="99" t="b">
        <v>0</v>
      </c>
      <c r="O29" s="99" t="b">
        <v>0</v>
      </c>
      <c r="P29" s="99" t="b">
        <v>0</v>
      </c>
      <c r="Q29" s="99" t="b">
        <v>0</v>
      </c>
      <c r="R29" s="14"/>
      <c r="S29" s="14"/>
      <c r="T29" s="14"/>
      <c r="U29" s="14"/>
      <c r="V29" s="14"/>
      <c r="W29" s="14"/>
    </row>
    <row r="30" ht="35.25" customHeight="1">
      <c r="A30" s="92" t="s">
        <v>4594</v>
      </c>
      <c r="B30" s="93" t="s">
        <v>4595</v>
      </c>
      <c r="C30" s="94" t="s">
        <v>4596</v>
      </c>
      <c r="D30" s="95" t="s">
        <v>4597</v>
      </c>
      <c r="E30" s="96" t="str">
        <f>IFERROR(__xludf.DUMMYFUNCTION("GOOGLETRANSLATE(D30,""zh-CN"",""vi"")"),"Đừng lúc nào cũng bi quan.")</f>
        <v>Đừng lúc nào cũng bi quan.</v>
      </c>
      <c r="F30" s="101" t="s">
        <v>4594</v>
      </c>
      <c r="G30" s="98" t="b">
        <f t="shared" si="1"/>
        <v>1</v>
      </c>
      <c r="H30" s="99" t="b">
        <v>0</v>
      </c>
      <c r="I30" s="99" t="b">
        <v>0</v>
      </c>
      <c r="J30" s="99" t="b">
        <v>0</v>
      </c>
      <c r="K30" s="99" t="b">
        <v>0</v>
      </c>
      <c r="L30" s="99" t="b">
        <v>0</v>
      </c>
      <c r="M30" s="99" t="b">
        <v>0</v>
      </c>
      <c r="N30" s="99" t="b">
        <v>0</v>
      </c>
      <c r="O30" s="99" t="b">
        <v>0</v>
      </c>
      <c r="P30" s="99" t="b">
        <v>0</v>
      </c>
      <c r="Q30" s="99" t="b">
        <v>0</v>
      </c>
      <c r="R30" s="14"/>
      <c r="S30" s="14"/>
      <c r="T30" s="14"/>
      <c r="U30" s="14"/>
      <c r="V30" s="14"/>
      <c r="W30" s="14"/>
    </row>
    <row r="31" ht="35.25" customHeight="1">
      <c r="A31" s="92" t="s">
        <v>4606</v>
      </c>
      <c r="B31" s="93" t="s">
        <v>4607</v>
      </c>
      <c r="C31" s="94" t="s">
        <v>4608</v>
      </c>
      <c r="D31" s="95" t="s">
        <v>4609</v>
      </c>
      <c r="E31" s="96" t="str">
        <f>IFERROR(__xludf.DUMMYFUNCTION("GOOGLETRANSLATE(D31,""zh-CN"",""vi"")"),"Phông nền của bức tranh này rất đẹp.")</f>
        <v>Phông nền của bức tranh này rất đẹp.</v>
      </c>
      <c r="F31" s="101" t="s">
        <v>4606</v>
      </c>
      <c r="G31" s="98" t="b">
        <f t="shared" si="1"/>
        <v>1</v>
      </c>
      <c r="H31" s="99" t="b">
        <v>0</v>
      </c>
      <c r="I31" s="99" t="b">
        <v>0</v>
      </c>
      <c r="J31" s="99" t="b">
        <v>0</v>
      </c>
      <c r="K31" s="99" t="b">
        <v>0</v>
      </c>
      <c r="L31" s="99" t="b">
        <v>0</v>
      </c>
      <c r="M31" s="99" t="b">
        <v>0</v>
      </c>
      <c r="N31" s="99" t="b">
        <v>0</v>
      </c>
      <c r="O31" s="99" t="b">
        <v>0</v>
      </c>
      <c r="P31" s="99" t="b">
        <v>0</v>
      </c>
      <c r="Q31" s="99" t="b">
        <v>0</v>
      </c>
      <c r="R31" s="14"/>
      <c r="S31" s="14"/>
      <c r="T31" s="14"/>
      <c r="U31" s="14"/>
      <c r="V31" s="14"/>
      <c r="W31" s="14"/>
    </row>
    <row r="32" ht="35.25" customHeight="1">
      <c r="A32" s="92" t="s">
        <v>4614</v>
      </c>
      <c r="B32" s="93" t="s">
        <v>4616</v>
      </c>
      <c r="C32" s="94" t="s">
        <v>4619</v>
      </c>
      <c r="D32" s="95" t="s">
        <v>4621</v>
      </c>
      <c r="E32" s="96" t="str">
        <f>IFERROR(__xludf.DUMMYFUNCTION("GOOGLETRANSLATE(D32,""zh-CN"",""vi"")"),"Trời đang trở lạnh, nhớ đắp chăn thật kỹ nhé.")</f>
        <v>Trời đang trở lạnh, nhớ đắp chăn thật kỹ nhé.</v>
      </c>
      <c r="F32" s="101" t="s">
        <v>4614</v>
      </c>
      <c r="G32" s="98" t="b">
        <f t="shared" si="1"/>
        <v>1</v>
      </c>
      <c r="H32" s="99" t="b">
        <v>0</v>
      </c>
      <c r="I32" s="99" t="b">
        <v>0</v>
      </c>
      <c r="J32" s="99" t="b">
        <v>0</v>
      </c>
      <c r="K32" s="99" t="b">
        <v>0</v>
      </c>
      <c r="L32" s="99" t="b">
        <v>0</v>
      </c>
      <c r="M32" s="99" t="b">
        <v>0</v>
      </c>
      <c r="N32" s="99" t="b">
        <v>0</v>
      </c>
      <c r="O32" s="99" t="b">
        <v>0</v>
      </c>
      <c r="P32" s="99" t="b">
        <v>0</v>
      </c>
      <c r="Q32" s="99" t="b">
        <v>0</v>
      </c>
      <c r="R32" s="14"/>
      <c r="S32" s="14"/>
      <c r="T32" s="14"/>
      <c r="U32" s="14"/>
      <c r="V32" s="14"/>
      <c r="W32" s="14"/>
    </row>
    <row r="33" ht="35.25" customHeight="1">
      <c r="A33" s="92" t="s">
        <v>4626</v>
      </c>
      <c r="B33" s="93" t="s">
        <v>4627</v>
      </c>
      <c r="C33" s="94" t="s">
        <v>4628</v>
      </c>
      <c r="D33" s="95" t="s">
        <v>4629</v>
      </c>
      <c r="E33" s="96" t="str">
        <f>IFERROR(__xludf.DUMMYFUNCTION("GOOGLETRANSLATE(D33,""zh-CN"",""vi"")"),"Anh ấy vừa hoàn thành chương trình đại học.")</f>
        <v>Anh ấy vừa hoàn thành chương trình đại học.</v>
      </c>
      <c r="F33" s="101" t="s">
        <v>4626</v>
      </c>
      <c r="G33" s="98" t="b">
        <f t="shared" si="1"/>
        <v>1</v>
      </c>
      <c r="H33" s="99" t="b">
        <v>0</v>
      </c>
      <c r="I33" s="99" t="b">
        <v>0</v>
      </c>
      <c r="J33" s="99" t="b">
        <v>0</v>
      </c>
      <c r="K33" s="99" t="b">
        <v>0</v>
      </c>
      <c r="L33" s="99" t="b">
        <v>0</v>
      </c>
      <c r="M33" s="99" t="b">
        <v>0</v>
      </c>
      <c r="N33" s="99" t="b">
        <v>0</v>
      </c>
      <c r="O33" s="99" t="b">
        <v>0</v>
      </c>
      <c r="P33" s="99" t="b">
        <v>0</v>
      </c>
      <c r="Q33" s="99" t="b">
        <v>0</v>
      </c>
      <c r="R33" s="14"/>
      <c r="S33" s="14"/>
      <c r="T33" s="14"/>
      <c r="U33" s="14"/>
      <c r="V33" s="14"/>
      <c r="W33" s="14"/>
    </row>
    <row r="34" ht="35.25" customHeight="1">
      <c r="A34" s="92" t="s">
        <v>4634</v>
      </c>
      <c r="B34" s="93" t="s">
        <v>4635</v>
      </c>
      <c r="C34" s="94" t="s">
        <v>4636</v>
      </c>
      <c r="D34" s="95" t="s">
        <v>4637</v>
      </c>
      <c r="E34" s="96" t="str">
        <f>IFERROR(__xludf.DUMMYFUNCTION("GOOGLETRANSLATE(D34,""zh-CN"",""vi"")"),"Anh ấy có rất nhiều kỹ năng.")</f>
        <v>Anh ấy có rất nhiều kỹ năng.</v>
      </c>
      <c r="F34" s="101" t="s">
        <v>4634</v>
      </c>
      <c r="G34" s="98" t="b">
        <f t="shared" si="1"/>
        <v>1</v>
      </c>
      <c r="H34" s="99" t="b">
        <v>0</v>
      </c>
      <c r="I34" s="99" t="b">
        <v>0</v>
      </c>
      <c r="J34" s="99" t="b">
        <v>0</v>
      </c>
      <c r="K34" s="99" t="b">
        <v>0</v>
      </c>
      <c r="L34" s="99" t="b">
        <v>0</v>
      </c>
      <c r="M34" s="99" t="b">
        <v>0</v>
      </c>
      <c r="N34" s="99" t="b">
        <v>0</v>
      </c>
      <c r="O34" s="99" t="b">
        <v>0</v>
      </c>
      <c r="P34" s="99" t="b">
        <v>0</v>
      </c>
      <c r="Q34" s="99" t="b">
        <v>0</v>
      </c>
      <c r="R34" s="14"/>
      <c r="S34" s="14"/>
      <c r="T34" s="14"/>
      <c r="U34" s="14"/>
      <c r="V34" s="14"/>
      <c r="W34" s="14"/>
    </row>
    <row r="35" ht="35.25" customHeight="1">
      <c r="A35" s="92" t="s">
        <v>4644</v>
      </c>
      <c r="B35" s="93" t="s">
        <v>4646</v>
      </c>
      <c r="C35" s="94" t="s">
        <v>4648</v>
      </c>
      <c r="D35" s="95" t="s">
        <v>4649</v>
      </c>
      <c r="E35" s="96" t="str">
        <f>IFERROR(__xludf.DUMMYFUNCTION("GOOGLETRANSLATE(D35,""zh-CN"",""vi"")"),"Chúng ta cần hiểu rõ bản chất của vấn đề.")</f>
        <v>Chúng ta cần hiểu rõ bản chất của vấn đề.</v>
      </c>
      <c r="F35" s="101" t="s">
        <v>4644</v>
      </c>
      <c r="G35" s="98" t="b">
        <f t="shared" si="1"/>
        <v>1</v>
      </c>
      <c r="H35" s="99" t="b">
        <v>0</v>
      </c>
      <c r="I35" s="99" t="b">
        <v>0</v>
      </c>
      <c r="J35" s="99" t="b">
        <v>0</v>
      </c>
      <c r="K35" s="99" t="b">
        <v>0</v>
      </c>
      <c r="L35" s="99" t="b">
        <v>0</v>
      </c>
      <c r="M35" s="99" t="b">
        <v>0</v>
      </c>
      <c r="N35" s="99" t="b">
        <v>0</v>
      </c>
      <c r="O35" s="99" t="b">
        <v>0</v>
      </c>
      <c r="P35" s="99" t="b">
        <v>0</v>
      </c>
      <c r="Q35" s="99" t="b">
        <v>0</v>
      </c>
      <c r="R35" s="14"/>
      <c r="S35" s="14"/>
      <c r="T35" s="14"/>
      <c r="U35" s="14"/>
      <c r="V35" s="14"/>
      <c r="W35" s="14"/>
    </row>
    <row r="36" ht="35.25" customHeight="1">
      <c r="A36" s="92" t="s">
        <v>4654</v>
      </c>
      <c r="B36" s="93" t="s">
        <v>4655</v>
      </c>
      <c r="C36" s="94" t="s">
        <v>4656</v>
      </c>
      <c r="D36" s="95" t="s">
        <v>4657</v>
      </c>
      <c r="E36" s="96" t="str">
        <f>IFERROR(__xludf.DUMMYFUNCTION("GOOGLETRANSLATE(D36,""zh-CN"",""vi"")"),"Tỷ lệ trong sơ đồ rất quan trọng.")</f>
        <v>Tỷ lệ trong sơ đồ rất quan trọng.</v>
      </c>
      <c r="F36" s="101" t="s">
        <v>4654</v>
      </c>
      <c r="G36" s="98" t="b">
        <f t="shared" si="1"/>
        <v>1</v>
      </c>
      <c r="H36" s="99" t="b">
        <v>0</v>
      </c>
      <c r="I36" s="99" t="b">
        <v>0</v>
      </c>
      <c r="J36" s="99" t="b">
        <v>0</v>
      </c>
      <c r="K36" s="99" t="b">
        <v>0</v>
      </c>
      <c r="L36" s="99" t="b">
        <v>0</v>
      </c>
      <c r="M36" s="99" t="b">
        <v>0</v>
      </c>
      <c r="N36" s="99" t="b">
        <v>0</v>
      </c>
      <c r="O36" s="99" t="b">
        <v>0</v>
      </c>
      <c r="P36" s="99" t="b">
        <v>0</v>
      </c>
      <c r="Q36" s="99" t="b">
        <v>0</v>
      </c>
      <c r="R36" s="14"/>
      <c r="S36" s="14"/>
      <c r="T36" s="14"/>
      <c r="U36" s="14"/>
      <c r="V36" s="14"/>
      <c r="W36" s="14"/>
    </row>
    <row r="37" ht="35.25" customHeight="1">
      <c r="A37" s="92" t="s">
        <v>4663</v>
      </c>
      <c r="B37" s="93" t="s">
        <v>4666</v>
      </c>
      <c r="C37" s="94" t="s">
        <v>4667</v>
      </c>
      <c r="D37" s="95" t="s">
        <v>4668</v>
      </c>
      <c r="E37" s="96" t="str">
        <f>IFERROR(__xludf.DUMMYFUNCTION("GOOGLETRANSLATE(D37,""zh-CN"",""vi"")"),"Họ đã giúp đỡ lẫn nhau.")</f>
        <v>Họ đã giúp đỡ lẫn nhau.</v>
      </c>
      <c r="F37" s="101" t="s">
        <v>4663</v>
      </c>
      <c r="G37" s="98" t="b">
        <f t="shared" si="1"/>
        <v>1</v>
      </c>
      <c r="H37" s="99" t="b">
        <v>0</v>
      </c>
      <c r="I37" s="99" t="b">
        <v>0</v>
      </c>
      <c r="J37" s="99" t="b">
        <v>0</v>
      </c>
      <c r="K37" s="99" t="b">
        <v>0</v>
      </c>
      <c r="L37" s="99" t="b">
        <v>0</v>
      </c>
      <c r="M37" s="99" t="b">
        <v>0</v>
      </c>
      <c r="N37" s="99" t="b">
        <v>0</v>
      </c>
      <c r="O37" s="99" t="b">
        <v>0</v>
      </c>
      <c r="P37" s="99" t="b">
        <v>0</v>
      </c>
      <c r="Q37" s="99" t="b">
        <v>0</v>
      </c>
      <c r="R37" s="14"/>
      <c r="S37" s="14"/>
      <c r="T37" s="14"/>
      <c r="U37" s="14"/>
      <c r="V37" s="14"/>
      <c r="W37" s="14"/>
    </row>
    <row r="38" ht="35.25" customHeight="1">
      <c r="A38" s="92" t="s">
        <v>4673</v>
      </c>
      <c r="B38" s="93" t="s">
        <v>4676</v>
      </c>
      <c r="C38" s="94" t="s">
        <v>4677</v>
      </c>
      <c r="D38" s="95" t="s">
        <v>4678</v>
      </c>
      <c r="E38" s="96" t="str">
        <f>IFERROR(__xludf.DUMMYFUNCTION("GOOGLETRANSLATE(D38,""zh-CN"",""vi"")"),"Đây là kết quả không thể tránh khỏi.")</f>
        <v>Đây là kết quả không thể tránh khỏi.</v>
      </c>
      <c r="F38" s="101" t="s">
        <v>4673</v>
      </c>
      <c r="G38" s="98" t="b">
        <f t="shared" si="1"/>
        <v>1</v>
      </c>
      <c r="H38" s="99" t="b">
        <v>0</v>
      </c>
      <c r="I38" s="99" t="b">
        <v>0</v>
      </c>
      <c r="J38" s="99" t="b">
        <v>0</v>
      </c>
      <c r="K38" s="99" t="b">
        <v>0</v>
      </c>
      <c r="L38" s="99" t="b">
        <v>0</v>
      </c>
      <c r="M38" s="99" t="b">
        <v>0</v>
      </c>
      <c r="N38" s="99" t="b">
        <v>0</v>
      </c>
      <c r="O38" s="99" t="b">
        <v>0</v>
      </c>
      <c r="P38" s="99" t="b">
        <v>0</v>
      </c>
      <c r="Q38" s="99" t="b">
        <v>0</v>
      </c>
      <c r="R38" s="14"/>
      <c r="S38" s="14"/>
      <c r="T38" s="14"/>
      <c r="U38" s="14"/>
      <c r="V38" s="14"/>
      <c r="W38" s="14"/>
    </row>
    <row r="39" ht="35.25" customHeight="1">
      <c r="A39" s="92" t="s">
        <v>4683</v>
      </c>
      <c r="B39" s="93" t="s">
        <v>4684</v>
      </c>
      <c r="C39" s="94" t="s">
        <v>4685</v>
      </c>
      <c r="D39" s="95" t="s">
        <v>4686</v>
      </c>
      <c r="E39" s="96" t="str">
        <f>IFERROR(__xludf.DUMMYFUNCTION("GOOGLETRANSLATE(D39,""zh-CN"",""vi"")"),"Đây là một bước cần thiết.")</f>
        <v>Đây là một bước cần thiết.</v>
      </c>
      <c r="F39" s="101" t="s">
        <v>4683</v>
      </c>
      <c r="G39" s="98" t="b">
        <f t="shared" si="1"/>
        <v>1</v>
      </c>
      <c r="H39" s="99" t="b">
        <v>0</v>
      </c>
      <c r="I39" s="99" t="b">
        <v>0</v>
      </c>
      <c r="J39" s="99" t="b">
        <v>0</v>
      </c>
      <c r="K39" s="99" t="b">
        <v>0</v>
      </c>
      <c r="L39" s="99" t="b">
        <v>0</v>
      </c>
      <c r="M39" s="99" t="b">
        <v>0</v>
      </c>
      <c r="N39" s="99" t="b">
        <v>0</v>
      </c>
      <c r="O39" s="99" t="b">
        <v>0</v>
      </c>
      <c r="P39" s="99" t="b">
        <v>0</v>
      </c>
      <c r="Q39" s="99" t="b">
        <v>0</v>
      </c>
      <c r="R39" s="14"/>
      <c r="S39" s="14"/>
      <c r="T39" s="14"/>
      <c r="U39" s="14"/>
      <c r="V39" s="14"/>
      <c r="W39" s="14"/>
    </row>
    <row r="40" ht="35.25" customHeight="1">
      <c r="A40" s="92" t="s">
        <v>4691</v>
      </c>
      <c r="B40" s="93" t="s">
        <v>4692</v>
      </c>
      <c r="C40" s="94" t="s">
        <v>4693</v>
      </c>
      <c r="D40" s="95" t="s">
        <v>4695</v>
      </c>
      <c r="E40" s="96" t="str">
        <f>IFERROR(__xludf.DUMMYFUNCTION("GOOGLETRANSLATE(D40,""zh-CN"",""vi"")"),"Chúng ta phải tránh mắc sai lầm.")</f>
        <v>Chúng ta phải tránh mắc sai lầm.</v>
      </c>
      <c r="F40" s="101" t="s">
        <v>4691</v>
      </c>
      <c r="G40" s="98" t="b">
        <f t="shared" si="1"/>
        <v>1</v>
      </c>
      <c r="H40" s="99" t="b">
        <v>0</v>
      </c>
      <c r="I40" s="99" t="b">
        <v>0</v>
      </c>
      <c r="J40" s="99" t="b">
        <v>0</v>
      </c>
      <c r="K40" s="99" t="b">
        <v>0</v>
      </c>
      <c r="L40" s="99" t="b">
        <v>0</v>
      </c>
      <c r="M40" s="99" t="b">
        <v>0</v>
      </c>
      <c r="N40" s="99" t="b">
        <v>0</v>
      </c>
      <c r="O40" s="99" t="b">
        <v>0</v>
      </c>
      <c r="P40" s="99" t="b">
        <v>0</v>
      </c>
      <c r="Q40" s="99" t="b">
        <v>0</v>
      </c>
      <c r="R40" s="14"/>
      <c r="S40" s="14"/>
      <c r="T40" s="14"/>
      <c r="U40" s="14"/>
      <c r="V40" s="14"/>
      <c r="W40" s="14"/>
    </row>
    <row r="41" ht="35.25" customHeight="1">
      <c r="A41" s="92" t="s">
        <v>4703</v>
      </c>
      <c r="B41" s="93" t="s">
        <v>4704</v>
      </c>
      <c r="C41" s="94" t="s">
        <v>4705</v>
      </c>
      <c r="D41" s="95" t="s">
        <v>4706</v>
      </c>
      <c r="E41" s="96" t="str">
        <f>IFERROR(__xludf.DUMMYFUNCTION("GOOGLETRANSLATE(D41,""zh-CN"",""vi"")"),"Ông ấy là biên tập viên của một tạp chí.")</f>
        <v>Ông ấy là biên tập viên của một tạp chí.</v>
      </c>
      <c r="F41" s="101" t="s">
        <v>4703</v>
      </c>
      <c r="G41" s="98" t="b">
        <f t="shared" si="1"/>
        <v>1</v>
      </c>
      <c r="H41" s="99" t="b">
        <v>0</v>
      </c>
      <c r="I41" s="99" t="b">
        <v>0</v>
      </c>
      <c r="J41" s="99" t="b">
        <v>0</v>
      </c>
      <c r="K41" s="99" t="b">
        <v>0</v>
      </c>
      <c r="L41" s="99" t="b">
        <v>0</v>
      </c>
      <c r="M41" s="99" t="b">
        <v>0</v>
      </c>
      <c r="N41" s="99" t="b">
        <v>0</v>
      </c>
      <c r="O41" s="99" t="b">
        <v>0</v>
      </c>
      <c r="P41" s="99" t="b">
        <v>0</v>
      </c>
      <c r="Q41" s="99" t="b">
        <v>0</v>
      </c>
      <c r="R41" s="14"/>
      <c r="S41" s="14"/>
      <c r="T41" s="14"/>
      <c r="U41" s="14"/>
      <c r="V41" s="14"/>
      <c r="W41" s="14"/>
    </row>
    <row r="42" ht="35.25" customHeight="1">
      <c r="A42" s="103" t="s">
        <v>4711</v>
      </c>
      <c r="B42" s="104" t="s">
        <v>4716</v>
      </c>
      <c r="C42" s="105" t="s">
        <v>4721</v>
      </c>
      <c r="D42" s="95" t="s">
        <v>4722</v>
      </c>
      <c r="E42" s="96" t="str">
        <f>IFERROR(__xludf.DUMMYFUNCTION("GOOGLETRANSLATE(D42,""zh-CN"",""vi"")"),"Chúng tôi đốt pháo hoa vào dịp năm mới.")</f>
        <v>Chúng tôi đốt pháo hoa vào dịp năm mới.</v>
      </c>
      <c r="F42" s="101" t="s">
        <v>4711</v>
      </c>
      <c r="G42" s="98" t="b">
        <f t="shared" si="1"/>
        <v>1</v>
      </c>
      <c r="H42" s="99" t="b">
        <v>0</v>
      </c>
      <c r="I42" s="99" t="b">
        <v>0</v>
      </c>
      <c r="J42" s="99" t="b">
        <v>0</v>
      </c>
      <c r="K42" s="99" t="b">
        <v>0</v>
      </c>
      <c r="L42" s="99" t="b">
        <v>0</v>
      </c>
      <c r="M42" s="99" t="b">
        <v>0</v>
      </c>
      <c r="N42" s="99" t="b">
        <v>0</v>
      </c>
      <c r="O42" s="99" t="b">
        <v>0</v>
      </c>
      <c r="P42" s="99" t="b">
        <v>0</v>
      </c>
      <c r="Q42" s="99" t="b">
        <v>0</v>
      </c>
      <c r="R42" s="14"/>
      <c r="S42" s="14"/>
      <c r="T42" s="14"/>
      <c r="U42" s="14"/>
      <c r="V42" s="14"/>
      <c r="W42" s="14"/>
    </row>
    <row r="43" ht="35.25" customHeight="1">
      <c r="A43" s="92" t="s">
        <v>4726</v>
      </c>
      <c r="B43" s="93" t="s">
        <v>471</v>
      </c>
      <c r="C43" s="94" t="s">
        <v>4729</v>
      </c>
      <c r="D43" s="95" t="s">
        <v>4731</v>
      </c>
      <c r="E43" s="96" t="str">
        <f>IFERROR(__xludf.DUMMYFUNCTION("GOOGLETRANSLATE(D43,""zh-CN"",""vi"")"),"Sau đó bạn có thể rời đi.")</f>
        <v>Sau đó bạn có thể rời đi.</v>
      </c>
      <c r="F43" s="101" t="s">
        <v>4726</v>
      </c>
      <c r="G43" s="98" t="b">
        <f t="shared" si="1"/>
        <v>1</v>
      </c>
      <c r="H43" s="99" t="b">
        <v>0</v>
      </c>
      <c r="I43" s="99" t="b">
        <v>0</v>
      </c>
      <c r="J43" s="99" t="b">
        <v>0</v>
      </c>
      <c r="K43" s="99" t="b">
        <v>0</v>
      </c>
      <c r="L43" s="99" t="b">
        <v>0</v>
      </c>
      <c r="M43" s="99" t="b">
        <v>0</v>
      </c>
      <c r="N43" s="99" t="b">
        <v>0</v>
      </c>
      <c r="O43" s="99" t="b">
        <v>0</v>
      </c>
      <c r="P43" s="99" t="b">
        <v>0</v>
      </c>
      <c r="Q43" s="99" t="b">
        <v>0</v>
      </c>
      <c r="R43" s="14"/>
      <c r="S43" s="14"/>
      <c r="T43" s="14"/>
      <c r="U43" s="14"/>
      <c r="V43" s="14"/>
      <c r="W43" s="14"/>
    </row>
    <row r="44" ht="35.25" customHeight="1">
      <c r="A44" s="92" t="s">
        <v>4737</v>
      </c>
      <c r="B44" s="93" t="s">
        <v>4738</v>
      </c>
      <c r="C44" s="94" t="s">
        <v>4739</v>
      </c>
      <c r="D44" s="95" t="s">
        <v>4740</v>
      </c>
      <c r="E44" s="96" t="str">
        <f>IFERROR(__xludf.DUMMYFUNCTION("GOOGLETRANSLATE(D44,""zh-CN"",""vi"")"),"Họ đang tranh luận về vấn đề này.")</f>
        <v>Họ đang tranh luận về vấn đề này.</v>
      </c>
      <c r="F44" s="101" t="s">
        <v>4737</v>
      </c>
      <c r="G44" s="98" t="b">
        <f t="shared" si="1"/>
        <v>1</v>
      </c>
      <c r="H44" s="99" t="b">
        <v>0</v>
      </c>
      <c r="I44" s="99" t="b">
        <v>0</v>
      </c>
      <c r="J44" s="99" t="b">
        <v>0</v>
      </c>
      <c r="K44" s="99" t="b">
        <v>0</v>
      </c>
      <c r="L44" s="99" t="b">
        <v>0</v>
      </c>
      <c r="M44" s="99" t="b">
        <v>0</v>
      </c>
      <c r="N44" s="99" t="b">
        <v>0</v>
      </c>
      <c r="O44" s="99" t="b">
        <v>0</v>
      </c>
      <c r="P44" s="99" t="b">
        <v>0</v>
      </c>
      <c r="Q44" s="99" t="b">
        <v>0</v>
      </c>
      <c r="R44" s="14"/>
      <c r="S44" s="14"/>
      <c r="T44" s="14"/>
      <c r="U44" s="14"/>
      <c r="V44" s="14"/>
      <c r="W44" s="14"/>
    </row>
    <row r="45" ht="35.25" customHeight="1">
      <c r="A45" s="92" t="s">
        <v>4745</v>
      </c>
      <c r="B45" s="93" t="s">
        <v>4746</v>
      </c>
      <c r="C45" s="94" t="s">
        <v>4747</v>
      </c>
      <c r="D45" s="95" t="s">
        <v>4748</v>
      </c>
      <c r="E45" s="96" t="str">
        <f>IFERROR(__xludf.DUMMYFUNCTION("GOOGLETRANSLATE(D45,""zh-CN"",""vi"")"),"Hãy chú ý đến dấu câu trong bài viết.")</f>
        <v>Hãy chú ý đến dấu câu trong bài viết.</v>
      </c>
      <c r="F45" s="101" t="s">
        <v>4745</v>
      </c>
      <c r="G45" s="98" t="b">
        <f t="shared" si="1"/>
        <v>1</v>
      </c>
      <c r="H45" s="99" t="b">
        <v>0</v>
      </c>
      <c r="I45" s="99" t="b">
        <v>0</v>
      </c>
      <c r="J45" s="99" t="b">
        <v>0</v>
      </c>
      <c r="K45" s="99" t="b">
        <v>0</v>
      </c>
      <c r="L45" s="99" t="b">
        <v>0</v>
      </c>
      <c r="M45" s="99" t="b">
        <v>0</v>
      </c>
      <c r="N45" s="99" t="b">
        <v>0</v>
      </c>
      <c r="O45" s="99" t="b">
        <v>0</v>
      </c>
      <c r="P45" s="99" t="b">
        <v>0</v>
      </c>
      <c r="Q45" s="99" t="b">
        <v>0</v>
      </c>
      <c r="R45" s="14"/>
      <c r="S45" s="14"/>
      <c r="T45" s="14"/>
      <c r="U45" s="14"/>
      <c r="V45" s="14"/>
      <c r="W45" s="14"/>
    </row>
    <row r="46" ht="35.25" customHeight="1">
      <c r="A46" s="92" t="s">
        <v>4753</v>
      </c>
      <c r="B46" s="93" t="s">
        <v>4755</v>
      </c>
      <c r="C46" s="94" t="s">
        <v>4757</v>
      </c>
      <c r="D46" s="95" t="s">
        <v>4759</v>
      </c>
      <c r="E46" s="96" t="str">
        <f>IFERROR(__xludf.DUMMYFUNCTION("GOOGLETRANSLATE(D46,""zh-CN"",""vi"")"),"Logo này rất dễ nhận biết.")</f>
        <v>Logo này rất dễ nhận biết.</v>
      </c>
      <c r="F46" s="101" t="s">
        <v>4753</v>
      </c>
      <c r="G46" s="98" t="b">
        <f t="shared" si="1"/>
        <v>1</v>
      </c>
      <c r="H46" s="99" t="b">
        <v>1</v>
      </c>
      <c r="I46" s="99" t="b">
        <v>0</v>
      </c>
      <c r="J46" s="99" t="b">
        <v>0</v>
      </c>
      <c r="K46" s="99" t="b">
        <v>0</v>
      </c>
      <c r="L46" s="99" t="b">
        <v>0</v>
      </c>
      <c r="M46" s="99" t="b">
        <v>0</v>
      </c>
      <c r="N46" s="99" t="b">
        <v>0</v>
      </c>
      <c r="O46" s="99" t="b">
        <v>0</v>
      </c>
      <c r="P46" s="99" t="b">
        <v>0</v>
      </c>
      <c r="Q46" s="99" t="b">
        <v>0</v>
      </c>
      <c r="R46" s="14"/>
      <c r="S46" s="14"/>
      <c r="T46" s="14"/>
      <c r="U46" s="14"/>
      <c r="V46" s="14"/>
      <c r="W46" s="14"/>
    </row>
    <row r="47" ht="35.25" customHeight="1">
      <c r="A47" s="92" t="s">
        <v>4764</v>
      </c>
      <c r="B47" s="93" t="s">
        <v>4765</v>
      </c>
      <c r="C47" s="94" t="s">
        <v>4766</v>
      </c>
      <c r="D47" s="95" t="s">
        <v>4767</v>
      </c>
      <c r="E47" s="96" t="str">
        <f>IFERROR(__xludf.DUMMYFUNCTION("GOOGLETRANSLATE(D47,""zh-CN"",""vi"")"),"Hãy nêu ý kiến ​​của bạn.")</f>
        <v>Hãy nêu ý kiến ​​của bạn.</v>
      </c>
      <c r="F47" s="101" t="s">
        <v>4764</v>
      </c>
      <c r="G47" s="98" t="b">
        <f t="shared" si="1"/>
        <v>1</v>
      </c>
      <c r="H47" s="99" t="b">
        <v>1</v>
      </c>
      <c r="I47" s="99" t="b">
        <v>0</v>
      </c>
      <c r="J47" s="99" t="b">
        <v>0</v>
      </c>
      <c r="K47" s="99" t="b">
        <v>0</v>
      </c>
      <c r="L47" s="99" t="b">
        <v>0</v>
      </c>
      <c r="M47" s="99" t="b">
        <v>0</v>
      </c>
      <c r="N47" s="99" t="b">
        <v>0</v>
      </c>
      <c r="O47" s="99" t="b">
        <v>0</v>
      </c>
      <c r="P47" s="99" t="b">
        <v>0</v>
      </c>
      <c r="Q47" s="99" t="b">
        <v>0</v>
      </c>
      <c r="R47" s="14"/>
      <c r="S47" s="14"/>
      <c r="T47" s="14"/>
      <c r="U47" s="14"/>
      <c r="V47" s="14"/>
      <c r="W47" s="14"/>
    </row>
    <row r="48" ht="35.25" customHeight="1">
      <c r="A48" s="92" t="s">
        <v>4771</v>
      </c>
      <c r="B48" s="93" t="s">
        <v>4772</v>
      </c>
      <c r="C48" s="94" t="s">
        <v>4773</v>
      </c>
      <c r="D48" s="95" t="s">
        <v>4774</v>
      </c>
      <c r="E48" s="96" t="str">
        <f>IFERROR(__xludf.DUMMYFUNCTION("GOOGLETRANSLATE(D48,""zh-CN"",""vi"")"),"Đừng chỉ nhìn vào bề ngoài.")</f>
        <v>Đừng chỉ nhìn vào bề ngoài.</v>
      </c>
      <c r="F48" s="101" t="s">
        <v>4771</v>
      </c>
      <c r="G48" s="98" t="b">
        <f t="shared" si="1"/>
        <v>1</v>
      </c>
      <c r="H48" s="99" t="b">
        <v>1</v>
      </c>
      <c r="I48" s="99" t="b">
        <v>0</v>
      </c>
      <c r="J48" s="99" t="b">
        <v>0</v>
      </c>
      <c r="K48" s="99" t="b">
        <v>0</v>
      </c>
      <c r="L48" s="99" t="b">
        <v>0</v>
      </c>
      <c r="M48" s="99" t="b">
        <v>0</v>
      </c>
      <c r="N48" s="99" t="b">
        <v>0</v>
      </c>
      <c r="O48" s="99" t="b">
        <v>0</v>
      </c>
      <c r="P48" s="99" t="b">
        <v>0</v>
      </c>
      <c r="Q48" s="99" t="b">
        <v>0</v>
      </c>
      <c r="R48" s="14"/>
      <c r="S48" s="14"/>
      <c r="T48" s="14"/>
      <c r="U48" s="14"/>
      <c r="V48" s="14"/>
      <c r="W48" s="14"/>
    </row>
    <row r="49" ht="35.25" customHeight="1">
      <c r="A49" s="92" t="s">
        <v>4780</v>
      </c>
      <c r="B49" s="93" t="s">
        <v>4782</v>
      </c>
      <c r="C49" s="94" t="s">
        <v>4784</v>
      </c>
      <c r="D49" s="95" t="s">
        <v>4786</v>
      </c>
      <c r="E49" s="96" t="str">
        <f>IFERROR(__xludf.DUMMYFUNCTION("GOOGLETRANSLATE(D49,""zh-CN"",""vi"")"),"Lời nói của ông ấy cho thấy ông ấy rất tức giận.")</f>
        <v>Lời nói của ông ấy cho thấy ông ấy rất tức giận.</v>
      </c>
      <c r="F49" s="101" t="s">
        <v>4780</v>
      </c>
      <c r="G49" s="98" t="b">
        <f t="shared" si="1"/>
        <v>1</v>
      </c>
      <c r="H49" s="99" t="b">
        <v>1</v>
      </c>
      <c r="I49" s="99" t="b">
        <v>0</v>
      </c>
      <c r="J49" s="99" t="b">
        <v>0</v>
      </c>
      <c r="K49" s="99" t="b">
        <v>0</v>
      </c>
      <c r="L49" s="99" t="b">
        <v>0</v>
      </c>
      <c r="M49" s="99" t="b">
        <v>0</v>
      </c>
      <c r="N49" s="99" t="b">
        <v>0</v>
      </c>
      <c r="O49" s="99" t="b">
        <v>0</v>
      </c>
      <c r="P49" s="99" t="b">
        <v>0</v>
      </c>
      <c r="Q49" s="99" t="b">
        <v>0</v>
      </c>
      <c r="R49" s="14"/>
      <c r="S49" s="14"/>
      <c r="T49" s="14"/>
      <c r="U49" s="14"/>
      <c r="V49" s="14"/>
      <c r="W49" s="14"/>
    </row>
    <row r="50" ht="35.25" customHeight="1">
      <c r="A50" s="92" t="s">
        <v>4791</v>
      </c>
      <c r="B50" s="93" t="s">
        <v>4792</v>
      </c>
      <c r="C50" s="94" t="s">
        <v>4793</v>
      </c>
      <c r="D50" s="95" t="s">
        <v>4794</v>
      </c>
      <c r="E50" s="96" t="str">
        <f>IFERROR(__xludf.DUMMYFUNCTION("GOOGLETRANSLATE(D50,""zh-CN"",""vi"")"),"Cô ấy trông rất hạnh phúc.")</f>
        <v>Cô ấy trông rất hạnh phúc.</v>
      </c>
      <c r="F50" s="101" t="s">
        <v>4791</v>
      </c>
      <c r="G50" s="98" t="b">
        <f t="shared" si="1"/>
        <v>1</v>
      </c>
      <c r="H50" s="99" t="b">
        <v>1</v>
      </c>
      <c r="I50" s="99" t="b">
        <v>0</v>
      </c>
      <c r="J50" s="99" t="b">
        <v>0</v>
      </c>
      <c r="K50" s="99" t="b">
        <v>0</v>
      </c>
      <c r="L50" s="99" t="b">
        <v>0</v>
      </c>
      <c r="M50" s="99" t="b">
        <v>0</v>
      </c>
      <c r="N50" s="99" t="b">
        <v>0</v>
      </c>
      <c r="O50" s="99" t="b">
        <v>0</v>
      </c>
      <c r="P50" s="99" t="b">
        <v>0</v>
      </c>
      <c r="Q50" s="99" t="b">
        <v>0</v>
      </c>
      <c r="R50" s="14"/>
      <c r="S50" s="14"/>
      <c r="T50" s="14"/>
      <c r="U50" s="14"/>
      <c r="V50" s="14"/>
      <c r="W50" s="14"/>
    </row>
    <row r="51" ht="35.25" customHeight="1">
      <c r="A51" s="92" t="s">
        <v>4799</v>
      </c>
      <c r="B51" s="93" t="s">
        <v>4800</v>
      </c>
      <c r="C51" s="94" t="s">
        <v>4801</v>
      </c>
      <c r="D51" s="24" t="s">
        <v>4804</v>
      </c>
      <c r="E51" s="96" t="str">
        <f>IFERROR(__xludf.DUMMYFUNCTION("GOOGLETRANSLATE(D51,""zh-CN"",""vi"")"),"Mọi người đều rất hài lòng với màn trình diễn của cô ấy.")</f>
        <v>Mọi người đều rất hài lòng với màn trình diễn của cô ấy.</v>
      </c>
      <c r="F51" s="101" t="s">
        <v>4799</v>
      </c>
      <c r="G51" s="98" t="b">
        <f t="shared" si="1"/>
        <v>1</v>
      </c>
      <c r="H51" s="99" t="b">
        <v>1</v>
      </c>
      <c r="I51" s="99" t="b">
        <v>0</v>
      </c>
      <c r="J51" s="99" t="b">
        <v>0</v>
      </c>
      <c r="K51" s="99" t="b">
        <v>0</v>
      </c>
      <c r="L51" s="99" t="b">
        <v>0</v>
      </c>
      <c r="M51" s="99" t="b">
        <v>0</v>
      </c>
      <c r="N51" s="99" t="b">
        <v>0</v>
      </c>
      <c r="O51" s="99" t="b">
        <v>0</v>
      </c>
      <c r="P51" s="99" t="b">
        <v>0</v>
      </c>
      <c r="Q51" s="99" t="b">
        <v>0</v>
      </c>
      <c r="R51" s="14"/>
      <c r="S51" s="14"/>
      <c r="T51" s="14"/>
      <c r="U51" s="14"/>
      <c r="V51" s="14"/>
      <c r="W51" s="14"/>
    </row>
    <row r="52" ht="35.25" customHeight="1">
      <c r="A52" s="92" t="s">
        <v>4811</v>
      </c>
      <c r="B52" s="93" t="s">
        <v>4812</v>
      </c>
      <c r="C52" s="94" t="s">
        <v>4813</v>
      </c>
      <c r="D52" s="24" t="s">
        <v>4814</v>
      </c>
      <c r="E52" s="96" t="str">
        <f>IFERROR(__xludf.DUMMYFUNCTION("GOOGLETRANSLATE(D52,""zh-CN"",""vi"")"),"Kem là món ăn tuyệt vời của mùa hè.")</f>
        <v>Kem là món ăn tuyệt vời của mùa hè.</v>
      </c>
      <c r="F52" s="101" t="s">
        <v>4811</v>
      </c>
      <c r="G52" s="98" t="b">
        <f t="shared" si="1"/>
        <v>1</v>
      </c>
      <c r="H52" s="99" t="b">
        <v>1</v>
      </c>
      <c r="I52" s="99" t="b">
        <v>0</v>
      </c>
      <c r="J52" s="99" t="b">
        <v>0</v>
      </c>
      <c r="K52" s="99" t="b">
        <v>0</v>
      </c>
      <c r="L52" s="99" t="b">
        <v>0</v>
      </c>
      <c r="M52" s="99" t="b">
        <v>0</v>
      </c>
      <c r="N52" s="99" t="b">
        <v>0</v>
      </c>
      <c r="O52" s="99" t="b">
        <v>0</v>
      </c>
      <c r="P52" s="99" t="b">
        <v>0</v>
      </c>
      <c r="Q52" s="99" t="b">
        <v>0</v>
      </c>
      <c r="R52" s="14"/>
      <c r="S52" s="14"/>
      <c r="T52" s="14"/>
      <c r="U52" s="14"/>
      <c r="V52" s="14"/>
      <c r="W52" s="14"/>
    </row>
    <row r="53" ht="35.25" customHeight="1">
      <c r="A53" s="92" t="s">
        <v>4818</v>
      </c>
      <c r="B53" s="93" t="s">
        <v>4819</v>
      </c>
      <c r="C53" s="94" t="s">
        <v>4820</v>
      </c>
      <c r="D53" s="24" t="s">
        <v>4821</v>
      </c>
      <c r="E53" s="96" t="str">
        <f>IFERROR(__xludf.DUMMYFUNCTION("GOOGLETRANSLATE(D53,""zh-CN"",""vi"")"),"Loại virus này rất nguy hiểm; chúng ta cần phải cẩn thận.")</f>
        <v>Loại virus này rất nguy hiểm; chúng ta cần phải cẩn thận.</v>
      </c>
      <c r="F53" s="101" t="s">
        <v>4818</v>
      </c>
      <c r="G53" s="98" t="b">
        <f t="shared" si="1"/>
        <v>1</v>
      </c>
      <c r="H53" s="99" t="b">
        <v>1</v>
      </c>
      <c r="I53" s="99" t="b">
        <v>0</v>
      </c>
      <c r="J53" s="99" t="b">
        <v>0</v>
      </c>
      <c r="K53" s="99" t="b">
        <v>0</v>
      </c>
      <c r="L53" s="99" t="b">
        <v>0</v>
      </c>
      <c r="M53" s="99" t="b">
        <v>0</v>
      </c>
      <c r="N53" s="99" t="b">
        <v>0</v>
      </c>
      <c r="O53" s="99" t="b">
        <v>0</v>
      </c>
      <c r="P53" s="99" t="b">
        <v>0</v>
      </c>
      <c r="Q53" s="99" t="b">
        <v>0</v>
      </c>
      <c r="R53" s="14"/>
      <c r="S53" s="14"/>
      <c r="T53" s="14"/>
      <c r="U53" s="14"/>
      <c r="V53" s="14"/>
      <c r="W53" s="14"/>
    </row>
    <row r="54" ht="35.25" customHeight="1">
      <c r="A54" s="92" t="s">
        <v>4827</v>
      </c>
      <c r="B54" s="93" t="s">
        <v>4828</v>
      </c>
      <c r="C54" s="94" t="s">
        <v>4829</v>
      </c>
      <c r="D54" s="24" t="s">
        <v>4830</v>
      </c>
      <c r="E54" s="96" t="str">
        <f>IFERROR(__xludf.DUMMYFUNCTION("GOOGLETRANSLATE(D54,""zh-CN"",""vi"")"),"Cửa sổ kính cho phép ánh sáng mặt trời chiếu vào.")</f>
        <v>Cửa sổ kính cho phép ánh sáng mặt trời chiếu vào.</v>
      </c>
      <c r="F54" s="101" t="s">
        <v>4827</v>
      </c>
      <c r="G54" s="98" t="b">
        <f t="shared" si="1"/>
        <v>1</v>
      </c>
      <c r="H54" s="99" t="b">
        <v>1</v>
      </c>
      <c r="I54" s="99" t="b">
        <v>0</v>
      </c>
      <c r="J54" s="99" t="b">
        <v>0</v>
      </c>
      <c r="K54" s="99" t="b">
        <v>0</v>
      </c>
      <c r="L54" s="99" t="b">
        <v>0</v>
      </c>
      <c r="M54" s="99" t="b">
        <v>0</v>
      </c>
      <c r="N54" s="99" t="b">
        <v>0</v>
      </c>
      <c r="O54" s="99" t="b">
        <v>0</v>
      </c>
      <c r="P54" s="99" t="b">
        <v>0</v>
      </c>
      <c r="Q54" s="99" t="b">
        <v>0</v>
      </c>
      <c r="R54" s="14"/>
      <c r="S54" s="14"/>
      <c r="T54" s="14"/>
      <c r="U54" s="14"/>
      <c r="V54" s="14"/>
      <c r="W54" s="14"/>
    </row>
    <row r="55" ht="35.25" customHeight="1">
      <c r="A55" s="92" t="s">
        <v>4831</v>
      </c>
      <c r="B55" s="93" t="s">
        <v>4835</v>
      </c>
      <c r="C55" s="94" t="s">
        <v>4837</v>
      </c>
      <c r="D55" s="24" t="s">
        <v>4838</v>
      </c>
      <c r="E55" s="96" t="str">
        <f>IFERROR(__xludf.DUMMYFUNCTION("GOOGLETRANSLATE(D55,""zh-CN"",""vi"")"),"Nghe nhạc có thể giúp bạn thư giãn.")</f>
        <v>Nghe nhạc có thể giúp bạn thư giãn.</v>
      </c>
      <c r="F55" s="101" t="s">
        <v>4831</v>
      </c>
      <c r="G55" s="98" t="b">
        <f t="shared" si="1"/>
        <v>1</v>
      </c>
      <c r="H55" s="99" t="b">
        <v>1</v>
      </c>
      <c r="I55" s="99" t="b">
        <v>0</v>
      </c>
      <c r="J55" s="99" t="b">
        <v>0</v>
      </c>
      <c r="K55" s="99" t="b">
        <v>0</v>
      </c>
      <c r="L55" s="99" t="b">
        <v>0</v>
      </c>
      <c r="M55" s="99" t="b">
        <v>0</v>
      </c>
      <c r="N55" s="99" t="b">
        <v>0</v>
      </c>
      <c r="O55" s="99" t="b">
        <v>0</v>
      </c>
      <c r="P55" s="99" t="b">
        <v>0</v>
      </c>
      <c r="Q55" s="99" t="b">
        <v>0</v>
      </c>
      <c r="R55" s="14"/>
      <c r="S55" s="14"/>
      <c r="T55" s="14"/>
      <c r="U55" s="14"/>
      <c r="V55" s="14"/>
      <c r="W55" s="14"/>
    </row>
    <row r="56" ht="35.25" customHeight="1">
      <c r="A56" s="92" t="s">
        <v>4841</v>
      </c>
      <c r="B56" s="93" t="s">
        <v>4842</v>
      </c>
      <c r="C56" s="94" t="s">
        <v>4843</v>
      </c>
      <c r="D56" s="24" t="s">
        <v>4844</v>
      </c>
      <c r="E56" s="96" t="str">
        <f>IFERROR(__xludf.DUMMYFUNCTION("GOOGLETRANSLATE(D56,""zh-CN"",""vi"")"),"Anh ấy có cái cổ rất dài.")</f>
        <v>Anh ấy có cái cổ rất dài.</v>
      </c>
      <c r="F56" s="101" t="s">
        <v>4841</v>
      </c>
      <c r="G56" s="98" t="b">
        <f t="shared" si="1"/>
        <v>1</v>
      </c>
      <c r="H56" s="99" t="b">
        <v>1</v>
      </c>
      <c r="I56" s="99" t="b">
        <v>0</v>
      </c>
      <c r="J56" s="99" t="b">
        <v>0</v>
      </c>
      <c r="K56" s="99" t="b">
        <v>0</v>
      </c>
      <c r="L56" s="99" t="b">
        <v>0</v>
      </c>
      <c r="M56" s="99" t="b">
        <v>0</v>
      </c>
      <c r="N56" s="99" t="b">
        <v>0</v>
      </c>
      <c r="O56" s="99" t="b">
        <v>0</v>
      </c>
      <c r="P56" s="99" t="b">
        <v>0</v>
      </c>
      <c r="Q56" s="99" t="b">
        <v>0</v>
      </c>
      <c r="R56" s="14"/>
      <c r="S56" s="14"/>
      <c r="T56" s="14"/>
      <c r="U56" s="14"/>
      <c r="V56" s="14"/>
      <c r="W56" s="14"/>
    </row>
    <row r="57" ht="35.25" customHeight="1">
      <c r="A57" s="92" t="s">
        <v>4849</v>
      </c>
      <c r="B57" s="93" t="s">
        <v>4850</v>
      </c>
      <c r="C57" s="94" t="s">
        <v>4851</v>
      </c>
      <c r="D57" s="24" t="s">
        <v>4852</v>
      </c>
      <c r="E57" s="96" t="str">
        <f>IFERROR(__xludf.DUMMYFUNCTION("GOOGLETRANSLATE(D57,""zh-CN"",""vi"")"),"Chúng tôi đã đến thăm bảo tàng.")</f>
        <v>Chúng tôi đã đến thăm bảo tàng.</v>
      </c>
      <c r="F57" s="101" t="s">
        <v>4849</v>
      </c>
      <c r="G57" s="98" t="b">
        <f t="shared" si="1"/>
        <v>1</v>
      </c>
      <c r="H57" s="99" t="b">
        <v>1</v>
      </c>
      <c r="I57" s="99" t="b">
        <v>0</v>
      </c>
      <c r="J57" s="99" t="b">
        <v>0</v>
      </c>
      <c r="K57" s="99" t="b">
        <v>0</v>
      </c>
      <c r="L57" s="99" t="b">
        <v>0</v>
      </c>
      <c r="M57" s="99" t="b">
        <v>0</v>
      </c>
      <c r="N57" s="99" t="b">
        <v>0</v>
      </c>
      <c r="O57" s="99" t="b">
        <v>0</v>
      </c>
      <c r="P57" s="99" t="b">
        <v>0</v>
      </c>
      <c r="Q57" s="99" t="b">
        <v>0</v>
      </c>
      <c r="R57" s="14"/>
      <c r="S57" s="14"/>
      <c r="T57" s="14"/>
      <c r="U57" s="14"/>
      <c r="V57" s="14"/>
      <c r="W57" s="14"/>
    </row>
    <row r="58" ht="35.25" customHeight="1">
      <c r="A58" s="92" t="s">
        <v>4855</v>
      </c>
      <c r="B58" s="93" t="s">
        <v>4856</v>
      </c>
      <c r="C58" s="94" t="s">
        <v>4857</v>
      </c>
      <c r="D58" s="24" t="s">
        <v>4858</v>
      </c>
      <c r="E58" s="96" t="str">
        <f>IFERROR(__xludf.DUMMYFUNCTION("GOOGLETRANSLATE(D58,""zh-CN"",""vi"")"),"Vui lòng cung cấp thông tin này.")</f>
        <v>Vui lòng cung cấp thông tin này.</v>
      </c>
      <c r="F58" s="101" t="s">
        <v>4855</v>
      </c>
      <c r="G58" s="98" t="b">
        <f t="shared" si="1"/>
        <v>1</v>
      </c>
      <c r="H58" s="99" t="b">
        <v>1</v>
      </c>
      <c r="I58" s="99" t="b">
        <v>0</v>
      </c>
      <c r="J58" s="99" t="b">
        <v>0</v>
      </c>
      <c r="K58" s="99" t="b">
        <v>0</v>
      </c>
      <c r="L58" s="99" t="b">
        <v>0</v>
      </c>
      <c r="M58" s="99" t="b">
        <v>0</v>
      </c>
      <c r="N58" s="99" t="b">
        <v>0</v>
      </c>
      <c r="O58" s="99" t="b">
        <v>0</v>
      </c>
      <c r="P58" s="99" t="b">
        <v>0</v>
      </c>
      <c r="Q58" s="99" t="b">
        <v>0</v>
      </c>
      <c r="R58" s="14"/>
      <c r="S58" s="14"/>
      <c r="T58" s="14"/>
      <c r="U58" s="14"/>
      <c r="V58" s="14"/>
      <c r="W58" s="14"/>
    </row>
    <row r="59" ht="35.25" customHeight="1">
      <c r="A59" s="92" t="s">
        <v>4860</v>
      </c>
      <c r="B59" s="93" t="s">
        <v>4861</v>
      </c>
      <c r="C59" s="94" t="s">
        <v>4862</v>
      </c>
      <c r="D59" s="24" t="s">
        <v>4863</v>
      </c>
      <c r="E59" s="96" t="str">
        <f>IFERROR(__xludf.DUMMYFUNCTION("GOOGLETRANSLATE(D59,""zh-CN"",""vi"")"),"Anh ấy lo lắng vì kỳ thi.")</f>
        <v>Anh ấy lo lắng vì kỳ thi.</v>
      </c>
      <c r="F59" s="101" t="s">
        <v>4860</v>
      </c>
      <c r="G59" s="98" t="b">
        <f t="shared" si="1"/>
        <v>1</v>
      </c>
      <c r="H59" s="99" t="b">
        <v>1</v>
      </c>
      <c r="I59" s="99" t="b">
        <v>0</v>
      </c>
      <c r="J59" s="99" t="b">
        <v>0</v>
      </c>
      <c r="K59" s="99" t="b">
        <v>0</v>
      </c>
      <c r="L59" s="99" t="b">
        <v>0</v>
      </c>
      <c r="M59" s="99" t="b">
        <v>0</v>
      </c>
      <c r="N59" s="99" t="b">
        <v>0</v>
      </c>
      <c r="O59" s="99" t="b">
        <v>0</v>
      </c>
      <c r="P59" s="99" t="b">
        <v>0</v>
      </c>
      <c r="Q59" s="99" t="b">
        <v>0</v>
      </c>
      <c r="R59" s="14"/>
      <c r="S59" s="14"/>
      <c r="T59" s="14"/>
      <c r="U59" s="14"/>
      <c r="V59" s="14"/>
      <c r="W59" s="14"/>
    </row>
    <row r="60" ht="35.25" customHeight="1">
      <c r="A60" s="92" t="s">
        <v>4864</v>
      </c>
      <c r="B60" s="93" t="s">
        <v>4865</v>
      </c>
      <c r="C60" s="94" t="s">
        <v>4866</v>
      </c>
      <c r="D60" s="24" t="s">
        <v>4867</v>
      </c>
      <c r="E60" s="96" t="str">
        <f>IFERROR(__xludf.DUMMYFUNCTION("GOOGLETRANSLATE(D60,""zh-CN"",""vi"")"),"Vấn đề này cần được giải quyết liên tục.")</f>
        <v>Vấn đề này cần được giải quyết liên tục.</v>
      </c>
      <c r="F60" s="101" t="s">
        <v>4864</v>
      </c>
      <c r="G60" s="98" t="b">
        <f t="shared" si="1"/>
        <v>1</v>
      </c>
      <c r="H60" s="99" t="b">
        <v>1</v>
      </c>
      <c r="I60" s="99" t="b">
        <v>0</v>
      </c>
      <c r="J60" s="99" t="b">
        <v>0</v>
      </c>
      <c r="K60" s="99" t="b">
        <v>0</v>
      </c>
      <c r="L60" s="99" t="b">
        <v>0</v>
      </c>
      <c r="M60" s="99" t="b">
        <v>0</v>
      </c>
      <c r="N60" s="99" t="b">
        <v>0</v>
      </c>
      <c r="O60" s="99" t="b">
        <v>0</v>
      </c>
      <c r="P60" s="99" t="b">
        <v>0</v>
      </c>
      <c r="Q60" s="99" t="b">
        <v>0</v>
      </c>
      <c r="R60" s="14"/>
      <c r="S60" s="14"/>
      <c r="T60" s="14"/>
      <c r="U60" s="14"/>
      <c r="V60" s="14"/>
      <c r="W60" s="14"/>
    </row>
    <row r="61" ht="35.25" customHeight="1">
      <c r="A61" s="92" t="s">
        <v>4868</v>
      </c>
      <c r="B61" s="93" t="s">
        <v>4869</v>
      </c>
      <c r="C61" s="94" t="s">
        <v>4870</v>
      </c>
      <c r="D61" s="24" t="s">
        <v>4871</v>
      </c>
      <c r="E61" s="96" t="str">
        <f>IFERROR(__xludf.DUMMYFUNCTION("GOOGLETRANSLATE(D61,""zh-CN"",""vi"")"),"Kết quả có thể không nhất thiết sẽ tốt hơn.")</f>
        <v>Kết quả có thể không nhất thiết sẽ tốt hơn.</v>
      </c>
      <c r="F61" s="101" t="s">
        <v>4868</v>
      </c>
      <c r="G61" s="98" t="b">
        <f t="shared" si="1"/>
        <v>1</v>
      </c>
      <c r="H61" s="99" t="b">
        <v>1</v>
      </c>
      <c r="I61" s="99" t="b">
        <v>0</v>
      </c>
      <c r="J61" s="99" t="b">
        <v>0</v>
      </c>
      <c r="K61" s="99" t="b">
        <v>0</v>
      </c>
      <c r="L61" s="99" t="b">
        <v>0</v>
      </c>
      <c r="M61" s="99" t="b">
        <v>0</v>
      </c>
      <c r="N61" s="99" t="b">
        <v>0</v>
      </c>
      <c r="O61" s="99" t="b">
        <v>0</v>
      </c>
      <c r="P61" s="99" t="b">
        <v>0</v>
      </c>
      <c r="Q61" s="99" t="b">
        <v>0</v>
      </c>
      <c r="R61" s="14"/>
      <c r="S61" s="14"/>
      <c r="T61" s="14"/>
      <c r="U61" s="14"/>
      <c r="V61" s="14"/>
      <c r="W61" s="14"/>
    </row>
    <row r="62" ht="35.25" customHeight="1">
      <c r="A62" s="92" t="s">
        <v>4872</v>
      </c>
      <c r="B62" s="93" t="s">
        <v>4873</v>
      </c>
      <c r="C62" s="94" t="s">
        <v>4874</v>
      </c>
      <c r="D62" s="24" t="s">
        <v>4875</v>
      </c>
      <c r="E62" s="96" t="str">
        <f>IFERROR(__xludf.DUMMYFUNCTION("GOOGLETRANSLATE(D62,""zh-CN"",""vi"")"),"Trong lúc chờ đợi, anh ta trở nên sốt ruột.")</f>
        <v>Trong lúc chờ đợi, anh ta trở nên sốt ruột.</v>
      </c>
      <c r="F62" s="101" t="s">
        <v>4872</v>
      </c>
      <c r="G62" s="98" t="b">
        <f t="shared" si="1"/>
        <v>1</v>
      </c>
      <c r="H62" s="99" t="b">
        <v>1</v>
      </c>
      <c r="I62" s="99" t="b">
        <v>0</v>
      </c>
      <c r="J62" s="99" t="b">
        <v>0</v>
      </c>
      <c r="K62" s="99" t="b">
        <v>0</v>
      </c>
      <c r="L62" s="99" t="b">
        <v>0</v>
      </c>
      <c r="M62" s="99" t="b">
        <v>0</v>
      </c>
      <c r="N62" s="99" t="b">
        <v>0</v>
      </c>
      <c r="O62" s="99" t="b">
        <v>0</v>
      </c>
      <c r="P62" s="99" t="b">
        <v>0</v>
      </c>
      <c r="Q62" s="99" t="b">
        <v>0</v>
      </c>
      <c r="R62" s="14"/>
      <c r="S62" s="14"/>
      <c r="T62" s="14"/>
      <c r="U62" s="14"/>
      <c r="V62" s="14"/>
      <c r="W62" s="14"/>
    </row>
    <row r="63" ht="35.25" customHeight="1">
      <c r="A63" s="92" t="s">
        <v>4876</v>
      </c>
      <c r="B63" s="93" t="s">
        <v>4877</v>
      </c>
      <c r="C63" s="94" t="s">
        <v>1533</v>
      </c>
      <c r="D63" s="24" t="s">
        <v>4878</v>
      </c>
      <c r="E63" s="96" t="str">
        <f>IFERROR(__xludf.DUMMYFUNCTION("GOOGLETRANSLATE(D63,""zh-CN"",""vi"")"),"Nhanh lên, không thì bạn sẽ muộn đấy.")</f>
        <v>Nhanh lên, không thì bạn sẽ muộn đấy.</v>
      </c>
      <c r="F63" s="101" t="s">
        <v>4876</v>
      </c>
      <c r="G63" s="98" t="b">
        <f t="shared" si="1"/>
        <v>1</v>
      </c>
      <c r="H63" s="99" t="b">
        <v>1</v>
      </c>
      <c r="I63" s="99" t="b">
        <v>0</v>
      </c>
      <c r="J63" s="99" t="b">
        <v>0</v>
      </c>
      <c r="K63" s="99" t="b">
        <v>0</v>
      </c>
      <c r="L63" s="99" t="b">
        <v>0</v>
      </c>
      <c r="M63" s="99" t="b">
        <v>0</v>
      </c>
      <c r="N63" s="99" t="b">
        <v>0</v>
      </c>
      <c r="O63" s="99" t="b">
        <v>0</v>
      </c>
      <c r="P63" s="99" t="b">
        <v>0</v>
      </c>
      <c r="Q63" s="99" t="b">
        <v>0</v>
      </c>
      <c r="R63" s="14"/>
      <c r="S63" s="14"/>
      <c r="T63" s="14"/>
      <c r="U63" s="14"/>
      <c r="V63" s="14"/>
      <c r="W63" s="14"/>
    </row>
    <row r="64" ht="35.25" customHeight="1">
      <c r="A64" s="92" t="s">
        <v>4879</v>
      </c>
      <c r="B64" s="93" t="s">
        <v>4880</v>
      </c>
      <c r="C64" s="94" t="s">
        <v>4881</v>
      </c>
      <c r="D64" s="24" t="s">
        <v>4882</v>
      </c>
      <c r="E64" s="96" t="str">
        <f>IFERROR(__xludf.DUMMYFUNCTION("GOOGLETRANSLATE(D64,""zh-CN"",""vi"")"),"Cuộc họp này không tốt bằng cuộc họp trước.")</f>
        <v>Cuộc họp này không tốt bằng cuộc họp trước.</v>
      </c>
      <c r="F64" s="101" t="s">
        <v>4879</v>
      </c>
      <c r="G64" s="98" t="b">
        <f t="shared" si="1"/>
        <v>1</v>
      </c>
      <c r="H64" s="99" t="b">
        <v>1</v>
      </c>
      <c r="I64" s="99" t="b">
        <v>0</v>
      </c>
      <c r="J64" s="99" t="b">
        <v>0</v>
      </c>
      <c r="K64" s="99" t="b">
        <v>0</v>
      </c>
      <c r="L64" s="99" t="b">
        <v>0</v>
      </c>
      <c r="M64" s="99" t="b">
        <v>0</v>
      </c>
      <c r="N64" s="99" t="b">
        <v>0</v>
      </c>
      <c r="O64" s="99" t="b">
        <v>0</v>
      </c>
      <c r="P64" s="99" t="b">
        <v>0</v>
      </c>
      <c r="Q64" s="99" t="b">
        <v>0</v>
      </c>
      <c r="R64" s="14"/>
      <c r="S64" s="14"/>
      <c r="T64" s="14"/>
      <c r="U64" s="14"/>
      <c r="V64" s="14"/>
      <c r="W64" s="14"/>
    </row>
    <row r="65" ht="35.25" customHeight="1">
      <c r="A65" s="92" t="s">
        <v>4883</v>
      </c>
      <c r="B65" s="93" t="s">
        <v>4884</v>
      </c>
      <c r="C65" s="94" t="s">
        <v>4885</v>
      </c>
      <c r="D65" s="24" t="s">
        <v>4886</v>
      </c>
      <c r="E65" s="96" t="str">
        <f>IFERROR(__xludf.DUMMYFUNCTION("GOOGLETRANSLATE(D65,""zh-CN"",""vi"")"),"Không sao đâu, cứ từ từ thôi.")</f>
        <v>Không sao đâu, cứ từ từ thôi.</v>
      </c>
      <c r="F65" s="101" t="s">
        <v>4883</v>
      </c>
      <c r="G65" s="98" t="b">
        <f t="shared" si="1"/>
        <v>1</v>
      </c>
      <c r="H65" s="99" t="b">
        <v>1</v>
      </c>
      <c r="I65" s="99" t="b">
        <v>0</v>
      </c>
      <c r="J65" s="99" t="b">
        <v>0</v>
      </c>
      <c r="K65" s="99" t="b">
        <v>0</v>
      </c>
      <c r="L65" s="99" t="b">
        <v>0</v>
      </c>
      <c r="M65" s="99" t="b">
        <v>0</v>
      </c>
      <c r="N65" s="99" t="b">
        <v>0</v>
      </c>
      <c r="O65" s="99" t="b">
        <v>0</v>
      </c>
      <c r="P65" s="99" t="b">
        <v>0</v>
      </c>
      <c r="Q65" s="99" t="b">
        <v>0</v>
      </c>
      <c r="R65" s="14"/>
      <c r="S65" s="14"/>
      <c r="T65" s="14"/>
      <c r="U65" s="14"/>
      <c r="V65" s="14"/>
      <c r="W65" s="14"/>
    </row>
    <row r="66" ht="35.25" customHeight="1">
      <c r="A66" s="92" t="s">
        <v>4887</v>
      </c>
      <c r="B66" s="93" t="s">
        <v>4888</v>
      </c>
      <c r="C66" s="94" t="s">
        <v>4889</v>
      </c>
      <c r="D66" s="24" t="s">
        <v>4890</v>
      </c>
      <c r="E66" s="96" t="str">
        <f>IFERROR(__xludf.DUMMYFUNCTION("GOOGLETRANSLATE(D66,""zh-CN"",""vi"")"),"Thu nhập của anh ấy không đủ để nuôi sống gia đình.")</f>
        <v>Thu nhập của anh ấy không đủ để nuôi sống gia đình.</v>
      </c>
      <c r="F66" s="101" t="s">
        <v>4887</v>
      </c>
      <c r="G66" s="98" t="b">
        <f t="shared" si="1"/>
        <v>1</v>
      </c>
      <c r="H66" s="99" t="b">
        <v>1</v>
      </c>
      <c r="I66" s="99" t="b">
        <v>0</v>
      </c>
      <c r="J66" s="99" t="b">
        <v>0</v>
      </c>
      <c r="K66" s="99" t="b">
        <v>0</v>
      </c>
      <c r="L66" s="99" t="b">
        <v>0</v>
      </c>
      <c r="M66" s="99" t="b">
        <v>0</v>
      </c>
      <c r="N66" s="99" t="b">
        <v>0</v>
      </c>
      <c r="O66" s="99" t="b">
        <v>0</v>
      </c>
      <c r="P66" s="99" t="b">
        <v>0</v>
      </c>
      <c r="Q66" s="99" t="b">
        <v>0</v>
      </c>
      <c r="R66" s="14"/>
      <c r="S66" s="14"/>
      <c r="T66" s="14"/>
      <c r="U66" s="14"/>
      <c r="V66" s="14"/>
      <c r="W66" s="14"/>
    </row>
    <row r="67" ht="35.25" customHeight="1">
      <c r="A67" s="92" t="s">
        <v>4891</v>
      </c>
      <c r="B67" s="93" t="s">
        <v>79</v>
      </c>
      <c r="C67" s="94" t="s">
        <v>4892</v>
      </c>
      <c r="D67" s="24" t="s">
        <v>4893</v>
      </c>
      <c r="E67" s="96" t="str">
        <f>IFERROR(__xludf.DUMMYFUNCTION("GOOGLETRANSLATE(D67,""zh-CN"",""vi"")"),"Loại vải này rất mềm.")</f>
        <v>Loại vải này rất mềm.</v>
      </c>
      <c r="F67" s="101" t="s">
        <v>4891</v>
      </c>
      <c r="G67" s="98" t="b">
        <f t="shared" si="1"/>
        <v>1</v>
      </c>
      <c r="H67" s="99" t="b">
        <v>1</v>
      </c>
      <c r="I67" s="99" t="b">
        <v>0</v>
      </c>
      <c r="J67" s="99" t="b">
        <v>0</v>
      </c>
      <c r="K67" s="99" t="b">
        <v>0</v>
      </c>
      <c r="L67" s="99" t="b">
        <v>0</v>
      </c>
      <c r="M67" s="99" t="b">
        <v>0</v>
      </c>
      <c r="N67" s="99" t="b">
        <v>0</v>
      </c>
      <c r="O67" s="99" t="b">
        <v>0</v>
      </c>
      <c r="P67" s="99" t="b">
        <v>0</v>
      </c>
      <c r="Q67" s="99" t="b">
        <v>0</v>
      </c>
      <c r="R67" s="14"/>
      <c r="S67" s="14"/>
      <c r="T67" s="14"/>
      <c r="U67" s="14"/>
      <c r="V67" s="14"/>
      <c r="W67" s="14"/>
    </row>
    <row r="68" ht="35.25" customHeight="1">
      <c r="A68" s="92" t="s">
        <v>4894</v>
      </c>
      <c r="B68" s="93" t="s">
        <v>4895</v>
      </c>
      <c r="C68" s="94" t="s">
        <v>4896</v>
      </c>
      <c r="D68" s="24" t="s">
        <v>4897</v>
      </c>
      <c r="E68" s="96" t="str">
        <f>IFERROR(__xludf.DUMMYFUNCTION("GOOGLETRANSLATE(D68,""zh-CN"",""vi"")"),"Bước này rất phức tạp.")</f>
        <v>Bước này rất phức tạp.</v>
      </c>
      <c r="F68" s="101" t="s">
        <v>4894</v>
      </c>
      <c r="G68" s="98" t="b">
        <f t="shared" si="1"/>
        <v>1</v>
      </c>
      <c r="H68" s="99" t="b">
        <v>1</v>
      </c>
      <c r="I68" s="99" t="b">
        <v>0</v>
      </c>
      <c r="J68" s="99" t="b">
        <v>0</v>
      </c>
      <c r="K68" s="99" t="b">
        <v>0</v>
      </c>
      <c r="L68" s="99" t="b">
        <v>0</v>
      </c>
      <c r="M68" s="99" t="b">
        <v>0</v>
      </c>
      <c r="N68" s="99" t="b">
        <v>0</v>
      </c>
      <c r="O68" s="99" t="b">
        <v>0</v>
      </c>
      <c r="P68" s="99" t="b">
        <v>0</v>
      </c>
      <c r="Q68" s="99" t="b">
        <v>0</v>
      </c>
      <c r="R68" s="14"/>
      <c r="S68" s="14"/>
      <c r="T68" s="14"/>
      <c r="U68" s="14"/>
      <c r="V68" s="14"/>
      <c r="W68" s="14"/>
    </row>
    <row r="69" ht="35.25" customHeight="1">
      <c r="A69" s="92" t="s">
        <v>4898</v>
      </c>
      <c r="B69" s="93" t="s">
        <v>4899</v>
      </c>
      <c r="C69" s="94" t="s">
        <v>4900</v>
      </c>
      <c r="D69" s="24" t="s">
        <v>4901</v>
      </c>
      <c r="E69" s="96" t="str">
        <f>IFERROR(__xludf.DUMMYFUNCTION("GOOGLETRANSLATE(D69,""zh-CN"",""vi"")"),"Bộ phận của chúng tôi rất bận rộn.")</f>
        <v>Bộ phận của chúng tôi rất bận rộn.</v>
      </c>
      <c r="F69" s="101" t="s">
        <v>4898</v>
      </c>
      <c r="G69" s="98" t="b">
        <f t="shared" si="1"/>
        <v>1</v>
      </c>
      <c r="H69" s="99" t="b">
        <v>1</v>
      </c>
      <c r="I69" s="99" t="b">
        <v>0</v>
      </c>
      <c r="J69" s="99" t="b">
        <v>0</v>
      </c>
      <c r="K69" s="99" t="b">
        <v>0</v>
      </c>
      <c r="L69" s="99" t="b">
        <v>0</v>
      </c>
      <c r="M69" s="99" t="b">
        <v>0</v>
      </c>
      <c r="N69" s="99" t="b">
        <v>0</v>
      </c>
      <c r="O69" s="99" t="b">
        <v>0</v>
      </c>
      <c r="P69" s="99" t="b">
        <v>0</v>
      </c>
      <c r="Q69" s="99" t="b">
        <v>0</v>
      </c>
      <c r="R69" s="14"/>
      <c r="S69" s="14"/>
      <c r="T69" s="14"/>
      <c r="U69" s="14"/>
      <c r="V69" s="14"/>
      <c r="W69" s="14"/>
    </row>
    <row r="70" ht="35.25" customHeight="1">
      <c r="A70" s="92" t="s">
        <v>4902</v>
      </c>
      <c r="B70" s="93" t="s">
        <v>4903</v>
      </c>
      <c r="C70" s="94" t="s">
        <v>4904</v>
      </c>
      <c r="D70" s="24" t="s">
        <v>4905</v>
      </c>
      <c r="E70" s="96" t="str">
        <f>IFERROR(__xludf.DUMMYFUNCTION("GOOGLETRANSLATE(D70,""zh-CN"",""vi"")"),"Tài sản của họ được bảo quản rất tốt.")</f>
        <v>Tài sản của họ được bảo quản rất tốt.</v>
      </c>
      <c r="F70" s="101" t="s">
        <v>4902</v>
      </c>
      <c r="G70" s="98" t="b">
        <f t="shared" si="1"/>
        <v>1</v>
      </c>
      <c r="H70" s="99" t="b">
        <v>1</v>
      </c>
      <c r="I70" s="99" t="b">
        <v>0</v>
      </c>
      <c r="J70" s="99" t="b">
        <v>0</v>
      </c>
      <c r="K70" s="99" t="b">
        <v>0</v>
      </c>
      <c r="L70" s="99" t="b">
        <v>0</v>
      </c>
      <c r="M70" s="99" t="b">
        <v>0</v>
      </c>
      <c r="N70" s="99" t="b">
        <v>0</v>
      </c>
      <c r="O70" s="99" t="b">
        <v>0</v>
      </c>
      <c r="P70" s="99" t="b">
        <v>0</v>
      </c>
      <c r="Q70" s="99" t="b">
        <v>0</v>
      </c>
      <c r="R70" s="14"/>
      <c r="S70" s="14"/>
      <c r="T70" s="14"/>
      <c r="U70" s="14"/>
      <c r="V70" s="14"/>
      <c r="W70" s="14"/>
    </row>
    <row r="71" ht="35.25" customHeight="1">
      <c r="A71" s="92" t="s">
        <v>4906</v>
      </c>
      <c r="B71" s="93" t="s">
        <v>4907</v>
      </c>
      <c r="C71" s="94" t="s">
        <v>4908</v>
      </c>
      <c r="D71" s="24" t="s">
        <v>4909</v>
      </c>
      <c r="E71" s="96" t="str">
        <f>IFERROR(__xludf.DUMMYFUNCTION("GOOGLETRANSLATE(D71,""zh-CN"",""vi"")"),"Phóng viên đã phỏng vấn chủ sở hữu công ty.")</f>
        <v>Phóng viên đã phỏng vấn chủ sở hữu công ty.</v>
      </c>
      <c r="F71" s="101" t="s">
        <v>4906</v>
      </c>
      <c r="G71" s="98" t="b">
        <f t="shared" si="1"/>
        <v>1</v>
      </c>
      <c r="H71" s="99" t="b">
        <v>1</v>
      </c>
      <c r="I71" s="99" t="b">
        <v>0</v>
      </c>
      <c r="J71" s="99" t="b">
        <v>0</v>
      </c>
      <c r="K71" s="99" t="b">
        <v>0</v>
      </c>
      <c r="L71" s="99" t="b">
        <v>0</v>
      </c>
      <c r="M71" s="99" t="b">
        <v>0</v>
      </c>
      <c r="N71" s="99" t="b">
        <v>0</v>
      </c>
      <c r="O71" s="99" t="b">
        <v>0</v>
      </c>
      <c r="P71" s="99" t="b">
        <v>0</v>
      </c>
      <c r="Q71" s="99" t="b">
        <v>0</v>
      </c>
      <c r="R71" s="14"/>
      <c r="S71" s="14"/>
      <c r="T71" s="14"/>
      <c r="U71" s="14"/>
      <c r="V71" s="14"/>
      <c r="W71" s="14"/>
    </row>
    <row r="72" ht="35.25" customHeight="1">
      <c r="A72" s="92" t="s">
        <v>4910</v>
      </c>
      <c r="B72" s="93" t="s">
        <v>4911</v>
      </c>
      <c r="C72" s="94" t="s">
        <v>4912</v>
      </c>
      <c r="D72" s="24" t="s">
        <v>4913</v>
      </c>
      <c r="E72" s="96" t="str">
        <f>IFERROR(__xludf.DUMMYFUNCTION("GOOGLETRANSLATE(D72,""zh-CN"",""vi"")"),"Chúng tôi đã áp dụng các biện pháp mới.")</f>
        <v>Chúng tôi đã áp dụng các biện pháp mới.</v>
      </c>
      <c r="F72" s="101" t="s">
        <v>4910</v>
      </c>
      <c r="G72" s="98" t="b">
        <f t="shared" si="1"/>
        <v>1</v>
      </c>
      <c r="H72" s="99" t="b">
        <v>1</v>
      </c>
      <c r="I72" s="99" t="b">
        <v>0</v>
      </c>
      <c r="J72" s="99" t="b">
        <v>0</v>
      </c>
      <c r="K72" s="99" t="b">
        <v>0</v>
      </c>
      <c r="L72" s="99" t="b">
        <v>0</v>
      </c>
      <c r="M72" s="99" t="b">
        <v>0</v>
      </c>
      <c r="N72" s="99" t="b">
        <v>0</v>
      </c>
      <c r="O72" s="99" t="b">
        <v>0</v>
      </c>
      <c r="P72" s="99" t="b">
        <v>0</v>
      </c>
      <c r="Q72" s="99" t="b">
        <v>0</v>
      </c>
      <c r="R72" s="14"/>
      <c r="S72" s="14"/>
      <c r="T72" s="14"/>
      <c r="U72" s="14"/>
      <c r="V72" s="14"/>
      <c r="W72" s="14"/>
    </row>
    <row r="73" ht="35.25" customHeight="1">
      <c r="A73" s="92" t="s">
        <v>4914</v>
      </c>
      <c r="B73" s="93" t="s">
        <v>4915</v>
      </c>
      <c r="C73" s="94" t="s">
        <v>4916</v>
      </c>
      <c r="D73" s="24" t="s">
        <v>4917</v>
      </c>
      <c r="E73" s="96" t="str">
        <f>IFERROR(__xludf.DUMMYFUNCTION("GOOGLETRANSLATE(D73,""zh-CN"",""vi"")"),"Cầu vồng xuất hiện trên bầu trời sau cơn mưa.")</f>
        <v>Cầu vồng xuất hiện trên bầu trời sau cơn mưa.</v>
      </c>
      <c r="F73" s="101" t="s">
        <v>4914</v>
      </c>
      <c r="G73" s="98" t="b">
        <f t="shared" si="1"/>
        <v>1</v>
      </c>
      <c r="H73" s="99" t="b">
        <v>1</v>
      </c>
      <c r="I73" s="99" t="b">
        <v>0</v>
      </c>
      <c r="J73" s="99" t="b">
        <v>0</v>
      </c>
      <c r="K73" s="99" t="b">
        <v>0</v>
      </c>
      <c r="L73" s="99" t="b">
        <v>0</v>
      </c>
      <c r="M73" s="99" t="b">
        <v>0</v>
      </c>
      <c r="N73" s="99" t="b">
        <v>0</v>
      </c>
      <c r="O73" s="99" t="b">
        <v>0</v>
      </c>
      <c r="P73" s="99" t="b">
        <v>0</v>
      </c>
      <c r="Q73" s="99" t="b">
        <v>0</v>
      </c>
      <c r="R73" s="14"/>
      <c r="S73" s="14"/>
      <c r="T73" s="14"/>
      <c r="U73" s="14"/>
      <c r="V73" s="14"/>
      <c r="W73" s="14"/>
    </row>
    <row r="74" ht="35.25" customHeight="1">
      <c r="A74" s="92" t="s">
        <v>4918</v>
      </c>
      <c r="B74" s="93" t="s">
        <v>4919</v>
      </c>
      <c r="C74" s="94" t="s">
        <v>4920</v>
      </c>
      <c r="D74" s="24" t="s">
        <v>4921</v>
      </c>
      <c r="E74" s="96" t="str">
        <f>IFERROR(__xludf.DUMMYFUNCTION("GOOGLETRANSLATE(D74,""zh-CN"",""vi"")"),"Hãy cẩn thận đừng giẫm phải nước.")</f>
        <v>Hãy cẩn thận đừng giẫm phải nước.</v>
      </c>
      <c r="F74" s="101" t="s">
        <v>4918</v>
      </c>
      <c r="G74" s="98" t="b">
        <f t="shared" si="1"/>
        <v>1</v>
      </c>
      <c r="H74" s="99" t="b">
        <v>1</v>
      </c>
      <c r="I74" s="99" t="b">
        <v>0</v>
      </c>
      <c r="J74" s="99" t="b">
        <v>0</v>
      </c>
      <c r="K74" s="99" t="b">
        <v>0</v>
      </c>
      <c r="L74" s="99" t="b">
        <v>0</v>
      </c>
      <c r="M74" s="99" t="b">
        <v>0</v>
      </c>
      <c r="N74" s="99" t="b">
        <v>0</v>
      </c>
      <c r="O74" s="99" t="b">
        <v>0</v>
      </c>
      <c r="P74" s="99" t="b">
        <v>0</v>
      </c>
      <c r="Q74" s="99" t="b">
        <v>0</v>
      </c>
      <c r="R74" s="14"/>
      <c r="S74" s="14"/>
      <c r="T74" s="14"/>
      <c r="U74" s="14"/>
      <c r="V74" s="14"/>
      <c r="W74" s="14"/>
    </row>
    <row r="75" ht="35.25" customHeight="1">
      <c r="A75" s="92" t="s">
        <v>4922</v>
      </c>
      <c r="B75" s="93" t="s">
        <v>4923</v>
      </c>
      <c r="C75" s="94" t="s">
        <v>4924</v>
      </c>
      <c r="D75" s="24" t="s">
        <v>4925</v>
      </c>
      <c r="E75" s="96" t="str">
        <f>IFERROR(__xludf.DUMMYFUNCTION("GOOGLETRANSLATE(D75,""zh-CN"",""vi"")"),"Đây là một nguồn tham khảo tốt.")</f>
        <v>Đây là một nguồn tham khảo tốt.</v>
      </c>
      <c r="F75" s="101" t="s">
        <v>4922</v>
      </c>
      <c r="G75" s="98" t="b">
        <f t="shared" si="1"/>
        <v>1</v>
      </c>
      <c r="H75" s="99" t="b">
        <v>1</v>
      </c>
      <c r="I75" s="99" t="b">
        <v>0</v>
      </c>
      <c r="J75" s="99" t="b">
        <v>0</v>
      </c>
      <c r="K75" s="99" t="b">
        <v>0</v>
      </c>
      <c r="L75" s="99" t="b">
        <v>0</v>
      </c>
      <c r="M75" s="99" t="b">
        <v>0</v>
      </c>
      <c r="N75" s="99" t="b">
        <v>0</v>
      </c>
      <c r="O75" s="99" t="b">
        <v>0</v>
      </c>
      <c r="P75" s="99" t="b">
        <v>0</v>
      </c>
      <c r="Q75" s="99" t="b">
        <v>0</v>
      </c>
      <c r="R75" s="14"/>
      <c r="S75" s="14"/>
      <c r="T75" s="14"/>
      <c r="U75" s="14"/>
      <c r="V75" s="14"/>
      <c r="W75" s="14"/>
    </row>
    <row r="76" ht="35.25" customHeight="1">
      <c r="A76" s="92" t="s">
        <v>4926</v>
      </c>
      <c r="B76" s="93" t="s">
        <v>4927</v>
      </c>
      <c r="C76" s="94" t="s">
        <v>361</v>
      </c>
      <c r="D76" s="24" t="s">
        <v>4928</v>
      </c>
      <c r="E76" s="96" t="str">
        <f>IFERROR(__xludf.DUMMYFUNCTION("GOOGLETRANSLATE(D76,""zh-CN"",""vi"")"),"Chúng ta cần tham gia vào dự án này.")</f>
        <v>Chúng ta cần tham gia vào dự án này.</v>
      </c>
      <c r="F76" s="101" t="s">
        <v>4926</v>
      </c>
      <c r="G76" s="98" t="b">
        <f t="shared" si="1"/>
        <v>1</v>
      </c>
      <c r="H76" s="99" t="b">
        <v>1</v>
      </c>
      <c r="I76" s="99" t="b">
        <v>0</v>
      </c>
      <c r="J76" s="99" t="b">
        <v>0</v>
      </c>
      <c r="K76" s="99" t="b">
        <v>0</v>
      </c>
      <c r="L76" s="99" t="b">
        <v>0</v>
      </c>
      <c r="M76" s="99" t="b">
        <v>0</v>
      </c>
      <c r="N76" s="99" t="b">
        <v>0</v>
      </c>
      <c r="O76" s="99" t="b">
        <v>0</v>
      </c>
      <c r="P76" s="99" t="b">
        <v>0</v>
      </c>
      <c r="Q76" s="99" t="b">
        <v>0</v>
      </c>
      <c r="R76" s="14"/>
      <c r="S76" s="14"/>
      <c r="T76" s="14"/>
      <c r="U76" s="14"/>
      <c r="V76" s="14"/>
      <c r="W76" s="14"/>
    </row>
    <row r="77" ht="35.25" customHeight="1">
      <c r="A77" s="92" t="s">
        <v>4929</v>
      </c>
      <c r="B77" s="93" t="s">
        <v>4930</v>
      </c>
      <c r="C77" s="94" t="s">
        <v>4931</v>
      </c>
      <c r="D77" s="24" t="s">
        <v>4932</v>
      </c>
      <c r="E77" s="96" t="str">
        <f>IFERROR(__xludf.DUMMYFUNCTION("GOOGLETRANSLATE(D77,""zh-CN"",""vi"")"),"Anh ấy cảm thấy xấu hổ về màn trình diễn của mình.")</f>
        <v>Anh ấy cảm thấy xấu hổ về màn trình diễn của mình.</v>
      </c>
      <c r="F77" s="101" t="s">
        <v>4929</v>
      </c>
      <c r="G77" s="98" t="b">
        <f t="shared" si="1"/>
        <v>1</v>
      </c>
      <c r="H77" s="99" t="b">
        <v>1</v>
      </c>
      <c r="I77" s="99" t="b">
        <v>0</v>
      </c>
      <c r="J77" s="99" t="b">
        <v>0</v>
      </c>
      <c r="K77" s="99" t="b">
        <v>0</v>
      </c>
      <c r="L77" s="99" t="b">
        <v>0</v>
      </c>
      <c r="M77" s="99" t="b">
        <v>0</v>
      </c>
      <c r="N77" s="99" t="b">
        <v>0</v>
      </c>
      <c r="O77" s="99" t="b">
        <v>0</v>
      </c>
      <c r="P77" s="99" t="b">
        <v>0</v>
      </c>
      <c r="Q77" s="99" t="b">
        <v>0</v>
      </c>
      <c r="R77" s="14"/>
      <c r="S77" s="14"/>
      <c r="T77" s="14"/>
      <c r="U77" s="14"/>
      <c r="V77" s="14"/>
      <c r="W77" s="14"/>
    </row>
    <row r="78" ht="35.25" customHeight="1">
      <c r="A78" s="92" t="s">
        <v>4933</v>
      </c>
      <c r="B78" s="93" t="s">
        <v>4934</v>
      </c>
      <c r="C78" s="94" t="s">
        <v>4935</v>
      </c>
      <c r="D78" s="24" t="s">
        <v>4936</v>
      </c>
      <c r="E78" s="96" t="str">
        <f>IFERROR(__xludf.DUMMYFUNCTION("GOOGLETRANSLATE(D78,""zh-CN"",""vi"")"),"Các em nhỏ đang chơi trên sân chơi.")</f>
        <v>Các em nhỏ đang chơi trên sân chơi.</v>
      </c>
      <c r="F78" s="101" t="s">
        <v>4933</v>
      </c>
      <c r="G78" s="98" t="b">
        <f t="shared" si="1"/>
        <v>1</v>
      </c>
      <c r="H78" s="99" t="b">
        <v>1</v>
      </c>
      <c r="I78" s="99" t="b">
        <v>0</v>
      </c>
      <c r="J78" s="99" t="b">
        <v>0</v>
      </c>
      <c r="K78" s="99" t="b">
        <v>0</v>
      </c>
      <c r="L78" s="99" t="b">
        <v>0</v>
      </c>
      <c r="M78" s="99" t="b">
        <v>0</v>
      </c>
      <c r="N78" s="99" t="b">
        <v>0</v>
      </c>
      <c r="O78" s="99" t="b">
        <v>0</v>
      </c>
      <c r="P78" s="99" t="b">
        <v>0</v>
      </c>
      <c r="Q78" s="99" t="b">
        <v>0</v>
      </c>
      <c r="R78" s="14"/>
      <c r="S78" s="14"/>
      <c r="T78" s="14"/>
      <c r="U78" s="14"/>
      <c r="V78" s="14"/>
      <c r="W78" s="14"/>
    </row>
    <row r="79" ht="35.25" customHeight="1">
      <c r="A79" s="92" t="s">
        <v>4937</v>
      </c>
      <c r="B79" s="93" t="s">
        <v>4938</v>
      </c>
      <c r="C79" s="94" t="s">
        <v>665</v>
      </c>
      <c r="D79" s="24" t="s">
        <v>4939</v>
      </c>
      <c r="E79" s="96" t="str">
        <f>IFERROR(__xludf.DUMMYFUNCTION("GOOGLETRANSLATE(D79,""zh-CN"",""vi"")"),"Đừng lo, mọi chuyện sẽ ổn thôi.")</f>
        <v>Đừng lo, mọi chuyện sẽ ổn thôi.</v>
      </c>
      <c r="F79" s="101" t="s">
        <v>4937</v>
      </c>
      <c r="G79" s="98" t="b">
        <f t="shared" si="1"/>
        <v>1</v>
      </c>
      <c r="H79" s="99" t="b">
        <v>1</v>
      </c>
      <c r="I79" s="99" t="b">
        <v>0</v>
      </c>
      <c r="J79" s="99" t="b">
        <v>0</v>
      </c>
      <c r="K79" s="99" t="b">
        <v>0</v>
      </c>
      <c r="L79" s="99" t="b">
        <v>0</v>
      </c>
      <c r="M79" s="99" t="b">
        <v>0</v>
      </c>
      <c r="N79" s="99" t="b">
        <v>0</v>
      </c>
      <c r="O79" s="99" t="b">
        <v>0</v>
      </c>
      <c r="P79" s="99" t="b">
        <v>0</v>
      </c>
      <c r="Q79" s="99" t="b">
        <v>0</v>
      </c>
      <c r="R79" s="14"/>
      <c r="S79" s="14"/>
      <c r="T79" s="14"/>
      <c r="U79" s="14"/>
      <c r="V79" s="14"/>
      <c r="W79" s="14"/>
    </row>
    <row r="80" ht="35.25" customHeight="1">
      <c r="A80" s="92" t="s">
        <v>4940</v>
      </c>
      <c r="B80" s="93" t="s">
        <v>4941</v>
      </c>
      <c r="C80" s="94" t="s">
        <v>4942</v>
      </c>
      <c r="D80" s="116" t="s">
        <v>4943</v>
      </c>
      <c r="E80" s="96" t="str">
        <f>IFERROR(__xludf.DUMMYFUNCTION("GOOGLETRANSLATE(D80,""zh-CN"",""vi"")"),"Cô giáo đã viết vài lời tạm biệt vào cuốn kỷ yếu của tôi.")</f>
        <v>Cô giáo đã viết vài lời tạm biệt vào cuốn kỷ yếu của tôi.</v>
      </c>
      <c r="F80" s="101" t="s">
        <v>4940</v>
      </c>
      <c r="G80" s="98" t="b">
        <f t="shared" si="1"/>
        <v>1</v>
      </c>
      <c r="H80" s="99" t="b">
        <v>1</v>
      </c>
      <c r="I80" s="99" t="b">
        <v>0</v>
      </c>
      <c r="J80" s="99" t="b">
        <v>0</v>
      </c>
      <c r="K80" s="99" t="b">
        <v>0</v>
      </c>
      <c r="L80" s="99" t="b">
        <v>0</v>
      </c>
      <c r="M80" s="99" t="b">
        <v>0</v>
      </c>
      <c r="N80" s="99" t="b">
        <v>0</v>
      </c>
      <c r="O80" s="99" t="b">
        <v>0</v>
      </c>
      <c r="P80" s="99" t="b">
        <v>0</v>
      </c>
      <c r="Q80" s="99" t="b">
        <v>0</v>
      </c>
      <c r="R80" s="14"/>
      <c r="S80" s="14"/>
      <c r="T80" s="14"/>
      <c r="U80" s="14"/>
      <c r="V80" s="14"/>
      <c r="W80" s="14"/>
    </row>
    <row r="81" ht="35.25" customHeight="1">
      <c r="A81" s="92" t="s">
        <v>4944</v>
      </c>
      <c r="B81" s="93" t="s">
        <v>4945</v>
      </c>
      <c r="C81" s="94" t="s">
        <v>4946</v>
      </c>
      <c r="D81" s="24" t="s">
        <v>4947</v>
      </c>
      <c r="E81" s="96" t="str">
        <f>IFERROR(__xludf.DUMMYFUNCTION("GOOGLETRANSLATE(D81,""zh-CN"",""vi"")"),"Kết quả xét nghiệm khiến tôi bất ngờ.")</f>
        <v>Kết quả xét nghiệm khiến tôi bất ngờ.</v>
      </c>
      <c r="F81" s="101" t="s">
        <v>4944</v>
      </c>
      <c r="G81" s="98" t="b">
        <f t="shared" si="1"/>
        <v>1</v>
      </c>
      <c r="H81" s="99" t="b">
        <v>1</v>
      </c>
      <c r="I81" s="99" t="b">
        <v>0</v>
      </c>
      <c r="J81" s="99" t="b">
        <v>0</v>
      </c>
      <c r="K81" s="99" t="b">
        <v>0</v>
      </c>
      <c r="L81" s="99" t="b">
        <v>0</v>
      </c>
      <c r="M81" s="99" t="b">
        <v>0</v>
      </c>
      <c r="N81" s="99" t="b">
        <v>0</v>
      </c>
      <c r="O81" s="99" t="b">
        <v>0</v>
      </c>
      <c r="P81" s="99" t="b">
        <v>0</v>
      </c>
      <c r="Q81" s="99" t="b">
        <v>0</v>
      </c>
      <c r="R81" s="14"/>
      <c r="S81" s="14"/>
      <c r="T81" s="14"/>
      <c r="U81" s="14"/>
      <c r="V81" s="14"/>
      <c r="W81" s="14"/>
    </row>
    <row r="82" ht="35.25" customHeight="1">
      <c r="A82" s="92" t="s">
        <v>4948</v>
      </c>
      <c r="B82" s="93" t="s">
        <v>4949</v>
      </c>
      <c r="C82" s="94" t="s">
        <v>4950</v>
      </c>
      <c r="D82" s="24" t="s">
        <v>4951</v>
      </c>
      <c r="E82" s="96" t="str">
        <f>IFERROR(__xludf.DUMMYFUNCTION("GOOGLETRANSLATE(D82,""zh-CN"",""vi"")"),"Tôi đã từng đến thành phố đó rồi.")</f>
        <v>Tôi đã từng đến thành phố đó rồi.</v>
      </c>
      <c r="F82" s="101" t="s">
        <v>4948</v>
      </c>
      <c r="G82" s="98" t="b">
        <f t="shared" si="1"/>
        <v>1</v>
      </c>
      <c r="H82" s="99" t="b">
        <v>1</v>
      </c>
      <c r="I82" s="99" t="b">
        <v>0</v>
      </c>
      <c r="J82" s="99" t="b">
        <v>0</v>
      </c>
      <c r="K82" s="99" t="b">
        <v>0</v>
      </c>
      <c r="L82" s="99" t="b">
        <v>0</v>
      </c>
      <c r="M82" s="99" t="b">
        <v>0</v>
      </c>
      <c r="N82" s="99" t="b">
        <v>0</v>
      </c>
      <c r="O82" s="99" t="b">
        <v>0</v>
      </c>
      <c r="P82" s="99" t="b">
        <v>0</v>
      </c>
      <c r="Q82" s="99" t="b">
        <v>0</v>
      </c>
      <c r="R82" s="14"/>
      <c r="S82" s="14"/>
      <c r="T82" s="14"/>
      <c r="U82" s="14"/>
      <c r="V82" s="14"/>
      <c r="W82" s="14"/>
    </row>
    <row r="83" ht="35.25" customHeight="1">
      <c r="A83" s="92" t="s">
        <v>4952</v>
      </c>
      <c r="B83" s="93" t="s">
        <v>4953</v>
      </c>
      <c r="C83" s="94" t="s">
        <v>4954</v>
      </c>
      <c r="D83" s="24" t="s">
        <v>4955</v>
      </c>
      <c r="E83" s="96" t="str">
        <f>IFERROR(__xludf.DUMMYFUNCTION("GOOGLETRANSLATE(D83,""zh-CN"",""vi"")"),"Hãy dùng nĩa để cắt bánh.")</f>
        <v>Hãy dùng nĩa để cắt bánh.</v>
      </c>
      <c r="F83" s="101" t="s">
        <v>4952</v>
      </c>
      <c r="G83" s="98" t="b">
        <f t="shared" si="1"/>
        <v>1</v>
      </c>
      <c r="H83" s="99" t="b">
        <v>1</v>
      </c>
      <c r="I83" s="99" t="b">
        <v>0</v>
      </c>
      <c r="J83" s="99" t="b">
        <v>0</v>
      </c>
      <c r="K83" s="99" t="b">
        <v>0</v>
      </c>
      <c r="L83" s="99" t="b">
        <v>0</v>
      </c>
      <c r="M83" s="99" t="b">
        <v>0</v>
      </c>
      <c r="N83" s="99" t="b">
        <v>0</v>
      </c>
      <c r="O83" s="99" t="b">
        <v>0</v>
      </c>
      <c r="P83" s="99" t="b">
        <v>0</v>
      </c>
      <c r="Q83" s="99" t="b">
        <v>0</v>
      </c>
      <c r="R83" s="14"/>
      <c r="S83" s="14"/>
      <c r="T83" s="14"/>
      <c r="U83" s="14"/>
      <c r="V83" s="14"/>
      <c r="W83" s="14"/>
    </row>
    <row r="84" ht="35.25" customHeight="1">
      <c r="A84" s="92" t="s">
        <v>4956</v>
      </c>
      <c r="B84" s="93" t="s">
        <v>4957</v>
      </c>
      <c r="C84" s="94" t="s">
        <v>4958</v>
      </c>
      <c r="D84" s="24" t="s">
        <v>4959</v>
      </c>
      <c r="E84" s="96" t="str">
        <f>IFERROR(__xludf.DUMMYFUNCTION("GOOGLETRANSLATE(D84,""zh-CN"",""vi"")"),"Khoảng cách giữa họ rất lớn.")</f>
        <v>Khoảng cách giữa họ rất lớn.</v>
      </c>
      <c r="F84" s="101" t="s">
        <v>4956</v>
      </c>
      <c r="G84" s="98" t="b">
        <f t="shared" si="1"/>
        <v>1</v>
      </c>
      <c r="H84" s="99" t="b">
        <v>1</v>
      </c>
      <c r="I84" s="99" t="b">
        <v>0</v>
      </c>
      <c r="J84" s="99" t="b">
        <v>0</v>
      </c>
      <c r="K84" s="99" t="b">
        <v>0</v>
      </c>
      <c r="L84" s="99" t="b">
        <v>0</v>
      </c>
      <c r="M84" s="99" t="b">
        <v>0</v>
      </c>
      <c r="N84" s="99" t="b">
        <v>0</v>
      </c>
      <c r="O84" s="99" t="b">
        <v>0</v>
      </c>
      <c r="P84" s="99" t="b">
        <v>0</v>
      </c>
      <c r="Q84" s="99" t="b">
        <v>0</v>
      </c>
      <c r="R84" s="14"/>
      <c r="S84" s="14"/>
      <c r="T84" s="14"/>
      <c r="U84" s="14"/>
      <c r="V84" s="14"/>
      <c r="W84" s="14"/>
    </row>
    <row r="85" ht="35.25" customHeight="1">
      <c r="A85" s="92" t="s">
        <v>4960</v>
      </c>
      <c r="B85" s="93" t="s">
        <v>4961</v>
      </c>
      <c r="C85" s="94" t="s">
        <v>4962</v>
      </c>
      <c r="D85" s="24" t="s">
        <v>4963</v>
      </c>
      <c r="E85" s="96" t="str">
        <f>IFERROR(__xludf.DUMMYFUNCTION("GOOGLETRANSLATE(D85,""zh-CN"",""vi"")"),"Bạn có thể chèn những thông tin này vào báo cáo được không?")</f>
        <v>Bạn có thể chèn những thông tin này vào báo cáo được không?</v>
      </c>
      <c r="F85" s="101" t="s">
        <v>4960</v>
      </c>
      <c r="G85" s="98" t="b">
        <f t="shared" si="1"/>
        <v>1</v>
      </c>
      <c r="H85" s="99" t="b">
        <v>1</v>
      </c>
      <c r="I85" s="99" t="b">
        <v>0</v>
      </c>
      <c r="J85" s="99" t="b">
        <v>0</v>
      </c>
      <c r="K85" s="99" t="b">
        <v>0</v>
      </c>
      <c r="L85" s="99" t="b">
        <v>0</v>
      </c>
      <c r="M85" s="99" t="b">
        <v>0</v>
      </c>
      <c r="N85" s="99" t="b">
        <v>0</v>
      </c>
      <c r="O85" s="99" t="b">
        <v>0</v>
      </c>
      <c r="P85" s="99" t="b">
        <v>0</v>
      </c>
      <c r="Q85" s="99" t="b">
        <v>0</v>
      </c>
      <c r="R85" s="14"/>
      <c r="S85" s="14"/>
      <c r="T85" s="14"/>
      <c r="U85" s="14"/>
      <c r="V85" s="14"/>
      <c r="W85" s="14"/>
    </row>
    <row r="86" ht="35.25" customHeight="1">
      <c r="A86" s="92" t="s">
        <v>4964</v>
      </c>
      <c r="B86" s="93" t="s">
        <v>4965</v>
      </c>
      <c r="C86" s="94" t="s">
        <v>4966</v>
      </c>
      <c r="D86" s="24" t="s">
        <v>4967</v>
      </c>
      <c r="E86" s="96" t="str">
        <f>IFERROR(__xludf.DUMMYFUNCTION("GOOGLETRANSLATE(D86,""zh-CN"",""vi"")"),"Anh ấy mở gói hàng ra.")</f>
        <v>Anh ấy mở gói hàng ra.</v>
      </c>
      <c r="F86" s="101" t="s">
        <v>4964</v>
      </c>
      <c r="G86" s="98" t="b">
        <f t="shared" si="1"/>
        <v>1</v>
      </c>
      <c r="H86" s="99" t="b">
        <v>1</v>
      </c>
      <c r="I86" s="99" t="b">
        <v>0</v>
      </c>
      <c r="J86" s="99" t="b">
        <v>0</v>
      </c>
      <c r="K86" s="99" t="b">
        <v>0</v>
      </c>
      <c r="L86" s="99" t="b">
        <v>0</v>
      </c>
      <c r="M86" s="99" t="b">
        <v>0</v>
      </c>
      <c r="N86" s="99" t="b">
        <v>0</v>
      </c>
      <c r="O86" s="99" t="b">
        <v>0</v>
      </c>
      <c r="P86" s="99" t="b">
        <v>0</v>
      </c>
      <c r="Q86" s="99" t="b">
        <v>0</v>
      </c>
      <c r="R86" s="14"/>
      <c r="S86" s="14"/>
      <c r="T86" s="14"/>
      <c r="U86" s="14"/>
      <c r="V86" s="14"/>
      <c r="W86" s="14"/>
    </row>
    <row r="87" ht="35.25" customHeight="1">
      <c r="A87" s="92" t="s">
        <v>4968</v>
      </c>
      <c r="B87" s="93" t="s">
        <v>4969</v>
      </c>
      <c r="C87" s="94" t="s">
        <v>4970</v>
      </c>
      <c r="D87" s="24" t="s">
        <v>4971</v>
      </c>
      <c r="E87" s="96" t="str">
        <f>IFERROR(__xludf.DUMMYFUNCTION("GOOGLETRANSLATE(D87,""zh-CN"",""vi"")"),"Sản phẩm này có chất lượng rất tốt.")</f>
        <v>Sản phẩm này có chất lượng rất tốt.</v>
      </c>
      <c r="F87" s="101" t="s">
        <v>4968</v>
      </c>
      <c r="G87" s="98" t="b">
        <f t="shared" si="1"/>
        <v>1</v>
      </c>
      <c r="H87" s="99" t="b">
        <v>1</v>
      </c>
      <c r="I87" s="99" t="b">
        <v>0</v>
      </c>
      <c r="J87" s="99" t="b">
        <v>0</v>
      </c>
      <c r="K87" s="99" t="b">
        <v>0</v>
      </c>
      <c r="L87" s="99" t="b">
        <v>0</v>
      </c>
      <c r="M87" s="99" t="b">
        <v>0</v>
      </c>
      <c r="N87" s="99" t="b">
        <v>0</v>
      </c>
      <c r="O87" s="99" t="b">
        <v>0</v>
      </c>
      <c r="P87" s="99" t="b">
        <v>0</v>
      </c>
      <c r="Q87" s="99" t="b">
        <v>0</v>
      </c>
      <c r="R87" s="14"/>
      <c r="S87" s="14"/>
      <c r="T87" s="14"/>
      <c r="U87" s="14"/>
      <c r="V87" s="14"/>
      <c r="W87" s="14"/>
    </row>
    <row r="88" ht="35.25" customHeight="1">
      <c r="A88" s="92" t="s">
        <v>4972</v>
      </c>
      <c r="B88" s="93" t="s">
        <v>4973</v>
      </c>
      <c r="C88" s="94" t="s">
        <v>4974</v>
      </c>
      <c r="D88" s="24" t="s">
        <v>4975</v>
      </c>
      <c r="E88" s="96" t="str">
        <f>IFERROR(__xludf.DUMMYFUNCTION("GOOGLETRANSLATE(D88,""zh-CN"",""vi"")"),"Cuộc trò chuyện này đã có tác động đáng kể.")</f>
        <v>Cuộc trò chuyện này đã có tác động đáng kể.</v>
      </c>
      <c r="F88" s="101" t="s">
        <v>4972</v>
      </c>
      <c r="G88" s="98" t="b">
        <f t="shared" si="1"/>
        <v>1</v>
      </c>
      <c r="H88" s="99" t="b">
        <v>1</v>
      </c>
      <c r="I88" s="99" t="b">
        <v>0</v>
      </c>
      <c r="J88" s="99" t="b">
        <v>0</v>
      </c>
      <c r="K88" s="99" t="b">
        <v>0</v>
      </c>
      <c r="L88" s="99" t="b">
        <v>0</v>
      </c>
      <c r="M88" s="99" t="b">
        <v>0</v>
      </c>
      <c r="N88" s="99" t="b">
        <v>0</v>
      </c>
      <c r="O88" s="99" t="b">
        <v>0</v>
      </c>
      <c r="P88" s="99" t="b">
        <v>0</v>
      </c>
      <c r="Q88" s="99" t="b">
        <v>0</v>
      </c>
      <c r="R88" s="14"/>
      <c r="S88" s="14"/>
      <c r="T88" s="14"/>
      <c r="U88" s="14"/>
      <c r="V88" s="14"/>
      <c r="W88" s="14"/>
    </row>
    <row r="89" ht="35.25" customHeight="1">
      <c r="A89" s="92" t="s">
        <v>4976</v>
      </c>
      <c r="B89" s="93" t="s">
        <v>4977</v>
      </c>
      <c r="C89" s="94" t="s">
        <v>4978</v>
      </c>
      <c r="D89" s="24" t="s">
        <v>4979</v>
      </c>
      <c r="E89" s="96" t="str">
        <f>IFERROR(__xludf.DUMMYFUNCTION("GOOGLETRANSLATE(D89,""zh-CN"",""vi"")"),"Chúng tôi đang lên kế hoạch cho một chuyến đi dài.")</f>
        <v>Chúng tôi đang lên kế hoạch cho một chuyến đi dài.</v>
      </c>
      <c r="F89" s="101" t="s">
        <v>4976</v>
      </c>
      <c r="G89" s="98" t="b">
        <f t="shared" si="1"/>
        <v>1</v>
      </c>
      <c r="H89" s="99" t="b">
        <v>1</v>
      </c>
      <c r="I89" s="99" t="b">
        <v>0</v>
      </c>
      <c r="J89" s="99" t="b">
        <v>0</v>
      </c>
      <c r="K89" s="99" t="b">
        <v>0</v>
      </c>
      <c r="L89" s="99" t="b">
        <v>0</v>
      </c>
      <c r="M89" s="99" t="b">
        <v>0</v>
      </c>
      <c r="N89" s="99" t="b">
        <v>0</v>
      </c>
      <c r="O89" s="99" t="b">
        <v>0</v>
      </c>
      <c r="P89" s="99" t="b">
        <v>0</v>
      </c>
      <c r="Q89" s="99" t="b">
        <v>0</v>
      </c>
      <c r="R89" s="14"/>
      <c r="S89" s="14"/>
      <c r="T89" s="14"/>
      <c r="U89" s="14"/>
      <c r="V89" s="14"/>
      <c r="W89" s="14"/>
    </row>
    <row r="90" ht="35.25" customHeight="1">
      <c r="A90" s="92" t="s">
        <v>4980</v>
      </c>
      <c r="B90" s="93" t="s">
        <v>4981</v>
      </c>
      <c r="C90" s="94" t="s">
        <v>4982</v>
      </c>
      <c r="D90" s="117" t="s">
        <v>4983</v>
      </c>
      <c r="E90" s="96" t="str">
        <f>IFERROR(__xludf.DUMMYFUNCTION("GOOGLETRANSLATE(D90,""zh-CN"",""vi"")"),"Đây là một quy tắc dựa trên lẽ thường.")</f>
        <v>Đây là một quy tắc dựa trên lẽ thường.</v>
      </c>
      <c r="F90" s="101" t="s">
        <v>4980</v>
      </c>
      <c r="G90" s="98" t="b">
        <f t="shared" si="1"/>
        <v>1</v>
      </c>
      <c r="H90" s="99" t="b">
        <v>1</v>
      </c>
      <c r="I90" s="99" t="b">
        <v>0</v>
      </c>
      <c r="J90" s="99" t="b">
        <v>0</v>
      </c>
      <c r="K90" s="99" t="b">
        <v>0</v>
      </c>
      <c r="L90" s="99" t="b">
        <v>0</v>
      </c>
      <c r="M90" s="99" t="b">
        <v>0</v>
      </c>
      <c r="N90" s="99" t="b">
        <v>0</v>
      </c>
      <c r="O90" s="99" t="b">
        <v>0</v>
      </c>
      <c r="P90" s="99" t="b">
        <v>0</v>
      </c>
      <c r="Q90" s="99" t="b">
        <v>0</v>
      </c>
      <c r="R90" s="14"/>
      <c r="S90" s="14"/>
      <c r="T90" s="14"/>
      <c r="U90" s="14"/>
      <c r="V90" s="14"/>
      <c r="W90" s="14"/>
    </row>
    <row r="91" ht="35.25" customHeight="1">
      <c r="A91" s="92" t="s">
        <v>4984</v>
      </c>
      <c r="B91" s="93" t="s">
        <v>4985</v>
      </c>
      <c r="C91" s="94" t="s">
        <v>4986</v>
      </c>
      <c r="D91" s="24" t="s">
        <v>4987</v>
      </c>
      <c r="E91" s="96" t="str">
        <f>IFERROR(__xludf.DUMMYFUNCTION("GOOGLETRANSLATE(D91,""zh-CN"",""vi"")"),"Cậu ta chép bài tập về nhà của người khác.")</f>
        <v>Cậu ta chép bài tập về nhà của người khác.</v>
      </c>
      <c r="F91" s="101" t="s">
        <v>4984</v>
      </c>
      <c r="G91" s="98" t="b">
        <f t="shared" si="1"/>
        <v>1</v>
      </c>
      <c r="H91" s="99" t="b">
        <v>1</v>
      </c>
      <c r="I91" s="99" t="b">
        <v>0</v>
      </c>
      <c r="J91" s="99" t="b">
        <v>0</v>
      </c>
      <c r="K91" s="99" t="b">
        <v>0</v>
      </c>
      <c r="L91" s="99" t="b">
        <v>0</v>
      </c>
      <c r="M91" s="99" t="b">
        <v>0</v>
      </c>
      <c r="N91" s="99" t="b">
        <v>0</v>
      </c>
      <c r="O91" s="99" t="b">
        <v>0</v>
      </c>
      <c r="P91" s="99" t="b">
        <v>0</v>
      </c>
      <c r="Q91" s="99" t="b">
        <v>0</v>
      </c>
      <c r="R91" s="14"/>
      <c r="S91" s="14"/>
      <c r="T91" s="14"/>
      <c r="U91" s="14"/>
      <c r="V91" s="14"/>
      <c r="W91" s="14"/>
    </row>
    <row r="92" ht="35.25" customHeight="1">
      <c r="A92" s="92" t="s">
        <v>4988</v>
      </c>
      <c r="B92" s="93" t="s">
        <v>4989</v>
      </c>
      <c r="C92" s="94" t="s">
        <v>4990</v>
      </c>
      <c r="D92" s="24" t="s">
        <v>4991</v>
      </c>
      <c r="E92" s="96" t="str">
        <f>IFERROR(__xludf.DUMMYFUNCTION("GOOGLETRANSLATE(D92,""zh-CN"",""vi"")"),"Đây là một thị trường khổng lồ.")</f>
        <v>Đây là một thị trường khổng lồ.</v>
      </c>
      <c r="F92" s="101" t="s">
        <v>4988</v>
      </c>
      <c r="G92" s="98" t="b">
        <f t="shared" si="1"/>
        <v>1</v>
      </c>
      <c r="H92" s="99" t="b">
        <v>1</v>
      </c>
      <c r="I92" s="99" t="b">
        <v>0</v>
      </c>
      <c r="J92" s="99" t="b">
        <v>0</v>
      </c>
      <c r="K92" s="99" t="b">
        <v>0</v>
      </c>
      <c r="L92" s="99" t="b">
        <v>0</v>
      </c>
      <c r="M92" s="99" t="b">
        <v>0</v>
      </c>
      <c r="N92" s="99" t="b">
        <v>0</v>
      </c>
      <c r="O92" s="99" t="b">
        <v>0</v>
      </c>
      <c r="P92" s="99" t="b">
        <v>0</v>
      </c>
      <c r="Q92" s="99" t="b">
        <v>0</v>
      </c>
      <c r="R92" s="14"/>
      <c r="S92" s="14"/>
      <c r="T92" s="14"/>
      <c r="U92" s="14"/>
      <c r="V92" s="14"/>
      <c r="W92" s="14"/>
    </row>
    <row r="93" ht="35.25" customHeight="1">
      <c r="A93" s="92" t="s">
        <v>4992</v>
      </c>
      <c r="B93" s="93" t="s">
        <v>4993</v>
      </c>
      <c r="C93" s="94" t="s">
        <v>4994</v>
      </c>
      <c r="D93" s="24" t="s">
        <v>4995</v>
      </c>
      <c r="E93" s="96" t="str">
        <f>IFERROR(__xludf.DUMMYFUNCTION("GOOGLETRANSLATE(D93,""zh-CN"",""vi"")"),"Chúng ta đang tiến gần hơn đến mục tiêu.")</f>
        <v>Chúng ta đang tiến gần hơn đến mục tiêu.</v>
      </c>
      <c r="F93" s="101" t="s">
        <v>4992</v>
      </c>
      <c r="G93" s="98" t="b">
        <f t="shared" si="1"/>
        <v>1</v>
      </c>
      <c r="H93" s="99" t="b">
        <v>1</v>
      </c>
      <c r="I93" s="99" t="b">
        <v>0</v>
      </c>
      <c r="J93" s="99" t="b">
        <v>0</v>
      </c>
      <c r="K93" s="99" t="b">
        <v>0</v>
      </c>
      <c r="L93" s="99" t="b">
        <v>0</v>
      </c>
      <c r="M93" s="99" t="b">
        <v>0</v>
      </c>
      <c r="N93" s="99" t="b">
        <v>0</v>
      </c>
      <c r="O93" s="99" t="b">
        <v>0</v>
      </c>
      <c r="P93" s="99" t="b">
        <v>0</v>
      </c>
      <c r="Q93" s="99" t="b">
        <v>0</v>
      </c>
      <c r="R93" s="14"/>
      <c r="S93" s="14"/>
      <c r="T93" s="14"/>
      <c r="U93" s="14"/>
      <c r="V93" s="14"/>
      <c r="W93" s="14"/>
    </row>
    <row r="94" ht="35.25" customHeight="1">
      <c r="A94" s="92" t="s">
        <v>4996</v>
      </c>
      <c r="B94" s="93" t="s">
        <v>4997</v>
      </c>
      <c r="C94" s="94" t="s">
        <v>4998</v>
      </c>
      <c r="D94" s="24" t="s">
        <v>4999</v>
      </c>
      <c r="E94" s="96" t="str">
        <f>IFERROR(__xludf.DUMMYFUNCTION("GOOGLETRANSLATE(D94,""zh-CN"",""vi"")"),"Không khí hơi ẩm.")</f>
        <v>Không khí hơi ẩm.</v>
      </c>
      <c r="F94" s="101" t="s">
        <v>4996</v>
      </c>
      <c r="G94" s="98" t="b">
        <f t="shared" si="1"/>
        <v>1</v>
      </c>
      <c r="H94" s="99" t="b">
        <v>1</v>
      </c>
      <c r="I94" s="99" t="b">
        <v>0</v>
      </c>
      <c r="J94" s="99" t="b">
        <v>0</v>
      </c>
      <c r="K94" s="99" t="b">
        <v>0</v>
      </c>
      <c r="L94" s="99" t="b">
        <v>0</v>
      </c>
      <c r="M94" s="99" t="b">
        <v>0</v>
      </c>
      <c r="N94" s="99" t="b">
        <v>0</v>
      </c>
      <c r="O94" s="99" t="b">
        <v>0</v>
      </c>
      <c r="P94" s="99" t="b">
        <v>0</v>
      </c>
      <c r="Q94" s="99" t="b">
        <v>0</v>
      </c>
      <c r="R94" s="14"/>
      <c r="S94" s="14"/>
      <c r="T94" s="14"/>
      <c r="U94" s="14"/>
      <c r="V94" s="14"/>
      <c r="W94" s="14"/>
    </row>
    <row r="95" ht="35.25" customHeight="1">
      <c r="A95" s="92" t="s">
        <v>5000</v>
      </c>
      <c r="B95" s="93" t="s">
        <v>5001</v>
      </c>
      <c r="C95" s="94" t="s">
        <v>5002</v>
      </c>
      <c r="D95" s="24" t="s">
        <v>5003</v>
      </c>
      <c r="E95" s="96" t="str">
        <f>IFERROR(__xludf.DUMMYFUNCTION("GOOGLETRANSLATE(D95,""zh-CN"",""vi"")"),"Bên ngoài ồn ào quá.")</f>
        <v>Bên ngoài ồn ào quá.</v>
      </c>
      <c r="F95" s="101" t="s">
        <v>5000</v>
      </c>
      <c r="G95" s="98" t="b">
        <f t="shared" si="1"/>
        <v>1</v>
      </c>
      <c r="H95" s="99" t="b">
        <v>1</v>
      </c>
      <c r="I95" s="99" t="b">
        <v>0</v>
      </c>
      <c r="J95" s="99" t="b">
        <v>0</v>
      </c>
      <c r="K95" s="99" t="b">
        <v>0</v>
      </c>
      <c r="L95" s="99" t="b">
        <v>0</v>
      </c>
      <c r="M95" s="99" t="b">
        <v>0</v>
      </c>
      <c r="N95" s="99" t="b">
        <v>0</v>
      </c>
      <c r="O95" s="99" t="b">
        <v>0</v>
      </c>
      <c r="P95" s="99" t="b">
        <v>0</v>
      </c>
      <c r="Q95" s="99" t="b">
        <v>0</v>
      </c>
      <c r="R95" s="14"/>
      <c r="S95" s="14"/>
      <c r="T95" s="14"/>
      <c r="U95" s="14"/>
      <c r="V95" s="14"/>
      <c r="W95" s="14"/>
    </row>
    <row r="96" ht="35.25" customHeight="1">
      <c r="A96" s="92" t="s">
        <v>5004</v>
      </c>
      <c r="B96" s="93" t="s">
        <v>5005</v>
      </c>
      <c r="C96" s="94" t="s">
        <v>5006</v>
      </c>
      <c r="D96" s="24" t="s">
        <v>5007</v>
      </c>
      <c r="E96" s="96" t="str">
        <f>IFERROR(__xludf.DUMMYFUNCTION("GOOGLETRANSLATE(D96,""zh-CN"",""vi"")"),"Họ đang cãi nhau trên đường phố.")</f>
        <v>Họ đang cãi nhau trên đường phố.</v>
      </c>
      <c r="F96" s="101" t="s">
        <v>5004</v>
      </c>
      <c r="G96" s="98" t="b">
        <f t="shared" si="1"/>
        <v>1</v>
      </c>
      <c r="H96" s="99" t="b">
        <v>1</v>
      </c>
      <c r="I96" s="99" t="b">
        <v>0</v>
      </c>
      <c r="J96" s="99" t="b">
        <v>0</v>
      </c>
      <c r="K96" s="99" t="b">
        <v>0</v>
      </c>
      <c r="L96" s="99" t="b">
        <v>0</v>
      </c>
      <c r="M96" s="99" t="b">
        <v>0</v>
      </c>
      <c r="N96" s="99" t="b">
        <v>0</v>
      </c>
      <c r="O96" s="99" t="b">
        <v>0</v>
      </c>
      <c r="P96" s="99" t="b">
        <v>0</v>
      </c>
      <c r="Q96" s="99" t="b">
        <v>0</v>
      </c>
      <c r="R96" s="14"/>
      <c r="S96" s="14"/>
      <c r="T96" s="14"/>
      <c r="U96" s="14"/>
      <c r="V96" s="14"/>
      <c r="W96" s="14"/>
    </row>
    <row r="97" ht="35.25" customHeight="1">
      <c r="A97" s="92" t="s">
        <v>5008</v>
      </c>
      <c r="B97" s="93" t="s">
        <v>5001</v>
      </c>
      <c r="C97" s="94" t="s">
        <v>5009</v>
      </c>
      <c r="D97" s="24" t="s">
        <v>5010</v>
      </c>
      <c r="E97" s="96" t="str">
        <f>IFERROR(__xludf.DUMMYFUNCTION("GOOGLETRANSLATE(D97,""zh-CN"",""vi"")"),"Khi xào rau, hãy thêm một chút muối.")</f>
        <v>Khi xào rau, hãy thêm một chút muối.</v>
      </c>
      <c r="F97" s="101" t="s">
        <v>5008</v>
      </c>
      <c r="G97" s="98" t="b">
        <f t="shared" si="1"/>
        <v>1</v>
      </c>
      <c r="H97" s="99" t="b">
        <v>1</v>
      </c>
      <c r="I97" s="99" t="b">
        <v>0</v>
      </c>
      <c r="J97" s="99" t="b">
        <v>0</v>
      </c>
      <c r="K97" s="99" t="b">
        <v>0</v>
      </c>
      <c r="L97" s="99" t="b">
        <v>0</v>
      </c>
      <c r="M97" s="99" t="b">
        <v>0</v>
      </c>
      <c r="N97" s="99" t="b">
        <v>0</v>
      </c>
      <c r="O97" s="99" t="b">
        <v>0</v>
      </c>
      <c r="P97" s="99" t="b">
        <v>0</v>
      </c>
      <c r="Q97" s="99" t="b">
        <v>0</v>
      </c>
      <c r="R97" s="14"/>
      <c r="S97" s="14"/>
      <c r="T97" s="14"/>
      <c r="U97" s="14"/>
      <c r="V97" s="14"/>
      <c r="W97" s="14"/>
    </row>
    <row r="98" ht="35.25" customHeight="1">
      <c r="A98" s="92" t="s">
        <v>5012</v>
      </c>
      <c r="B98" s="93" t="s">
        <v>5013</v>
      </c>
      <c r="C98" s="94" t="s">
        <v>5014</v>
      </c>
      <c r="D98" s="24" t="s">
        <v>5015</v>
      </c>
      <c r="E98" s="96" t="str">
        <f>IFERROR(__xludf.DUMMYFUNCTION("GOOGLETRANSLATE(D98,""zh-CN"",""vi"")"),"Có hai chiếc xe đậu trong gara.")</f>
        <v>Có hai chiếc xe đậu trong gara.</v>
      </c>
      <c r="F98" s="101" t="s">
        <v>5012</v>
      </c>
      <c r="G98" s="98" t="b">
        <f t="shared" si="1"/>
        <v>1</v>
      </c>
      <c r="H98" s="99" t="b">
        <v>1</v>
      </c>
      <c r="I98" s="99" t="b">
        <v>0</v>
      </c>
      <c r="J98" s="99" t="b">
        <v>0</v>
      </c>
      <c r="K98" s="99" t="b">
        <v>0</v>
      </c>
      <c r="L98" s="99" t="b">
        <v>0</v>
      </c>
      <c r="M98" s="99" t="b">
        <v>0</v>
      </c>
      <c r="N98" s="99" t="b">
        <v>0</v>
      </c>
      <c r="O98" s="99" t="b">
        <v>0</v>
      </c>
      <c r="P98" s="99" t="b">
        <v>0</v>
      </c>
      <c r="Q98" s="99" t="b">
        <v>0</v>
      </c>
      <c r="R98" s="14"/>
      <c r="S98" s="14"/>
      <c r="T98" s="14"/>
      <c r="U98" s="14"/>
      <c r="V98" s="14"/>
      <c r="W98" s="14"/>
    </row>
    <row r="99" ht="35.25" customHeight="1">
      <c r="A99" s="92" t="s">
        <v>5016</v>
      </c>
      <c r="B99" s="93" t="s">
        <v>5017</v>
      </c>
      <c r="C99" s="94" t="s">
        <v>5018</v>
      </c>
      <c r="D99" s="24" t="s">
        <v>5019</v>
      </c>
      <c r="E99" s="96" t="str">
        <f>IFERROR(__xludf.DUMMYFUNCTION("GOOGLETRANSLATE(D99,""zh-CN"",""vi"")"),"Toa tàu rất đông người.")</f>
        <v>Toa tàu rất đông người.</v>
      </c>
      <c r="F99" s="101" t="s">
        <v>5016</v>
      </c>
      <c r="G99" s="98" t="b">
        <f t="shared" si="1"/>
        <v>1</v>
      </c>
      <c r="H99" s="99" t="b">
        <v>1</v>
      </c>
      <c r="I99" s="99" t="b">
        <v>0</v>
      </c>
      <c r="J99" s="99" t="b">
        <v>0</v>
      </c>
      <c r="K99" s="99" t="b">
        <v>0</v>
      </c>
      <c r="L99" s="99" t="b">
        <v>0</v>
      </c>
      <c r="M99" s="99" t="b">
        <v>0</v>
      </c>
      <c r="N99" s="99" t="b">
        <v>0</v>
      </c>
      <c r="O99" s="99" t="b">
        <v>0</v>
      </c>
      <c r="P99" s="99" t="b">
        <v>0</v>
      </c>
      <c r="Q99" s="99" t="b">
        <v>0</v>
      </c>
      <c r="R99" s="14"/>
      <c r="S99" s="14"/>
      <c r="T99" s="14"/>
      <c r="U99" s="14"/>
      <c r="V99" s="14"/>
      <c r="W99" s="14"/>
    </row>
    <row r="100" ht="35.25" customHeight="1">
      <c r="A100" s="92" t="s">
        <v>5020</v>
      </c>
      <c r="B100" s="93" t="s">
        <v>5021</v>
      </c>
      <c r="C100" s="94" t="s">
        <v>5022</v>
      </c>
      <c r="D100" s="24" t="s">
        <v>5023</v>
      </c>
      <c r="E100" s="96" t="str">
        <f>IFERROR(__xludf.DUMMYFUNCTION("GOOGLETRANSLATE(D100,""zh-CN"",""vi"")"),"Việc dọn dẹp phòng kỹ lưỡng rất quan trọng.")</f>
        <v>Việc dọn dẹp phòng kỹ lưỡng rất quan trọng.</v>
      </c>
      <c r="F100" s="101" t="s">
        <v>5020</v>
      </c>
      <c r="G100" s="98" t="b">
        <f t="shared" si="1"/>
        <v>1</v>
      </c>
      <c r="H100" s="99" t="b">
        <v>1</v>
      </c>
      <c r="I100" s="99" t="b">
        <v>0</v>
      </c>
      <c r="J100" s="99" t="b">
        <v>0</v>
      </c>
      <c r="K100" s="99" t="b">
        <v>0</v>
      </c>
      <c r="L100" s="99" t="b">
        <v>0</v>
      </c>
      <c r="M100" s="99" t="b">
        <v>0</v>
      </c>
      <c r="N100" s="99" t="b">
        <v>0</v>
      </c>
      <c r="O100" s="99" t="b">
        <v>0</v>
      </c>
      <c r="P100" s="99" t="b">
        <v>0</v>
      </c>
      <c r="Q100" s="99" t="b">
        <v>0</v>
      </c>
      <c r="R100" s="14"/>
      <c r="S100" s="14"/>
      <c r="T100" s="14"/>
      <c r="U100" s="14"/>
      <c r="V100" s="14"/>
      <c r="W100" s="14"/>
    </row>
    <row r="101" ht="35.25" customHeight="1">
      <c r="A101" s="92" t="s">
        <v>5024</v>
      </c>
      <c r="B101" s="93" t="s">
        <v>5025</v>
      </c>
      <c r="C101" s="94" t="s">
        <v>5026</v>
      </c>
      <c r="D101" s="24" t="s">
        <v>5027</v>
      </c>
      <c r="E101" s="96" t="str">
        <f>IFERROR(__xludf.DUMMYFUNCTION("GOOGLETRANSLATE(D101,""zh-CN"",""vi"")"),"Ông ta giữ im lặng suốt cuộc họp.")</f>
        <v>Ông ta giữ im lặng suốt cuộc họp.</v>
      </c>
      <c r="F101" s="101" t="s">
        <v>5024</v>
      </c>
      <c r="G101" s="98" t="b">
        <f t="shared" si="1"/>
        <v>1</v>
      </c>
      <c r="H101" s="99" t="b">
        <v>1</v>
      </c>
      <c r="I101" s="99" t="b">
        <v>0</v>
      </c>
      <c r="J101" s="99" t="b">
        <v>0</v>
      </c>
      <c r="K101" s="99" t="b">
        <v>0</v>
      </c>
      <c r="L101" s="99" t="b">
        <v>0</v>
      </c>
      <c r="M101" s="99" t="b">
        <v>0</v>
      </c>
      <c r="N101" s="99" t="b">
        <v>0</v>
      </c>
      <c r="O101" s="99" t="b">
        <v>0</v>
      </c>
      <c r="P101" s="99" t="b">
        <v>0</v>
      </c>
      <c r="Q101" s="99" t="b">
        <v>0</v>
      </c>
      <c r="R101" s="14"/>
      <c r="S101" s="14"/>
      <c r="T101" s="14"/>
      <c r="U101" s="14"/>
      <c r="V101" s="14"/>
      <c r="W101" s="14"/>
    </row>
    <row r="102" ht="35.25" customHeight="1">
      <c r="A102" s="92" t="s">
        <v>5032</v>
      </c>
      <c r="B102" s="93" t="s">
        <v>5033</v>
      </c>
      <c r="C102" s="94" t="s">
        <v>5034</v>
      </c>
      <c r="D102" s="24" t="s">
        <v>5035</v>
      </c>
      <c r="E102" s="96" t="str">
        <f>IFERROR(__xludf.DUMMYFUNCTION("GOOGLETRANSLATE(D102,""zh-CN"",""vi"")"),"Khi còn trẻ, chúng ta nên trân trọng mọi thứ xung quanh mình!")</f>
        <v>Khi còn trẻ, chúng ta nên trân trọng mọi thứ xung quanh mình!</v>
      </c>
      <c r="F102" s="101" t="s">
        <v>5032</v>
      </c>
      <c r="G102" s="98" t="b">
        <f t="shared" si="1"/>
        <v>1</v>
      </c>
      <c r="H102" s="99" t="b">
        <v>1</v>
      </c>
      <c r="I102" s="99" t="b">
        <v>0</v>
      </c>
      <c r="J102" s="99" t="b">
        <v>0</v>
      </c>
      <c r="K102" s="99" t="b">
        <v>0</v>
      </c>
      <c r="L102" s="99" t="b">
        <v>0</v>
      </c>
      <c r="M102" s="99" t="b">
        <v>0</v>
      </c>
      <c r="N102" s="99" t="b">
        <v>0</v>
      </c>
      <c r="O102" s="99" t="b">
        <v>0</v>
      </c>
      <c r="P102" s="99" t="b">
        <v>0</v>
      </c>
      <c r="Q102" s="99" t="b">
        <v>0</v>
      </c>
      <c r="R102" s="14"/>
      <c r="S102" s="14"/>
      <c r="T102" s="14"/>
      <c r="U102" s="14"/>
      <c r="V102" s="14"/>
      <c r="W102" s="14"/>
    </row>
    <row r="103" ht="35.25" customHeight="1">
      <c r="A103" s="92" t="s">
        <v>5036</v>
      </c>
      <c r="B103" s="93" t="s">
        <v>5037</v>
      </c>
      <c r="C103" s="94" t="s">
        <v>5038</v>
      </c>
      <c r="D103" s="24" t="s">
        <v>5039</v>
      </c>
      <c r="E103" s="96" t="str">
        <f>IFERROR(__xludf.DUMMYFUNCTION("GOOGLETRANSLATE(D103,""zh-CN"",""vi"")"),"Mọi người đều gọi tôi là ""Lão Li"".")</f>
        <v>Mọi người đều gọi tôi là "Lão Li".</v>
      </c>
      <c r="F103" s="101" t="s">
        <v>5036</v>
      </c>
      <c r="G103" s="98" t="b">
        <f t="shared" si="1"/>
        <v>1</v>
      </c>
      <c r="H103" s="99" t="b">
        <v>1</v>
      </c>
      <c r="I103" s="99" t="b">
        <v>0</v>
      </c>
      <c r="J103" s="99" t="b">
        <v>0</v>
      </c>
      <c r="K103" s="99" t="b">
        <v>0</v>
      </c>
      <c r="L103" s="99" t="b">
        <v>0</v>
      </c>
      <c r="M103" s="99" t="b">
        <v>0</v>
      </c>
      <c r="N103" s="99" t="b">
        <v>0</v>
      </c>
      <c r="O103" s="99" t="b">
        <v>0</v>
      </c>
      <c r="P103" s="99" t="b">
        <v>0</v>
      </c>
      <c r="Q103" s="99" t="b">
        <v>0</v>
      </c>
      <c r="R103" s="14"/>
      <c r="S103" s="14"/>
      <c r="T103" s="14"/>
      <c r="U103" s="14"/>
      <c r="V103" s="14"/>
      <c r="W103" s="14"/>
    </row>
    <row r="104" ht="35.25" customHeight="1">
      <c r="A104" s="92" t="s">
        <v>5044</v>
      </c>
      <c r="B104" s="93" t="s">
        <v>5045</v>
      </c>
      <c r="C104" s="94" t="s">
        <v>5046</v>
      </c>
      <c r="D104" s="24" t="s">
        <v>5047</v>
      </c>
      <c r="E104" s="96" t="str">
        <f>IFERROR(__xludf.DUMMYFUNCTION("GOOGLETRANSLATE(D104,""zh-CN"",""vi"")"),"Tôi nên gọi bạn là gì?")</f>
        <v>Tôi nên gọi bạn là gì?</v>
      </c>
      <c r="F104" s="101" t="s">
        <v>5044</v>
      </c>
      <c r="G104" s="98" t="b">
        <f t="shared" si="1"/>
        <v>1</v>
      </c>
      <c r="H104" s="99" t="b">
        <v>1</v>
      </c>
      <c r="I104" s="99" t="b">
        <v>0</v>
      </c>
      <c r="J104" s="99" t="b">
        <v>0</v>
      </c>
      <c r="K104" s="99" t="b">
        <v>0</v>
      </c>
      <c r="L104" s="99" t="b">
        <v>0</v>
      </c>
      <c r="M104" s="99" t="b">
        <v>0</v>
      </c>
      <c r="N104" s="99" t="b">
        <v>0</v>
      </c>
      <c r="O104" s="99" t="b">
        <v>0</v>
      </c>
      <c r="P104" s="99" t="b">
        <v>0</v>
      </c>
      <c r="Q104" s="99" t="b">
        <v>0</v>
      </c>
      <c r="R104" s="14"/>
      <c r="S104" s="14"/>
      <c r="T104" s="14"/>
      <c r="U104" s="14"/>
      <c r="V104" s="14"/>
      <c r="W104" s="14"/>
    </row>
    <row r="105" ht="35.25" customHeight="1">
      <c r="A105" s="92" t="s">
        <v>5052</v>
      </c>
      <c r="B105" s="93" t="s">
        <v>5053</v>
      </c>
      <c r="C105" s="94" t="s">
        <v>5054</v>
      </c>
      <c r="D105" s="24" t="s">
        <v>5055</v>
      </c>
      <c r="E105" s="96" t="str">
        <f>IFERROR(__xludf.DUMMYFUNCTION("GOOGLETRANSLATE(D105,""zh-CN"",""vi"")"),"Cô ấy khen ngợi công việc của tôi.")</f>
        <v>Cô ấy khen ngợi công việc của tôi.</v>
      </c>
      <c r="F105" s="101" t="s">
        <v>5052</v>
      </c>
      <c r="G105" s="98" t="b">
        <f t="shared" si="1"/>
        <v>1</v>
      </c>
      <c r="H105" s="99" t="b">
        <v>1</v>
      </c>
      <c r="I105" s="99" t="b">
        <v>0</v>
      </c>
      <c r="J105" s="99" t="b">
        <v>0</v>
      </c>
      <c r="K105" s="99" t="b">
        <v>0</v>
      </c>
      <c r="L105" s="99" t="b">
        <v>0</v>
      </c>
      <c r="M105" s="99" t="b">
        <v>0</v>
      </c>
      <c r="N105" s="99" t="b">
        <v>0</v>
      </c>
      <c r="O105" s="99" t="b">
        <v>0</v>
      </c>
      <c r="P105" s="99" t="b">
        <v>0</v>
      </c>
      <c r="Q105" s="99" t="b">
        <v>0</v>
      </c>
      <c r="R105" s="14"/>
      <c r="S105" s="14"/>
      <c r="T105" s="14"/>
      <c r="U105" s="14"/>
      <c r="V105" s="14"/>
      <c r="W105" s="14"/>
    </row>
    <row r="106" ht="35.25" customHeight="1">
      <c r="A106" s="92" t="s">
        <v>5060</v>
      </c>
      <c r="B106" s="93" t="s">
        <v>5061</v>
      </c>
      <c r="C106" s="94" t="s">
        <v>5062</v>
      </c>
      <c r="D106" s="24" t="s">
        <v>5063</v>
      </c>
      <c r="E106" s="96" t="str">
        <f>IFERROR(__xludf.DUMMYFUNCTION("GOOGLETRANSLATE(D106,""zh-CN"",""vi"")"),"Nguyên liệu của món ăn này rất đơn giản.")</f>
        <v>Nguyên liệu của món ăn này rất đơn giản.</v>
      </c>
      <c r="F106" s="101" t="s">
        <v>5060</v>
      </c>
      <c r="G106" s="98" t="b">
        <f t="shared" si="1"/>
        <v>1</v>
      </c>
      <c r="H106" s="99" t="b">
        <v>1</v>
      </c>
      <c r="I106" s="99" t="b">
        <v>0</v>
      </c>
      <c r="J106" s="99" t="b">
        <v>0</v>
      </c>
      <c r="K106" s="99" t="b">
        <v>0</v>
      </c>
      <c r="L106" s="99" t="b">
        <v>0</v>
      </c>
      <c r="M106" s="99" t="b">
        <v>0</v>
      </c>
      <c r="N106" s="99" t="b">
        <v>0</v>
      </c>
      <c r="O106" s="99" t="b">
        <v>0</v>
      </c>
      <c r="P106" s="99" t="b">
        <v>0</v>
      </c>
      <c r="Q106" s="99" t="b">
        <v>0</v>
      </c>
      <c r="R106" s="14"/>
      <c r="S106" s="14"/>
      <c r="T106" s="14"/>
      <c r="U106" s="14"/>
      <c r="V106" s="14"/>
      <c r="W106" s="14"/>
    </row>
    <row r="107" ht="35.25" customHeight="1">
      <c r="A107" s="92" t="s">
        <v>5068</v>
      </c>
      <c r="B107" s="93" t="s">
        <v>5069</v>
      </c>
      <c r="C107" s="94" t="s">
        <v>5070</v>
      </c>
      <c r="D107" s="24" t="s">
        <v>5071</v>
      </c>
      <c r="E107" s="96" t="str">
        <f>IFERROR(__xludf.DUMMYFUNCTION("GOOGLETRANSLATE(D107,""zh-CN"",""vi"")"),"Chúng tôi đã đạt được những kết quả rất tốt.")</f>
        <v>Chúng tôi đã đạt được những kết quả rất tốt.</v>
      </c>
      <c r="F107" s="101" t="s">
        <v>5068</v>
      </c>
      <c r="G107" s="98" t="b">
        <f t="shared" si="1"/>
        <v>1</v>
      </c>
      <c r="H107" s="99" t="b">
        <v>1</v>
      </c>
      <c r="I107" s="99" t="b">
        <v>0</v>
      </c>
      <c r="J107" s="99" t="b">
        <v>0</v>
      </c>
      <c r="K107" s="99" t="b">
        <v>0</v>
      </c>
      <c r="L107" s="99" t="b">
        <v>0</v>
      </c>
      <c r="M107" s="99" t="b">
        <v>0</v>
      </c>
      <c r="N107" s="99" t="b">
        <v>0</v>
      </c>
      <c r="O107" s="99" t="b">
        <v>0</v>
      </c>
      <c r="P107" s="99" t="b">
        <v>0</v>
      </c>
      <c r="Q107" s="99" t="b">
        <v>0</v>
      </c>
      <c r="R107" s="14"/>
      <c r="S107" s="14"/>
      <c r="T107" s="14"/>
      <c r="U107" s="14"/>
      <c r="V107" s="14"/>
      <c r="W107" s="14"/>
    </row>
    <row r="108" ht="35.25" customHeight="1">
      <c r="A108" s="92" t="s">
        <v>5076</v>
      </c>
      <c r="B108" s="93" t="s">
        <v>5077</v>
      </c>
      <c r="C108" s="94" t="s">
        <v>5078</v>
      </c>
      <c r="D108" s="24" t="s">
        <v>5079</v>
      </c>
      <c r="E108" s="96" t="str">
        <f>IFERROR(__xludf.DUMMYFUNCTION("GOOGLETRANSLATE(D108,""zh-CN"",""vi"")"),"Những nỗ lực của ông đã mang lại thành công to lớn.")</f>
        <v>Những nỗ lực của ông đã mang lại thành công to lớn.</v>
      </c>
      <c r="F108" s="101" t="s">
        <v>5076</v>
      </c>
      <c r="G108" s="98" t="b">
        <f t="shared" si="1"/>
        <v>1</v>
      </c>
      <c r="H108" s="99" t="b">
        <v>1</v>
      </c>
      <c r="I108" s="99" t="b">
        <v>0</v>
      </c>
      <c r="J108" s="99" t="b">
        <v>0</v>
      </c>
      <c r="K108" s="99" t="b">
        <v>0</v>
      </c>
      <c r="L108" s="99" t="b">
        <v>0</v>
      </c>
      <c r="M108" s="99" t="b">
        <v>0</v>
      </c>
      <c r="N108" s="99" t="b">
        <v>0</v>
      </c>
      <c r="O108" s="99" t="b">
        <v>0</v>
      </c>
      <c r="P108" s="99" t="b">
        <v>0</v>
      </c>
      <c r="Q108" s="99" t="b">
        <v>0</v>
      </c>
      <c r="R108" s="14"/>
      <c r="S108" s="14"/>
      <c r="T108" s="14"/>
      <c r="U108" s="14"/>
      <c r="V108" s="14"/>
      <c r="W108" s="14"/>
    </row>
    <row r="109" ht="35.25" customHeight="1">
      <c r="A109" s="92" t="s">
        <v>5084</v>
      </c>
      <c r="B109" s="93" t="s">
        <v>5085</v>
      </c>
      <c r="C109" s="94" t="s">
        <v>5086</v>
      </c>
      <c r="D109" s="24" t="s">
        <v>5087</v>
      </c>
      <c r="E109" s="96" t="str">
        <f>IFERROR(__xludf.DUMMYFUNCTION("GOOGLETRANSLATE(D109,""zh-CN"",""vi"")"),"Công ty này vừa mới được thành lập.")</f>
        <v>Công ty này vừa mới được thành lập.</v>
      </c>
      <c r="F109" s="101" t="s">
        <v>5084</v>
      </c>
      <c r="G109" s="98" t="b">
        <f t="shared" si="1"/>
        <v>1</v>
      </c>
      <c r="H109" s="99" t="b">
        <v>1</v>
      </c>
      <c r="I109" s="99" t="b">
        <v>0</v>
      </c>
      <c r="J109" s="99" t="b">
        <v>0</v>
      </c>
      <c r="K109" s="99" t="b">
        <v>0</v>
      </c>
      <c r="L109" s="99" t="b">
        <v>0</v>
      </c>
      <c r="M109" s="99" t="b">
        <v>0</v>
      </c>
      <c r="N109" s="99" t="b">
        <v>0</v>
      </c>
      <c r="O109" s="99" t="b">
        <v>0</v>
      </c>
      <c r="P109" s="99" t="b">
        <v>0</v>
      </c>
      <c r="Q109" s="99" t="b">
        <v>0</v>
      </c>
      <c r="R109" s="14"/>
      <c r="S109" s="14"/>
      <c r="T109" s="14"/>
      <c r="U109" s="14"/>
      <c r="V109" s="14"/>
      <c r="W109" s="14"/>
    </row>
    <row r="110" ht="35.25" customHeight="1">
      <c r="A110" s="92" t="s">
        <v>5092</v>
      </c>
      <c r="B110" s="93" t="s">
        <v>5093</v>
      </c>
      <c r="C110" s="94" t="s">
        <v>5094</v>
      </c>
      <c r="D110" s="24" t="s">
        <v>5095</v>
      </c>
      <c r="E110" s="96" t="str">
        <f>IFERROR(__xludf.DUMMYFUNCTION("GOOGLETRANSLATE(D110,""zh-CN"",""vi"")"),"Ngoại trừ cô con gái út, tất cả những người con khác đều đã trưởng thành.")</f>
        <v>Ngoại trừ cô con gái út, tất cả những người con khác đều đã trưởng thành.</v>
      </c>
      <c r="F110" s="101" t="s">
        <v>5092</v>
      </c>
      <c r="G110" s="98" t="b">
        <f t="shared" si="1"/>
        <v>1</v>
      </c>
      <c r="H110" s="99" t="b">
        <v>1</v>
      </c>
      <c r="I110" s="99" t="b">
        <v>0</v>
      </c>
      <c r="J110" s="99" t="b">
        <v>0</v>
      </c>
      <c r="K110" s="99" t="b">
        <v>0</v>
      </c>
      <c r="L110" s="99" t="b">
        <v>0</v>
      </c>
      <c r="M110" s="99" t="b">
        <v>0</v>
      </c>
      <c r="N110" s="99" t="b">
        <v>0</v>
      </c>
      <c r="O110" s="99" t="b">
        <v>0</v>
      </c>
      <c r="P110" s="99" t="b">
        <v>0</v>
      </c>
      <c r="Q110" s="99" t="b">
        <v>0</v>
      </c>
      <c r="R110" s="14"/>
      <c r="S110" s="14"/>
      <c r="T110" s="14"/>
      <c r="U110" s="14"/>
      <c r="V110" s="14"/>
      <c r="W110" s="14"/>
    </row>
    <row r="111" ht="35.25" customHeight="1">
      <c r="A111" s="92" t="s">
        <v>5100</v>
      </c>
      <c r="B111" s="93" t="s">
        <v>5101</v>
      </c>
      <c r="C111" s="94" t="s">
        <v>5102</v>
      </c>
      <c r="D111" s="24" t="s">
        <v>5103</v>
      </c>
      <c r="E111" s="96" t="str">
        <f>IFERROR(__xludf.DUMMYFUNCTION("GOOGLETRANSLATE(D111,""zh-CN"",""vi"")"),"Cô ấy rất chín chắn và giải quyết vấn đề một cách bình tĩnh.")</f>
        <v>Cô ấy rất chín chắn và giải quyết vấn đề một cách bình tĩnh.</v>
      </c>
      <c r="F111" s="101" t="s">
        <v>5100</v>
      </c>
      <c r="G111" s="98" t="b">
        <f t="shared" si="1"/>
        <v>1</v>
      </c>
      <c r="H111" s="99" t="b">
        <v>1</v>
      </c>
      <c r="I111" s="99" t="b">
        <v>0</v>
      </c>
      <c r="J111" s="99" t="b">
        <v>0</v>
      </c>
      <c r="K111" s="99" t="b">
        <v>0</v>
      </c>
      <c r="L111" s="99" t="b">
        <v>0</v>
      </c>
      <c r="M111" s="99" t="b">
        <v>0</v>
      </c>
      <c r="N111" s="99" t="b">
        <v>0</v>
      </c>
      <c r="O111" s="99" t="b">
        <v>0</v>
      </c>
      <c r="P111" s="99" t="b">
        <v>0</v>
      </c>
      <c r="Q111" s="99" t="b">
        <v>0</v>
      </c>
      <c r="R111" s="14"/>
      <c r="S111" s="14"/>
      <c r="T111" s="14"/>
      <c r="U111" s="14"/>
      <c r="V111" s="14"/>
      <c r="W111" s="14"/>
    </row>
    <row r="112" ht="35.25" customHeight="1">
      <c r="A112" s="92" t="s">
        <v>5108</v>
      </c>
      <c r="B112" s="93" t="s">
        <v>5109</v>
      </c>
      <c r="C112" s="94" t="s">
        <v>5110</v>
      </c>
      <c r="D112" s="24" t="s">
        <v>5111</v>
      </c>
      <c r="E112" s="96" t="str">
        <f>IFERROR(__xludf.DUMMYFUNCTION("GOOGLETRANSLATE(D112,""zh-CN"",""vi"")"),"Đây là một thành ngữ, và nó khá thú vị.")</f>
        <v>Đây là một thành ngữ, và nó khá thú vị.</v>
      </c>
      <c r="F112" s="101" t="s">
        <v>5108</v>
      </c>
      <c r="G112" s="98" t="b">
        <f t="shared" si="1"/>
        <v>1</v>
      </c>
      <c r="H112" s="99" t="b">
        <v>1</v>
      </c>
      <c r="I112" s="99" t="b">
        <v>0</v>
      </c>
      <c r="J112" s="99" t="b">
        <v>0</v>
      </c>
      <c r="K112" s="99" t="b">
        <v>0</v>
      </c>
      <c r="L112" s="99" t="b">
        <v>0</v>
      </c>
      <c r="M112" s="99" t="b">
        <v>0</v>
      </c>
      <c r="N112" s="99" t="b">
        <v>0</v>
      </c>
      <c r="O112" s="99" t="b">
        <v>0</v>
      </c>
      <c r="P112" s="99" t="b">
        <v>0</v>
      </c>
      <c r="Q112" s="99" t="b">
        <v>0</v>
      </c>
      <c r="R112" s="14"/>
      <c r="S112" s="14"/>
      <c r="T112" s="14"/>
      <c r="U112" s="14"/>
      <c r="V112" s="14"/>
      <c r="W112" s="14"/>
    </row>
    <row r="113" ht="35.25" customHeight="1">
      <c r="A113" s="92" t="s">
        <v>5112</v>
      </c>
      <c r="B113" s="93" t="s">
        <v>5113</v>
      </c>
      <c r="C113" s="94" t="s">
        <v>5114</v>
      </c>
      <c r="D113" s="24" t="s">
        <v>5115</v>
      </c>
      <c r="E113" s="96" t="str">
        <f>IFERROR(__xludf.DUMMYFUNCTION("GOOGLETRANSLATE(D113,""zh-CN"",""vi"")"),"Các em nhỏ đang lớn lên khỏe mạnh.")</f>
        <v>Các em nhỏ đang lớn lên khỏe mạnh.</v>
      </c>
      <c r="F113" s="101" t="s">
        <v>5112</v>
      </c>
      <c r="G113" s="98" t="b">
        <f t="shared" si="1"/>
        <v>1</v>
      </c>
      <c r="H113" s="99" t="b">
        <v>1</v>
      </c>
      <c r="I113" s="99" t="b">
        <v>0</v>
      </c>
      <c r="J113" s="99" t="b">
        <v>0</v>
      </c>
      <c r="K113" s="99" t="b">
        <v>0</v>
      </c>
      <c r="L113" s="99" t="b">
        <v>0</v>
      </c>
      <c r="M113" s="99" t="b">
        <v>0</v>
      </c>
      <c r="N113" s="99" t="b">
        <v>0</v>
      </c>
      <c r="O113" s="99" t="b">
        <v>0</v>
      </c>
      <c r="P113" s="99" t="b">
        <v>0</v>
      </c>
      <c r="Q113" s="99" t="b">
        <v>0</v>
      </c>
      <c r="R113" s="14"/>
      <c r="S113" s="14"/>
      <c r="T113" s="14"/>
      <c r="U113" s="14"/>
      <c r="V113" s="14"/>
      <c r="W113" s="14"/>
    </row>
    <row r="114" ht="35.25" customHeight="1">
      <c r="A114" s="92" t="s">
        <v>5116</v>
      </c>
      <c r="B114" s="93" t="s">
        <v>5117</v>
      </c>
      <c r="C114" s="94" t="s">
        <v>5118</v>
      </c>
      <c r="D114" s="24" t="s">
        <v>5119</v>
      </c>
      <c r="E114" s="96" t="str">
        <f>IFERROR(__xludf.DUMMYFUNCTION("GOOGLETRANSLATE(D114,""zh-CN"",""vi"")"),"Ông ấy nói rất chân thành.")</f>
        <v>Ông ấy nói rất chân thành.</v>
      </c>
      <c r="F114" s="101" t="s">
        <v>5116</v>
      </c>
      <c r="G114" s="98" t="b">
        <f t="shared" si="1"/>
        <v>1</v>
      </c>
      <c r="H114" s="99" t="b">
        <v>1</v>
      </c>
      <c r="I114" s="99" t="b">
        <v>0</v>
      </c>
      <c r="J114" s="99" t="b">
        <v>0</v>
      </c>
      <c r="K114" s="99" t="b">
        <v>0</v>
      </c>
      <c r="L114" s="99" t="b">
        <v>0</v>
      </c>
      <c r="M114" s="99" t="b">
        <v>0</v>
      </c>
      <c r="N114" s="99" t="b">
        <v>0</v>
      </c>
      <c r="O114" s="99" t="b">
        <v>0</v>
      </c>
      <c r="P114" s="99" t="b">
        <v>0</v>
      </c>
      <c r="Q114" s="99" t="b">
        <v>0</v>
      </c>
      <c r="R114" s="14"/>
      <c r="S114" s="14"/>
      <c r="T114" s="14"/>
      <c r="U114" s="14"/>
      <c r="V114" s="14"/>
      <c r="W114" s="14"/>
    </row>
    <row r="115" ht="35.25" customHeight="1">
      <c r="A115" s="92" t="s">
        <v>5120</v>
      </c>
      <c r="B115" s="93" t="s">
        <v>5121</v>
      </c>
      <c r="C115" s="94" t="s">
        <v>5122</v>
      </c>
      <c r="D115" s="24" t="s">
        <v>5123</v>
      </c>
      <c r="E115" s="96" t="str">
        <f>IFERROR(__xludf.DUMMYFUNCTION("GOOGLETRANSLATE(D115,""zh-CN"",""vi"")"),"Chúng ta cần gánh vác nhiều trách nhiệm hơn.")</f>
        <v>Chúng ta cần gánh vác nhiều trách nhiệm hơn.</v>
      </c>
      <c r="F115" s="101" t="s">
        <v>5120</v>
      </c>
      <c r="G115" s="98" t="b">
        <f t="shared" si="1"/>
        <v>1</v>
      </c>
      <c r="H115" s="99" t="b">
        <v>1</v>
      </c>
      <c r="I115" s="99" t="b">
        <v>0</v>
      </c>
      <c r="J115" s="99" t="b">
        <v>0</v>
      </c>
      <c r="K115" s="99" t="b">
        <v>0</v>
      </c>
      <c r="L115" s="99" t="b">
        <v>0</v>
      </c>
      <c r="M115" s="99" t="b">
        <v>0</v>
      </c>
      <c r="N115" s="99" t="b">
        <v>0</v>
      </c>
      <c r="O115" s="99" t="b">
        <v>0</v>
      </c>
      <c r="P115" s="99" t="b">
        <v>0</v>
      </c>
      <c r="Q115" s="99" t="b">
        <v>0</v>
      </c>
      <c r="R115" s="14"/>
      <c r="S115" s="14"/>
      <c r="T115" s="14"/>
      <c r="U115" s="14"/>
      <c r="V115" s="14"/>
      <c r="W115" s="14"/>
    </row>
    <row r="116" ht="35.25" customHeight="1">
      <c r="A116" s="92" t="s">
        <v>5124</v>
      </c>
      <c r="B116" s="93" t="s">
        <v>5125</v>
      </c>
      <c r="C116" s="94" t="s">
        <v>5126</v>
      </c>
      <c r="D116" s="24" t="s">
        <v>5127</v>
      </c>
      <c r="E116" s="96" t="str">
        <f>IFERROR(__xludf.DUMMYFUNCTION("GOOGLETRANSLATE(D116,""zh-CN"",""vi"")"),"Tôi thừa nhận mình đã phạm sai lầm.")</f>
        <v>Tôi thừa nhận mình đã phạm sai lầm.</v>
      </c>
      <c r="F116" s="101" t="s">
        <v>5124</v>
      </c>
      <c r="G116" s="98" t="b">
        <f t="shared" si="1"/>
        <v>1</v>
      </c>
      <c r="H116" s="99" t="b">
        <v>1</v>
      </c>
      <c r="I116" s="99" t="b">
        <v>0</v>
      </c>
      <c r="J116" s="99" t="b">
        <v>0</v>
      </c>
      <c r="K116" s="99" t="b">
        <v>0</v>
      </c>
      <c r="L116" s="99" t="b">
        <v>0</v>
      </c>
      <c r="M116" s="99" t="b">
        <v>0</v>
      </c>
      <c r="N116" s="99" t="b">
        <v>0</v>
      </c>
      <c r="O116" s="99" t="b">
        <v>0</v>
      </c>
      <c r="P116" s="99" t="b">
        <v>0</v>
      </c>
      <c r="Q116" s="99" t="b">
        <v>0</v>
      </c>
      <c r="R116" s="14"/>
      <c r="S116" s="14"/>
      <c r="T116" s="14"/>
      <c r="U116" s="14"/>
      <c r="V116" s="14"/>
      <c r="W116" s="14"/>
    </row>
    <row r="117" ht="35.25" customHeight="1">
      <c r="A117" s="92" t="s">
        <v>5128</v>
      </c>
      <c r="B117" s="93" t="s">
        <v>5129</v>
      </c>
      <c r="C117" s="94" t="s">
        <v>5130</v>
      </c>
      <c r="D117" s="24" t="s">
        <v>5131</v>
      </c>
      <c r="E117" s="96" t="str">
        <f>IFERROR(__xludf.DUMMYFUNCTION("GOOGLETRANSLATE(D117,""zh-CN"",""vi"")"),"Anh ấy có thể chịu đựng được rất nhiều áp lực.")</f>
        <v>Anh ấy có thể chịu đựng được rất nhiều áp lực.</v>
      </c>
      <c r="F117" s="101" t="s">
        <v>5128</v>
      </c>
      <c r="G117" s="98" t="b">
        <f t="shared" si="1"/>
        <v>1</v>
      </c>
      <c r="H117" s="99" t="b">
        <v>1</v>
      </c>
      <c r="I117" s="99" t="b">
        <v>0</v>
      </c>
      <c r="J117" s="99" t="b">
        <v>0</v>
      </c>
      <c r="K117" s="99" t="b">
        <v>0</v>
      </c>
      <c r="L117" s="99" t="b">
        <v>0</v>
      </c>
      <c r="M117" s="99" t="b">
        <v>0</v>
      </c>
      <c r="N117" s="99" t="b">
        <v>0</v>
      </c>
      <c r="O117" s="99" t="b">
        <v>0</v>
      </c>
      <c r="P117" s="99" t="b">
        <v>0</v>
      </c>
      <c r="Q117" s="99" t="b">
        <v>0</v>
      </c>
      <c r="R117" s="14"/>
      <c r="S117" s="14"/>
      <c r="T117" s="14"/>
      <c r="U117" s="14"/>
      <c r="V117" s="14"/>
      <c r="W117" s="14"/>
    </row>
    <row r="118" ht="35.25" customHeight="1">
      <c r="A118" s="92" t="s">
        <v>5132</v>
      </c>
      <c r="B118" s="93" t="s">
        <v>5133</v>
      </c>
      <c r="C118" s="94" t="s">
        <v>2853</v>
      </c>
      <c r="D118" s="24" t="s">
        <v>5134</v>
      </c>
      <c r="E118" s="96" t="str">
        <f>IFERROR(__xludf.DUMMYFUNCTION("GOOGLETRANSLATE(D118,""zh-CN"",""vi"")"),"Vấn đề này rất khó.")</f>
        <v>Vấn đề này rất khó.</v>
      </c>
      <c r="F118" s="101" t="s">
        <v>5132</v>
      </c>
      <c r="G118" s="98" t="b">
        <f t="shared" si="1"/>
        <v>1</v>
      </c>
      <c r="H118" s="99" t="b">
        <v>1</v>
      </c>
      <c r="I118" s="99" t="b">
        <v>0</v>
      </c>
      <c r="J118" s="99" t="b">
        <v>0</v>
      </c>
      <c r="K118" s="99" t="b">
        <v>0</v>
      </c>
      <c r="L118" s="99" t="b">
        <v>0</v>
      </c>
      <c r="M118" s="99" t="b">
        <v>0</v>
      </c>
      <c r="N118" s="99" t="b">
        <v>0</v>
      </c>
      <c r="O118" s="99" t="b">
        <v>0</v>
      </c>
      <c r="P118" s="99" t="b">
        <v>0</v>
      </c>
      <c r="Q118" s="99" t="b">
        <v>0</v>
      </c>
      <c r="R118" s="14"/>
      <c r="S118" s="14"/>
      <c r="T118" s="14"/>
      <c r="U118" s="14"/>
      <c r="V118" s="14"/>
      <c r="W118" s="14"/>
    </row>
    <row r="119" ht="35.25" customHeight="1">
      <c r="A119" s="92" t="s">
        <v>5135</v>
      </c>
      <c r="B119" s="93" t="s">
        <v>5136</v>
      </c>
      <c r="C119" s="94" t="s">
        <v>5137</v>
      </c>
      <c r="D119" s="24" t="s">
        <v>5138</v>
      </c>
      <c r="E119" s="96" t="str">
        <f>IFERROR(__xludf.DUMMYFUNCTION("GOOGLETRANSLATE(D119,""zh-CN"",""vi"")"),"Chúng tôi đã phát hiện một số lỗi trong chương trình.")</f>
        <v>Chúng tôi đã phát hiện một số lỗi trong chương trình.</v>
      </c>
      <c r="F119" s="101" t="s">
        <v>5135</v>
      </c>
      <c r="G119" s="98" t="b">
        <f t="shared" si="1"/>
        <v>1</v>
      </c>
      <c r="H119" s="99" t="b">
        <v>1</v>
      </c>
      <c r="I119" s="99" t="b">
        <v>0</v>
      </c>
      <c r="J119" s="99" t="b">
        <v>0</v>
      </c>
      <c r="K119" s="99" t="b">
        <v>0</v>
      </c>
      <c r="L119" s="99" t="b">
        <v>0</v>
      </c>
      <c r="M119" s="99" t="b">
        <v>0</v>
      </c>
      <c r="N119" s="99" t="b">
        <v>0</v>
      </c>
      <c r="O119" s="99" t="b">
        <v>0</v>
      </c>
      <c r="P119" s="99" t="b">
        <v>0</v>
      </c>
      <c r="Q119" s="99" t="b">
        <v>0</v>
      </c>
      <c r="R119" s="14"/>
      <c r="S119" s="14"/>
      <c r="T119" s="14"/>
      <c r="U119" s="14"/>
      <c r="V119" s="14"/>
      <c r="W119" s="14"/>
    </row>
    <row r="120" ht="35.25" customHeight="1">
      <c r="A120" s="92" t="s">
        <v>5139</v>
      </c>
      <c r="B120" s="93" t="s">
        <v>5140</v>
      </c>
      <c r="C120" s="94" t="s">
        <v>5141</v>
      </c>
      <c r="D120" s="24" t="s">
        <v>5142</v>
      </c>
      <c r="E120" s="96" t="str">
        <f>IFERROR(__xludf.DUMMYFUNCTION("GOOGLETRANSLATE(D120,""zh-CN"",""vi"")"),"Tôi đã thua trong cuộc thi này.")</f>
        <v>Tôi đã thua trong cuộc thi này.</v>
      </c>
      <c r="F120" s="101" t="s">
        <v>5139</v>
      </c>
      <c r="G120" s="98" t="b">
        <f t="shared" si="1"/>
        <v>1</v>
      </c>
      <c r="H120" s="99" t="b">
        <v>1</v>
      </c>
      <c r="I120" s="99" t="b">
        <v>0</v>
      </c>
      <c r="J120" s="99" t="b">
        <v>0</v>
      </c>
      <c r="K120" s="99" t="b">
        <v>0</v>
      </c>
      <c r="L120" s="99" t="b">
        <v>0</v>
      </c>
      <c r="M120" s="99" t="b">
        <v>0</v>
      </c>
      <c r="N120" s="99" t="b">
        <v>0</v>
      </c>
      <c r="O120" s="99" t="b">
        <v>0</v>
      </c>
      <c r="P120" s="99" t="b">
        <v>0</v>
      </c>
      <c r="Q120" s="99" t="b">
        <v>0</v>
      </c>
      <c r="R120" s="14"/>
      <c r="S120" s="14"/>
      <c r="T120" s="14"/>
      <c r="U120" s="14"/>
      <c r="V120" s="14"/>
      <c r="W120" s="14"/>
    </row>
    <row r="121" ht="35.25" customHeight="1">
      <c r="A121" s="92" t="s">
        <v>5143</v>
      </c>
      <c r="B121" s="93" t="s">
        <v>5144</v>
      </c>
      <c r="C121" s="94" t="s">
        <v>5145</v>
      </c>
      <c r="D121" s="24" t="s">
        <v>5146</v>
      </c>
      <c r="E121" s="96" t="str">
        <f>IFERROR(__xludf.DUMMYFUNCTION("GOOGLETRANSLATE(D121,""zh-CN"",""vi"")"),"Trong ao có rất nhiều cá.")</f>
        <v>Trong ao có rất nhiều cá.</v>
      </c>
      <c r="F121" s="101" t="s">
        <v>5143</v>
      </c>
      <c r="G121" s="98" t="b">
        <f t="shared" si="1"/>
        <v>1</v>
      </c>
      <c r="H121" s="99" t="b">
        <v>1</v>
      </c>
      <c r="I121" s="99" t="b">
        <v>0</v>
      </c>
      <c r="J121" s="99" t="b">
        <v>0</v>
      </c>
      <c r="K121" s="99" t="b">
        <v>0</v>
      </c>
      <c r="L121" s="99" t="b">
        <v>0</v>
      </c>
      <c r="M121" s="99" t="b">
        <v>0</v>
      </c>
      <c r="N121" s="99" t="b">
        <v>0</v>
      </c>
      <c r="O121" s="99" t="b">
        <v>0</v>
      </c>
      <c r="P121" s="99" t="b">
        <v>0</v>
      </c>
      <c r="Q121" s="99" t="b">
        <v>0</v>
      </c>
      <c r="R121" s="14"/>
      <c r="S121" s="14"/>
      <c r="T121" s="14"/>
      <c r="U121" s="14"/>
      <c r="V121" s="14"/>
      <c r="W121" s="14"/>
    </row>
    <row r="122" ht="35.25" customHeight="1">
      <c r="A122" s="92" t="s">
        <v>5147</v>
      </c>
      <c r="B122" s="93" t="s">
        <v>5148</v>
      </c>
      <c r="C122" s="94" t="s">
        <v>5149</v>
      </c>
      <c r="D122" s="24" t="s">
        <v>5150</v>
      </c>
      <c r="E122" s="96" t="str">
        <f>IFERROR(__xludf.DUMMYFUNCTION("GOOGLETRANSLATE(D122,""zh-CN"",""vi"")"),"Chúng ta sẽ tìm ra giải pháp sớm muộn gì thôi.")</f>
        <v>Chúng ta sẽ tìm ra giải pháp sớm muộn gì thôi.</v>
      </c>
      <c r="F122" s="101" t="s">
        <v>5147</v>
      </c>
      <c r="G122" s="98" t="b">
        <f t="shared" si="1"/>
        <v>1</v>
      </c>
      <c r="H122" s="99" t="b">
        <v>1</v>
      </c>
      <c r="I122" s="99" t="b">
        <v>0</v>
      </c>
      <c r="J122" s="99" t="b">
        <v>0</v>
      </c>
      <c r="K122" s="99" t="b">
        <v>0</v>
      </c>
      <c r="L122" s="99" t="b">
        <v>0</v>
      </c>
      <c r="M122" s="99" t="b">
        <v>0</v>
      </c>
      <c r="N122" s="99" t="b">
        <v>0</v>
      </c>
      <c r="O122" s="99" t="b">
        <v>0</v>
      </c>
      <c r="P122" s="99" t="b">
        <v>0</v>
      </c>
      <c r="Q122" s="99" t="b">
        <v>0</v>
      </c>
      <c r="R122" s="14"/>
      <c r="S122" s="14"/>
      <c r="T122" s="14"/>
      <c r="U122" s="14"/>
      <c r="V122" s="14"/>
      <c r="W122" s="14"/>
    </row>
    <row r="123" ht="35.25" customHeight="1">
      <c r="A123" s="92" t="s">
        <v>5151</v>
      </c>
      <c r="B123" s="93" t="s">
        <v>5152</v>
      </c>
      <c r="C123" s="94" t="s">
        <v>5153</v>
      </c>
      <c r="D123" s="24" t="s">
        <v>5154</v>
      </c>
      <c r="E123" s="96" t="str">
        <f>IFERROR(__xludf.DUMMYFUNCTION("GOOGLETRANSLATE(D123,""zh-CN"",""vi"")"),"Vấn đề này cần được tiếp tục quan tâm.")</f>
        <v>Vấn đề này cần được tiếp tục quan tâm.</v>
      </c>
      <c r="F123" s="101" t="s">
        <v>5151</v>
      </c>
      <c r="G123" s="98" t="b">
        <f t="shared" si="1"/>
        <v>1</v>
      </c>
      <c r="H123" s="99" t="b">
        <v>1</v>
      </c>
      <c r="I123" s="99" t="b">
        <v>0</v>
      </c>
      <c r="J123" s="99" t="b">
        <v>0</v>
      </c>
      <c r="K123" s="99" t="b">
        <v>0</v>
      </c>
      <c r="L123" s="99" t="b">
        <v>0</v>
      </c>
      <c r="M123" s="99" t="b">
        <v>0</v>
      </c>
      <c r="N123" s="99" t="b">
        <v>0</v>
      </c>
      <c r="O123" s="99" t="b">
        <v>0</v>
      </c>
      <c r="P123" s="99" t="b">
        <v>0</v>
      </c>
      <c r="Q123" s="99" t="b">
        <v>0</v>
      </c>
      <c r="R123" s="14"/>
      <c r="S123" s="14"/>
      <c r="T123" s="14"/>
      <c r="U123" s="14"/>
      <c r="V123" s="14"/>
      <c r="W123" s="14"/>
    </row>
    <row r="124" ht="35.25" customHeight="1">
      <c r="A124" s="92" t="s">
        <v>5155</v>
      </c>
      <c r="B124" s="93" t="s">
        <v>5156</v>
      </c>
      <c r="C124" s="94" t="s">
        <v>5157</v>
      </c>
      <c r="D124" s="24" t="s">
        <v>5158</v>
      </c>
      <c r="E124" s="96" t="str">
        <f>IFERROR(__xludf.DUMMYFUNCTION("GOOGLETRANSLATE(D124,""zh-CN"",""vi"")"),"Vui lòng đo chiều dài bằng thước kẻ.")</f>
        <v>Vui lòng đo chiều dài bằng thước kẻ.</v>
      </c>
      <c r="F124" s="101" t="s">
        <v>5155</v>
      </c>
      <c r="G124" s="98" t="b">
        <f t="shared" si="1"/>
        <v>1</v>
      </c>
      <c r="H124" s="99" t="b">
        <v>1</v>
      </c>
      <c r="I124" s="99" t="b">
        <v>0</v>
      </c>
      <c r="J124" s="99" t="b">
        <v>0</v>
      </c>
      <c r="K124" s="99" t="b">
        <v>0</v>
      </c>
      <c r="L124" s="99" t="b">
        <v>0</v>
      </c>
      <c r="M124" s="99" t="b">
        <v>0</v>
      </c>
      <c r="N124" s="99" t="b">
        <v>0</v>
      </c>
      <c r="O124" s="99" t="b">
        <v>0</v>
      </c>
      <c r="P124" s="99" t="b">
        <v>0</v>
      </c>
      <c r="Q124" s="99" t="b">
        <v>0</v>
      </c>
      <c r="R124" s="14"/>
      <c r="S124" s="14"/>
      <c r="T124" s="14"/>
      <c r="U124" s="14"/>
      <c r="V124" s="14"/>
      <c r="W124" s="14"/>
    </row>
    <row r="125" ht="35.25" customHeight="1">
      <c r="A125" s="92" t="s">
        <v>5159</v>
      </c>
      <c r="B125" s="93" t="s">
        <v>5160</v>
      </c>
      <c r="C125" s="94" t="s">
        <v>5161</v>
      </c>
      <c r="D125" s="24" t="s">
        <v>5162</v>
      </c>
      <c r="E125" s="96" t="str">
        <f>IFERROR(__xludf.DUMMYFUNCTION("GOOGLETRANSLATE(D125,""zh-CN"",""vi"")"),"Đôi cánh của con chim thật đẹp.")</f>
        <v>Đôi cánh của con chim thật đẹp.</v>
      </c>
      <c r="F125" s="101" t="s">
        <v>5159</v>
      </c>
      <c r="G125" s="98" t="b">
        <f t="shared" si="1"/>
        <v>1</v>
      </c>
      <c r="H125" s="99" t="b">
        <v>1</v>
      </c>
      <c r="I125" s="99" t="b">
        <v>0</v>
      </c>
      <c r="J125" s="99" t="b">
        <v>0</v>
      </c>
      <c r="K125" s="99" t="b">
        <v>0</v>
      </c>
      <c r="L125" s="99" t="b">
        <v>0</v>
      </c>
      <c r="M125" s="99" t="b">
        <v>0</v>
      </c>
      <c r="N125" s="99" t="b">
        <v>0</v>
      </c>
      <c r="O125" s="99" t="b">
        <v>0</v>
      </c>
      <c r="P125" s="99" t="b">
        <v>0</v>
      </c>
      <c r="Q125" s="99" t="b">
        <v>0</v>
      </c>
      <c r="R125" s="14"/>
      <c r="S125" s="14"/>
      <c r="T125" s="14"/>
      <c r="U125" s="14"/>
      <c r="V125" s="14"/>
      <c r="W125" s="14"/>
    </row>
    <row r="126" ht="35.25" customHeight="1">
      <c r="A126" s="92" t="s">
        <v>5163</v>
      </c>
      <c r="B126" s="93" t="s">
        <v>5164</v>
      </c>
      <c r="C126" s="94" t="s">
        <v>5165</v>
      </c>
      <c r="D126" s="24" t="s">
        <v>5166</v>
      </c>
      <c r="E126" s="96" t="str">
        <f>IFERROR(__xludf.DUMMYFUNCTION("GOOGLETRANSLATE(D126,""zh-CN"",""vi"")"),"Họ đang tăng tốc về đích.")</f>
        <v>Họ đang tăng tốc về đích.</v>
      </c>
      <c r="F126" s="101" t="s">
        <v>5163</v>
      </c>
      <c r="G126" s="98" t="b">
        <f t="shared" si="1"/>
        <v>1</v>
      </c>
      <c r="H126" s="99" t="b">
        <v>1</v>
      </c>
      <c r="I126" s="99" t="b">
        <v>0</v>
      </c>
      <c r="J126" s="99" t="b">
        <v>0</v>
      </c>
      <c r="K126" s="99" t="b">
        <v>0</v>
      </c>
      <c r="L126" s="99" t="b">
        <v>0</v>
      </c>
      <c r="M126" s="99" t="b">
        <v>0</v>
      </c>
      <c r="N126" s="99" t="b">
        <v>0</v>
      </c>
      <c r="O126" s="99" t="b">
        <v>0</v>
      </c>
      <c r="P126" s="99" t="b">
        <v>0</v>
      </c>
      <c r="Q126" s="99" t="b">
        <v>0</v>
      </c>
      <c r="R126" s="14"/>
      <c r="S126" s="14"/>
      <c r="T126" s="14"/>
      <c r="U126" s="14"/>
      <c r="V126" s="14"/>
      <c r="W126" s="14"/>
    </row>
    <row r="127" ht="35.25" customHeight="1">
      <c r="A127" s="92" t="s">
        <v>5167</v>
      </c>
      <c r="B127" s="93" t="s">
        <v>5168</v>
      </c>
      <c r="C127" s="94" t="s">
        <v>5169</v>
      </c>
      <c r="D127" s="24" t="s">
        <v>5170</v>
      </c>
      <c r="E127" s="96" t="str">
        <f>IFERROR(__xludf.DUMMYFUNCTION("GOOGLETRANSLATE(D127,""zh-CN"",""vi"")"),"Kế hoạch này đã xem xét đầy đủ tất cả các yếu tố.")</f>
        <v>Kế hoạch này đã xem xét đầy đủ tất cả các yếu tố.</v>
      </c>
      <c r="F127" s="101" t="s">
        <v>5167</v>
      </c>
      <c r="G127" s="98" t="b">
        <f t="shared" si="1"/>
        <v>1</v>
      </c>
      <c r="H127" s="99" t="b">
        <v>1</v>
      </c>
      <c r="I127" s="99" t="b">
        <v>0</v>
      </c>
      <c r="J127" s="99" t="b">
        <v>0</v>
      </c>
      <c r="K127" s="99" t="b">
        <v>0</v>
      </c>
      <c r="L127" s="99" t="b">
        <v>0</v>
      </c>
      <c r="M127" s="99" t="b">
        <v>0</v>
      </c>
      <c r="N127" s="99" t="b">
        <v>0</v>
      </c>
      <c r="O127" s="99" t="b">
        <v>0</v>
      </c>
      <c r="P127" s="99" t="b">
        <v>0</v>
      </c>
      <c r="Q127" s="99" t="b">
        <v>0</v>
      </c>
      <c r="R127" s="14"/>
      <c r="S127" s="14"/>
      <c r="T127" s="14"/>
      <c r="U127" s="14"/>
      <c r="V127" s="14"/>
      <c r="W127" s="14"/>
    </row>
    <row r="128" ht="35.25" customHeight="1">
      <c r="A128" s="92" t="s">
        <v>5171</v>
      </c>
      <c r="B128" s="93" t="s">
        <v>5172</v>
      </c>
      <c r="C128" s="94" t="s">
        <v>5173</v>
      </c>
      <c r="D128" s="24" t="s">
        <v>5174</v>
      </c>
      <c r="E128" s="96" t="str">
        <f>IFERROR(__xludf.DUMMYFUNCTION("GOOGLETRANSLATE(D128,""zh-CN"",""vi"")"),"Căn phòng tràn ngập ánh sáng ấm áp.")</f>
        <v>Căn phòng tràn ngập ánh sáng ấm áp.</v>
      </c>
      <c r="F128" s="101" t="s">
        <v>5171</v>
      </c>
      <c r="G128" s="98" t="b">
        <f t="shared" si="1"/>
        <v>1</v>
      </c>
      <c r="H128" s="99" t="b">
        <v>1</v>
      </c>
      <c r="I128" s="99" t="b">
        <v>0</v>
      </c>
      <c r="J128" s="99" t="b">
        <v>0</v>
      </c>
      <c r="K128" s="99" t="b">
        <v>0</v>
      </c>
      <c r="L128" s="99" t="b">
        <v>0</v>
      </c>
      <c r="M128" s="99" t="b">
        <v>0</v>
      </c>
      <c r="N128" s="99" t="b">
        <v>0</v>
      </c>
      <c r="O128" s="99" t="b">
        <v>0</v>
      </c>
      <c r="P128" s="99" t="b">
        <v>0</v>
      </c>
      <c r="Q128" s="99" t="b">
        <v>0</v>
      </c>
      <c r="R128" s="14"/>
      <c r="S128" s="14"/>
      <c r="T128" s="14"/>
      <c r="U128" s="14"/>
      <c r="V128" s="14"/>
      <c r="W128" s="14"/>
    </row>
    <row r="129" ht="35.25" customHeight="1">
      <c r="A129" s="92" t="s">
        <v>5175</v>
      </c>
      <c r="B129" s="93" t="s">
        <v>5176</v>
      </c>
      <c r="C129" s="94" t="s">
        <v>5177</v>
      </c>
      <c r="D129" s="24" t="s">
        <v>5178</v>
      </c>
      <c r="E129" s="96" t="str">
        <f>IFERROR(__xludf.DUMMYFUNCTION("GOOGLETRANSLATE(D129,""zh-CN"",""vi"")"),"Công việc này cần được lặp lại nhiều lần.")</f>
        <v>Công việc này cần được lặp lại nhiều lần.</v>
      </c>
      <c r="F129" s="101" t="s">
        <v>5175</v>
      </c>
      <c r="G129" s="98" t="b">
        <f t="shared" si="1"/>
        <v>1</v>
      </c>
      <c r="H129" s="99" t="b">
        <v>1</v>
      </c>
      <c r="I129" s="99" t="b">
        <v>0</v>
      </c>
      <c r="J129" s="99" t="b">
        <v>0</v>
      </c>
      <c r="K129" s="99" t="b">
        <v>0</v>
      </c>
      <c r="L129" s="99" t="b">
        <v>0</v>
      </c>
      <c r="M129" s="99" t="b">
        <v>0</v>
      </c>
      <c r="N129" s="99" t="b">
        <v>0</v>
      </c>
      <c r="O129" s="99" t="b">
        <v>0</v>
      </c>
      <c r="P129" s="99" t="b">
        <v>0</v>
      </c>
      <c r="Q129" s="99" t="b">
        <v>0</v>
      </c>
      <c r="R129" s="14"/>
      <c r="S129" s="14"/>
      <c r="T129" s="14"/>
      <c r="U129" s="14"/>
      <c r="V129" s="14"/>
      <c r="W129" s="14"/>
    </row>
    <row r="130" ht="35.25" customHeight="1">
      <c r="A130" s="92" t="s">
        <v>5179</v>
      </c>
      <c r="B130" s="93" t="s">
        <v>5180</v>
      </c>
      <c r="C130" s="94" t="s">
        <v>5181</v>
      </c>
      <c r="D130" s="24" t="s">
        <v>5182</v>
      </c>
      <c r="E130" s="96" t="str">
        <f>IFERROR(__xludf.DUMMYFUNCTION("GOOGLETRANSLATE(D130,""zh-CN"",""vi"")"),"Anh ấy nuôi rất nhiều thú cưng, như mèo và chó.")</f>
        <v>Anh ấy nuôi rất nhiều thú cưng, như mèo và chó.</v>
      </c>
      <c r="F130" s="101" t="s">
        <v>5179</v>
      </c>
      <c r="G130" s="98" t="b">
        <f t="shared" si="1"/>
        <v>1</v>
      </c>
      <c r="H130" s="99" t="b">
        <v>1</v>
      </c>
      <c r="I130" s="99" t="b">
        <v>0</v>
      </c>
      <c r="J130" s="99" t="b">
        <v>0</v>
      </c>
      <c r="K130" s="99" t="b">
        <v>0</v>
      </c>
      <c r="L130" s="99" t="b">
        <v>0</v>
      </c>
      <c r="M130" s="99" t="b">
        <v>0</v>
      </c>
      <c r="N130" s="99" t="b">
        <v>0</v>
      </c>
      <c r="O130" s="99" t="b">
        <v>0</v>
      </c>
      <c r="P130" s="99" t="b">
        <v>0</v>
      </c>
      <c r="Q130" s="99" t="b">
        <v>0</v>
      </c>
      <c r="R130" s="14"/>
      <c r="S130" s="14"/>
      <c r="T130" s="14"/>
      <c r="U130" s="14"/>
      <c r="V130" s="14"/>
      <c r="W130" s="14"/>
    </row>
    <row r="131" ht="35.25" customHeight="1">
      <c r="A131" s="92" t="s">
        <v>5183</v>
      </c>
      <c r="B131" s="93" t="s">
        <v>5184</v>
      </c>
      <c r="C131" s="94" t="s">
        <v>5185</v>
      </c>
      <c r="D131" s="24" t="s">
        <v>5186</v>
      </c>
      <c r="E131" s="96" t="str">
        <f>IFERROR(__xludf.DUMMYFUNCTION("GOOGLETRANSLATE(D131,""zh-CN"",""vi"")"),"Ngăn kéo chứa đầy văn phòng phẩm.")</f>
        <v>Ngăn kéo chứa đầy văn phòng phẩm.</v>
      </c>
      <c r="F131" s="101" t="s">
        <v>5183</v>
      </c>
      <c r="G131" s="98" t="b">
        <f t="shared" si="1"/>
        <v>1</v>
      </c>
      <c r="H131" s="99" t="b">
        <v>1</v>
      </c>
      <c r="I131" s="99" t="b">
        <v>0</v>
      </c>
      <c r="J131" s="99" t="b">
        <v>0</v>
      </c>
      <c r="K131" s="99" t="b">
        <v>0</v>
      </c>
      <c r="L131" s="99" t="b">
        <v>0</v>
      </c>
      <c r="M131" s="99" t="b">
        <v>0</v>
      </c>
      <c r="N131" s="99" t="b">
        <v>0</v>
      </c>
      <c r="O131" s="99" t="b">
        <v>0</v>
      </c>
      <c r="P131" s="99" t="b">
        <v>0</v>
      </c>
      <c r="Q131" s="99" t="b">
        <v>0</v>
      </c>
      <c r="R131" s="14"/>
      <c r="S131" s="14"/>
      <c r="T131" s="14"/>
      <c r="U131" s="14"/>
      <c r="V131" s="14"/>
      <c r="W131" s="14"/>
    </row>
    <row r="132" ht="35.25" customHeight="1">
      <c r="A132" s="92" t="s">
        <v>5187</v>
      </c>
      <c r="B132" s="93" t="s">
        <v>5188</v>
      </c>
      <c r="C132" s="94" t="s">
        <v>5189</v>
      </c>
      <c r="D132" s="24" t="s">
        <v>5190</v>
      </c>
      <c r="E132" s="96" t="str">
        <f>IFERROR(__xludf.DUMMYFUNCTION("GOOGLETRANSLATE(D132,""zh-CN"",""vi"")"),"Phong cách hội họa của ông ấy rất trừu tượng.")</f>
        <v>Phong cách hội họa của ông ấy rất trừu tượng.</v>
      </c>
      <c r="F132" s="101" t="s">
        <v>5187</v>
      </c>
      <c r="G132" s="98" t="b">
        <f t="shared" si="1"/>
        <v>1</v>
      </c>
      <c r="H132" s="99" t="b">
        <v>1</v>
      </c>
      <c r="I132" s="99" t="b">
        <v>0</v>
      </c>
      <c r="J132" s="99" t="b">
        <v>0</v>
      </c>
      <c r="K132" s="99" t="b">
        <v>0</v>
      </c>
      <c r="L132" s="99" t="b">
        <v>0</v>
      </c>
      <c r="M132" s="99" t="b">
        <v>0</v>
      </c>
      <c r="N132" s="99" t="b">
        <v>0</v>
      </c>
      <c r="O132" s="99" t="b">
        <v>0</v>
      </c>
      <c r="P132" s="99" t="b">
        <v>0</v>
      </c>
      <c r="Q132" s="99" t="b">
        <v>0</v>
      </c>
      <c r="R132" s="14"/>
      <c r="S132" s="14"/>
      <c r="T132" s="14"/>
      <c r="U132" s="14"/>
      <c r="V132" s="14"/>
      <c r="W132" s="14"/>
    </row>
    <row r="133" ht="35.25" customHeight="1">
      <c r="A133" s="92" t="s">
        <v>5191</v>
      </c>
      <c r="B133" s="93" t="s">
        <v>5192</v>
      </c>
      <c r="C133" s="94" t="s">
        <v>5193</v>
      </c>
      <c r="D133" s="24" t="s">
        <v>5194</v>
      </c>
      <c r="E133" s="96" t="str">
        <f>IFERROR(__xludf.DUMMYFUNCTION("GOOGLETRANSLATE(D133,""zh-CN"",""vi"")"),"Con chó đó trông thật xấu xí.")</f>
        <v>Con chó đó trông thật xấu xí.</v>
      </c>
      <c r="F133" s="101" t="s">
        <v>5191</v>
      </c>
      <c r="G133" s="98" t="b">
        <f t="shared" si="1"/>
        <v>1</v>
      </c>
      <c r="H133" s="99" t="b">
        <v>1</v>
      </c>
      <c r="I133" s="99" t="b">
        <v>0</v>
      </c>
      <c r="J133" s="99" t="b">
        <v>0</v>
      </c>
      <c r="K133" s="99" t="b">
        <v>0</v>
      </c>
      <c r="L133" s="99" t="b">
        <v>0</v>
      </c>
      <c r="M133" s="99" t="b">
        <v>0</v>
      </c>
      <c r="N133" s="99" t="b">
        <v>0</v>
      </c>
      <c r="O133" s="99" t="b">
        <v>0</v>
      </c>
      <c r="P133" s="99" t="b">
        <v>0</v>
      </c>
      <c r="Q133" s="99" t="b">
        <v>0</v>
      </c>
      <c r="R133" s="14"/>
      <c r="S133" s="14"/>
      <c r="T133" s="14"/>
      <c r="U133" s="14"/>
      <c r="V133" s="14"/>
      <c r="W133" s="14"/>
    </row>
    <row r="134" ht="35.25" customHeight="1">
      <c r="A134" s="92" t="s">
        <v>5195</v>
      </c>
      <c r="B134" s="93" t="s">
        <v>5196</v>
      </c>
      <c r="C134" s="94" t="s">
        <v>5197</v>
      </c>
      <c r="D134" s="117" t="s">
        <v>5198</v>
      </c>
      <c r="E134" s="96" t="str">
        <f>IFERROR(__xludf.DUMMYFUNCTION("GOOGLETRANSLATE(D134,""zh-CN"",""vi"")"),"Nơi này có mùi kinh khủng.")</f>
        <v>Nơi này có mùi kinh khủng.</v>
      </c>
      <c r="F134" s="101" t="s">
        <v>5195</v>
      </c>
      <c r="G134" s="98" t="b">
        <f t="shared" si="1"/>
        <v>1</v>
      </c>
      <c r="H134" s="99" t="b">
        <v>1</v>
      </c>
      <c r="I134" s="99" t="b">
        <v>0</v>
      </c>
      <c r="J134" s="99" t="b">
        <v>0</v>
      </c>
      <c r="K134" s="99" t="b">
        <v>0</v>
      </c>
      <c r="L134" s="99" t="b">
        <v>0</v>
      </c>
      <c r="M134" s="99" t="b">
        <v>0</v>
      </c>
      <c r="N134" s="99" t="b">
        <v>0</v>
      </c>
      <c r="O134" s="99" t="b">
        <v>0</v>
      </c>
      <c r="P134" s="99" t="b">
        <v>0</v>
      </c>
      <c r="Q134" s="99" t="b">
        <v>0</v>
      </c>
      <c r="R134" s="14"/>
      <c r="S134" s="14"/>
      <c r="T134" s="14"/>
      <c r="U134" s="14"/>
      <c r="V134" s="14"/>
      <c r="W134" s="14"/>
    </row>
    <row r="135" ht="35.25" customHeight="1">
      <c r="A135" s="92" t="s">
        <v>5199</v>
      </c>
      <c r="B135" s="93" t="s">
        <v>5200</v>
      </c>
      <c r="C135" s="94" t="s">
        <v>5201</v>
      </c>
      <c r="D135" s="24" t="s">
        <v>5202</v>
      </c>
      <c r="E135" s="96" t="str">
        <f>IFERROR(__xludf.DUMMYFUNCTION("GOOGLETRANSLATE(D135,""zh-CN"",""vi"")"),"Cuốn sách này đã được xuất bản.")</f>
        <v>Cuốn sách này đã được xuất bản.</v>
      </c>
      <c r="F135" s="101" t="s">
        <v>5199</v>
      </c>
      <c r="G135" s="98" t="b">
        <f t="shared" si="1"/>
        <v>1</v>
      </c>
      <c r="H135" s="99" t="b">
        <v>1</v>
      </c>
      <c r="I135" s="99" t="b">
        <v>0</v>
      </c>
      <c r="J135" s="99" t="b">
        <v>0</v>
      </c>
      <c r="K135" s="99" t="b">
        <v>0</v>
      </c>
      <c r="L135" s="99" t="b">
        <v>0</v>
      </c>
      <c r="M135" s="99" t="b">
        <v>0</v>
      </c>
      <c r="N135" s="99" t="b">
        <v>0</v>
      </c>
      <c r="O135" s="99" t="b">
        <v>0</v>
      </c>
      <c r="P135" s="99" t="b">
        <v>0</v>
      </c>
      <c r="Q135" s="99" t="b">
        <v>0</v>
      </c>
      <c r="R135" s="14"/>
      <c r="S135" s="14"/>
      <c r="T135" s="14"/>
      <c r="U135" s="14"/>
      <c r="V135" s="14"/>
      <c r="W135" s="14"/>
    </row>
    <row r="136" ht="35.25" customHeight="1">
      <c r="A136" s="92" t="s">
        <v>5203</v>
      </c>
      <c r="B136" s="93" t="s">
        <v>5204</v>
      </c>
      <c r="C136" s="102" t="s">
        <v>5205</v>
      </c>
      <c r="D136" s="24" t="s">
        <v>5206</v>
      </c>
      <c r="E136" s="96" t="str">
        <f>IFERROR(__xludf.DUMMYFUNCTION("GOOGLETRANSLATE(D136,""zh-CN"",""vi"")"),"Cảng này là một điểm đến xuất khẩu quan trọng.")</f>
        <v>Cảng này là một điểm đến xuất khẩu quan trọng.</v>
      </c>
      <c r="F136" s="101" t="s">
        <v>5203</v>
      </c>
      <c r="G136" s="98" t="b">
        <f t="shared" si="1"/>
        <v>1</v>
      </c>
      <c r="H136" s="99" t="b">
        <v>1</v>
      </c>
      <c r="I136" s="99" t="b">
        <v>0</v>
      </c>
      <c r="J136" s="99" t="b">
        <v>0</v>
      </c>
      <c r="K136" s="99" t="b">
        <v>0</v>
      </c>
      <c r="L136" s="99" t="b">
        <v>0</v>
      </c>
      <c r="M136" s="99" t="b">
        <v>0</v>
      </c>
      <c r="N136" s="99" t="b">
        <v>0</v>
      </c>
      <c r="O136" s="99" t="b">
        <v>0</v>
      </c>
      <c r="P136" s="99" t="b">
        <v>0</v>
      </c>
      <c r="Q136" s="99" t="b">
        <v>0</v>
      </c>
      <c r="R136" s="14"/>
      <c r="S136" s="14"/>
      <c r="T136" s="14"/>
      <c r="U136" s="14"/>
      <c r="V136" s="14"/>
      <c r="W136" s="14"/>
    </row>
    <row r="137" ht="35.25" customHeight="1">
      <c r="A137" s="92" t="s">
        <v>5207</v>
      </c>
      <c r="B137" s="93" t="s">
        <v>5208</v>
      </c>
      <c r="C137" s="94" t="s">
        <v>5209</v>
      </c>
      <c r="D137" s="24" t="s">
        <v>5210</v>
      </c>
      <c r="E137" s="96" t="str">
        <f>IFERROR(__xludf.DUMMYFUNCTION("GOOGLETRANSLATE(D137,""zh-CN"",""vi"")"),"Màn trình diễn của cô ấy thật xuất sắc.")</f>
        <v>Màn trình diễn của cô ấy thật xuất sắc.</v>
      </c>
      <c r="F137" s="101" t="s">
        <v>5207</v>
      </c>
      <c r="G137" s="98" t="b">
        <f t="shared" si="1"/>
        <v>1</v>
      </c>
      <c r="H137" s="99" t="b">
        <v>1</v>
      </c>
      <c r="I137" s="99" t="b">
        <v>0</v>
      </c>
      <c r="J137" s="99" t="b">
        <v>0</v>
      </c>
      <c r="K137" s="99" t="b">
        <v>0</v>
      </c>
      <c r="L137" s="99" t="b">
        <v>0</v>
      </c>
      <c r="M137" s="99" t="b">
        <v>0</v>
      </c>
      <c r="N137" s="99" t="b">
        <v>0</v>
      </c>
      <c r="O137" s="99" t="b">
        <v>0</v>
      </c>
      <c r="P137" s="99" t="b">
        <v>0</v>
      </c>
      <c r="Q137" s="99" t="b">
        <v>0</v>
      </c>
      <c r="R137" s="14"/>
      <c r="S137" s="14"/>
      <c r="T137" s="14"/>
      <c r="U137" s="14"/>
      <c r="V137" s="14"/>
      <c r="W137" s="14"/>
    </row>
    <row r="138" ht="35.25" customHeight="1">
      <c r="A138" s="92" t="s">
        <v>5211</v>
      </c>
      <c r="B138" s="93" t="s">
        <v>5212</v>
      </c>
      <c r="C138" s="94" t="s">
        <v>5213</v>
      </c>
      <c r="D138" s="24" t="s">
        <v>5214</v>
      </c>
      <c r="E138" s="96" t="str">
        <f>IFERROR(__xludf.DUMMYFUNCTION("GOOGLETRANSLATE(D138,""zh-CN"",""vi"")"),"Vui lòng cho biết giấy tờ tùy thân của bạn.")</f>
        <v>Vui lòng cho biết giấy tờ tùy thân của bạn.</v>
      </c>
      <c r="F138" s="101" t="s">
        <v>5211</v>
      </c>
      <c r="G138" s="98" t="b">
        <f t="shared" si="1"/>
        <v>1</v>
      </c>
      <c r="H138" s="99" t="b">
        <v>1</v>
      </c>
      <c r="I138" s="99" t="b">
        <v>0</v>
      </c>
      <c r="J138" s="99" t="b">
        <v>0</v>
      </c>
      <c r="K138" s="99" t="b">
        <v>0</v>
      </c>
      <c r="L138" s="99" t="b">
        <v>0</v>
      </c>
      <c r="M138" s="99" t="b">
        <v>0</v>
      </c>
      <c r="N138" s="99" t="b">
        <v>0</v>
      </c>
      <c r="O138" s="99" t="b">
        <v>0</v>
      </c>
      <c r="P138" s="99" t="b">
        <v>0</v>
      </c>
      <c r="Q138" s="99" t="b">
        <v>0</v>
      </c>
      <c r="R138" s="14"/>
      <c r="S138" s="14"/>
      <c r="T138" s="14"/>
      <c r="U138" s="14"/>
      <c r="V138" s="14"/>
      <c r="W138" s="14"/>
    </row>
    <row r="139" ht="35.25" customHeight="1">
      <c r="A139" s="92" t="s">
        <v>5215</v>
      </c>
      <c r="B139" s="93" t="s">
        <v>5216</v>
      </c>
      <c r="C139" s="94" t="s">
        <v>5217</v>
      </c>
      <c r="D139" s="24" t="s">
        <v>5218</v>
      </c>
      <c r="E139" s="96" t="str">
        <f>IFERROR(__xludf.DUMMYFUNCTION("GOOGLETRANSLATE(D139,""zh-CN"",""vi"")"),"Mỗi lần xuất hiện là một chiến thắng nữa trên sân khấu cuộc đời.")</f>
        <v>Mỗi lần xuất hiện là một chiến thắng nữa trên sân khấu cuộc đời.</v>
      </c>
      <c r="F139" s="101" t="s">
        <v>5215</v>
      </c>
      <c r="G139" s="98" t="b">
        <f t="shared" si="1"/>
        <v>1</v>
      </c>
      <c r="H139" s="99" t="b">
        <v>1</v>
      </c>
      <c r="I139" s="99" t="b">
        <v>0</v>
      </c>
      <c r="J139" s="99" t="b">
        <v>0</v>
      </c>
      <c r="K139" s="99" t="b">
        <v>0</v>
      </c>
      <c r="L139" s="99" t="b">
        <v>0</v>
      </c>
      <c r="M139" s="99" t="b">
        <v>0</v>
      </c>
      <c r="N139" s="99" t="b">
        <v>0</v>
      </c>
      <c r="O139" s="99" t="b">
        <v>0</v>
      </c>
      <c r="P139" s="99" t="b">
        <v>0</v>
      </c>
      <c r="Q139" s="99" t="b">
        <v>0</v>
      </c>
      <c r="R139" s="14"/>
      <c r="S139" s="14"/>
      <c r="T139" s="14"/>
      <c r="U139" s="14"/>
      <c r="V139" s="14"/>
      <c r="W139" s="14"/>
    </row>
    <row r="140" ht="35.25" customHeight="1">
      <c r="A140" s="92" t="s">
        <v>5219</v>
      </c>
      <c r="B140" s="93" t="s">
        <v>5220</v>
      </c>
      <c r="C140" s="94" t="s">
        <v>5221</v>
      </c>
      <c r="D140" s="24" t="s">
        <v>5222</v>
      </c>
      <c r="E140" s="96" t="str">
        <f>IFERROR(__xludf.DUMMYFUNCTION("GOOGLETRANSLATE(D140,""zh-CN"",""vi"")"),"Đây là khóa học dành cho người mới bắt đầu, rất đơn giản.")</f>
        <v>Đây là khóa học dành cho người mới bắt đầu, rất đơn giản.</v>
      </c>
      <c r="F140" s="101" t="s">
        <v>5219</v>
      </c>
      <c r="G140" s="98" t="b">
        <f t="shared" si="1"/>
        <v>1</v>
      </c>
      <c r="H140" s="99" t="b">
        <v>1</v>
      </c>
      <c r="I140" s="99" t="b">
        <v>0</v>
      </c>
      <c r="J140" s="99" t="b">
        <v>0</v>
      </c>
      <c r="K140" s="99" t="b">
        <v>0</v>
      </c>
      <c r="L140" s="99" t="b">
        <v>0</v>
      </c>
      <c r="M140" s="99" t="b">
        <v>0</v>
      </c>
      <c r="N140" s="99" t="b">
        <v>0</v>
      </c>
      <c r="O140" s="99" t="b">
        <v>0</v>
      </c>
      <c r="P140" s="99" t="b">
        <v>0</v>
      </c>
      <c r="Q140" s="99" t="b">
        <v>0</v>
      </c>
      <c r="R140" s="14"/>
      <c r="S140" s="14"/>
      <c r="T140" s="14"/>
      <c r="U140" s="14"/>
      <c r="V140" s="14"/>
      <c r="W140" s="14"/>
    </row>
    <row r="141" ht="35.25" customHeight="1">
      <c r="A141" s="92" t="s">
        <v>5225</v>
      </c>
      <c r="B141" s="93" t="s">
        <v>5227</v>
      </c>
      <c r="C141" s="94" t="s">
        <v>5229</v>
      </c>
      <c r="D141" s="24" t="s">
        <v>5230</v>
      </c>
      <c r="E141" s="96" t="str">
        <f>IFERROR(__xludf.DUMMYFUNCTION("GOOGLETRANSLATE(D141,""zh-CN"",""vi"")"),"Tôi không biết trừ khi bạn nói cho tôi biết.")</f>
        <v>Tôi không biết trừ khi bạn nói cho tôi biết.</v>
      </c>
      <c r="F141" s="101" t="s">
        <v>5225</v>
      </c>
      <c r="G141" s="98" t="b">
        <f t="shared" si="1"/>
        <v>1</v>
      </c>
      <c r="H141" s="99" t="b">
        <v>1</v>
      </c>
      <c r="I141" s="99" t="b">
        <v>0</v>
      </c>
      <c r="J141" s="99" t="b">
        <v>0</v>
      </c>
      <c r="K141" s="99" t="b">
        <v>0</v>
      </c>
      <c r="L141" s="99" t="b">
        <v>0</v>
      </c>
      <c r="M141" s="99" t="b">
        <v>0</v>
      </c>
      <c r="N141" s="99" t="b">
        <v>0</v>
      </c>
      <c r="O141" s="99" t="b">
        <v>0</v>
      </c>
      <c r="P141" s="99" t="b">
        <v>0</v>
      </c>
      <c r="Q141" s="99" t="b">
        <v>0</v>
      </c>
      <c r="R141" s="14"/>
      <c r="S141" s="14"/>
      <c r="T141" s="14"/>
      <c r="U141" s="14"/>
      <c r="V141" s="14"/>
      <c r="W141" s="14"/>
    </row>
    <row r="142" ht="35.25" customHeight="1">
      <c r="A142" s="92" t="s">
        <v>5231</v>
      </c>
      <c r="B142" s="93" t="s">
        <v>5233</v>
      </c>
      <c r="C142" s="94" t="s">
        <v>5235</v>
      </c>
      <c r="D142" s="24" t="s">
        <v>5237</v>
      </c>
      <c r="E142" s="96" t="str">
        <f>IFERROR(__xludf.DUMMYFUNCTION("GOOGLETRANSLATE(D142,""zh-CN"",""vi"")"),"Chúng tôi có bữa tối đón giao thừa.")</f>
        <v>Chúng tôi có bữa tối đón giao thừa.</v>
      </c>
      <c r="F142" s="101" t="s">
        <v>5231</v>
      </c>
      <c r="G142" s="98" t="b">
        <f t="shared" si="1"/>
        <v>1</v>
      </c>
      <c r="H142" s="99" t="b">
        <v>1</v>
      </c>
      <c r="I142" s="99" t="b">
        <v>0</v>
      </c>
      <c r="J142" s="99" t="b">
        <v>0</v>
      </c>
      <c r="K142" s="99" t="b">
        <v>0</v>
      </c>
      <c r="L142" s="99" t="b">
        <v>0</v>
      </c>
      <c r="M142" s="99" t="b">
        <v>0</v>
      </c>
      <c r="N142" s="99" t="b">
        <v>0</v>
      </c>
      <c r="O142" s="99" t="b">
        <v>0</v>
      </c>
      <c r="P142" s="99" t="b">
        <v>0</v>
      </c>
      <c r="Q142" s="99" t="b">
        <v>0</v>
      </c>
      <c r="R142" s="14"/>
      <c r="S142" s="14"/>
      <c r="T142" s="14"/>
      <c r="U142" s="14"/>
      <c r="V142" s="14"/>
      <c r="W142" s="14"/>
    </row>
    <row r="143" ht="35.25" customHeight="1">
      <c r="A143" s="92" t="s">
        <v>5239</v>
      </c>
      <c r="B143" s="93" t="s">
        <v>5240</v>
      </c>
      <c r="C143" s="94" t="s">
        <v>5241</v>
      </c>
      <c r="D143" s="24" t="s">
        <v>5242</v>
      </c>
      <c r="E143" s="96" t="str">
        <f>IFERROR(__xludf.DUMMYFUNCTION("GOOGLETRANSLATE(D143,""zh-CN"",""vi"")"),"Vấn đề này cần được giải quyết một cách cẩn trọng.")</f>
        <v>Vấn đề này cần được giải quyết một cách cẩn trọng.</v>
      </c>
      <c r="F143" s="101" t="s">
        <v>5239</v>
      </c>
      <c r="G143" s="98" t="b">
        <f t="shared" si="1"/>
        <v>1</v>
      </c>
      <c r="H143" s="99" t="b">
        <v>1</v>
      </c>
      <c r="I143" s="99" t="b">
        <v>0</v>
      </c>
      <c r="J143" s="99" t="b">
        <v>0</v>
      </c>
      <c r="K143" s="99" t="b">
        <v>0</v>
      </c>
      <c r="L143" s="99" t="b">
        <v>0</v>
      </c>
      <c r="M143" s="99" t="b">
        <v>0</v>
      </c>
      <c r="N143" s="99" t="b">
        <v>0</v>
      </c>
      <c r="O143" s="99" t="b">
        <v>0</v>
      </c>
      <c r="P143" s="99" t="b">
        <v>0</v>
      </c>
      <c r="Q143" s="99" t="b">
        <v>0</v>
      </c>
      <c r="R143" s="14"/>
      <c r="S143" s="14"/>
      <c r="T143" s="14"/>
      <c r="U143" s="14"/>
      <c r="V143" s="14"/>
      <c r="W143" s="14"/>
    </row>
    <row r="144" ht="35.25" customHeight="1">
      <c r="A144" s="92" t="s">
        <v>5247</v>
      </c>
      <c r="B144" s="93" t="s">
        <v>5248</v>
      </c>
      <c r="C144" s="94" t="s">
        <v>5249</v>
      </c>
      <c r="D144" s="24" t="s">
        <v>5250</v>
      </c>
      <c r="E144" s="96" t="str">
        <f>IFERROR(__xludf.DUMMYFUNCTION("GOOGLETRANSLATE(D144,""zh-CN"",""vi"")"),"Thông tin này lan truyền rất nhanh trên mạng.")</f>
        <v>Thông tin này lan truyền rất nhanh trên mạng.</v>
      </c>
      <c r="F144" s="101" t="s">
        <v>5247</v>
      </c>
      <c r="G144" s="98" t="b">
        <f t="shared" si="1"/>
        <v>1</v>
      </c>
      <c r="H144" s="99" t="b">
        <v>1</v>
      </c>
      <c r="I144" s="99" t="b">
        <v>0</v>
      </c>
      <c r="J144" s="99" t="b">
        <v>0</v>
      </c>
      <c r="K144" s="99" t="b">
        <v>0</v>
      </c>
      <c r="L144" s="99" t="b">
        <v>0</v>
      </c>
      <c r="M144" s="99" t="b">
        <v>0</v>
      </c>
      <c r="N144" s="99" t="b">
        <v>0</v>
      </c>
      <c r="O144" s="99" t="b">
        <v>0</v>
      </c>
      <c r="P144" s="99" t="b">
        <v>0</v>
      </c>
      <c r="Q144" s="99" t="b">
        <v>0</v>
      </c>
      <c r="R144" s="14"/>
      <c r="S144" s="14"/>
      <c r="T144" s="14"/>
      <c r="U144" s="14"/>
      <c r="V144" s="14"/>
      <c r="W144" s="14"/>
    </row>
    <row r="145" ht="35.25" customHeight="1">
      <c r="A145" s="92" t="s">
        <v>5255</v>
      </c>
      <c r="B145" s="93" t="s">
        <v>5256</v>
      </c>
      <c r="C145" s="94" t="s">
        <v>5257</v>
      </c>
      <c r="D145" s="24" t="s">
        <v>5259</v>
      </c>
      <c r="E145" s="96" t="str">
        <f>IFERROR(__xludf.DUMMYFUNCTION("GOOGLETRANSLATE(D145,""zh-CN"",""vi"")"),"Căn bệnh này rất dễ lây lan.")</f>
        <v>Căn bệnh này rất dễ lây lan.</v>
      </c>
      <c r="F145" s="101" t="s">
        <v>5255</v>
      </c>
      <c r="G145" s="98" t="b">
        <f t="shared" si="1"/>
        <v>1</v>
      </c>
      <c r="H145" s="99" t="b">
        <v>1</v>
      </c>
      <c r="I145" s="99" t="b">
        <v>0</v>
      </c>
      <c r="J145" s="99" t="b">
        <v>0</v>
      </c>
      <c r="K145" s="99" t="b">
        <v>0</v>
      </c>
      <c r="L145" s="99" t="b">
        <v>0</v>
      </c>
      <c r="M145" s="99" t="b">
        <v>0</v>
      </c>
      <c r="N145" s="99" t="b">
        <v>0</v>
      </c>
      <c r="O145" s="99" t="b">
        <v>0</v>
      </c>
      <c r="P145" s="99" t="b">
        <v>0</v>
      </c>
      <c r="Q145" s="99" t="b">
        <v>0</v>
      </c>
      <c r="R145" s="14"/>
      <c r="S145" s="14"/>
      <c r="T145" s="14"/>
      <c r="U145" s="14"/>
      <c r="V145" s="14"/>
      <c r="W145" s="14"/>
    </row>
    <row r="146" ht="35.25" customHeight="1">
      <c r="A146" s="92" t="s">
        <v>5265</v>
      </c>
      <c r="B146" s="93" t="s">
        <v>5267</v>
      </c>
      <c r="C146" s="94" t="s">
        <v>5268</v>
      </c>
      <c r="D146" s="24" t="s">
        <v>5269</v>
      </c>
      <c r="E146" s="96" t="str">
        <f>IFERROR(__xludf.DUMMYFUNCTION("GOOGLETRANSLATE(D146,""zh-CN"",""vi"")"),"Đây là một truyền thuyết cổ xưa.")</f>
        <v>Đây là một truyền thuyết cổ xưa.</v>
      </c>
      <c r="F146" s="101" t="s">
        <v>5265</v>
      </c>
      <c r="G146" s="98" t="b">
        <f t="shared" si="1"/>
        <v>1</v>
      </c>
      <c r="H146" s="99" t="b">
        <v>1</v>
      </c>
      <c r="I146" s="99" t="b">
        <v>0</v>
      </c>
      <c r="J146" s="99" t="b">
        <v>0</v>
      </c>
      <c r="K146" s="99" t="b">
        <v>0</v>
      </c>
      <c r="L146" s="99" t="b">
        <v>0</v>
      </c>
      <c r="M146" s="99" t="b">
        <v>0</v>
      </c>
      <c r="N146" s="99" t="b">
        <v>0</v>
      </c>
      <c r="O146" s="99" t="b">
        <v>0</v>
      </c>
      <c r="P146" s="99" t="b">
        <v>0</v>
      </c>
      <c r="Q146" s="99" t="b">
        <v>0</v>
      </c>
      <c r="R146" s="14"/>
      <c r="S146" s="14"/>
      <c r="T146" s="14"/>
      <c r="U146" s="14"/>
      <c r="V146" s="14"/>
      <c r="W146" s="14"/>
    </row>
    <row r="147" ht="35.25" customHeight="1">
      <c r="A147" s="92" t="s">
        <v>5274</v>
      </c>
      <c r="B147" s="93" t="s">
        <v>5275</v>
      </c>
      <c r="C147" s="94" t="s">
        <v>5277</v>
      </c>
      <c r="D147" s="24" t="s">
        <v>5278</v>
      </c>
      <c r="E147" s="96" t="str">
        <f>IFERROR(__xludf.DUMMYFUNCTION("GOOGLETRANSLATE(D147,""zh-CN"",""vi"")"),"Chúng tôi vẫn duy trì các phong tục lễ hội truyền thống.")</f>
        <v>Chúng tôi vẫn duy trì các phong tục lễ hội truyền thống.</v>
      </c>
      <c r="F147" s="101" t="s">
        <v>5274</v>
      </c>
      <c r="G147" s="98" t="b">
        <f t="shared" si="1"/>
        <v>1</v>
      </c>
      <c r="H147" s="99" t="b">
        <v>1</v>
      </c>
      <c r="I147" s="99" t="b">
        <v>0</v>
      </c>
      <c r="J147" s="99" t="b">
        <v>0</v>
      </c>
      <c r="K147" s="99" t="b">
        <v>0</v>
      </c>
      <c r="L147" s="99" t="b">
        <v>0</v>
      </c>
      <c r="M147" s="99" t="b">
        <v>0</v>
      </c>
      <c r="N147" s="99" t="b">
        <v>0</v>
      </c>
      <c r="O147" s="99" t="b">
        <v>0</v>
      </c>
      <c r="P147" s="99" t="b">
        <v>0</v>
      </c>
      <c r="Q147" s="99" t="b">
        <v>0</v>
      </c>
      <c r="R147" s="14"/>
      <c r="S147" s="14"/>
      <c r="T147" s="14"/>
      <c r="U147" s="14"/>
      <c r="V147" s="14"/>
      <c r="W147" s="14"/>
    </row>
    <row r="148" ht="35.25" customHeight="1">
      <c r="A148" s="92" t="s">
        <v>5280</v>
      </c>
      <c r="B148" s="93" t="s">
        <v>5282</v>
      </c>
      <c r="C148" s="94" t="s">
        <v>5284</v>
      </c>
      <c r="D148" s="24" t="s">
        <v>5285</v>
      </c>
      <c r="E148" s="96" t="str">
        <f>IFERROR(__xludf.DUMMYFUNCTION("GOOGLETRANSLATE(D148,""zh-CN"",""vi"")"),"Rèm cửa cần được giặt sạch thường xuyên.")</f>
        <v>Rèm cửa cần được giặt sạch thường xuyên.</v>
      </c>
      <c r="F148" s="101" t="s">
        <v>5280</v>
      </c>
      <c r="G148" s="98" t="b">
        <f t="shared" si="1"/>
        <v>1</v>
      </c>
      <c r="H148" s="99" t="b">
        <v>1</v>
      </c>
      <c r="I148" s="99" t="b">
        <v>0</v>
      </c>
      <c r="J148" s="99" t="b">
        <v>0</v>
      </c>
      <c r="K148" s="99" t="b">
        <v>0</v>
      </c>
      <c r="L148" s="99" t="b">
        <v>0</v>
      </c>
      <c r="M148" s="99" t="b">
        <v>0</v>
      </c>
      <c r="N148" s="99" t="b">
        <v>0</v>
      </c>
      <c r="O148" s="99" t="b">
        <v>0</v>
      </c>
      <c r="P148" s="99" t="b">
        <v>0</v>
      </c>
      <c r="Q148" s="99" t="b">
        <v>0</v>
      </c>
      <c r="R148" s="14"/>
      <c r="S148" s="14"/>
      <c r="T148" s="14"/>
      <c r="U148" s="14"/>
      <c r="V148" s="14"/>
      <c r="W148" s="14"/>
    </row>
    <row r="149" ht="35.25" customHeight="1">
      <c r="A149" s="92" t="s">
        <v>5286</v>
      </c>
      <c r="B149" s="93" t="s">
        <v>5287</v>
      </c>
      <c r="C149" s="94" t="s">
        <v>5288</v>
      </c>
      <c r="D149" s="24" t="s">
        <v>5289</v>
      </c>
      <c r="E149" s="96" t="str">
        <f>IFERROR(__xludf.DUMMYFUNCTION("GOOGLETRANSLATE(D149,""zh-CN"",""vi"")"),"Anh ta đột nhập vào phòng người khác.")</f>
        <v>Anh ta đột nhập vào phòng người khác.</v>
      </c>
      <c r="F149" s="101" t="s">
        <v>5286</v>
      </c>
      <c r="G149" s="98" t="b">
        <f t="shared" si="1"/>
        <v>1</v>
      </c>
      <c r="H149" s="99" t="b">
        <v>1</v>
      </c>
      <c r="I149" s="99" t="b">
        <v>0</v>
      </c>
      <c r="J149" s="99" t="b">
        <v>0</v>
      </c>
      <c r="K149" s="99" t="b">
        <v>0</v>
      </c>
      <c r="L149" s="99" t="b">
        <v>0</v>
      </c>
      <c r="M149" s="99" t="b">
        <v>0</v>
      </c>
      <c r="N149" s="99" t="b">
        <v>0</v>
      </c>
      <c r="O149" s="99" t="b">
        <v>0</v>
      </c>
      <c r="P149" s="99" t="b">
        <v>0</v>
      </c>
      <c r="Q149" s="99" t="b">
        <v>0</v>
      </c>
      <c r="R149" s="14"/>
      <c r="S149" s="14"/>
      <c r="T149" s="14"/>
      <c r="U149" s="14"/>
      <c r="V149" s="14"/>
      <c r="W149" s="14"/>
    </row>
    <row r="150" ht="35.25" customHeight="1">
      <c r="A150" s="92" t="s">
        <v>5293</v>
      </c>
      <c r="B150" s="93" t="s">
        <v>5294</v>
      </c>
      <c r="C150" s="94" t="s">
        <v>5295</v>
      </c>
      <c r="D150" s="24" t="s">
        <v>5296</v>
      </c>
      <c r="E150" s="96" t="str">
        <f>IFERROR(__xludf.DUMMYFUNCTION("GOOGLETRANSLATE(D150,""zh-CN"",""vi"")"),"Họ đang tạo ra những tác phẩm nghệ thuật mới.")</f>
        <v>Họ đang tạo ra những tác phẩm nghệ thuật mới.</v>
      </c>
      <c r="F150" s="101" t="s">
        <v>5293</v>
      </c>
      <c r="G150" s="98" t="b">
        <f t="shared" si="1"/>
        <v>1</v>
      </c>
      <c r="H150" s="99" t="b">
        <v>1</v>
      </c>
      <c r="I150" s="99" t="b">
        <v>0</v>
      </c>
      <c r="J150" s="99" t="b">
        <v>0</v>
      </c>
      <c r="K150" s="99" t="b">
        <v>0</v>
      </c>
      <c r="L150" s="99" t="b">
        <v>0</v>
      </c>
      <c r="M150" s="99" t="b">
        <v>0</v>
      </c>
      <c r="N150" s="99" t="b">
        <v>0</v>
      </c>
      <c r="O150" s="99" t="b">
        <v>0</v>
      </c>
      <c r="P150" s="99" t="b">
        <v>0</v>
      </c>
      <c r="Q150" s="99" t="b">
        <v>0</v>
      </c>
      <c r="R150" s="14"/>
      <c r="S150" s="14"/>
      <c r="T150" s="14"/>
      <c r="U150" s="14"/>
      <c r="V150" s="14"/>
      <c r="W150" s="14"/>
    </row>
    <row r="151" ht="35.25" customHeight="1">
      <c r="A151" s="92" t="s">
        <v>5301</v>
      </c>
      <c r="B151" s="93" t="s">
        <v>5302</v>
      </c>
      <c r="C151" s="94" t="s">
        <v>5303</v>
      </c>
      <c r="D151" s="24" t="s">
        <v>5304</v>
      </c>
      <c r="E151" s="96" t="str">
        <f>IFERROR(__xludf.DUMMYFUNCTION("GOOGLETRANSLATE(D151,""zh-CN"",""vi"")"),"Gió thổi rất mạnh.")</f>
        <v>Gió thổi rất mạnh.</v>
      </c>
      <c r="F151" s="101" t="s">
        <v>5301</v>
      </c>
      <c r="G151" s="98" t="b">
        <f t="shared" si="1"/>
        <v>1</v>
      </c>
      <c r="H151" s="99" t="b">
        <v>0</v>
      </c>
      <c r="I151" s="99" t="b">
        <v>0</v>
      </c>
      <c r="J151" s="99" t="b">
        <v>0</v>
      </c>
      <c r="K151" s="99" t="b">
        <v>0</v>
      </c>
      <c r="L151" s="99" t="b">
        <v>0</v>
      </c>
      <c r="M151" s="99" t="b">
        <v>0</v>
      </c>
      <c r="N151" s="99" t="b">
        <v>0</v>
      </c>
      <c r="O151" s="99" t="b">
        <v>0</v>
      </c>
      <c r="P151" s="99" t="b">
        <v>0</v>
      </c>
      <c r="Q151" s="99" t="b">
        <v>0</v>
      </c>
      <c r="R151" s="14"/>
      <c r="S151" s="14"/>
      <c r="T151" s="14"/>
      <c r="U151" s="14"/>
      <c r="V151" s="14"/>
      <c r="W151" s="14"/>
    </row>
    <row r="152" ht="35.25" customHeight="1">
      <c r="A152" s="92" t="s">
        <v>5309</v>
      </c>
      <c r="B152" s="93" t="s">
        <v>5310</v>
      </c>
      <c r="C152" s="94" t="s">
        <v>5311</v>
      </c>
      <c r="D152" s="24" t="s">
        <v>5312</v>
      </c>
      <c r="E152" s="96" t="str">
        <f>IFERROR(__xludf.DUMMYFUNCTION("GOOGLETRANSLATE(D152,""zh-CN"",""vi"")"),"Học thêm từ vựng mới rất quan trọng để nâng cao kỹ năng ngôn ngữ.")</f>
        <v>Học thêm từ vựng mới rất quan trọng để nâng cao kỹ năng ngôn ngữ.</v>
      </c>
      <c r="F152" s="101" t="s">
        <v>5309</v>
      </c>
      <c r="G152" s="98" t="b">
        <f t="shared" si="1"/>
        <v>1</v>
      </c>
      <c r="H152" s="99" t="b">
        <v>0</v>
      </c>
      <c r="I152" s="99" t="b">
        <v>0</v>
      </c>
      <c r="J152" s="99" t="b">
        <v>0</v>
      </c>
      <c r="K152" s="99" t="b">
        <v>0</v>
      </c>
      <c r="L152" s="99" t="b">
        <v>0</v>
      </c>
      <c r="M152" s="99" t="b">
        <v>0</v>
      </c>
      <c r="N152" s="99" t="b">
        <v>0</v>
      </c>
      <c r="O152" s="99" t="b">
        <v>0</v>
      </c>
      <c r="P152" s="99" t="b">
        <v>0</v>
      </c>
      <c r="Q152" s="99" t="b">
        <v>0</v>
      </c>
      <c r="R152" s="14"/>
      <c r="S152" s="14"/>
      <c r="T152" s="14"/>
      <c r="U152" s="14"/>
      <c r="V152" s="14"/>
      <c r="W152" s="14"/>
    </row>
    <row r="153" ht="35.25" customHeight="1">
      <c r="A153" s="92" t="s">
        <v>5317</v>
      </c>
      <c r="B153" s="93" t="s">
        <v>5318</v>
      </c>
      <c r="C153" s="94" t="s">
        <v>5319</v>
      </c>
      <c r="D153" s="24" t="s">
        <v>5320</v>
      </c>
      <c r="E153" s="96" t="str">
        <f>IFERROR(__xludf.DUMMYFUNCTION("GOOGLETRANSLATE(D153,""zh-CN"",""vi"")"),"Anh ấy quyết định từ chức và tìm một công việc mới.")</f>
        <v>Anh ấy quyết định từ chức và tìm một công việc mới.</v>
      </c>
      <c r="F153" s="101" t="s">
        <v>5317</v>
      </c>
      <c r="G153" s="98" t="b">
        <f t="shared" si="1"/>
        <v>1</v>
      </c>
      <c r="H153" s="99" t="b">
        <v>0</v>
      </c>
      <c r="I153" s="99" t="b">
        <v>0</v>
      </c>
      <c r="J153" s="99" t="b">
        <v>0</v>
      </c>
      <c r="K153" s="99" t="b">
        <v>0</v>
      </c>
      <c r="L153" s="99" t="b">
        <v>0</v>
      </c>
      <c r="M153" s="99" t="b">
        <v>0</v>
      </c>
      <c r="N153" s="99" t="b">
        <v>0</v>
      </c>
      <c r="O153" s="99" t="b">
        <v>0</v>
      </c>
      <c r="P153" s="99" t="b">
        <v>0</v>
      </c>
      <c r="Q153" s="99" t="b">
        <v>0</v>
      </c>
      <c r="R153" s="14"/>
      <c r="S153" s="14"/>
      <c r="T153" s="14"/>
      <c r="U153" s="14"/>
      <c r="V153" s="14"/>
      <c r="W153" s="14"/>
    </row>
    <row r="154" ht="35.25" customHeight="1">
      <c r="A154" s="92" t="s">
        <v>5325</v>
      </c>
      <c r="B154" s="93" t="s">
        <v>5326</v>
      </c>
      <c r="C154" s="94" t="s">
        <v>5328</v>
      </c>
      <c r="D154" s="116" t="s">
        <v>5330</v>
      </c>
      <c r="E154" s="96" t="str">
        <f>IFERROR(__xludf.DUMMYFUNCTION("GOOGLETRANSLATE(D154,""zh-CN"",""vi"")"),"Ông ấy tặng tôi một cuốn sách, một cây bút và một ít tiền.")</f>
        <v>Ông ấy tặng tôi một cuốn sách, một cây bút và một ít tiền.</v>
      </c>
      <c r="F154" s="101" t="s">
        <v>5325</v>
      </c>
      <c r="G154" s="98" t="b">
        <f t="shared" si="1"/>
        <v>1</v>
      </c>
      <c r="H154" s="99" t="b">
        <v>0</v>
      </c>
      <c r="I154" s="99" t="b">
        <v>0</v>
      </c>
      <c r="J154" s="99" t="b">
        <v>0</v>
      </c>
      <c r="K154" s="99" t="b">
        <v>0</v>
      </c>
      <c r="L154" s="99" t="b">
        <v>0</v>
      </c>
      <c r="M154" s="99" t="b">
        <v>0</v>
      </c>
      <c r="N154" s="99" t="b">
        <v>0</v>
      </c>
      <c r="O154" s="99" t="b">
        <v>0</v>
      </c>
      <c r="P154" s="99" t="b">
        <v>0</v>
      </c>
      <c r="Q154" s="99" t="b">
        <v>0</v>
      </c>
      <c r="R154" s="14"/>
      <c r="S154" s="14"/>
      <c r="T154" s="14"/>
      <c r="U154" s="14"/>
      <c r="V154" s="14"/>
      <c r="W154" s="14"/>
    </row>
    <row r="155" ht="35.25" customHeight="1">
      <c r="A155" s="92" t="s">
        <v>5335</v>
      </c>
      <c r="B155" s="93" t="s">
        <v>5336</v>
      </c>
      <c r="C155" s="94" t="s">
        <v>5337</v>
      </c>
      <c r="D155" s="24" t="s">
        <v>5339</v>
      </c>
      <c r="E155" s="96" t="str">
        <f>IFERROR(__xludf.DUMMYFUNCTION("GOOGLETRANSLATE(D155,""zh-CN"",""vi"")"),"Đây là nhiệm vụ phụ; bạn có thể hoàn thành các nhiệm vụ khác trước.")</f>
        <v>Đây là nhiệm vụ phụ; bạn có thể hoàn thành các nhiệm vụ khác trước.</v>
      </c>
      <c r="F155" s="101" t="s">
        <v>5335</v>
      </c>
      <c r="G155" s="98" t="b">
        <f t="shared" si="1"/>
        <v>1</v>
      </c>
      <c r="H155" s="99" t="b">
        <v>0</v>
      </c>
      <c r="I155" s="99" t="b">
        <v>0</v>
      </c>
      <c r="J155" s="99" t="b">
        <v>0</v>
      </c>
      <c r="K155" s="99" t="b">
        <v>0</v>
      </c>
      <c r="L155" s="99" t="b">
        <v>0</v>
      </c>
      <c r="M155" s="99" t="b">
        <v>0</v>
      </c>
      <c r="N155" s="99" t="b">
        <v>0</v>
      </c>
      <c r="O155" s="99" t="b">
        <v>0</v>
      </c>
      <c r="P155" s="99" t="b">
        <v>0</v>
      </c>
      <c r="Q155" s="99" t="b">
        <v>0</v>
      </c>
      <c r="R155" s="14"/>
      <c r="S155" s="14"/>
      <c r="T155" s="14"/>
      <c r="U155" s="14"/>
      <c r="V155" s="14"/>
      <c r="W155" s="14"/>
    </row>
    <row r="156" ht="35.25" customHeight="1">
      <c r="A156" s="92" t="s">
        <v>5344</v>
      </c>
      <c r="B156" s="93" t="s">
        <v>5346</v>
      </c>
      <c r="C156" s="94" t="s">
        <v>5347</v>
      </c>
      <c r="D156" s="24" t="s">
        <v>5348</v>
      </c>
      <c r="E156" s="96" t="str">
        <f>IFERROR(__xludf.DUMMYFUNCTION("GOOGLETRANSLATE(D156,""zh-CN"",""vi"")"),"Tin tức này đã kích thích thị trường.")</f>
        <v>Tin tức này đã kích thích thị trường.</v>
      </c>
      <c r="F156" s="101" t="s">
        <v>5344</v>
      </c>
      <c r="G156" s="98" t="b">
        <f t="shared" si="1"/>
        <v>1</v>
      </c>
      <c r="H156" s="99" t="b">
        <v>0</v>
      </c>
      <c r="I156" s="99" t="b">
        <v>0</v>
      </c>
      <c r="J156" s="99" t="b">
        <v>0</v>
      </c>
      <c r="K156" s="99" t="b">
        <v>0</v>
      </c>
      <c r="L156" s="99" t="b">
        <v>0</v>
      </c>
      <c r="M156" s="99" t="b">
        <v>0</v>
      </c>
      <c r="N156" s="99" t="b">
        <v>0</v>
      </c>
      <c r="O156" s="99" t="b">
        <v>0</v>
      </c>
      <c r="P156" s="99" t="b">
        <v>0</v>
      </c>
      <c r="Q156" s="99" t="b">
        <v>0</v>
      </c>
      <c r="R156" s="14"/>
      <c r="S156" s="14"/>
      <c r="T156" s="14"/>
      <c r="U156" s="14"/>
      <c r="V156" s="14"/>
      <c r="W156" s="14"/>
    </row>
    <row r="157" ht="35.25" customHeight="1">
      <c r="A157" s="92" t="s">
        <v>5353</v>
      </c>
      <c r="B157" s="93" t="s">
        <v>5354</v>
      </c>
      <c r="C157" s="94" t="s">
        <v>5355</v>
      </c>
      <c r="D157" s="24" t="s">
        <v>5356</v>
      </c>
      <c r="E157" s="96" t="str">
        <f>IFERROR(__xludf.DUMMYFUNCTION("GOOGLETRANSLATE(D157,""zh-CN"",""vi"")"),"Anh ấy đã hoàn thành nhiệm vụ một cách vội vàng.")</f>
        <v>Anh ấy đã hoàn thành nhiệm vụ một cách vội vàng.</v>
      </c>
      <c r="F157" s="101" t="s">
        <v>5353</v>
      </c>
      <c r="G157" s="98" t="b">
        <f t="shared" si="1"/>
        <v>1</v>
      </c>
      <c r="H157" s="99" t="b">
        <v>0</v>
      </c>
      <c r="I157" s="99" t="b">
        <v>0</v>
      </c>
      <c r="J157" s="99" t="b">
        <v>0</v>
      </c>
      <c r="K157" s="99" t="b">
        <v>0</v>
      </c>
      <c r="L157" s="99" t="b">
        <v>0</v>
      </c>
      <c r="M157" s="99" t="b">
        <v>0</v>
      </c>
      <c r="N157" s="99" t="b">
        <v>0</v>
      </c>
      <c r="O157" s="99" t="b">
        <v>0</v>
      </c>
      <c r="P157" s="99" t="b">
        <v>0</v>
      </c>
      <c r="Q157" s="99" t="b">
        <v>0</v>
      </c>
      <c r="R157" s="14"/>
      <c r="S157" s="14"/>
      <c r="T157" s="14"/>
      <c r="U157" s="14"/>
      <c r="V157" s="14"/>
      <c r="W157" s="14"/>
    </row>
    <row r="158" ht="35.25" customHeight="1">
      <c r="A158" s="92" t="s">
        <v>5361</v>
      </c>
      <c r="B158" s="93" t="s">
        <v>5362</v>
      </c>
      <c r="C158" s="94" t="s">
        <v>5363</v>
      </c>
      <c r="D158" s="24" t="s">
        <v>5364</v>
      </c>
      <c r="E158" s="96" t="str">
        <f>IFERROR(__xludf.DUMMYFUNCTION("GOOGLETRANSLATE(D158,""zh-CN"",""vi"")"),"Từ đó, tôi bắt đầu học tiếng Trung.")</f>
        <v>Từ đó, tôi bắt đầu học tiếng Trung.</v>
      </c>
      <c r="F158" s="101" t="s">
        <v>5361</v>
      </c>
      <c r="G158" s="98" t="b">
        <f t="shared" si="1"/>
        <v>1</v>
      </c>
      <c r="H158" s="99" t="b">
        <v>0</v>
      </c>
      <c r="I158" s="99" t="b">
        <v>0</v>
      </c>
      <c r="J158" s="99" t="b">
        <v>0</v>
      </c>
      <c r="K158" s="99" t="b">
        <v>0</v>
      </c>
      <c r="L158" s="99" t="b">
        <v>0</v>
      </c>
      <c r="M158" s="99" t="b">
        <v>0</v>
      </c>
      <c r="N158" s="99" t="b">
        <v>0</v>
      </c>
      <c r="O158" s="99" t="b">
        <v>0</v>
      </c>
      <c r="P158" s="99" t="b">
        <v>0</v>
      </c>
      <c r="Q158" s="99" t="b">
        <v>0</v>
      </c>
      <c r="R158" s="14"/>
      <c r="S158" s="14"/>
      <c r="T158" s="14"/>
      <c r="U158" s="14"/>
      <c r="V158" s="14"/>
      <c r="W158" s="14"/>
    </row>
    <row r="159" ht="35.25" customHeight="1">
      <c r="A159" s="92" t="s">
        <v>5366</v>
      </c>
      <c r="B159" s="93" t="s">
        <v>5367</v>
      </c>
      <c r="C159" s="94" t="s">
        <v>5368</v>
      </c>
      <c r="D159" s="24" t="s">
        <v>5369</v>
      </c>
      <c r="E159" s="96" t="str">
        <f>IFERROR(__xludf.DUMMYFUNCTION("GOOGLETRANSLATE(D159,""zh-CN"",""vi"")"),"Anh ấy tìm được việc làm, nhờ đó cuộc sống của anh ấy đã được cải thiện.")</f>
        <v>Anh ấy tìm được việc làm, nhờ đó cuộc sống của anh ấy đã được cải thiện.</v>
      </c>
      <c r="F159" s="101" t="s">
        <v>5366</v>
      </c>
      <c r="G159" s="98" t="b">
        <f t="shared" si="1"/>
        <v>1</v>
      </c>
      <c r="H159" s="99" t="b">
        <v>0</v>
      </c>
      <c r="I159" s="99" t="b">
        <v>0</v>
      </c>
      <c r="J159" s="99" t="b">
        <v>0</v>
      </c>
      <c r="K159" s="99" t="b">
        <v>0</v>
      </c>
      <c r="L159" s="99" t="b">
        <v>0</v>
      </c>
      <c r="M159" s="99" t="b">
        <v>0</v>
      </c>
      <c r="N159" s="99" t="b">
        <v>0</v>
      </c>
      <c r="O159" s="99" t="b">
        <v>0</v>
      </c>
      <c r="P159" s="99" t="b">
        <v>0</v>
      </c>
      <c r="Q159" s="99" t="b">
        <v>0</v>
      </c>
      <c r="R159" s="14"/>
      <c r="S159" s="14"/>
      <c r="T159" s="14"/>
      <c r="U159" s="14"/>
      <c r="V159" s="14"/>
      <c r="W159" s="14"/>
    </row>
    <row r="160" ht="35.25" customHeight="1">
      <c r="A160" s="92" t="s">
        <v>5372</v>
      </c>
      <c r="B160" s="93" t="s">
        <v>5374</v>
      </c>
      <c r="C160" s="94" t="s">
        <v>5375</v>
      </c>
      <c r="D160" s="24" t="s">
        <v>5376</v>
      </c>
      <c r="E160" s="96" t="str">
        <f>IFERROR(__xludf.DUMMYFUNCTION("GOOGLETRANSLATE(D160,""zh-CN"",""vi"")"),"Ngày xửa ngày xưa, có một ngôi làng xinh đẹp.")</f>
        <v>Ngày xửa ngày xưa, có một ngôi làng xinh đẹp.</v>
      </c>
      <c r="F160" s="101" t="s">
        <v>5372</v>
      </c>
      <c r="G160" s="98" t="b">
        <f t="shared" si="1"/>
        <v>1</v>
      </c>
      <c r="H160" s="99" t="b">
        <v>0</v>
      </c>
      <c r="I160" s="99" t="b">
        <v>0</v>
      </c>
      <c r="J160" s="99" t="b">
        <v>0</v>
      </c>
      <c r="K160" s="99" t="b">
        <v>0</v>
      </c>
      <c r="L160" s="99" t="b">
        <v>0</v>
      </c>
      <c r="M160" s="99" t="b">
        <v>0</v>
      </c>
      <c r="N160" s="99" t="b">
        <v>0</v>
      </c>
      <c r="O160" s="99" t="b">
        <v>0</v>
      </c>
      <c r="P160" s="99" t="b">
        <v>0</v>
      </c>
      <c r="Q160" s="99" t="b">
        <v>0</v>
      </c>
      <c r="R160" s="14"/>
      <c r="S160" s="14"/>
      <c r="T160" s="14"/>
      <c r="U160" s="14"/>
      <c r="V160" s="14"/>
      <c r="W160" s="14"/>
    </row>
    <row r="161" ht="35.25" customHeight="1">
      <c r="A161" s="92" t="s">
        <v>5378</v>
      </c>
      <c r="B161" s="93" t="s">
        <v>5380</v>
      </c>
      <c r="C161" s="94" t="s">
        <v>5382</v>
      </c>
      <c r="D161" s="24" t="s">
        <v>5384</v>
      </c>
      <c r="E161" s="96" t="str">
        <f>IFERROR(__xludf.DUMMYFUNCTION("GOOGLETRANSLATE(D161,""zh-CN"",""vi"")"),"Anh ấy làm việc trong lĩnh vực phát triển phần mềm.")</f>
        <v>Anh ấy làm việc trong lĩnh vực phát triển phần mềm.</v>
      </c>
      <c r="F161" s="101" t="s">
        <v>5378</v>
      </c>
      <c r="G161" s="98" t="b">
        <f t="shared" si="1"/>
        <v>1</v>
      </c>
      <c r="H161" s="99" t="b">
        <v>0</v>
      </c>
      <c r="I161" s="99" t="b">
        <v>0</v>
      </c>
      <c r="J161" s="99" t="b">
        <v>0</v>
      </c>
      <c r="K161" s="99" t="b">
        <v>0</v>
      </c>
      <c r="L161" s="99" t="b">
        <v>0</v>
      </c>
      <c r="M161" s="99" t="b">
        <v>0</v>
      </c>
      <c r="N161" s="99" t="b">
        <v>0</v>
      </c>
      <c r="O161" s="99" t="b">
        <v>0</v>
      </c>
      <c r="P161" s="99" t="b">
        <v>0</v>
      </c>
      <c r="Q161" s="99" t="b">
        <v>0</v>
      </c>
      <c r="R161" s="14"/>
      <c r="S161" s="14"/>
      <c r="T161" s="14"/>
      <c r="U161" s="14"/>
      <c r="V161" s="14"/>
      <c r="W161" s="14"/>
    </row>
    <row r="162" ht="35.25" customHeight="1">
      <c r="A162" s="92" t="s">
        <v>5388</v>
      </c>
      <c r="B162" s="93" t="s">
        <v>5390</v>
      </c>
      <c r="C162" s="94" t="s">
        <v>5391</v>
      </c>
      <c r="D162" s="24" t="s">
        <v>5392</v>
      </c>
      <c r="E162" s="96" t="str">
        <f>IFERROR(__xludf.DUMMYFUNCTION("GOOGLETRANSLATE(D162,""zh-CN"",""vi"")"),"Bề mặt của tấm ván gỗ này rất thô ráp.")</f>
        <v>Bề mặt của tấm ván gỗ này rất thô ráp.</v>
      </c>
      <c r="F162" s="101" t="s">
        <v>5388</v>
      </c>
      <c r="G162" s="98" t="b">
        <f t="shared" si="1"/>
        <v>1</v>
      </c>
      <c r="H162" s="99" t="b">
        <v>0</v>
      </c>
      <c r="I162" s="99" t="b">
        <v>0</v>
      </c>
      <c r="J162" s="99" t="b">
        <v>0</v>
      </c>
      <c r="K162" s="99" t="b">
        <v>0</v>
      </c>
      <c r="L162" s="99" t="b">
        <v>0</v>
      </c>
      <c r="M162" s="99" t="b">
        <v>0</v>
      </c>
      <c r="N162" s="99" t="b">
        <v>0</v>
      </c>
      <c r="O162" s="99" t="b">
        <v>0</v>
      </c>
      <c r="P162" s="99" t="b">
        <v>0</v>
      </c>
      <c r="Q162" s="99" t="b">
        <v>0</v>
      </c>
      <c r="R162" s="14"/>
      <c r="S162" s="14"/>
      <c r="T162" s="14"/>
      <c r="U162" s="14"/>
      <c r="V162" s="14"/>
      <c r="W162" s="14"/>
    </row>
    <row r="163" ht="35.25" customHeight="1">
      <c r="A163" s="92" t="s">
        <v>5394</v>
      </c>
      <c r="B163" s="93" t="s">
        <v>5396</v>
      </c>
      <c r="C163" s="94" t="s">
        <v>5398</v>
      </c>
      <c r="D163" s="24" t="s">
        <v>5400</v>
      </c>
      <c r="E163" s="96" t="str">
        <f>IFERROR(__xludf.DUMMYFUNCTION("GOOGLETRANSLATE(D163,""zh-CN"",""vi"")"),"Mục tiêu của họ là thúc đẩy hợp tác quốc tế.")</f>
        <v>Mục tiêu của họ là thúc đẩy hợp tác quốc tế.</v>
      </c>
      <c r="F163" s="101" t="s">
        <v>5394</v>
      </c>
      <c r="G163" s="98" t="b">
        <f t="shared" si="1"/>
        <v>1</v>
      </c>
      <c r="H163" s="99" t="b">
        <v>0</v>
      </c>
      <c r="I163" s="99" t="b">
        <v>0</v>
      </c>
      <c r="J163" s="99" t="b">
        <v>0</v>
      </c>
      <c r="K163" s="99" t="b">
        <v>0</v>
      </c>
      <c r="L163" s="99" t="b">
        <v>0</v>
      </c>
      <c r="M163" s="99" t="b">
        <v>0</v>
      </c>
      <c r="N163" s="99" t="b">
        <v>0</v>
      </c>
      <c r="O163" s="99" t="b">
        <v>0</v>
      </c>
      <c r="P163" s="99" t="b">
        <v>0</v>
      </c>
      <c r="Q163" s="99" t="b">
        <v>0</v>
      </c>
      <c r="R163" s="14"/>
      <c r="S163" s="14"/>
      <c r="T163" s="14"/>
      <c r="U163" s="14"/>
      <c r="V163" s="14"/>
      <c r="W163" s="14"/>
    </row>
    <row r="164" ht="35.25" customHeight="1">
      <c r="A164" s="92" t="s">
        <v>5401</v>
      </c>
      <c r="B164" s="93" t="s">
        <v>5402</v>
      </c>
      <c r="C164" s="94" t="s">
        <v>5403</v>
      </c>
      <c r="D164" s="24" t="s">
        <v>5404</v>
      </c>
      <c r="E164" s="96" t="str">
        <f>IFERROR(__xludf.DUMMYFUNCTION("GOOGLETRANSLATE(D164,""zh-CN"",""vi"")"),"Sự việc này đã thúc đẩy anh ấy thay đổi.")</f>
        <v>Sự việc này đã thúc đẩy anh ấy thay đổi.</v>
      </c>
      <c r="F164" s="101" t="s">
        <v>5401</v>
      </c>
      <c r="G164" s="98" t="b">
        <f t="shared" si="1"/>
        <v>1</v>
      </c>
      <c r="H164" s="99" t="b">
        <v>0</v>
      </c>
      <c r="I164" s="99" t="b">
        <v>0</v>
      </c>
      <c r="J164" s="99" t="b">
        <v>0</v>
      </c>
      <c r="K164" s="99" t="b">
        <v>0</v>
      </c>
      <c r="L164" s="99" t="b">
        <v>0</v>
      </c>
      <c r="M164" s="99" t="b">
        <v>0</v>
      </c>
      <c r="N164" s="99" t="b">
        <v>0</v>
      </c>
      <c r="O164" s="99" t="b">
        <v>0</v>
      </c>
      <c r="P164" s="99" t="b">
        <v>0</v>
      </c>
      <c r="Q164" s="99" t="b">
        <v>0</v>
      </c>
      <c r="R164" s="14"/>
      <c r="S164" s="14"/>
      <c r="T164" s="14"/>
      <c r="U164" s="14"/>
      <c r="V164" s="14"/>
      <c r="W164" s="14"/>
    </row>
    <row r="165" ht="35.25" customHeight="1">
      <c r="A165" s="92" t="s">
        <v>5405</v>
      </c>
      <c r="B165" s="93" t="s">
        <v>5406</v>
      </c>
      <c r="C165" s="94" t="s">
        <v>5407</v>
      </c>
      <c r="D165" s="24" t="s">
        <v>5408</v>
      </c>
      <c r="E165" s="96" t="str">
        <f>IFERROR(__xludf.DUMMYFUNCTION("GOOGLETRANSLATE(D165,""zh-CN"",""vi"")"),"Tôi thích cho thêm một chút giấm vào các món ăn của mình.")</f>
        <v>Tôi thích cho thêm một chút giấm vào các món ăn của mình.</v>
      </c>
      <c r="F165" s="101" t="s">
        <v>5405</v>
      </c>
      <c r="G165" s="98" t="b">
        <f t="shared" si="1"/>
        <v>1</v>
      </c>
      <c r="H165" s="99" t="b">
        <v>0</v>
      </c>
      <c r="I165" s="99" t="b">
        <v>0</v>
      </c>
      <c r="J165" s="99" t="b">
        <v>0</v>
      </c>
      <c r="K165" s="99" t="b">
        <v>0</v>
      </c>
      <c r="L165" s="99" t="b">
        <v>0</v>
      </c>
      <c r="M165" s="99" t="b">
        <v>0</v>
      </c>
      <c r="N165" s="99" t="b">
        <v>0</v>
      </c>
      <c r="O165" s="99" t="b">
        <v>0</v>
      </c>
      <c r="P165" s="99" t="b">
        <v>0</v>
      </c>
      <c r="Q165" s="99" t="b">
        <v>0</v>
      </c>
      <c r="R165" s="14"/>
      <c r="S165" s="14"/>
      <c r="T165" s="14"/>
      <c r="U165" s="14"/>
      <c r="V165" s="14"/>
      <c r="W165" s="14"/>
    </row>
    <row r="166" ht="35.25" customHeight="1">
      <c r="A166" s="92" t="s">
        <v>5409</v>
      </c>
      <c r="B166" s="93" t="s">
        <v>5410</v>
      </c>
      <c r="C166" s="94" t="s">
        <v>5411</v>
      </c>
      <c r="D166" s="24" t="s">
        <v>5412</v>
      </c>
      <c r="E166" s="96" t="str">
        <f>IFERROR(__xludf.DUMMYFUNCTION("GOOGLETRANSLATE(D166,""zh-CN"",""vi"")"),"Ông ấy thúc giục mọi người hoàn thành công việc nhanh chóng.")</f>
        <v>Ông ấy thúc giục mọi người hoàn thành công việc nhanh chóng.</v>
      </c>
      <c r="F166" s="101" t="s">
        <v>5409</v>
      </c>
      <c r="G166" s="98" t="b">
        <f t="shared" si="1"/>
        <v>1</v>
      </c>
      <c r="H166" s="99" t="b">
        <v>0</v>
      </c>
      <c r="I166" s="99" t="b">
        <v>0</v>
      </c>
      <c r="J166" s="99" t="b">
        <v>0</v>
      </c>
      <c r="K166" s="99" t="b">
        <v>0</v>
      </c>
      <c r="L166" s="99" t="b">
        <v>0</v>
      </c>
      <c r="M166" s="99" t="b">
        <v>0</v>
      </c>
      <c r="N166" s="99" t="b">
        <v>0</v>
      </c>
      <c r="O166" s="99" t="b">
        <v>0</v>
      </c>
      <c r="P166" s="99" t="b">
        <v>0</v>
      </c>
      <c r="Q166" s="99" t="b">
        <v>0</v>
      </c>
      <c r="R166" s="14"/>
      <c r="S166" s="14"/>
      <c r="T166" s="14"/>
      <c r="U166" s="14"/>
      <c r="V166" s="14"/>
      <c r="W166" s="14"/>
    </row>
    <row r="167" ht="35.25" customHeight="1">
      <c r="A167" s="92" t="s">
        <v>5413</v>
      </c>
      <c r="B167" s="93" t="s">
        <v>5414</v>
      </c>
      <c r="C167" s="94" t="s">
        <v>5415</v>
      </c>
      <c r="D167" s="24" t="s">
        <v>5416</v>
      </c>
      <c r="E167" s="96" t="str">
        <f>IFERROR(__xludf.DUMMYFUNCTION("GOOGLETRANSLATE(D167,""zh-CN"",""vi"")"),"Hiện tượng này đã tồn tại trong xã hội từ lâu.")</f>
        <v>Hiện tượng này đã tồn tại trong xã hội từ lâu.</v>
      </c>
      <c r="F167" s="101" t="s">
        <v>5413</v>
      </c>
      <c r="G167" s="98" t="b">
        <f t="shared" si="1"/>
        <v>1</v>
      </c>
      <c r="H167" s="99" t="b">
        <v>0</v>
      </c>
      <c r="I167" s="99" t="b">
        <v>0</v>
      </c>
      <c r="J167" s="99" t="b">
        <v>0</v>
      </c>
      <c r="K167" s="99" t="b">
        <v>0</v>
      </c>
      <c r="L167" s="99" t="b">
        <v>0</v>
      </c>
      <c r="M167" s="99" t="b">
        <v>0</v>
      </c>
      <c r="N167" s="99" t="b">
        <v>0</v>
      </c>
      <c r="O167" s="99" t="b">
        <v>0</v>
      </c>
      <c r="P167" s="99" t="b">
        <v>0</v>
      </c>
      <c r="Q167" s="99" t="b">
        <v>0</v>
      </c>
      <c r="R167" s="14"/>
      <c r="S167" s="14"/>
      <c r="T167" s="14"/>
      <c r="U167" s="14"/>
      <c r="V167" s="14"/>
      <c r="W167" s="14"/>
    </row>
    <row r="168" ht="35.25" customHeight="1">
      <c r="A168" s="92" t="s">
        <v>5417</v>
      </c>
      <c r="B168" s="93" t="s">
        <v>5418</v>
      </c>
      <c r="C168" s="94" t="s">
        <v>5419</v>
      </c>
      <c r="D168" s="24" t="s">
        <v>5420</v>
      </c>
      <c r="E168" s="96" t="str">
        <f>IFERROR(__xludf.DUMMYFUNCTION("GOOGLETRANSLATE(D168,""zh-CN"",""vi"")"),"Chúng ta cần có những biện pháp mới.")</f>
        <v>Chúng ta cần có những biện pháp mới.</v>
      </c>
      <c r="F168" s="101" t="s">
        <v>5417</v>
      </c>
      <c r="G168" s="98" t="b">
        <f t="shared" si="1"/>
        <v>1</v>
      </c>
      <c r="H168" s="99" t="b">
        <v>0</v>
      </c>
      <c r="I168" s="99" t="b">
        <v>0</v>
      </c>
      <c r="J168" s="99" t="b">
        <v>0</v>
      </c>
      <c r="K168" s="99" t="b">
        <v>0</v>
      </c>
      <c r="L168" s="99" t="b">
        <v>0</v>
      </c>
      <c r="M168" s="99" t="b">
        <v>0</v>
      </c>
      <c r="N168" s="99" t="b">
        <v>0</v>
      </c>
      <c r="O168" s="99" t="b">
        <v>0</v>
      </c>
      <c r="P168" s="99" t="b">
        <v>0</v>
      </c>
      <c r="Q168" s="99" t="b">
        <v>0</v>
      </c>
      <c r="R168" s="14"/>
      <c r="S168" s="14"/>
      <c r="T168" s="14"/>
      <c r="U168" s="14"/>
      <c r="V168" s="14"/>
      <c r="W168" s="14"/>
    </row>
    <row r="169" ht="35.25" customHeight="1">
      <c r="A169" s="92" t="s">
        <v>5421</v>
      </c>
      <c r="B169" s="93" t="s">
        <v>5422</v>
      </c>
      <c r="C169" s="94" t="s">
        <v>5423</v>
      </c>
      <c r="D169" s="24" t="s">
        <v>5424</v>
      </c>
      <c r="E169" s="96" t="str">
        <f>IFERROR(__xludf.DUMMYFUNCTION("GOOGLETRANSLATE(D169,""zh-CN"",""vi"")"),"Tôi đã hứa sẽ đến đúng giờ.")</f>
        <v>Tôi đã hứa sẽ đến đúng giờ.</v>
      </c>
      <c r="F169" s="101" t="s">
        <v>5421</v>
      </c>
      <c r="G169" s="98" t="b">
        <f t="shared" si="1"/>
        <v>1</v>
      </c>
      <c r="H169" s="99" t="b">
        <v>0</v>
      </c>
      <c r="I169" s="99" t="b">
        <v>0</v>
      </c>
      <c r="J169" s="99" t="b">
        <v>0</v>
      </c>
      <c r="K169" s="99" t="b">
        <v>0</v>
      </c>
      <c r="L169" s="99" t="b">
        <v>0</v>
      </c>
      <c r="M169" s="99" t="b">
        <v>0</v>
      </c>
      <c r="N169" s="99" t="b">
        <v>0</v>
      </c>
      <c r="O169" s="99" t="b">
        <v>0</v>
      </c>
      <c r="P169" s="99" t="b">
        <v>0</v>
      </c>
      <c r="Q169" s="99" t="b">
        <v>0</v>
      </c>
      <c r="R169" s="14"/>
      <c r="S169" s="14"/>
      <c r="T169" s="14"/>
      <c r="U169" s="14"/>
      <c r="V169" s="14"/>
      <c r="W169" s="14"/>
    </row>
    <row r="170" ht="35.25" customHeight="1">
      <c r="A170" s="92" t="s">
        <v>5425</v>
      </c>
      <c r="B170" s="93" t="s">
        <v>5426</v>
      </c>
      <c r="C170" s="94" t="s">
        <v>5427</v>
      </c>
      <c r="D170" s="24" t="s">
        <v>5428</v>
      </c>
      <c r="E170" s="96" t="str">
        <f>IFERROR(__xludf.DUMMYFUNCTION("GOOGLETRANSLATE(D170,""zh-CN"",""vi"")"),"Cuối cùng anh ấy đã đạt được mục tiêu của mình.")</f>
        <v>Cuối cùng anh ấy đã đạt được mục tiêu của mình.</v>
      </c>
      <c r="F170" s="101" t="s">
        <v>5425</v>
      </c>
      <c r="G170" s="98" t="b">
        <f t="shared" si="1"/>
        <v>1</v>
      </c>
      <c r="H170" s="99" t="b">
        <v>0</v>
      </c>
      <c r="I170" s="99" t="b">
        <v>0</v>
      </c>
      <c r="J170" s="99" t="b">
        <v>0</v>
      </c>
      <c r="K170" s="99" t="b">
        <v>0</v>
      </c>
      <c r="L170" s="99" t="b">
        <v>0</v>
      </c>
      <c r="M170" s="99" t="b">
        <v>0</v>
      </c>
      <c r="N170" s="99" t="b">
        <v>0</v>
      </c>
      <c r="O170" s="99" t="b">
        <v>0</v>
      </c>
      <c r="P170" s="99" t="b">
        <v>0</v>
      </c>
      <c r="Q170" s="99" t="b">
        <v>0</v>
      </c>
      <c r="R170" s="14"/>
      <c r="S170" s="14"/>
      <c r="T170" s="14"/>
      <c r="U170" s="14"/>
      <c r="V170" s="14"/>
      <c r="W170" s="14"/>
    </row>
    <row r="171" ht="35.25" customHeight="1">
      <c r="A171" s="92" t="s">
        <v>5429</v>
      </c>
      <c r="B171" s="93" t="s">
        <v>5430</v>
      </c>
      <c r="C171" s="94" t="s">
        <v>5431</v>
      </c>
      <c r="D171" s="24" t="s">
        <v>5432</v>
      </c>
      <c r="E171" s="96" t="str">
        <f>IFERROR(__xludf.DUMMYFUNCTION("GOOGLETRANSLATE(D171,""zh-CN"",""vi"")"),"Anh ấy làm việc tại một nhà hàng.")</f>
        <v>Anh ấy làm việc tại một nhà hàng.</v>
      </c>
      <c r="F171" s="101" t="s">
        <v>5429</v>
      </c>
      <c r="G171" s="98" t="b">
        <f t="shared" si="1"/>
        <v>1</v>
      </c>
      <c r="H171" s="99" t="b">
        <v>0</v>
      </c>
      <c r="I171" s="99" t="b">
        <v>0</v>
      </c>
      <c r="J171" s="99" t="b">
        <v>0</v>
      </c>
      <c r="K171" s="99" t="b">
        <v>0</v>
      </c>
      <c r="L171" s="99" t="b">
        <v>0</v>
      </c>
      <c r="M171" s="99" t="b">
        <v>0</v>
      </c>
      <c r="N171" s="99" t="b">
        <v>0</v>
      </c>
      <c r="O171" s="99" t="b">
        <v>0</v>
      </c>
      <c r="P171" s="99" t="b">
        <v>0</v>
      </c>
      <c r="Q171" s="99" t="b">
        <v>0</v>
      </c>
      <c r="R171" s="14"/>
      <c r="S171" s="14"/>
      <c r="T171" s="14"/>
      <c r="U171" s="14"/>
      <c r="V171" s="14"/>
      <c r="W171" s="14"/>
    </row>
    <row r="172" ht="35.25" customHeight="1">
      <c r="A172" s="92" t="s">
        <v>5433</v>
      </c>
      <c r="B172" s="93" t="s">
        <v>5434</v>
      </c>
      <c r="C172" s="94" t="s">
        <v>5435</v>
      </c>
      <c r="D172" s="24" t="s">
        <v>5436</v>
      </c>
      <c r="E172" s="96" t="str">
        <f>IFERROR(__xludf.DUMMYFUNCTION("GOOGLETRANSLATE(D172,""zh-CN"",""vi"")"),"Chúng tôi thường xuyên giao dịch với nhau.")</f>
        <v>Chúng tôi thường xuyên giao dịch với nhau.</v>
      </c>
      <c r="F172" s="101" t="s">
        <v>5433</v>
      </c>
      <c r="G172" s="98" t="b">
        <f t="shared" si="1"/>
        <v>1</v>
      </c>
      <c r="H172" s="99" t="b">
        <v>0</v>
      </c>
      <c r="I172" s="99" t="b">
        <v>0</v>
      </c>
      <c r="J172" s="99" t="b">
        <v>0</v>
      </c>
      <c r="K172" s="99" t="b">
        <v>0</v>
      </c>
      <c r="L172" s="99" t="b">
        <v>0</v>
      </c>
      <c r="M172" s="99" t="b">
        <v>0</v>
      </c>
      <c r="N172" s="99" t="b">
        <v>0</v>
      </c>
      <c r="O172" s="99" t="b">
        <v>0</v>
      </c>
      <c r="P172" s="99" t="b">
        <v>0</v>
      </c>
      <c r="Q172" s="99" t="b">
        <v>0</v>
      </c>
      <c r="R172" s="14"/>
      <c r="S172" s="14"/>
      <c r="T172" s="14"/>
      <c r="U172" s="14"/>
      <c r="V172" s="14"/>
      <c r="W172" s="14"/>
    </row>
    <row r="173" ht="35.25" customHeight="1">
      <c r="A173" s="92" t="s">
        <v>5437</v>
      </c>
      <c r="B173" s="93" t="s">
        <v>5438</v>
      </c>
      <c r="C173" s="94" t="s">
        <v>5439</v>
      </c>
      <c r="D173" s="24" t="s">
        <v>5440</v>
      </c>
      <c r="E173" s="96" t="str">
        <f>IFERROR(__xludf.DUMMYFUNCTION("GOOGLETRANSLATE(D173,""zh-CN"",""vi"")"),"Cô ấy hắt hơi.")</f>
        <v>Cô ấy hắt hơi.</v>
      </c>
      <c r="F173" s="101" t="s">
        <v>5437</v>
      </c>
      <c r="G173" s="98" t="b">
        <f t="shared" si="1"/>
        <v>1</v>
      </c>
      <c r="H173" s="99" t="b">
        <v>0</v>
      </c>
      <c r="I173" s="99" t="b">
        <v>0</v>
      </c>
      <c r="J173" s="99" t="b">
        <v>0</v>
      </c>
      <c r="K173" s="99" t="b">
        <v>0</v>
      </c>
      <c r="L173" s="99" t="b">
        <v>0</v>
      </c>
      <c r="M173" s="99" t="b">
        <v>0</v>
      </c>
      <c r="N173" s="99" t="b">
        <v>0</v>
      </c>
      <c r="O173" s="99" t="b">
        <v>0</v>
      </c>
      <c r="P173" s="99" t="b">
        <v>0</v>
      </c>
      <c r="Q173" s="99" t="b">
        <v>0</v>
      </c>
      <c r="R173" s="14"/>
      <c r="S173" s="14"/>
      <c r="T173" s="14"/>
      <c r="U173" s="14"/>
      <c r="V173" s="14"/>
      <c r="W173" s="14"/>
    </row>
    <row r="174" ht="35.25" customHeight="1">
      <c r="A174" s="92" t="s">
        <v>5441</v>
      </c>
      <c r="B174" s="93" t="s">
        <v>5442</v>
      </c>
      <c r="C174" s="94" t="s">
        <v>5443</v>
      </c>
      <c r="D174" s="24" t="s">
        <v>5444</v>
      </c>
      <c r="E174" s="96" t="str">
        <f>IFERROR(__xludf.DUMMYFUNCTION("GOOGLETRANSLATE(D174,""zh-CN"",""vi"")"),"Tôi muốn tìm ra anh ta đang ở đâu.")</f>
        <v>Tôi muốn tìm ra anh ta đang ở đâu.</v>
      </c>
      <c r="F174" s="101" t="s">
        <v>5441</v>
      </c>
      <c r="G174" s="98" t="b">
        <f t="shared" si="1"/>
        <v>1</v>
      </c>
      <c r="H174" s="99" t="b">
        <v>0</v>
      </c>
      <c r="I174" s="99" t="b">
        <v>0</v>
      </c>
      <c r="J174" s="99" t="b">
        <v>0</v>
      </c>
      <c r="K174" s="99" t="b">
        <v>0</v>
      </c>
      <c r="L174" s="99" t="b">
        <v>0</v>
      </c>
      <c r="M174" s="99" t="b">
        <v>0</v>
      </c>
      <c r="N174" s="99" t="b">
        <v>0</v>
      </c>
      <c r="O174" s="99" t="b">
        <v>0</v>
      </c>
      <c r="P174" s="99" t="b">
        <v>0</v>
      </c>
      <c r="Q174" s="99" t="b">
        <v>0</v>
      </c>
      <c r="R174" s="14"/>
      <c r="S174" s="14"/>
      <c r="T174" s="14"/>
      <c r="U174" s="14"/>
      <c r="V174" s="14"/>
      <c r="W174" s="14"/>
    </row>
    <row r="175" ht="35.25" customHeight="1">
      <c r="A175" s="92" t="s">
        <v>5445</v>
      </c>
      <c r="B175" s="93" t="s">
        <v>5446</v>
      </c>
      <c r="C175" s="94" t="s">
        <v>5447</v>
      </c>
      <c r="D175" s="24" t="s">
        <v>5448</v>
      </c>
      <c r="E175" s="96" t="str">
        <f>IFERROR(__xludf.DUMMYFUNCTION("GOOGLETRANSLATE(D175,""zh-CN"",""vi"")"),"Cô ấy rất hào phóng và sẵn lòng giúp đỡ người khác.")</f>
        <v>Cô ấy rất hào phóng và sẵn lòng giúp đỡ người khác.</v>
      </c>
      <c r="F175" s="101" t="s">
        <v>5445</v>
      </c>
      <c r="G175" s="98" t="b">
        <f t="shared" si="1"/>
        <v>1</v>
      </c>
      <c r="H175" s="99" t="b">
        <v>0</v>
      </c>
      <c r="I175" s="99" t="b">
        <v>0</v>
      </c>
      <c r="J175" s="99" t="b">
        <v>0</v>
      </c>
      <c r="K175" s="99" t="b">
        <v>0</v>
      </c>
      <c r="L175" s="99" t="b">
        <v>0</v>
      </c>
      <c r="M175" s="99" t="b">
        <v>0</v>
      </c>
      <c r="N175" s="99" t="b">
        <v>0</v>
      </c>
      <c r="O175" s="99" t="b">
        <v>0</v>
      </c>
      <c r="P175" s="99" t="b">
        <v>0</v>
      </c>
      <c r="Q175" s="99" t="b">
        <v>0</v>
      </c>
      <c r="R175" s="14"/>
      <c r="S175" s="14"/>
      <c r="T175" s="14"/>
      <c r="U175" s="14"/>
      <c r="V175" s="14"/>
      <c r="W175" s="14"/>
    </row>
    <row r="176" ht="35.25" customHeight="1">
      <c r="A176" s="92" t="s">
        <v>5449</v>
      </c>
      <c r="B176" s="93" t="s">
        <v>5450</v>
      </c>
      <c r="C176" s="94" t="s">
        <v>2366</v>
      </c>
      <c r="D176" s="24" t="s">
        <v>5451</v>
      </c>
      <c r="E176" s="96" t="str">
        <f>IFERROR(__xludf.DUMMYFUNCTION("GOOGLETRANSLATE(D176,""zh-CN"",""vi"")"),"Tòa nhà này rất cao.")</f>
        <v>Tòa nhà này rất cao.</v>
      </c>
      <c r="F176" s="101" t="s">
        <v>5449</v>
      </c>
      <c r="G176" s="98" t="b">
        <f t="shared" si="1"/>
        <v>1</v>
      </c>
      <c r="H176" s="99" t="b">
        <v>0</v>
      </c>
      <c r="I176" s="99" t="b">
        <v>0</v>
      </c>
      <c r="J176" s="99" t="b">
        <v>0</v>
      </c>
      <c r="K176" s="99" t="b">
        <v>0</v>
      </c>
      <c r="L176" s="99" t="b">
        <v>0</v>
      </c>
      <c r="M176" s="99" t="b">
        <v>0</v>
      </c>
      <c r="N176" s="99" t="b">
        <v>0</v>
      </c>
      <c r="O176" s="99" t="b">
        <v>0</v>
      </c>
      <c r="P176" s="99" t="b">
        <v>0</v>
      </c>
      <c r="Q176" s="99" t="b">
        <v>0</v>
      </c>
      <c r="R176" s="14"/>
      <c r="S176" s="14"/>
      <c r="T176" s="14"/>
      <c r="U176" s="14"/>
      <c r="V176" s="14"/>
      <c r="W176" s="14"/>
    </row>
    <row r="177" ht="35.25" customHeight="1">
      <c r="A177" s="92" t="s">
        <v>5452</v>
      </c>
      <c r="B177" s="93" t="s">
        <v>5453</v>
      </c>
      <c r="C177" s="94" t="s">
        <v>5454</v>
      </c>
      <c r="D177" s="24" t="s">
        <v>5455</v>
      </c>
      <c r="E177" s="96" t="str">
        <f>IFERROR(__xludf.DUMMYFUNCTION("GOOGLETRANSLATE(D177,""zh-CN"",""vi"")"),"Trong sở thú có một con voi.")</f>
        <v>Trong sở thú có một con voi.</v>
      </c>
      <c r="F177" s="101" t="s">
        <v>5452</v>
      </c>
      <c r="G177" s="98" t="b">
        <f t="shared" si="1"/>
        <v>1</v>
      </c>
      <c r="H177" s="99" t="b">
        <v>0</v>
      </c>
      <c r="I177" s="99" t="b">
        <v>0</v>
      </c>
      <c r="J177" s="99" t="b">
        <v>0</v>
      </c>
      <c r="K177" s="99" t="b">
        <v>0</v>
      </c>
      <c r="L177" s="99" t="b">
        <v>0</v>
      </c>
      <c r="M177" s="99" t="b">
        <v>0</v>
      </c>
      <c r="N177" s="99" t="b">
        <v>0</v>
      </c>
      <c r="O177" s="99" t="b">
        <v>0</v>
      </c>
      <c r="P177" s="99" t="b">
        <v>0</v>
      </c>
      <c r="Q177" s="99" t="b">
        <v>0</v>
      </c>
      <c r="R177" s="14"/>
      <c r="S177" s="14"/>
      <c r="T177" s="14"/>
      <c r="U177" s="14"/>
      <c r="V177" s="14"/>
      <c r="W177" s="14"/>
    </row>
    <row r="178" ht="35.25" customHeight="1">
      <c r="A178" s="92" t="s">
        <v>5456</v>
      </c>
      <c r="B178" s="93" t="s">
        <v>5457</v>
      </c>
      <c r="C178" s="94" t="s">
        <v>5458</v>
      </c>
      <c r="D178" s="24" t="s">
        <v>5459</v>
      </c>
      <c r="E178" s="96" t="str">
        <f>IFERROR(__xludf.DUMMYFUNCTION("GOOGLETRANSLATE(D178,""zh-CN"",""vi"")"),"Đây là một thiết bị lớn.")</f>
        <v>Đây là một thiết bị lớn.</v>
      </c>
      <c r="F178" s="101" t="s">
        <v>5456</v>
      </c>
      <c r="G178" s="98" t="b">
        <f t="shared" si="1"/>
        <v>1</v>
      </c>
      <c r="H178" s="99" t="b">
        <v>0</v>
      </c>
      <c r="I178" s="99" t="b">
        <v>0</v>
      </c>
      <c r="J178" s="99" t="b">
        <v>0</v>
      </c>
      <c r="K178" s="99" t="b">
        <v>0</v>
      </c>
      <c r="L178" s="99" t="b">
        <v>0</v>
      </c>
      <c r="M178" s="99" t="b">
        <v>0</v>
      </c>
      <c r="N178" s="99" t="b">
        <v>0</v>
      </c>
      <c r="O178" s="99" t="b">
        <v>0</v>
      </c>
      <c r="P178" s="99" t="b">
        <v>0</v>
      </c>
      <c r="Q178" s="99" t="b">
        <v>0</v>
      </c>
      <c r="R178" s="14"/>
      <c r="S178" s="14"/>
      <c r="T178" s="14"/>
      <c r="U178" s="14"/>
      <c r="V178" s="14"/>
      <c r="W178" s="14"/>
    </row>
    <row r="179" ht="35.25" customHeight="1">
      <c r="A179" s="92" t="s">
        <v>5460</v>
      </c>
      <c r="B179" s="93" t="s">
        <v>5461</v>
      </c>
      <c r="C179" s="94" t="s">
        <v>5462</v>
      </c>
      <c r="D179" s="24" t="s">
        <v>5463</v>
      </c>
      <c r="E179" s="96" t="str">
        <f>IFERROR(__xludf.DUMMYFUNCTION("GOOGLETRANSLATE(D179,""zh-CN"",""vi"")"),"Trông anh ta có vẻ hơi uể oải.")</f>
        <v>Trông anh ta có vẻ hơi uể oải.</v>
      </c>
      <c r="F179" s="101" t="s">
        <v>5460</v>
      </c>
      <c r="G179" s="98" t="b">
        <f t="shared" si="1"/>
        <v>1</v>
      </c>
      <c r="H179" s="99" t="b">
        <v>0</v>
      </c>
      <c r="I179" s="99" t="b">
        <v>0</v>
      </c>
      <c r="J179" s="99" t="b">
        <v>0</v>
      </c>
      <c r="K179" s="99" t="b">
        <v>0</v>
      </c>
      <c r="L179" s="99" t="b">
        <v>0</v>
      </c>
      <c r="M179" s="99" t="b">
        <v>0</v>
      </c>
      <c r="N179" s="99" t="b">
        <v>0</v>
      </c>
      <c r="O179" s="99" t="b">
        <v>0</v>
      </c>
      <c r="P179" s="99" t="b">
        <v>0</v>
      </c>
      <c r="Q179" s="99" t="b">
        <v>0</v>
      </c>
      <c r="R179" s="14"/>
      <c r="S179" s="14"/>
      <c r="T179" s="14"/>
      <c r="U179" s="14"/>
      <c r="V179" s="14"/>
      <c r="W179" s="14"/>
    </row>
    <row r="180" ht="35.25" customHeight="1">
      <c r="A180" s="92" t="s">
        <v>5464</v>
      </c>
      <c r="B180" s="93" t="s">
        <v>5465</v>
      </c>
      <c r="C180" s="94" t="s">
        <v>5466</v>
      </c>
      <c r="D180" s="24" t="s">
        <v>5467</v>
      </c>
      <c r="E180" s="96" t="str">
        <f>IFERROR(__xludf.DUMMYFUNCTION("GOOGLETRANSLATE(D180,""zh-CN"",""vi"")"),"Ông ấy đại diện cho công ty tại cuộc họp.")</f>
        <v>Ông ấy đại diện cho công ty tại cuộc họp.</v>
      </c>
      <c r="F180" s="101" t="s">
        <v>5464</v>
      </c>
      <c r="G180" s="98" t="b">
        <f t="shared" si="1"/>
        <v>1</v>
      </c>
      <c r="H180" s="99" t="b">
        <v>0</v>
      </c>
      <c r="I180" s="99" t="b">
        <v>0</v>
      </c>
      <c r="J180" s="99" t="b">
        <v>0</v>
      </c>
      <c r="K180" s="99" t="b">
        <v>0</v>
      </c>
      <c r="L180" s="99" t="b">
        <v>0</v>
      </c>
      <c r="M180" s="99" t="b">
        <v>0</v>
      </c>
      <c r="N180" s="99" t="b">
        <v>0</v>
      </c>
      <c r="O180" s="99" t="b">
        <v>0</v>
      </c>
      <c r="P180" s="99" t="b">
        <v>0</v>
      </c>
      <c r="Q180" s="99" t="b">
        <v>0</v>
      </c>
      <c r="R180" s="14"/>
      <c r="S180" s="14"/>
      <c r="T180" s="14"/>
      <c r="U180" s="14"/>
      <c r="V180" s="14"/>
      <c r="W180" s="14"/>
    </row>
    <row r="181" ht="35.25" customHeight="1">
      <c r="A181" s="92" t="s">
        <v>5468</v>
      </c>
      <c r="B181" s="93" t="s">
        <v>5469</v>
      </c>
      <c r="C181" s="94" t="s">
        <v>5470</v>
      </c>
      <c r="D181" s="24" t="s">
        <v>5471</v>
      </c>
      <c r="E181" s="96" t="str">
        <f>IFERROR(__xludf.DUMMYFUNCTION("GOOGLETRANSLATE(D181,""zh-CN"",""vi"")"),"Chúng ta cần tìm người thay thế anh ấy.")</f>
        <v>Chúng ta cần tìm người thay thế anh ấy.</v>
      </c>
      <c r="F181" s="101" t="s">
        <v>5468</v>
      </c>
      <c r="G181" s="98" t="b">
        <f t="shared" si="1"/>
        <v>1</v>
      </c>
      <c r="H181" s="99" t="b">
        <v>0</v>
      </c>
      <c r="I181" s="99" t="b">
        <v>0</v>
      </c>
      <c r="J181" s="99" t="b">
        <v>0</v>
      </c>
      <c r="K181" s="99" t="b">
        <v>0</v>
      </c>
      <c r="L181" s="99" t="b">
        <v>0</v>
      </c>
      <c r="M181" s="99" t="b">
        <v>0</v>
      </c>
      <c r="N181" s="99" t="b">
        <v>0</v>
      </c>
      <c r="O181" s="99" t="b">
        <v>0</v>
      </c>
      <c r="P181" s="99" t="b">
        <v>0</v>
      </c>
      <c r="Q181" s="99" t="b">
        <v>0</v>
      </c>
      <c r="R181" s="14"/>
      <c r="S181" s="14"/>
      <c r="T181" s="14"/>
      <c r="U181" s="14"/>
      <c r="V181" s="14"/>
      <c r="W181" s="14"/>
    </row>
    <row r="182" ht="35.25" customHeight="1">
      <c r="A182" s="92" t="s">
        <v>5472</v>
      </c>
      <c r="B182" s="93" t="s">
        <v>5473</v>
      </c>
      <c r="C182" s="94" t="s">
        <v>5474</v>
      </c>
      <c r="D182" s="24" t="s">
        <v>5475</v>
      </c>
      <c r="E182" s="96" t="str">
        <f>IFERROR(__xludf.DUMMYFUNCTION("GOOGLETRANSLATE(D182,""zh-CN"",""vi"")"),"Chúng tôi đã nộp đơn xin vay vốn.")</f>
        <v>Chúng tôi đã nộp đơn xin vay vốn.</v>
      </c>
      <c r="F182" s="101" t="s">
        <v>5472</v>
      </c>
      <c r="G182" s="98" t="b">
        <f t="shared" si="1"/>
        <v>1</v>
      </c>
      <c r="H182" s="99" t="b">
        <v>0</v>
      </c>
      <c r="I182" s="99" t="b">
        <v>0</v>
      </c>
      <c r="J182" s="99" t="b">
        <v>0</v>
      </c>
      <c r="K182" s="99" t="b">
        <v>0</v>
      </c>
      <c r="L182" s="99" t="b">
        <v>0</v>
      </c>
      <c r="M182" s="99" t="b">
        <v>0</v>
      </c>
      <c r="N182" s="99" t="b">
        <v>0</v>
      </c>
      <c r="O182" s="99" t="b">
        <v>0</v>
      </c>
      <c r="P182" s="99" t="b">
        <v>0</v>
      </c>
      <c r="Q182" s="99" t="b">
        <v>0</v>
      </c>
      <c r="R182" s="14"/>
      <c r="S182" s="14"/>
      <c r="T182" s="14"/>
      <c r="U182" s="14"/>
      <c r="V182" s="14"/>
      <c r="W182" s="14"/>
    </row>
    <row r="183" ht="35.25" customHeight="1">
      <c r="A183" s="92" t="s">
        <v>5480</v>
      </c>
      <c r="B183" s="93" t="s">
        <v>5481</v>
      </c>
      <c r="C183" s="94" t="s">
        <v>5482</v>
      </c>
      <c r="D183" s="24" t="s">
        <v>5483</v>
      </c>
      <c r="E183" s="96" t="str">
        <f>IFERROR(__xludf.DUMMYFUNCTION("GOOGLETRANSLATE(D183,""zh-CN"",""vi"")"),"Anh ấy được đối xử rất tốt.")</f>
        <v>Anh ấy được đối xử rất tốt.</v>
      </c>
      <c r="F183" s="101" t="s">
        <v>5480</v>
      </c>
      <c r="G183" s="98" t="b">
        <f t="shared" si="1"/>
        <v>1</v>
      </c>
      <c r="H183" s="99" t="b">
        <v>0</v>
      </c>
      <c r="I183" s="99" t="b">
        <v>0</v>
      </c>
      <c r="J183" s="99" t="b">
        <v>0</v>
      </c>
      <c r="K183" s="99" t="b">
        <v>0</v>
      </c>
      <c r="L183" s="99" t="b">
        <v>0</v>
      </c>
      <c r="M183" s="99" t="b">
        <v>0</v>
      </c>
      <c r="N183" s="99" t="b">
        <v>0</v>
      </c>
      <c r="O183" s="99" t="b">
        <v>0</v>
      </c>
      <c r="P183" s="99" t="b">
        <v>0</v>
      </c>
      <c r="Q183" s="99" t="b">
        <v>0</v>
      </c>
      <c r="R183" s="14"/>
      <c r="S183" s="14"/>
      <c r="T183" s="14"/>
      <c r="U183" s="14"/>
      <c r="V183" s="14"/>
      <c r="W183" s="14"/>
    </row>
    <row r="184" ht="35.25" customHeight="1">
      <c r="A184" s="92" t="s">
        <v>5484</v>
      </c>
      <c r="B184" s="93" t="s">
        <v>5485</v>
      </c>
      <c r="C184" s="94" t="s">
        <v>5486</v>
      </c>
      <c r="D184" s="24" t="s">
        <v>5487</v>
      </c>
      <c r="E184" s="96" t="str">
        <f>IFERROR(__xludf.DUMMYFUNCTION("GOOGLETRANSLATE(D184,""zh-CN"",""vi"")"),"Cô ấy giữ vai trò quản lý dự án.")</f>
        <v>Cô ấy giữ vai trò quản lý dự án.</v>
      </c>
      <c r="F184" s="101" t="s">
        <v>5484</v>
      </c>
      <c r="G184" s="98" t="b">
        <f t="shared" si="1"/>
        <v>1</v>
      </c>
      <c r="H184" s="99" t="b">
        <v>0</v>
      </c>
      <c r="I184" s="99" t="b">
        <v>0</v>
      </c>
      <c r="J184" s="99" t="b">
        <v>0</v>
      </c>
      <c r="K184" s="99" t="b">
        <v>0</v>
      </c>
      <c r="L184" s="99" t="b">
        <v>0</v>
      </c>
      <c r="M184" s="99" t="b">
        <v>0</v>
      </c>
      <c r="N184" s="99" t="b">
        <v>0</v>
      </c>
      <c r="O184" s="99" t="b">
        <v>0</v>
      </c>
      <c r="P184" s="99" t="b">
        <v>0</v>
      </c>
      <c r="Q184" s="99" t="b">
        <v>0</v>
      </c>
      <c r="R184" s="14"/>
      <c r="S184" s="14"/>
      <c r="T184" s="14"/>
      <c r="U184" s="14"/>
      <c r="V184" s="14"/>
      <c r="W184" s="14"/>
    </row>
    <row r="185" ht="35.25" customHeight="1">
      <c r="A185" s="92" t="s">
        <v>5488</v>
      </c>
      <c r="B185" s="93" t="s">
        <v>5489</v>
      </c>
      <c r="C185" s="94" t="s">
        <v>5490</v>
      </c>
      <c r="D185" s="24" t="s">
        <v>5491</v>
      </c>
      <c r="E185" s="96" t="str">
        <f>IFERROR(__xludf.DUMMYFUNCTION("GOOGLETRANSLATE(D185,""zh-CN"",""vi"")"),"Anh ấy là một người giản dị.")</f>
        <v>Anh ấy là một người giản dị.</v>
      </c>
      <c r="F185" s="101" t="s">
        <v>5488</v>
      </c>
      <c r="G185" s="98" t="b">
        <f t="shared" si="1"/>
        <v>1</v>
      </c>
      <c r="H185" s="99" t="b">
        <v>0</v>
      </c>
      <c r="I185" s="99" t="b">
        <v>0</v>
      </c>
      <c r="J185" s="99" t="b">
        <v>0</v>
      </c>
      <c r="K185" s="99" t="b">
        <v>0</v>
      </c>
      <c r="L185" s="99" t="b">
        <v>0</v>
      </c>
      <c r="M185" s="99" t="b">
        <v>0</v>
      </c>
      <c r="N185" s="99" t="b">
        <v>0</v>
      </c>
      <c r="O185" s="99" t="b">
        <v>0</v>
      </c>
      <c r="P185" s="99" t="b">
        <v>0</v>
      </c>
      <c r="Q185" s="99" t="b">
        <v>0</v>
      </c>
      <c r="R185" s="14"/>
      <c r="S185" s="14"/>
      <c r="T185" s="14"/>
      <c r="U185" s="14"/>
      <c r="V185" s="14"/>
      <c r="W185" s="14"/>
    </row>
    <row r="186" ht="35.25" customHeight="1">
      <c r="A186" s="92" t="s">
        <v>5492</v>
      </c>
      <c r="B186" s="93" t="s">
        <v>5494</v>
      </c>
      <c r="C186" s="94" t="s">
        <v>5495</v>
      </c>
      <c r="D186" s="24" t="s">
        <v>5497</v>
      </c>
      <c r="E186" s="96" t="str">
        <f>IFERROR(__xludf.DUMMYFUNCTION("GOOGLETRANSLATE(D186,""zh-CN"",""vi"")"),"Màu sắc trong phòng rất đơn điệu.")</f>
        <v>Màu sắc trong phòng rất đơn điệu.</v>
      </c>
      <c r="F186" s="101" t="s">
        <v>5492</v>
      </c>
      <c r="G186" s="98" t="b">
        <f t="shared" si="1"/>
        <v>1</v>
      </c>
      <c r="H186" s="99" t="b">
        <v>0</v>
      </c>
      <c r="I186" s="99" t="b">
        <v>0</v>
      </c>
      <c r="J186" s="99" t="b">
        <v>0</v>
      </c>
      <c r="K186" s="99" t="b">
        <v>0</v>
      </c>
      <c r="L186" s="99" t="b">
        <v>0</v>
      </c>
      <c r="M186" s="99" t="b">
        <v>0</v>
      </c>
      <c r="N186" s="99" t="b">
        <v>0</v>
      </c>
      <c r="O186" s="99" t="b">
        <v>0</v>
      </c>
      <c r="P186" s="99" t="b">
        <v>0</v>
      </c>
      <c r="Q186" s="99" t="b">
        <v>0</v>
      </c>
      <c r="R186" s="14"/>
      <c r="S186" s="14"/>
      <c r="T186" s="14"/>
      <c r="U186" s="14"/>
      <c r="V186" s="14"/>
      <c r="W186" s="14"/>
    </row>
    <row r="187" ht="35.25" customHeight="1">
      <c r="A187" s="92" t="s">
        <v>5500</v>
      </c>
      <c r="B187" s="93" t="s">
        <v>5501</v>
      </c>
      <c r="C187" s="94" t="s">
        <v>5502</v>
      </c>
      <c r="D187" s="24" t="s">
        <v>5503</v>
      </c>
      <c r="E187" s="96" t="str">
        <f>IFERROR(__xludf.DUMMYFUNCTION("GOOGLETRANSLATE(D187,""zh-CN"",""vi"")"),"Tôi muốn đi du lịch một mình.")</f>
        <v>Tôi muốn đi du lịch một mình.</v>
      </c>
      <c r="F187" s="101" t="s">
        <v>5500</v>
      </c>
      <c r="G187" s="98" t="b">
        <f t="shared" si="1"/>
        <v>1</v>
      </c>
      <c r="H187" s="99" t="b">
        <v>0</v>
      </c>
      <c r="I187" s="99" t="b">
        <v>0</v>
      </c>
      <c r="J187" s="99" t="b">
        <v>0</v>
      </c>
      <c r="K187" s="99" t="b">
        <v>0</v>
      </c>
      <c r="L187" s="99" t="b">
        <v>0</v>
      </c>
      <c r="M187" s="99" t="b">
        <v>0</v>
      </c>
      <c r="N187" s="99" t="b">
        <v>0</v>
      </c>
      <c r="O187" s="99" t="b">
        <v>0</v>
      </c>
      <c r="P187" s="99" t="b">
        <v>0</v>
      </c>
      <c r="Q187" s="99" t="b">
        <v>0</v>
      </c>
      <c r="R187" s="14"/>
      <c r="S187" s="14"/>
      <c r="T187" s="14"/>
      <c r="U187" s="14"/>
      <c r="V187" s="14"/>
      <c r="W187" s="14"/>
    </row>
    <row r="188" ht="35.25" customHeight="1">
      <c r="A188" s="92" t="s">
        <v>5504</v>
      </c>
      <c r="B188" s="93" t="s">
        <v>5506</v>
      </c>
      <c r="C188" s="94" t="s">
        <v>5508</v>
      </c>
      <c r="D188" s="24" t="s">
        <v>5510</v>
      </c>
      <c r="E188" s="96" t="str">
        <f>IFERROR(__xludf.DUMMYFUNCTION("GOOGLETRANSLATE(D188,""zh-CN"",""vi"")"),"Công ty này có rất nhiều nhân viên.")</f>
        <v>Công ty này có rất nhiều nhân viên.</v>
      </c>
      <c r="F188" s="101" t="s">
        <v>5504</v>
      </c>
      <c r="G188" s="98" t="b">
        <f t="shared" si="1"/>
        <v>1</v>
      </c>
      <c r="H188" s="99" t="b">
        <v>0</v>
      </c>
      <c r="I188" s="99" t="b">
        <v>0</v>
      </c>
      <c r="J188" s="99" t="b">
        <v>0</v>
      </c>
      <c r="K188" s="99" t="b">
        <v>0</v>
      </c>
      <c r="L188" s="99" t="b">
        <v>0</v>
      </c>
      <c r="M188" s="99" t="b">
        <v>0</v>
      </c>
      <c r="N188" s="99" t="b">
        <v>0</v>
      </c>
      <c r="O188" s="99" t="b">
        <v>0</v>
      </c>
      <c r="P188" s="99" t="b">
        <v>0</v>
      </c>
      <c r="Q188" s="99" t="b">
        <v>0</v>
      </c>
      <c r="R188" s="14"/>
      <c r="S188" s="14"/>
      <c r="T188" s="14"/>
      <c r="U188" s="14"/>
      <c r="V188" s="14"/>
      <c r="W188" s="14"/>
    </row>
    <row r="189" ht="35.25" customHeight="1">
      <c r="A189" s="92" t="s">
        <v>5516</v>
      </c>
      <c r="B189" s="93" t="s">
        <v>5517</v>
      </c>
      <c r="C189" s="94" t="s">
        <v>5518</v>
      </c>
      <c r="D189" s="116" t="s">
        <v>5519</v>
      </c>
      <c r="E189" s="96" t="str">
        <f>IFERROR(__xludf.DUMMYFUNCTION("GOOGLETRANSLATE(D189,""zh-CN"",""vi"")"),"Cuốn sách này được chia thành năm phần.")</f>
        <v>Cuốn sách này được chia thành năm phần.</v>
      </c>
      <c r="F189" s="101" t="s">
        <v>5516</v>
      </c>
      <c r="G189" s="98" t="b">
        <f t="shared" si="1"/>
        <v>1</v>
      </c>
      <c r="H189" s="99" t="b">
        <v>0</v>
      </c>
      <c r="I189" s="99" t="b">
        <v>0</v>
      </c>
      <c r="J189" s="99" t="b">
        <v>0</v>
      </c>
      <c r="K189" s="99" t="b">
        <v>0</v>
      </c>
      <c r="L189" s="99" t="b">
        <v>0</v>
      </c>
      <c r="M189" s="99" t="b">
        <v>0</v>
      </c>
      <c r="N189" s="99" t="b">
        <v>0</v>
      </c>
      <c r="O189" s="99" t="b">
        <v>0</v>
      </c>
      <c r="P189" s="99" t="b">
        <v>0</v>
      </c>
      <c r="Q189" s="99" t="b">
        <v>0</v>
      </c>
      <c r="R189" s="14"/>
      <c r="S189" s="14"/>
      <c r="T189" s="14"/>
      <c r="U189" s="14"/>
      <c r="V189" s="14"/>
      <c r="W189" s="14"/>
    </row>
    <row r="190" ht="35.25" customHeight="1">
      <c r="A190" s="92" t="s">
        <v>5524</v>
      </c>
      <c r="B190" s="93" t="s">
        <v>5525</v>
      </c>
      <c r="C190" s="94" t="s">
        <v>5526</v>
      </c>
      <c r="D190" s="24" t="s">
        <v>5527</v>
      </c>
      <c r="E190" s="96" t="str">
        <f>IFERROR(__xludf.DUMMYFUNCTION("GOOGLETRANSLATE(D190,""zh-CN"",""vi"")"),"Điều này sẽ gây cản trở công việc của bạn.")</f>
        <v>Điều này sẽ gây cản trở công việc của bạn.</v>
      </c>
      <c r="F190" s="101" t="s">
        <v>5524</v>
      </c>
      <c r="G190" s="98" t="b">
        <f t="shared" si="1"/>
        <v>1</v>
      </c>
      <c r="H190" s="99" t="b">
        <v>0</v>
      </c>
      <c r="I190" s="99" t="b">
        <v>0</v>
      </c>
      <c r="J190" s="99" t="b">
        <v>0</v>
      </c>
      <c r="K190" s="99" t="b">
        <v>0</v>
      </c>
      <c r="L190" s="99" t="b">
        <v>0</v>
      </c>
      <c r="M190" s="99" t="b">
        <v>0</v>
      </c>
      <c r="N190" s="99" t="b">
        <v>0</v>
      </c>
      <c r="O190" s="99" t="b">
        <v>0</v>
      </c>
      <c r="P190" s="99" t="b">
        <v>0</v>
      </c>
      <c r="Q190" s="99" t="b">
        <v>0</v>
      </c>
      <c r="R190" s="14"/>
      <c r="S190" s="14"/>
      <c r="T190" s="14"/>
      <c r="U190" s="14"/>
      <c r="V190" s="14"/>
      <c r="W190" s="14"/>
    </row>
    <row r="191" ht="35.25" customHeight="1">
      <c r="A191" s="92" t="s">
        <v>5534</v>
      </c>
      <c r="B191" s="93" t="s">
        <v>5536</v>
      </c>
      <c r="C191" s="94" t="s">
        <v>5538</v>
      </c>
      <c r="D191" s="24" t="s">
        <v>5539</v>
      </c>
      <c r="E191" s="96" t="str">
        <f>IFERROR(__xludf.DUMMYFUNCTION("GOOGLETRANSLATE(D191,""zh-CN"",""vi"")"),"Hắn ta là một kẻ hèn nhát.")</f>
        <v>Hắn ta là một kẻ hèn nhát.</v>
      </c>
      <c r="F191" s="101" t="s">
        <v>5534</v>
      </c>
      <c r="G191" s="98" t="b">
        <f t="shared" si="1"/>
        <v>1</v>
      </c>
      <c r="H191" s="99" t="b">
        <v>0</v>
      </c>
      <c r="I191" s="99" t="b">
        <v>0</v>
      </c>
      <c r="J191" s="99" t="b">
        <v>0</v>
      </c>
      <c r="K191" s="99" t="b">
        <v>0</v>
      </c>
      <c r="L191" s="99" t="b">
        <v>0</v>
      </c>
      <c r="M191" s="99" t="b">
        <v>0</v>
      </c>
      <c r="N191" s="99" t="b">
        <v>0</v>
      </c>
      <c r="O191" s="99" t="b">
        <v>0</v>
      </c>
      <c r="P191" s="99" t="b">
        <v>0</v>
      </c>
      <c r="Q191" s="99" t="b">
        <v>0</v>
      </c>
      <c r="R191" s="14"/>
      <c r="S191" s="14"/>
      <c r="T191" s="14"/>
      <c r="U191" s="14"/>
      <c r="V191" s="14"/>
      <c r="W191" s="14"/>
    </row>
    <row r="192" ht="35.25" customHeight="1">
      <c r="A192" s="92" t="s">
        <v>5540</v>
      </c>
      <c r="B192" s="93" t="s">
        <v>5542</v>
      </c>
      <c r="C192" s="94" t="s">
        <v>5544</v>
      </c>
      <c r="D192" s="24" t="s">
        <v>5546</v>
      </c>
      <c r="E192" s="96" t="str">
        <f>IFERROR(__xludf.DUMMYFUNCTION("GOOGLETRANSLATE(D192,""zh-CN"",""vi"")"),"Màu sắc rất nhạt.")</f>
        <v>Màu sắc rất nhạt.</v>
      </c>
      <c r="F192" s="101" t="s">
        <v>5540</v>
      </c>
      <c r="G192" s="98" t="b">
        <f t="shared" si="1"/>
        <v>1</v>
      </c>
      <c r="H192" s="99" t="b">
        <v>0</v>
      </c>
      <c r="I192" s="99" t="b">
        <v>0</v>
      </c>
      <c r="J192" s="99" t="b">
        <v>0</v>
      </c>
      <c r="K192" s="99" t="b">
        <v>0</v>
      </c>
      <c r="L192" s="99" t="b">
        <v>0</v>
      </c>
      <c r="M192" s="99" t="b">
        <v>0</v>
      </c>
      <c r="N192" s="99" t="b">
        <v>0</v>
      </c>
      <c r="O192" s="99" t="b">
        <v>0</v>
      </c>
      <c r="P192" s="99" t="b">
        <v>0</v>
      </c>
      <c r="Q192" s="99" t="b">
        <v>0</v>
      </c>
      <c r="R192" s="14"/>
      <c r="S192" s="14"/>
      <c r="T192" s="14"/>
      <c r="U192" s="14"/>
      <c r="V192" s="14"/>
      <c r="W192" s="14"/>
    </row>
    <row r="193" ht="35.25" customHeight="1">
      <c r="A193" s="92" t="s">
        <v>5548</v>
      </c>
      <c r="B193" s="93" t="s">
        <v>5549</v>
      </c>
      <c r="C193" s="94" t="s">
        <v>5550</v>
      </c>
      <c r="D193" s="24" t="s">
        <v>5552</v>
      </c>
      <c r="E193" s="96" t="str">
        <f>IFERROR(__xludf.DUMMYFUNCTION("GOOGLETRANSLATE(D193,""zh-CN"",""vi"")"),"Chúng ta cần hiểu rõ phong tục địa phương.")</f>
        <v>Chúng ta cần hiểu rõ phong tục địa phương.</v>
      </c>
      <c r="F193" s="101" t="s">
        <v>5548</v>
      </c>
      <c r="G193" s="98" t="b">
        <f t="shared" si="1"/>
        <v>1</v>
      </c>
      <c r="H193" s="99" t="b">
        <v>0</v>
      </c>
      <c r="I193" s="99" t="b">
        <v>0</v>
      </c>
      <c r="J193" s="99" t="b">
        <v>0</v>
      </c>
      <c r="K193" s="99" t="b">
        <v>0</v>
      </c>
      <c r="L193" s="99" t="b">
        <v>0</v>
      </c>
      <c r="M193" s="99" t="b">
        <v>0</v>
      </c>
      <c r="N193" s="99" t="b">
        <v>0</v>
      </c>
      <c r="O193" s="99" t="b">
        <v>0</v>
      </c>
      <c r="P193" s="99" t="b">
        <v>0</v>
      </c>
      <c r="Q193" s="99" t="b">
        <v>0</v>
      </c>
      <c r="R193" s="14"/>
      <c r="S193" s="14"/>
      <c r="T193" s="14"/>
      <c r="U193" s="14"/>
      <c r="V193" s="14"/>
      <c r="W193" s="14"/>
    </row>
    <row r="194" ht="35.25" customHeight="1">
      <c r="A194" s="92" t="s">
        <v>5556</v>
      </c>
      <c r="B194" s="93" t="s">
        <v>5557</v>
      </c>
      <c r="C194" s="94" t="s">
        <v>5558</v>
      </c>
      <c r="D194" s="116" t="s">
        <v>5560</v>
      </c>
      <c r="E194" s="96" t="str">
        <f>IFERROR(__xludf.DUMMYFUNCTION("GOOGLETRANSLATE(D194,""zh-CN"",""vi"")"),"Đi chậm, cẩn thận với mặt đất trơn trượt.")</f>
        <v>Đi chậm, cẩn thận với mặt đất trơn trượt.</v>
      </c>
      <c r="F194" s="101" t="s">
        <v>5556</v>
      </c>
      <c r="G194" s="98" t="b">
        <f t="shared" si="1"/>
        <v>1</v>
      </c>
      <c r="H194" s="99" t="b">
        <v>0</v>
      </c>
      <c r="I194" s="99" t="b">
        <v>0</v>
      </c>
      <c r="J194" s="99" t="b">
        <v>0</v>
      </c>
      <c r="K194" s="99" t="b">
        <v>0</v>
      </c>
      <c r="L194" s="99" t="b">
        <v>0</v>
      </c>
      <c r="M194" s="99" t="b">
        <v>0</v>
      </c>
      <c r="N194" s="99" t="b">
        <v>0</v>
      </c>
      <c r="O194" s="99" t="b">
        <v>0</v>
      </c>
      <c r="P194" s="99" t="b">
        <v>0</v>
      </c>
      <c r="Q194" s="99" t="b">
        <v>0</v>
      </c>
      <c r="R194" s="14"/>
      <c r="S194" s="14"/>
      <c r="T194" s="14"/>
      <c r="U194" s="14"/>
      <c r="V194" s="14"/>
      <c r="W194" s="14"/>
    </row>
    <row r="195" ht="35.25" customHeight="1">
      <c r="A195" s="92" t="s">
        <v>5564</v>
      </c>
      <c r="B195" s="93" t="s">
        <v>5565</v>
      </c>
      <c r="C195" s="94" t="s">
        <v>5566</v>
      </c>
      <c r="D195" s="24" t="s">
        <v>5567</v>
      </c>
      <c r="E195" s="96" t="str">
        <f>IFERROR(__xludf.DUMMYFUNCTION("GOOGLETRANSLATE(D195,""zh-CN"",""vi"")"),"Vui lòng che chắn ánh nắng mặt trời.")</f>
        <v>Vui lòng che chắn ánh nắng mặt trời.</v>
      </c>
      <c r="F195" s="101" t="s">
        <v>5564</v>
      </c>
      <c r="G195" s="98" t="b">
        <f t="shared" si="1"/>
        <v>1</v>
      </c>
      <c r="H195" s="99" t="b">
        <v>1</v>
      </c>
      <c r="I195" s="99" t="b">
        <v>0</v>
      </c>
      <c r="J195" s="99" t="b">
        <v>0</v>
      </c>
      <c r="K195" s="99" t="b">
        <v>0</v>
      </c>
      <c r="L195" s="99" t="b">
        <v>0</v>
      </c>
      <c r="M195" s="99" t="b">
        <v>0</v>
      </c>
      <c r="N195" s="99" t="b">
        <v>0</v>
      </c>
      <c r="O195" s="99" t="b">
        <v>0</v>
      </c>
      <c r="P195" s="99" t="b">
        <v>0</v>
      </c>
      <c r="Q195" s="99" t="b">
        <v>0</v>
      </c>
      <c r="R195" s="14"/>
      <c r="S195" s="14"/>
      <c r="T195" s="14"/>
      <c r="U195" s="14"/>
      <c r="V195" s="14"/>
      <c r="W195" s="14"/>
    </row>
    <row r="196" ht="35.25" customHeight="1">
      <c r="A196" s="92" t="s">
        <v>5572</v>
      </c>
      <c r="B196" s="93" t="s">
        <v>5573</v>
      </c>
      <c r="C196" s="94" t="s">
        <v>5574</v>
      </c>
      <c r="D196" s="24" t="s">
        <v>5575</v>
      </c>
      <c r="E196" s="96" t="str">
        <f>IFERROR(__xludf.DUMMYFUNCTION("GOOGLETRANSLATE(D196,""zh-CN"",""vi"")"),"Bộ phim này được đạo diễn bởi một đạo diễn nổi tiếng.")</f>
        <v>Bộ phim này được đạo diễn bởi một đạo diễn nổi tiếng.</v>
      </c>
      <c r="F196" s="101" t="s">
        <v>5572</v>
      </c>
      <c r="G196" s="98" t="b">
        <f t="shared" si="1"/>
        <v>1</v>
      </c>
      <c r="H196" s="99" t="b">
        <v>1</v>
      </c>
      <c r="I196" s="99" t="b">
        <v>0</v>
      </c>
      <c r="J196" s="99" t="b">
        <v>0</v>
      </c>
      <c r="K196" s="99" t="b">
        <v>0</v>
      </c>
      <c r="L196" s="99" t="b">
        <v>0</v>
      </c>
      <c r="M196" s="99" t="b">
        <v>0</v>
      </c>
      <c r="N196" s="99" t="b">
        <v>0</v>
      </c>
      <c r="O196" s="99" t="b">
        <v>0</v>
      </c>
      <c r="P196" s="99" t="b">
        <v>0</v>
      </c>
      <c r="Q196" s="99" t="b">
        <v>0</v>
      </c>
      <c r="R196" s="14"/>
      <c r="S196" s="14"/>
      <c r="T196" s="14"/>
      <c r="U196" s="14"/>
      <c r="V196" s="14"/>
      <c r="W196" s="14"/>
    </row>
    <row r="197" ht="35.25" customHeight="1">
      <c r="A197" s="92" t="s">
        <v>5580</v>
      </c>
      <c r="B197" s="93" t="s">
        <v>5581</v>
      </c>
      <c r="C197" s="94" t="s">
        <v>5582</v>
      </c>
      <c r="D197" s="24" t="s">
        <v>5583</v>
      </c>
      <c r="E197" s="96" t="str">
        <f>IFERROR(__xludf.DUMMYFUNCTION("GOOGLETRANSLATE(D197,""zh-CN"",""vi"")"),"Sai lầm này đã gây ra nhiều vấn đề.")</f>
        <v>Sai lầm này đã gây ra nhiều vấn đề.</v>
      </c>
      <c r="F197" s="101" t="s">
        <v>5580</v>
      </c>
      <c r="G197" s="98" t="b">
        <f t="shared" si="1"/>
        <v>1</v>
      </c>
      <c r="H197" s="99" t="b">
        <v>1</v>
      </c>
      <c r="I197" s="99" t="b">
        <v>0</v>
      </c>
      <c r="J197" s="99" t="b">
        <v>0</v>
      </c>
      <c r="K197" s="99" t="b">
        <v>0</v>
      </c>
      <c r="L197" s="99" t="b">
        <v>0</v>
      </c>
      <c r="M197" s="99" t="b">
        <v>0</v>
      </c>
      <c r="N197" s="99" t="b">
        <v>0</v>
      </c>
      <c r="O197" s="99" t="b">
        <v>0</v>
      </c>
      <c r="P197" s="99" t="b">
        <v>0</v>
      </c>
      <c r="Q197" s="99" t="b">
        <v>0</v>
      </c>
      <c r="R197" s="14"/>
      <c r="S197" s="14"/>
      <c r="T197" s="14"/>
      <c r="U197" s="14"/>
      <c r="V197" s="14"/>
      <c r="W197" s="14"/>
    </row>
    <row r="198" ht="35.25" customHeight="1">
      <c r="A198" s="92" t="s">
        <v>5585</v>
      </c>
      <c r="B198" s="93" t="s">
        <v>5587</v>
      </c>
      <c r="C198" s="94" t="s">
        <v>5589</v>
      </c>
      <c r="D198" s="24" t="s">
        <v>5590</v>
      </c>
      <c r="E198" s="96" t="str">
        <f>IFERROR(__xludf.DUMMYFUNCTION("GOOGLETRANSLATE(D198,""zh-CN"",""vi"")"),"Chúng tôi dự định sẽ đến thăm hòn đảo đó.")</f>
        <v>Chúng tôi dự định sẽ đến thăm hòn đảo đó.</v>
      </c>
      <c r="F198" s="101" t="s">
        <v>5585</v>
      </c>
      <c r="G198" s="98" t="b">
        <f t="shared" si="1"/>
        <v>1</v>
      </c>
      <c r="H198" s="99" t="b">
        <v>1</v>
      </c>
      <c r="I198" s="99" t="b">
        <v>0</v>
      </c>
      <c r="J198" s="99" t="b">
        <v>0</v>
      </c>
      <c r="K198" s="99" t="b">
        <v>0</v>
      </c>
      <c r="L198" s="99" t="b">
        <v>0</v>
      </c>
      <c r="M198" s="99" t="b">
        <v>0</v>
      </c>
      <c r="N198" s="99" t="b">
        <v>0</v>
      </c>
      <c r="O198" s="99" t="b">
        <v>0</v>
      </c>
      <c r="P198" s="99" t="b">
        <v>0</v>
      </c>
      <c r="Q198" s="99" t="b">
        <v>0</v>
      </c>
      <c r="R198" s="14"/>
      <c r="S198" s="14"/>
      <c r="T198" s="14"/>
      <c r="U198" s="14"/>
      <c r="V198" s="14"/>
      <c r="W198" s="14"/>
    </row>
    <row r="199" ht="35.25" customHeight="1">
      <c r="A199" s="92" t="s">
        <v>5591</v>
      </c>
      <c r="B199" s="93" t="s">
        <v>5593</v>
      </c>
      <c r="C199" s="94" t="s">
        <v>5595</v>
      </c>
      <c r="D199" s="24" t="s">
        <v>5597</v>
      </c>
      <c r="E199" s="96" t="str">
        <f>IFERROR(__xludf.DUMMYFUNCTION("GOOGLETRANSLATE(D199,""zh-CN"",""vi"")"),"Dạo này anh ấy gặp rất nhiều chuyện xui xẻo.")</f>
        <v>Dạo này anh ấy gặp rất nhiều chuyện xui xẻo.</v>
      </c>
      <c r="F199" s="101" t="s">
        <v>5591</v>
      </c>
      <c r="G199" s="98" t="b">
        <f t="shared" si="1"/>
        <v>1</v>
      </c>
      <c r="H199" s="99" t="b">
        <v>1</v>
      </c>
      <c r="I199" s="99" t="b">
        <v>0</v>
      </c>
      <c r="J199" s="99" t="b">
        <v>0</v>
      </c>
      <c r="K199" s="99" t="b">
        <v>0</v>
      </c>
      <c r="L199" s="99" t="b">
        <v>0</v>
      </c>
      <c r="M199" s="99" t="b">
        <v>0</v>
      </c>
      <c r="N199" s="99" t="b">
        <v>0</v>
      </c>
      <c r="O199" s="99" t="b">
        <v>0</v>
      </c>
      <c r="P199" s="99" t="b">
        <v>0</v>
      </c>
      <c r="Q199" s="99" t="b">
        <v>0</v>
      </c>
      <c r="R199" s="14"/>
      <c r="S199" s="14"/>
      <c r="T199" s="14"/>
      <c r="U199" s="14"/>
      <c r="V199" s="14"/>
      <c r="W199" s="14"/>
    </row>
    <row r="200" ht="35.25" customHeight="1">
      <c r="A200" s="92" t="s">
        <v>5600</v>
      </c>
      <c r="B200" s="93" t="s">
        <v>5602</v>
      </c>
      <c r="C200" s="94" t="s">
        <v>325</v>
      </c>
      <c r="D200" s="24" t="s">
        <v>5605</v>
      </c>
      <c r="E200" s="96" t="str">
        <f>IFERROR(__xludf.DUMMYFUNCTION("GOOGLETRANSLATE(D200,""zh-CN"",""vi"")"),"Chúng tôi đã đến đích.")</f>
        <v>Chúng tôi đã đến đích.</v>
      </c>
      <c r="F200" s="101" t="s">
        <v>5600</v>
      </c>
      <c r="G200" s="98" t="b">
        <f t="shared" si="1"/>
        <v>1</v>
      </c>
      <c r="H200" s="99" t="b">
        <v>1</v>
      </c>
      <c r="I200" s="99" t="b">
        <v>0</v>
      </c>
      <c r="J200" s="99" t="b">
        <v>0</v>
      </c>
      <c r="K200" s="99" t="b">
        <v>0</v>
      </c>
      <c r="L200" s="99" t="b">
        <v>0</v>
      </c>
      <c r="M200" s="99" t="b">
        <v>0</v>
      </c>
      <c r="N200" s="99" t="b">
        <v>0</v>
      </c>
      <c r="O200" s="99" t="b">
        <v>0</v>
      </c>
      <c r="P200" s="99" t="b">
        <v>0</v>
      </c>
      <c r="Q200" s="99" t="b">
        <v>0</v>
      </c>
      <c r="R200" s="14"/>
      <c r="S200" s="14"/>
      <c r="T200" s="14"/>
      <c r="U200" s="14"/>
      <c r="V200" s="14"/>
      <c r="W200" s="14"/>
    </row>
    <row r="201" ht="35.25" customHeight="1">
      <c r="A201" s="92" t="s">
        <v>5606</v>
      </c>
      <c r="B201" s="93" t="s">
        <v>5607</v>
      </c>
      <c r="C201" s="94" t="s">
        <v>5609</v>
      </c>
      <c r="D201" s="24" t="s">
        <v>5611</v>
      </c>
      <c r="E201" s="96" t="str">
        <f>IFERROR(__xludf.DUMMYFUNCTION("GOOGLETRANSLATE(D201,""zh-CN"",""vi"")"),"Đạo đức là nền tảng của xã hội.")</f>
        <v>Đạo đức là nền tảng của xã hội.</v>
      </c>
      <c r="F201" s="101" t="s">
        <v>5606</v>
      </c>
      <c r="G201" s="98" t="b">
        <f t="shared" si="1"/>
        <v>1</v>
      </c>
      <c r="H201" s="99" t="b">
        <v>1</v>
      </c>
      <c r="I201" s="99" t="b">
        <v>0</v>
      </c>
      <c r="J201" s="99" t="b">
        <v>0</v>
      </c>
      <c r="K201" s="99" t="b">
        <v>0</v>
      </c>
      <c r="L201" s="99" t="b">
        <v>0</v>
      </c>
      <c r="M201" s="99" t="b">
        <v>0</v>
      </c>
      <c r="N201" s="99" t="b">
        <v>0</v>
      </c>
      <c r="O201" s="99" t="b">
        <v>0</v>
      </c>
      <c r="P201" s="99" t="b">
        <v>0</v>
      </c>
      <c r="Q201" s="99" t="b">
        <v>0</v>
      </c>
      <c r="R201" s="14"/>
      <c r="S201" s="14"/>
      <c r="T201" s="14"/>
      <c r="U201" s="14"/>
      <c r="V201" s="14"/>
      <c r="W201" s="14"/>
    </row>
    <row r="202" ht="35.25" customHeight="1">
      <c r="A202" s="92" t="s">
        <v>5614</v>
      </c>
      <c r="B202" s="93" t="s">
        <v>5615</v>
      </c>
      <c r="C202" s="94" t="s">
        <v>5616</v>
      </c>
      <c r="D202" s="24" t="s">
        <v>5617</v>
      </c>
      <c r="E202" s="96" t="str">
        <f>IFERROR(__xludf.DUMMYFUNCTION("GOOGLETRANSLATE(D202,""zh-CN"",""vi"")"),"Câu hỏi này có một số điểm đáng lưu ý.")</f>
        <v>Câu hỏi này có một số điểm đáng lưu ý.</v>
      </c>
      <c r="F202" s="101" t="s">
        <v>5614</v>
      </c>
      <c r="G202" s="98" t="b">
        <f t="shared" si="1"/>
        <v>1</v>
      </c>
      <c r="H202" s="99" t="b">
        <v>1</v>
      </c>
      <c r="I202" s="99" t="b">
        <v>0</v>
      </c>
      <c r="J202" s="99" t="b">
        <v>0</v>
      </c>
      <c r="K202" s="99" t="b">
        <v>0</v>
      </c>
      <c r="L202" s="99" t="b">
        <v>0</v>
      </c>
      <c r="M202" s="99" t="b">
        <v>0</v>
      </c>
      <c r="N202" s="99" t="b">
        <v>0</v>
      </c>
      <c r="O202" s="99" t="b">
        <v>0</v>
      </c>
      <c r="P202" s="99" t="b">
        <v>0</v>
      </c>
      <c r="Q202" s="99" t="b">
        <v>0</v>
      </c>
      <c r="R202" s="14"/>
      <c r="S202" s="14"/>
      <c r="T202" s="14"/>
      <c r="U202" s="14"/>
      <c r="V202" s="14"/>
      <c r="W202" s="14"/>
    </row>
    <row r="203" ht="35.25" customHeight="1">
      <c r="A203" s="92" t="s">
        <v>5622</v>
      </c>
      <c r="B203" s="93" t="s">
        <v>5623</v>
      </c>
      <c r="C203" s="94" t="s">
        <v>383</v>
      </c>
      <c r="D203" s="24" t="s">
        <v>5624</v>
      </c>
      <c r="E203" s="96" t="str">
        <f>IFERROR(__xludf.DUMMYFUNCTION("GOOGLETRANSLATE(D203,""zh-CN"",""vi"")"),"Vui lòng đăng ký tại đây.")</f>
        <v>Vui lòng đăng ký tại đây.</v>
      </c>
      <c r="F203" s="101" t="s">
        <v>5622</v>
      </c>
      <c r="G203" s="98" t="b">
        <f t="shared" si="1"/>
        <v>1</v>
      </c>
      <c r="H203" s="99" t="b">
        <v>1</v>
      </c>
      <c r="I203" s="99" t="b">
        <v>0</v>
      </c>
      <c r="J203" s="99" t="b">
        <v>0</v>
      </c>
      <c r="K203" s="99" t="b">
        <v>0</v>
      </c>
      <c r="L203" s="99" t="b">
        <v>0</v>
      </c>
      <c r="M203" s="99" t="b">
        <v>0</v>
      </c>
      <c r="N203" s="99" t="b">
        <v>0</v>
      </c>
      <c r="O203" s="99" t="b">
        <v>0</v>
      </c>
      <c r="P203" s="99" t="b">
        <v>0</v>
      </c>
      <c r="Q203" s="99" t="b">
        <v>0</v>
      </c>
      <c r="R203" s="14"/>
      <c r="S203" s="14"/>
      <c r="T203" s="14"/>
      <c r="U203" s="14"/>
      <c r="V203" s="14"/>
      <c r="W203" s="14"/>
    </row>
    <row r="204" ht="35.25" customHeight="1">
      <c r="A204" s="92" t="s">
        <v>5632</v>
      </c>
      <c r="B204" s="93" t="s">
        <v>5634</v>
      </c>
      <c r="C204" s="94" t="s">
        <v>5635</v>
      </c>
      <c r="D204" s="24" t="s">
        <v>5636</v>
      </c>
      <c r="E204" s="96" t="str">
        <f>IFERROR(__xludf.DUMMYFUNCTION("GOOGLETRANSLATE(D204,""zh-CN"",""vi"")"),"Chúng tôi đang chờ câu trả lời của anh ấy.")</f>
        <v>Chúng tôi đang chờ câu trả lời của anh ấy.</v>
      </c>
      <c r="F204" s="101" t="s">
        <v>5632</v>
      </c>
      <c r="G204" s="98" t="b">
        <f t="shared" si="1"/>
        <v>1</v>
      </c>
      <c r="H204" s="99" t="b">
        <v>1</v>
      </c>
      <c r="I204" s="99" t="b">
        <v>0</v>
      </c>
      <c r="J204" s="99" t="b">
        <v>0</v>
      </c>
      <c r="K204" s="99" t="b">
        <v>0</v>
      </c>
      <c r="L204" s="99" t="b">
        <v>0</v>
      </c>
      <c r="M204" s="99" t="b">
        <v>0</v>
      </c>
      <c r="N204" s="99" t="b">
        <v>0</v>
      </c>
      <c r="O204" s="99" t="b">
        <v>0</v>
      </c>
      <c r="P204" s="99" t="b">
        <v>0</v>
      </c>
      <c r="Q204" s="99" t="b">
        <v>0</v>
      </c>
      <c r="R204" s="14"/>
      <c r="S204" s="14"/>
      <c r="T204" s="14"/>
      <c r="U204" s="14"/>
      <c r="V204" s="14"/>
      <c r="W204" s="14"/>
    </row>
    <row r="205" ht="35.25" customHeight="1">
      <c r="A205" s="92" t="s">
        <v>5641</v>
      </c>
      <c r="B205" s="93" t="s">
        <v>5642</v>
      </c>
      <c r="C205" s="94" t="s">
        <v>5643</v>
      </c>
      <c r="D205" s="24" t="s">
        <v>5644</v>
      </c>
      <c r="E205" s="96" t="str">
        <f>IFERROR(__xludf.DUMMYFUNCTION("GOOGLETRANSLATE(D205,""zh-CN"",""vi"")"),"Một mét bằng một nghìn milimét.")</f>
        <v>Một mét bằng một nghìn milimét.</v>
      </c>
      <c r="F205" s="101" t="s">
        <v>5641</v>
      </c>
      <c r="G205" s="98" t="b">
        <f t="shared" si="1"/>
        <v>1</v>
      </c>
      <c r="H205" s="99" t="b">
        <v>1</v>
      </c>
      <c r="I205" s="99" t="b">
        <v>0</v>
      </c>
      <c r="J205" s="99" t="b">
        <v>0</v>
      </c>
      <c r="K205" s="99" t="b">
        <v>0</v>
      </c>
      <c r="L205" s="99" t="b">
        <v>0</v>
      </c>
      <c r="M205" s="99" t="b">
        <v>0</v>
      </c>
      <c r="N205" s="99" t="b">
        <v>0</v>
      </c>
      <c r="O205" s="99" t="b">
        <v>0</v>
      </c>
      <c r="P205" s="99" t="b">
        <v>0</v>
      </c>
      <c r="Q205" s="99" t="b">
        <v>0</v>
      </c>
      <c r="R205" s="14"/>
      <c r="S205" s="14"/>
      <c r="T205" s="14"/>
      <c r="U205" s="14"/>
      <c r="V205" s="14"/>
      <c r="W205" s="14"/>
    </row>
    <row r="206" ht="35.25" customHeight="1">
      <c r="A206" s="92" t="s">
        <v>5649</v>
      </c>
      <c r="B206" s="93" t="s">
        <v>741</v>
      </c>
      <c r="C206" s="94" t="s">
        <v>5651</v>
      </c>
      <c r="D206" s="24" t="s">
        <v>5653</v>
      </c>
      <c r="E206" s="96" t="str">
        <f>IFERROR(__xludf.DUMMYFUNCTION("GOOGLETRANSLATE(D206,""zh-CN"",""vi"")"),"Những giọt nước rơi ra từ chai.")</f>
        <v>Những giọt nước rơi ra từ chai.</v>
      </c>
      <c r="F206" s="101" t="s">
        <v>5649</v>
      </c>
      <c r="G206" s="98" t="b">
        <f t="shared" si="1"/>
        <v>1</v>
      </c>
      <c r="H206" s="99" t="b">
        <v>1</v>
      </c>
      <c r="I206" s="99" t="b">
        <v>0</v>
      </c>
      <c r="J206" s="99" t="b">
        <v>0</v>
      </c>
      <c r="K206" s="99" t="b">
        <v>0</v>
      </c>
      <c r="L206" s="99" t="b">
        <v>0</v>
      </c>
      <c r="M206" s="99" t="b">
        <v>0</v>
      </c>
      <c r="N206" s="99" t="b">
        <v>0</v>
      </c>
      <c r="O206" s="99" t="b">
        <v>0</v>
      </c>
      <c r="P206" s="99" t="b">
        <v>0</v>
      </c>
      <c r="Q206" s="99" t="b">
        <v>0</v>
      </c>
      <c r="R206" s="14"/>
      <c r="S206" s="14"/>
      <c r="T206" s="14"/>
      <c r="U206" s="14"/>
      <c r="V206" s="14"/>
      <c r="W206" s="14"/>
    </row>
    <row r="207" ht="35.25" customHeight="1">
      <c r="A207" s="92" t="s">
        <v>5656</v>
      </c>
      <c r="B207" s="93" t="s">
        <v>5657</v>
      </c>
      <c r="C207" s="94" t="s">
        <v>5659</v>
      </c>
      <c r="D207" s="24" t="s">
        <v>5661</v>
      </c>
      <c r="E207" s="96" t="str">
        <f>IFERROR(__xludf.DUMMYFUNCTION("GOOGLETRANSLATE(D207,""zh-CN"",""vi"")"),"Đó quả là một ý tưởng hay.")</f>
        <v>Đó quả là một ý tưởng hay.</v>
      </c>
      <c r="F207" s="101" t="s">
        <v>5656</v>
      </c>
      <c r="G207" s="98" t="b">
        <f t="shared" si="1"/>
        <v>1</v>
      </c>
      <c r="H207" s="99" t="b">
        <v>1</v>
      </c>
      <c r="I207" s="99" t="b">
        <v>0</v>
      </c>
      <c r="J207" s="99" t="b">
        <v>0</v>
      </c>
      <c r="K207" s="99" t="b">
        <v>0</v>
      </c>
      <c r="L207" s="99" t="b">
        <v>0</v>
      </c>
      <c r="M207" s="99" t="b">
        <v>0</v>
      </c>
      <c r="N207" s="99" t="b">
        <v>0</v>
      </c>
      <c r="O207" s="99" t="b">
        <v>0</v>
      </c>
      <c r="P207" s="99" t="b">
        <v>0</v>
      </c>
      <c r="Q207" s="99" t="b">
        <v>0</v>
      </c>
      <c r="R207" s="14"/>
      <c r="S207" s="14"/>
      <c r="T207" s="14"/>
      <c r="U207" s="14"/>
      <c r="V207" s="14"/>
      <c r="W207" s="14"/>
    </row>
    <row r="208" ht="35.25" customHeight="1">
      <c r="A208" s="92" t="s">
        <v>5664</v>
      </c>
      <c r="B208" s="93" t="s">
        <v>5665</v>
      </c>
      <c r="C208" s="94" t="s">
        <v>5666</v>
      </c>
      <c r="D208" s="24" t="s">
        <v>5667</v>
      </c>
      <c r="E208" s="96" t="str">
        <f>IFERROR(__xludf.DUMMYFUNCTION("GOOGLETRANSLATE(D208,""zh-CN"",""vi"")"),"Kẻ thù của chúng ta đang tấn công.")</f>
        <v>Kẻ thù của chúng ta đang tấn công.</v>
      </c>
      <c r="F208" s="101" t="s">
        <v>5664</v>
      </c>
      <c r="G208" s="98" t="b">
        <f t="shared" si="1"/>
        <v>1</v>
      </c>
      <c r="H208" s="99" t="b">
        <v>1</v>
      </c>
      <c r="I208" s="99" t="b">
        <v>0</v>
      </c>
      <c r="J208" s="99" t="b">
        <v>0</v>
      </c>
      <c r="K208" s="99" t="b">
        <v>0</v>
      </c>
      <c r="L208" s="99" t="b">
        <v>0</v>
      </c>
      <c r="M208" s="99" t="b">
        <v>0</v>
      </c>
      <c r="N208" s="99" t="b">
        <v>0</v>
      </c>
      <c r="O208" s="99" t="b">
        <v>0</v>
      </c>
      <c r="P208" s="99" t="b">
        <v>0</v>
      </c>
      <c r="Q208" s="99" t="b">
        <v>0</v>
      </c>
      <c r="R208" s="14"/>
      <c r="S208" s="14"/>
      <c r="T208" s="14"/>
      <c r="U208" s="14"/>
      <c r="V208" s="14"/>
      <c r="W208" s="14"/>
    </row>
    <row r="209" ht="35.25" customHeight="1">
      <c r="A209" s="92" t="s">
        <v>5673</v>
      </c>
      <c r="B209" s="93" t="s">
        <v>5675</v>
      </c>
      <c r="C209" s="94" t="s">
        <v>5678</v>
      </c>
      <c r="D209" s="24" t="s">
        <v>5679</v>
      </c>
      <c r="E209" s="96" t="str">
        <f>IFERROR(__xludf.DUMMYFUNCTION("GOOGLETRANSLATE(D209,""zh-CN"",""vi"")"),"Con phố này rất chân thực.")</f>
        <v>Con phố này rất chân thực.</v>
      </c>
      <c r="F209" s="101" t="s">
        <v>5673</v>
      </c>
      <c r="G209" s="98" t="b">
        <f t="shared" si="1"/>
        <v>1</v>
      </c>
      <c r="H209" s="99" t="b">
        <v>1</v>
      </c>
      <c r="I209" s="99" t="b">
        <v>0</v>
      </c>
      <c r="J209" s="99" t="b">
        <v>0</v>
      </c>
      <c r="K209" s="99" t="b">
        <v>0</v>
      </c>
      <c r="L209" s="99" t="b">
        <v>0</v>
      </c>
      <c r="M209" s="99" t="b">
        <v>0</v>
      </c>
      <c r="N209" s="99" t="b">
        <v>0</v>
      </c>
      <c r="O209" s="99" t="b">
        <v>0</v>
      </c>
      <c r="P209" s="99" t="b">
        <v>0</v>
      </c>
      <c r="Q209" s="99" t="b">
        <v>0</v>
      </c>
      <c r="R209" s="14"/>
      <c r="S209" s="14"/>
      <c r="T209" s="14"/>
      <c r="U209" s="14"/>
      <c r="V209" s="14"/>
      <c r="W209" s="14"/>
    </row>
    <row r="210" ht="35.25" customHeight="1">
      <c r="A210" s="92" t="s">
        <v>5684</v>
      </c>
      <c r="B210" s="93" t="s">
        <v>5685</v>
      </c>
      <c r="C210" s="94" t="s">
        <v>5686</v>
      </c>
      <c r="D210" s="24" t="s">
        <v>5687</v>
      </c>
      <c r="E210" s="96" t="str">
        <f>IFERROR(__xludf.DUMMYFUNCTION("GOOGLETRANSLATE(D210,""zh-CN"",""vi"")"),"Chúng tôi đã học được rất nhiều điều trong giờ học địa lý.")</f>
        <v>Chúng tôi đã học được rất nhiều điều trong giờ học địa lý.</v>
      </c>
      <c r="F210" s="101" t="s">
        <v>5684</v>
      </c>
      <c r="G210" s="98" t="b">
        <f t="shared" si="1"/>
        <v>1</v>
      </c>
      <c r="H210" s="99" t="b">
        <v>1</v>
      </c>
      <c r="I210" s="99" t="b">
        <v>0</v>
      </c>
      <c r="J210" s="99" t="b">
        <v>0</v>
      </c>
      <c r="K210" s="99" t="b">
        <v>0</v>
      </c>
      <c r="L210" s="99" t="b">
        <v>0</v>
      </c>
      <c r="M210" s="99" t="b">
        <v>0</v>
      </c>
      <c r="N210" s="99" t="b">
        <v>0</v>
      </c>
      <c r="O210" s="99" t="b">
        <v>0</v>
      </c>
      <c r="P210" s="99" t="b">
        <v>0</v>
      </c>
      <c r="Q210" s="99" t="b">
        <v>0</v>
      </c>
      <c r="R210" s="14"/>
      <c r="S210" s="14"/>
      <c r="T210" s="14"/>
      <c r="U210" s="14"/>
      <c r="V210" s="14"/>
      <c r="W210" s="14"/>
    </row>
    <row r="211" ht="35.25" customHeight="1">
      <c r="A211" s="92" t="s">
        <v>5692</v>
      </c>
      <c r="B211" s="93" t="s">
        <v>5693</v>
      </c>
      <c r="C211" s="94" t="s">
        <v>5694</v>
      </c>
      <c r="D211" s="24" t="s">
        <v>5695</v>
      </c>
      <c r="E211" s="96" t="str">
        <f>IFERROR(__xludf.DUMMYFUNCTION("GOOGLETRANSLATE(D211,""zh-CN"",""vi"")"),"Khu vực này rất thịnh vượng.")</f>
        <v>Khu vực này rất thịnh vượng.</v>
      </c>
      <c r="F211" s="101" t="s">
        <v>5692</v>
      </c>
      <c r="G211" s="98" t="b">
        <f t="shared" si="1"/>
        <v>1</v>
      </c>
      <c r="H211" s="99" t="b">
        <v>1</v>
      </c>
      <c r="I211" s="99" t="b">
        <v>0</v>
      </c>
      <c r="J211" s="99" t="b">
        <v>0</v>
      </c>
      <c r="K211" s="99" t="b">
        <v>0</v>
      </c>
      <c r="L211" s="99" t="b">
        <v>0</v>
      </c>
      <c r="M211" s="99" t="b">
        <v>0</v>
      </c>
      <c r="N211" s="99" t="b">
        <v>0</v>
      </c>
      <c r="O211" s="99" t="b">
        <v>0</v>
      </c>
      <c r="P211" s="99" t="b">
        <v>0</v>
      </c>
      <c r="Q211" s="99" t="b">
        <v>0</v>
      </c>
      <c r="R211" s="14"/>
      <c r="S211" s="14"/>
      <c r="T211" s="14"/>
      <c r="U211" s="14"/>
      <c r="V211" s="14"/>
      <c r="W211" s="14"/>
    </row>
    <row r="212" ht="35.25" customHeight="1">
      <c r="A212" s="92" t="s">
        <v>5700</v>
      </c>
      <c r="B212" s="93" t="s">
        <v>5701</v>
      </c>
      <c r="C212" s="94" t="s">
        <v>5702</v>
      </c>
      <c r="D212" s="24" t="s">
        <v>5703</v>
      </c>
      <c r="E212" s="96" t="str">
        <f>IFERROR(__xludf.DUMMYFUNCTION("GOOGLETRANSLATE(D212,""zh-CN"",""vi"")"),"Trên thảm có rất nhiều bụi bẩn.")</f>
        <v>Trên thảm có rất nhiều bụi bẩn.</v>
      </c>
      <c r="F212" s="101" t="s">
        <v>5700</v>
      </c>
      <c r="G212" s="98" t="b">
        <f t="shared" si="1"/>
        <v>1</v>
      </c>
      <c r="H212" s="99" t="b">
        <v>1</v>
      </c>
      <c r="I212" s="99" t="b">
        <v>0</v>
      </c>
      <c r="J212" s="99" t="b">
        <v>0</v>
      </c>
      <c r="K212" s="99" t="b">
        <v>0</v>
      </c>
      <c r="L212" s="99" t="b">
        <v>0</v>
      </c>
      <c r="M212" s="99" t="b">
        <v>0</v>
      </c>
      <c r="N212" s="99" t="b">
        <v>0</v>
      </c>
      <c r="O212" s="99" t="b">
        <v>0</v>
      </c>
      <c r="P212" s="99" t="b">
        <v>0</v>
      </c>
      <c r="Q212" s="99" t="b">
        <v>0</v>
      </c>
      <c r="R212" s="14"/>
      <c r="S212" s="14"/>
      <c r="T212" s="14"/>
      <c r="U212" s="14"/>
      <c r="V212" s="14"/>
      <c r="W212" s="14"/>
    </row>
    <row r="213" ht="35.25" customHeight="1">
      <c r="A213" s="92" t="s">
        <v>5707</v>
      </c>
      <c r="B213" s="93" t="s">
        <v>5708</v>
      </c>
      <c r="C213" s="94" t="s">
        <v>5709</v>
      </c>
      <c r="D213" s="24" t="s">
        <v>5710</v>
      </c>
      <c r="E213" s="96" t="str">
        <f>IFERROR(__xludf.DUMMYFUNCTION("GOOGLETRANSLATE(D213,""zh-CN"",""vi"")"),"Ông ấy giữ một vị trí cao trong công ty.")</f>
        <v>Ông ấy giữ một vị trí cao trong công ty.</v>
      </c>
      <c r="F213" s="101" t="s">
        <v>5707</v>
      </c>
      <c r="G213" s="98" t="b">
        <f t="shared" si="1"/>
        <v>1</v>
      </c>
      <c r="H213" s="99" t="b">
        <v>1</v>
      </c>
      <c r="I213" s="99" t="b">
        <v>0</v>
      </c>
      <c r="J213" s="99" t="b">
        <v>0</v>
      </c>
      <c r="K213" s="99" t="b">
        <v>0</v>
      </c>
      <c r="L213" s="99" t="b">
        <v>0</v>
      </c>
      <c r="M213" s="99" t="b">
        <v>0</v>
      </c>
      <c r="N213" s="99" t="b">
        <v>0</v>
      </c>
      <c r="O213" s="99" t="b">
        <v>0</v>
      </c>
      <c r="P213" s="99" t="b">
        <v>0</v>
      </c>
      <c r="Q213" s="99" t="b">
        <v>0</v>
      </c>
      <c r="R213" s="14"/>
      <c r="S213" s="14"/>
      <c r="T213" s="14"/>
      <c r="U213" s="14"/>
      <c r="V213" s="14"/>
      <c r="W213" s="14"/>
    </row>
    <row r="214" ht="35.25" customHeight="1">
      <c r="A214" s="92" t="s">
        <v>5715</v>
      </c>
      <c r="B214" s="93" t="s">
        <v>5716</v>
      </c>
      <c r="C214" s="94" t="s">
        <v>5717</v>
      </c>
      <c r="D214" s="24" t="s">
        <v>5718</v>
      </c>
      <c r="E214" s="96" t="str">
        <f>IFERROR(__xludf.DUMMYFUNCTION("GOOGLETRANSLATE(D214,""zh-CN"",""vi"")"),"Trận động đất này đã gây ra rất nhiều thiệt hại.")</f>
        <v>Trận động đất này đã gây ra rất nhiều thiệt hại.</v>
      </c>
      <c r="F214" s="101" t="s">
        <v>5715</v>
      </c>
      <c r="G214" s="98" t="b">
        <f t="shared" si="1"/>
        <v>1</v>
      </c>
      <c r="H214" s="99" t="b">
        <v>1</v>
      </c>
      <c r="I214" s="99" t="b">
        <v>0</v>
      </c>
      <c r="J214" s="99" t="b">
        <v>0</v>
      </c>
      <c r="K214" s="99" t="b">
        <v>0</v>
      </c>
      <c r="L214" s="99" t="b">
        <v>0</v>
      </c>
      <c r="M214" s="99" t="b">
        <v>0</v>
      </c>
      <c r="N214" s="99" t="b">
        <v>0</v>
      </c>
      <c r="O214" s="99" t="b">
        <v>0</v>
      </c>
      <c r="P214" s="99" t="b">
        <v>0</v>
      </c>
      <c r="Q214" s="99" t="b">
        <v>0</v>
      </c>
      <c r="R214" s="14"/>
      <c r="S214" s="14"/>
      <c r="T214" s="14"/>
      <c r="U214" s="14"/>
      <c r="V214" s="14"/>
      <c r="W214" s="14"/>
    </row>
    <row r="215" ht="35.25" customHeight="1">
      <c r="A215" s="92" t="s">
        <v>5721</v>
      </c>
      <c r="B215" s="93" t="s">
        <v>5722</v>
      </c>
      <c r="C215" s="94" t="s">
        <v>5723</v>
      </c>
      <c r="D215" s="24" t="s">
        <v>5724</v>
      </c>
      <c r="E215" s="96" t="str">
        <f>IFERROR(__xludf.DUMMYFUNCTION("GOOGLETRANSLATE(D215,""zh-CN"",""vi"")"),"Hãy đưa lá thư này cho cô ấy.")</f>
        <v>Hãy đưa lá thư này cho cô ấy.</v>
      </c>
      <c r="F215" s="101" t="s">
        <v>5721</v>
      </c>
      <c r="G215" s="98" t="b">
        <f t="shared" si="1"/>
        <v>1</v>
      </c>
      <c r="H215" s="99" t="b">
        <v>1</v>
      </c>
      <c r="I215" s="99" t="b">
        <v>0</v>
      </c>
      <c r="J215" s="99" t="b">
        <v>0</v>
      </c>
      <c r="K215" s="99" t="b">
        <v>0</v>
      </c>
      <c r="L215" s="99" t="b">
        <v>0</v>
      </c>
      <c r="M215" s="99" t="b">
        <v>0</v>
      </c>
      <c r="N215" s="99" t="b">
        <v>0</v>
      </c>
      <c r="O215" s="99" t="b">
        <v>0</v>
      </c>
      <c r="P215" s="99" t="b">
        <v>0</v>
      </c>
      <c r="Q215" s="99" t="b">
        <v>0</v>
      </c>
      <c r="R215" s="14"/>
      <c r="S215" s="14"/>
      <c r="T215" s="14"/>
      <c r="U215" s="14"/>
      <c r="V215" s="14"/>
      <c r="W215" s="14"/>
    </row>
    <row r="216" ht="35.25" customHeight="1">
      <c r="A216" s="92" t="s">
        <v>5729</v>
      </c>
      <c r="B216" s="93" t="s">
        <v>5730</v>
      </c>
      <c r="C216" s="94" t="s">
        <v>5731</v>
      </c>
      <c r="D216" s="24" t="s">
        <v>5732</v>
      </c>
      <c r="E216" s="96" t="str">
        <f>IFERROR(__xludf.DUMMYFUNCTION("GOOGLETRANSLATE(D216,""zh-CN"",""vi"")"),"Tôi thích ăn đồ tráng miệng.")</f>
        <v>Tôi thích ăn đồ tráng miệng.</v>
      </c>
      <c r="F216" s="101" t="s">
        <v>5729</v>
      </c>
      <c r="G216" s="98" t="b">
        <f t="shared" si="1"/>
        <v>1</v>
      </c>
      <c r="H216" s="99" t="b">
        <v>1</v>
      </c>
      <c r="I216" s="99" t="b">
        <v>0</v>
      </c>
      <c r="J216" s="99" t="b">
        <v>0</v>
      </c>
      <c r="K216" s="99" t="b">
        <v>0</v>
      </c>
      <c r="L216" s="99" t="b">
        <v>0</v>
      </c>
      <c r="M216" s="99" t="b">
        <v>0</v>
      </c>
      <c r="N216" s="99" t="b">
        <v>0</v>
      </c>
      <c r="O216" s="99" t="b">
        <v>0</v>
      </c>
      <c r="P216" s="99" t="b">
        <v>0</v>
      </c>
      <c r="Q216" s="99" t="b">
        <v>0</v>
      </c>
      <c r="R216" s="14"/>
      <c r="S216" s="14"/>
      <c r="T216" s="14"/>
      <c r="U216" s="14"/>
      <c r="V216" s="14"/>
      <c r="W216" s="14"/>
    </row>
    <row r="217" ht="35.25" customHeight="1">
      <c r="A217" s="92" t="s">
        <v>5736</v>
      </c>
      <c r="B217" s="93" t="s">
        <v>5737</v>
      </c>
      <c r="C217" s="94" t="s">
        <v>5738</v>
      </c>
      <c r="D217" s="24" t="s">
        <v>5739</v>
      </c>
      <c r="E217" s="96" t="str">
        <f>IFERROR(__xludf.DUMMYFUNCTION("GOOGLETRANSLATE(D217,""zh-CN"",""vi"")"),"Pin này cần được thay thế.")</f>
        <v>Pin này cần được thay thế.</v>
      </c>
      <c r="F217" s="101" t="s">
        <v>5736</v>
      </c>
      <c r="G217" s="98" t="b">
        <f t="shared" si="1"/>
        <v>1</v>
      </c>
      <c r="H217" s="99" t="b">
        <v>1</v>
      </c>
      <c r="I217" s="99" t="b">
        <v>0</v>
      </c>
      <c r="J217" s="99" t="b">
        <v>0</v>
      </c>
      <c r="K217" s="99" t="b">
        <v>0</v>
      </c>
      <c r="L217" s="99" t="b">
        <v>0</v>
      </c>
      <c r="M217" s="99" t="b">
        <v>0</v>
      </c>
      <c r="N217" s="99" t="b">
        <v>0</v>
      </c>
      <c r="O217" s="99" t="b">
        <v>0</v>
      </c>
      <c r="P217" s="99" t="b">
        <v>0</v>
      </c>
      <c r="Q217" s="99" t="b">
        <v>0</v>
      </c>
      <c r="R217" s="14"/>
      <c r="S217" s="14"/>
      <c r="T217" s="14"/>
      <c r="U217" s="14"/>
      <c r="V217" s="14"/>
      <c r="W217" s="14"/>
    </row>
    <row r="218" ht="35.25" customHeight="1">
      <c r="A218" s="92" t="s">
        <v>5743</v>
      </c>
      <c r="B218" s="93" t="s">
        <v>5744</v>
      </c>
      <c r="C218" s="94" t="s">
        <v>5745</v>
      </c>
      <c r="D218" s="24" t="s">
        <v>5746</v>
      </c>
      <c r="E218" s="96" t="str">
        <f>IFERROR(__xludf.DUMMYFUNCTION("GOOGLETRANSLATE(D218,""zh-CN"",""vi"")"),"Chúng tôi đã nghe tin tức trên đài phát thanh.")</f>
        <v>Chúng tôi đã nghe tin tức trên đài phát thanh.</v>
      </c>
      <c r="F218" s="101" t="s">
        <v>5743</v>
      </c>
      <c r="G218" s="98" t="b">
        <f t="shared" si="1"/>
        <v>1</v>
      </c>
      <c r="H218" s="99" t="b">
        <v>1</v>
      </c>
      <c r="I218" s="99" t="b">
        <v>0</v>
      </c>
      <c r="J218" s="99" t="b">
        <v>0</v>
      </c>
      <c r="K218" s="99" t="b">
        <v>0</v>
      </c>
      <c r="L218" s="99" t="b">
        <v>0</v>
      </c>
      <c r="M218" s="99" t="b">
        <v>0</v>
      </c>
      <c r="N218" s="99" t="b">
        <v>0</v>
      </c>
      <c r="O218" s="99" t="b">
        <v>0</v>
      </c>
      <c r="P218" s="99" t="b">
        <v>0</v>
      </c>
      <c r="Q218" s="99" t="b">
        <v>0</v>
      </c>
      <c r="R218" s="14"/>
      <c r="S218" s="14"/>
      <c r="T218" s="14"/>
      <c r="U218" s="14"/>
      <c r="V218" s="14"/>
      <c r="W218" s="14"/>
    </row>
    <row r="219" ht="35.25" customHeight="1">
      <c r="A219" s="92" t="s">
        <v>5751</v>
      </c>
      <c r="B219" s="93" t="s">
        <v>1245</v>
      </c>
      <c r="C219" s="94" t="s">
        <v>5752</v>
      </c>
      <c r="D219" s="24" t="s">
        <v>5753</v>
      </c>
      <c r="E219" s="96" t="str">
        <f>IFERROR(__xludf.DUMMYFUNCTION("GOOGLETRANSLATE(D219,""zh-CN"",""vi"")"),"Anh ấy thích câu cá.")</f>
        <v>Anh ấy thích câu cá.</v>
      </c>
      <c r="F219" s="101" t="s">
        <v>5751</v>
      </c>
      <c r="G219" s="98" t="b">
        <f t="shared" si="1"/>
        <v>1</v>
      </c>
      <c r="H219" s="99" t="b">
        <v>1</v>
      </c>
      <c r="I219" s="99" t="b">
        <v>0</v>
      </c>
      <c r="J219" s="99" t="b">
        <v>0</v>
      </c>
      <c r="K219" s="99" t="b">
        <v>0</v>
      </c>
      <c r="L219" s="99" t="b">
        <v>0</v>
      </c>
      <c r="M219" s="99" t="b">
        <v>0</v>
      </c>
      <c r="N219" s="99" t="b">
        <v>0</v>
      </c>
      <c r="O219" s="99" t="b">
        <v>0</v>
      </c>
      <c r="P219" s="99" t="b">
        <v>0</v>
      </c>
      <c r="Q219" s="99" t="b">
        <v>0</v>
      </c>
      <c r="R219" s="14"/>
      <c r="S219" s="14"/>
      <c r="T219" s="14"/>
      <c r="U219" s="14"/>
      <c r="V219" s="14"/>
      <c r="W219" s="14"/>
    </row>
    <row r="220" ht="35.25" customHeight="1">
      <c r="A220" s="92" t="s">
        <v>5758</v>
      </c>
      <c r="B220" s="93" t="s">
        <v>5759</v>
      </c>
      <c r="C220" s="94" t="s">
        <v>5760</v>
      </c>
      <c r="D220" s="24" t="s">
        <v>5761</v>
      </c>
      <c r="E220" s="96" t="str">
        <f>IFERROR(__xludf.DUMMYFUNCTION("GOOGLETRANSLATE(D220,""zh-CN"",""vi"")"),"Đỉnh núi rất cao.")</f>
        <v>Đỉnh núi rất cao.</v>
      </c>
      <c r="F220" s="101" t="s">
        <v>5758</v>
      </c>
      <c r="G220" s="98" t="b">
        <f t="shared" si="1"/>
        <v>1</v>
      </c>
      <c r="H220" s="99" t="b">
        <v>1</v>
      </c>
      <c r="I220" s="99" t="b">
        <v>0</v>
      </c>
      <c r="J220" s="99" t="b">
        <v>0</v>
      </c>
      <c r="K220" s="99" t="b">
        <v>0</v>
      </c>
      <c r="L220" s="99" t="b">
        <v>0</v>
      </c>
      <c r="M220" s="99" t="b">
        <v>0</v>
      </c>
      <c r="N220" s="99" t="b">
        <v>0</v>
      </c>
      <c r="O220" s="99" t="b">
        <v>0</v>
      </c>
      <c r="P220" s="99" t="b">
        <v>0</v>
      </c>
      <c r="Q220" s="99" t="b">
        <v>0</v>
      </c>
      <c r="R220" s="14"/>
      <c r="S220" s="14"/>
      <c r="T220" s="14"/>
      <c r="U220" s="14"/>
      <c r="V220" s="14"/>
      <c r="W220" s="14"/>
    </row>
    <row r="221" ht="35.25" customHeight="1">
      <c r="A221" s="92" t="s">
        <v>5766</v>
      </c>
      <c r="B221" s="93" t="s">
        <v>5767</v>
      </c>
      <c r="C221" s="94" t="s">
        <v>5768</v>
      </c>
      <c r="D221" s="24" t="s">
        <v>5769</v>
      </c>
      <c r="E221" s="96" t="str">
        <f>IFERROR(__xludf.DUMMYFUNCTION("GOOGLETRANSLATE(D221,""zh-CN"",""vi"")"),"Tôi thích xem phim hoạt hình.")</f>
        <v>Tôi thích xem phim hoạt hình.</v>
      </c>
      <c r="F221" s="101" t="s">
        <v>5766</v>
      </c>
      <c r="G221" s="98" t="b">
        <f t="shared" si="1"/>
        <v>1</v>
      </c>
      <c r="H221" s="99" t="b">
        <v>1</v>
      </c>
      <c r="I221" s="99" t="b">
        <v>0</v>
      </c>
      <c r="J221" s="99" t="b">
        <v>0</v>
      </c>
      <c r="K221" s="99" t="b">
        <v>0</v>
      </c>
      <c r="L221" s="99" t="b">
        <v>0</v>
      </c>
      <c r="M221" s="99" t="b">
        <v>0</v>
      </c>
      <c r="N221" s="99" t="b">
        <v>0</v>
      </c>
      <c r="O221" s="99" t="b">
        <v>0</v>
      </c>
      <c r="P221" s="99" t="b">
        <v>0</v>
      </c>
      <c r="Q221" s="99" t="b">
        <v>0</v>
      </c>
      <c r="R221" s="14"/>
      <c r="S221" s="14"/>
      <c r="T221" s="14"/>
      <c r="U221" s="14"/>
      <c r="V221" s="14"/>
      <c r="W221" s="14"/>
    </row>
    <row r="222" ht="35.25" customHeight="1">
      <c r="A222" s="92" t="s">
        <v>5770</v>
      </c>
      <c r="B222" s="93" t="s">
        <v>5771</v>
      </c>
      <c r="C222" s="94" t="s">
        <v>5772</v>
      </c>
      <c r="D222" s="24" t="s">
        <v>5773</v>
      </c>
      <c r="E222" s="96" t="str">
        <f>IFERROR(__xludf.DUMMYFUNCTION("GOOGLETRANSLATE(D222,""zh-CN"",""vi"")"),"Mùa đông năm nay đặc biệt lạnh; nước đã đóng băng.")</f>
        <v>Mùa đông năm nay đặc biệt lạnh; nước đã đóng băng.</v>
      </c>
      <c r="F222" s="101" t="s">
        <v>5770</v>
      </c>
      <c r="G222" s="98" t="b">
        <f t="shared" si="1"/>
        <v>1</v>
      </c>
      <c r="H222" s="99" t="b">
        <v>1</v>
      </c>
      <c r="I222" s="99" t="b">
        <v>0</v>
      </c>
      <c r="J222" s="99" t="b">
        <v>0</v>
      </c>
      <c r="K222" s="99" t="b">
        <v>0</v>
      </c>
      <c r="L222" s="99" t="b">
        <v>0</v>
      </c>
      <c r="M222" s="99" t="b">
        <v>0</v>
      </c>
      <c r="N222" s="99" t="b">
        <v>0</v>
      </c>
      <c r="O222" s="99" t="b">
        <v>0</v>
      </c>
      <c r="P222" s="99" t="b">
        <v>0</v>
      </c>
      <c r="Q222" s="99" t="b">
        <v>0</v>
      </c>
      <c r="R222" s="14"/>
      <c r="S222" s="14"/>
      <c r="T222" s="14"/>
      <c r="U222" s="14"/>
      <c r="V222" s="14"/>
      <c r="W222" s="14"/>
    </row>
    <row r="223" ht="35.25" customHeight="1">
      <c r="A223" s="92" t="s">
        <v>5778</v>
      </c>
      <c r="B223" s="93" t="s">
        <v>5771</v>
      </c>
      <c r="C223" s="94" t="s">
        <v>5779</v>
      </c>
      <c r="D223" s="24" t="s">
        <v>5780</v>
      </c>
      <c r="E223" s="96" t="str">
        <f>IFERROR(__xludf.DUMMYFUNCTION("GOOGLETRANSLATE(D223,""zh-CN"",""vi"")"),"Bên trong hang động rất tối.")</f>
        <v>Bên trong hang động rất tối.</v>
      </c>
      <c r="F223" s="101" t="s">
        <v>5778</v>
      </c>
      <c r="G223" s="98" t="b">
        <f t="shared" si="1"/>
        <v>1</v>
      </c>
      <c r="H223" s="99" t="b">
        <v>1</v>
      </c>
      <c r="I223" s="99" t="b">
        <v>0</v>
      </c>
      <c r="J223" s="99" t="b">
        <v>0</v>
      </c>
      <c r="K223" s="99" t="b">
        <v>0</v>
      </c>
      <c r="L223" s="99" t="b">
        <v>0</v>
      </c>
      <c r="M223" s="99" t="b">
        <v>0</v>
      </c>
      <c r="N223" s="99" t="b">
        <v>0</v>
      </c>
      <c r="O223" s="99" t="b">
        <v>0</v>
      </c>
      <c r="P223" s="99" t="b">
        <v>0</v>
      </c>
      <c r="Q223" s="99" t="b">
        <v>0</v>
      </c>
      <c r="R223" s="14"/>
      <c r="S223" s="14"/>
      <c r="T223" s="14"/>
      <c r="U223" s="14"/>
      <c r="V223" s="14"/>
      <c r="W223" s="14"/>
    </row>
    <row r="224" ht="35.25" customHeight="1">
      <c r="A224" s="92" t="s">
        <v>5782</v>
      </c>
      <c r="B224" s="93" t="s">
        <v>5784</v>
      </c>
      <c r="C224" s="94" t="s">
        <v>5785</v>
      </c>
      <c r="D224" s="24" t="s">
        <v>5786</v>
      </c>
      <c r="E224" s="96" t="str">
        <f>IFERROR(__xludf.DUMMYFUNCTION("GOOGLETRANSLATE(D224,""zh-CN"",""vi"")"),"Tôi đã ăn đậu phụ và rau củ.")</f>
        <v>Tôi đã ăn đậu phụ và rau củ.</v>
      </c>
      <c r="F224" s="101" t="s">
        <v>5782</v>
      </c>
      <c r="G224" s="98" t="b">
        <f t="shared" si="1"/>
        <v>1</v>
      </c>
      <c r="H224" s="99" t="b">
        <v>1</v>
      </c>
      <c r="I224" s="99" t="b">
        <v>0</v>
      </c>
      <c r="J224" s="99" t="b">
        <v>0</v>
      </c>
      <c r="K224" s="99" t="b">
        <v>0</v>
      </c>
      <c r="L224" s="99" t="b">
        <v>0</v>
      </c>
      <c r="M224" s="99" t="b">
        <v>0</v>
      </c>
      <c r="N224" s="99" t="b">
        <v>0</v>
      </c>
      <c r="O224" s="99" t="b">
        <v>0</v>
      </c>
      <c r="P224" s="99" t="b">
        <v>0</v>
      </c>
      <c r="Q224" s="99" t="b">
        <v>0</v>
      </c>
      <c r="R224" s="14"/>
      <c r="S224" s="14"/>
      <c r="T224" s="14"/>
      <c r="U224" s="14"/>
      <c r="V224" s="14"/>
      <c r="W224" s="14"/>
    </row>
    <row r="225" ht="35.25" customHeight="1">
      <c r="A225" s="92" t="s">
        <v>5790</v>
      </c>
      <c r="B225" s="93" t="s">
        <v>5792</v>
      </c>
      <c r="C225" s="94" t="s">
        <v>5793</v>
      </c>
      <c r="D225" s="24" t="s">
        <v>5794</v>
      </c>
      <c r="E225" s="96" t="str">
        <f>IFERROR(__xludf.DUMMYFUNCTION("GOOGLETRANSLATE(D225,""zh-CN"",""vi"")"),"Anh ấy chỉ đang trêu tôi thôi.")</f>
        <v>Anh ấy chỉ đang trêu tôi thôi.</v>
      </c>
      <c r="F225" s="101" t="s">
        <v>5790</v>
      </c>
      <c r="G225" s="98" t="b">
        <f t="shared" si="1"/>
        <v>1</v>
      </c>
      <c r="H225" s="99" t="b">
        <v>1</v>
      </c>
      <c r="I225" s="99" t="b">
        <v>0</v>
      </c>
      <c r="J225" s="99" t="b">
        <v>0</v>
      </c>
      <c r="K225" s="99" t="b">
        <v>0</v>
      </c>
      <c r="L225" s="99" t="b">
        <v>0</v>
      </c>
      <c r="M225" s="99" t="b">
        <v>0</v>
      </c>
      <c r="N225" s="99" t="b">
        <v>0</v>
      </c>
      <c r="O225" s="99" t="b">
        <v>0</v>
      </c>
      <c r="P225" s="99" t="b">
        <v>0</v>
      </c>
      <c r="Q225" s="99" t="b">
        <v>0</v>
      </c>
      <c r="R225" s="14"/>
      <c r="S225" s="14"/>
      <c r="T225" s="14"/>
      <c r="U225" s="14"/>
      <c r="V225" s="14"/>
      <c r="W225" s="14"/>
    </row>
    <row r="226" ht="35.25" customHeight="1">
      <c r="A226" s="92" t="s">
        <v>5798</v>
      </c>
      <c r="B226" s="93" t="s">
        <v>5800</v>
      </c>
      <c r="C226" s="94" t="s">
        <v>5801</v>
      </c>
      <c r="D226" s="24" t="s">
        <v>5802</v>
      </c>
      <c r="E226" s="96" t="str">
        <f>IFERROR(__xludf.DUMMYFUNCTION("GOOGLETRANSLATE(D226,""zh-CN"",""vi"")"),"Họ là một quốc gia độc lập.")</f>
        <v>Họ là một quốc gia độc lập.</v>
      </c>
      <c r="F226" s="101" t="s">
        <v>5798</v>
      </c>
      <c r="G226" s="98" t="b">
        <f t="shared" si="1"/>
        <v>1</v>
      </c>
      <c r="H226" s="99" t="b">
        <v>1</v>
      </c>
      <c r="I226" s="99" t="b">
        <v>0</v>
      </c>
      <c r="J226" s="99" t="b">
        <v>0</v>
      </c>
      <c r="K226" s="99" t="b">
        <v>0</v>
      </c>
      <c r="L226" s="99" t="b">
        <v>0</v>
      </c>
      <c r="M226" s="99" t="b">
        <v>0</v>
      </c>
      <c r="N226" s="99" t="b">
        <v>0</v>
      </c>
      <c r="O226" s="99" t="b">
        <v>0</v>
      </c>
      <c r="P226" s="99" t="b">
        <v>0</v>
      </c>
      <c r="Q226" s="99" t="b">
        <v>0</v>
      </c>
      <c r="R226" s="14"/>
      <c r="S226" s="14"/>
      <c r="T226" s="14"/>
      <c r="U226" s="14"/>
      <c r="V226" s="14"/>
      <c r="W226" s="14"/>
    </row>
    <row r="227" ht="35.25" customHeight="1">
      <c r="A227" s="92" t="s">
        <v>5804</v>
      </c>
      <c r="B227" s="93" t="s">
        <v>5806</v>
      </c>
      <c r="C227" s="94" t="s">
        <v>5808</v>
      </c>
      <c r="D227" s="24" t="s">
        <v>5810</v>
      </c>
      <c r="E227" s="96" t="str">
        <f>IFERROR(__xludf.DUMMYFUNCTION("GOOGLETRANSLATE(D227,""zh-CN"",""vi"")"),"Bộ trang phục này có thiết kế rất độc đáo.")</f>
        <v>Bộ trang phục này có thiết kế rất độc đáo.</v>
      </c>
      <c r="F227" s="101" t="s">
        <v>5804</v>
      </c>
      <c r="G227" s="98" t="b">
        <f t="shared" si="1"/>
        <v>1</v>
      </c>
      <c r="H227" s="99" t="b">
        <v>1</v>
      </c>
      <c r="I227" s="99" t="b">
        <v>0</v>
      </c>
      <c r="J227" s="99" t="b">
        <v>0</v>
      </c>
      <c r="K227" s="99" t="b">
        <v>0</v>
      </c>
      <c r="L227" s="99" t="b">
        <v>0</v>
      </c>
      <c r="M227" s="99" t="b">
        <v>0</v>
      </c>
      <c r="N227" s="99" t="b">
        <v>0</v>
      </c>
      <c r="O227" s="99" t="b">
        <v>0</v>
      </c>
      <c r="P227" s="99" t="b">
        <v>0</v>
      </c>
      <c r="Q227" s="99" t="b">
        <v>0</v>
      </c>
      <c r="R227" s="14"/>
      <c r="S227" s="14"/>
      <c r="T227" s="14"/>
      <c r="U227" s="14"/>
      <c r="V227" s="14"/>
      <c r="W227" s="14"/>
    </row>
    <row r="228" ht="35.25" customHeight="1">
      <c r="A228" s="92" t="s">
        <v>5811</v>
      </c>
      <c r="B228" s="93" t="s">
        <v>5812</v>
      </c>
      <c r="C228" s="94" t="s">
        <v>5814</v>
      </c>
      <c r="D228" s="24" t="s">
        <v>5816</v>
      </c>
      <c r="E228" s="96" t="str">
        <f>IFERROR(__xludf.DUMMYFUNCTION("GOOGLETRANSLATE(D228,""zh-CN"",""vi"")"),"Chúng tôi đã có một kỳ nghỉ tuyệt vời.")</f>
        <v>Chúng tôi đã có một kỳ nghỉ tuyệt vời.</v>
      </c>
      <c r="F228" s="101" t="s">
        <v>5811</v>
      </c>
      <c r="G228" s="98" t="b">
        <f t="shared" si="1"/>
        <v>1</v>
      </c>
      <c r="H228" s="99" t="b">
        <v>1</v>
      </c>
      <c r="I228" s="99" t="b">
        <v>0</v>
      </c>
      <c r="J228" s="99" t="b">
        <v>0</v>
      </c>
      <c r="K228" s="99" t="b">
        <v>0</v>
      </c>
      <c r="L228" s="99" t="b">
        <v>0</v>
      </c>
      <c r="M228" s="99" t="b">
        <v>0</v>
      </c>
      <c r="N228" s="99" t="b">
        <v>0</v>
      </c>
      <c r="O228" s="99" t="b">
        <v>0</v>
      </c>
      <c r="P228" s="99" t="b">
        <v>0</v>
      </c>
      <c r="Q228" s="99" t="b">
        <v>0</v>
      </c>
      <c r="R228" s="14"/>
      <c r="S228" s="14"/>
      <c r="T228" s="14"/>
      <c r="U228" s="14"/>
      <c r="V228" s="14"/>
      <c r="W228" s="14"/>
    </row>
    <row r="229" ht="35.25" customHeight="1">
      <c r="A229" s="92" t="s">
        <v>5819</v>
      </c>
      <c r="B229" s="93" t="s">
        <v>935</v>
      </c>
      <c r="C229" s="94" t="s">
        <v>5821</v>
      </c>
      <c r="D229" s="24" t="s">
        <v>5823</v>
      </c>
      <c r="E229" s="96" t="str">
        <f>IFERROR(__xludf.DUMMYFUNCTION("GOOGLETRANSLATE(D229,""zh-CN"",""vi"")"),"Kiên trì đấu tranh là con đường dẫn đến thành công.")</f>
        <v>Kiên trì đấu tranh là con đường dẫn đến thành công.</v>
      </c>
      <c r="F229" s="101" t="s">
        <v>5819</v>
      </c>
      <c r="G229" s="98" t="b">
        <f t="shared" si="1"/>
        <v>1</v>
      </c>
      <c r="H229" s="99" t="b">
        <v>1</v>
      </c>
      <c r="I229" s="99" t="b">
        <v>0</v>
      </c>
      <c r="J229" s="99" t="b">
        <v>0</v>
      </c>
      <c r="K229" s="99" t="b">
        <v>0</v>
      </c>
      <c r="L229" s="99" t="b">
        <v>0</v>
      </c>
      <c r="M229" s="99" t="b">
        <v>0</v>
      </c>
      <c r="N229" s="99" t="b">
        <v>0</v>
      </c>
      <c r="O229" s="99" t="b">
        <v>0</v>
      </c>
      <c r="P229" s="99" t="b">
        <v>0</v>
      </c>
      <c r="Q229" s="99" t="b">
        <v>0</v>
      </c>
      <c r="R229" s="14"/>
      <c r="S229" s="14"/>
      <c r="T229" s="14"/>
      <c r="U229" s="14"/>
      <c r="V229" s="14"/>
      <c r="W229" s="14"/>
    </row>
    <row r="230" ht="35.25" customHeight="1">
      <c r="A230" s="92" t="s">
        <v>5827</v>
      </c>
      <c r="B230" s="93" t="s">
        <v>5830</v>
      </c>
      <c r="C230" s="94" t="s">
        <v>5832</v>
      </c>
      <c r="D230" s="24" t="s">
        <v>5833</v>
      </c>
      <c r="E230" s="96" t="str">
        <f>IFERROR(__xludf.DUMMYFUNCTION("GOOGLETRANSLATE(D230,""zh-CN"",""vi"")"),"Trên bàn chất đầy sách.")</f>
        <v>Trên bàn chất đầy sách.</v>
      </c>
      <c r="F230" s="101" t="s">
        <v>5827</v>
      </c>
      <c r="G230" s="98" t="b">
        <f t="shared" si="1"/>
        <v>1</v>
      </c>
      <c r="H230" s="99" t="b">
        <v>1</v>
      </c>
      <c r="I230" s="99" t="b">
        <v>0</v>
      </c>
      <c r="J230" s="99" t="b">
        <v>0</v>
      </c>
      <c r="K230" s="99" t="b">
        <v>0</v>
      </c>
      <c r="L230" s="99" t="b">
        <v>0</v>
      </c>
      <c r="M230" s="99" t="b">
        <v>0</v>
      </c>
      <c r="N230" s="99" t="b">
        <v>0</v>
      </c>
      <c r="O230" s="99" t="b">
        <v>0</v>
      </c>
      <c r="P230" s="99" t="b">
        <v>0</v>
      </c>
      <c r="Q230" s="99" t="b">
        <v>0</v>
      </c>
      <c r="R230" s="14"/>
      <c r="S230" s="14"/>
      <c r="T230" s="14"/>
      <c r="U230" s="14"/>
      <c r="V230" s="14"/>
      <c r="W230" s="14"/>
    </row>
    <row r="231" ht="35.25" customHeight="1">
      <c r="A231" s="92" t="s">
        <v>5834</v>
      </c>
      <c r="B231" s="93" t="s">
        <v>5835</v>
      </c>
      <c r="C231" s="94" t="s">
        <v>5836</v>
      </c>
      <c r="D231" s="24" t="s">
        <v>5837</v>
      </c>
      <c r="E231" s="96" t="str">
        <f>IFERROR(__xludf.DUMMYFUNCTION("GOOGLETRANSLATE(D231,""zh-CN"",""vi"")"),"Chúng ta có thể so sánh hai lựa chọn này.")</f>
        <v>Chúng ta có thể so sánh hai lựa chọn này.</v>
      </c>
      <c r="F231" s="101" t="s">
        <v>5834</v>
      </c>
      <c r="G231" s="98" t="b">
        <f t="shared" si="1"/>
        <v>1</v>
      </c>
      <c r="H231" s="99" t="b">
        <v>1</v>
      </c>
      <c r="I231" s="99" t="b">
        <v>0</v>
      </c>
      <c r="J231" s="99" t="b">
        <v>0</v>
      </c>
      <c r="K231" s="99" t="b">
        <v>0</v>
      </c>
      <c r="L231" s="99" t="b">
        <v>0</v>
      </c>
      <c r="M231" s="99" t="b">
        <v>0</v>
      </c>
      <c r="N231" s="99" t="b">
        <v>0</v>
      </c>
      <c r="O231" s="99" t="b">
        <v>0</v>
      </c>
      <c r="P231" s="99" t="b">
        <v>0</v>
      </c>
      <c r="Q231" s="99" t="b">
        <v>0</v>
      </c>
      <c r="R231" s="14"/>
      <c r="S231" s="14"/>
      <c r="T231" s="14"/>
      <c r="U231" s="14"/>
      <c r="V231" s="14"/>
      <c r="W231" s="14"/>
    </row>
    <row r="232" ht="35.25" customHeight="1">
      <c r="A232" s="92" t="s">
        <v>5842</v>
      </c>
      <c r="B232" s="93" t="s">
        <v>5843</v>
      </c>
      <c r="C232" s="94" t="s">
        <v>5844</v>
      </c>
      <c r="D232" s="24" t="s">
        <v>5846</v>
      </c>
      <c r="E232" s="96" t="str">
        <f>IFERROR(__xludf.DUMMYFUNCTION("GOOGLETRANSLATE(D232,""zh-CN"",""vi"")"),"Mọi người đều nên được đối xử công bằng.")</f>
        <v>Mọi người đều nên được đối xử công bằng.</v>
      </c>
      <c r="F232" s="101" t="s">
        <v>5842</v>
      </c>
      <c r="G232" s="98" t="b">
        <f t="shared" si="1"/>
        <v>1</v>
      </c>
      <c r="H232" s="99" t="b">
        <v>1</v>
      </c>
      <c r="I232" s="99" t="b">
        <v>0</v>
      </c>
      <c r="J232" s="99" t="b">
        <v>0</v>
      </c>
      <c r="K232" s="99" t="b">
        <v>0</v>
      </c>
      <c r="L232" s="99" t="b">
        <v>0</v>
      </c>
      <c r="M232" s="99" t="b">
        <v>0</v>
      </c>
      <c r="N232" s="99" t="b">
        <v>0</v>
      </c>
      <c r="O232" s="99" t="b">
        <v>0</v>
      </c>
      <c r="P232" s="99" t="b">
        <v>0</v>
      </c>
      <c r="Q232" s="99" t="b">
        <v>0</v>
      </c>
      <c r="R232" s="14"/>
      <c r="S232" s="14"/>
      <c r="T232" s="14"/>
      <c r="U232" s="14"/>
      <c r="V232" s="14"/>
      <c r="W232" s="14"/>
    </row>
    <row r="233" ht="35.25" customHeight="1">
      <c r="A233" s="92" t="s">
        <v>5850</v>
      </c>
      <c r="B233" s="93" t="s">
        <v>5851</v>
      </c>
      <c r="C233" s="94" t="s">
        <v>5853</v>
      </c>
      <c r="D233" s="24" t="s">
        <v>5856</v>
      </c>
      <c r="E233" s="96" t="str">
        <f>IFERROR(__xludf.DUMMYFUNCTION("GOOGLETRANSLATE(D233,""zh-CN"",""vi"")"),"Ý kiến ​​của phía bên kia rất có giá trị.")</f>
        <v>Ý kiến ​​của phía bên kia rất có giá trị.</v>
      </c>
      <c r="F233" s="101" t="s">
        <v>5850</v>
      </c>
      <c r="G233" s="98" t="b">
        <f t="shared" si="1"/>
        <v>1</v>
      </c>
      <c r="H233" s="99" t="b">
        <v>1</v>
      </c>
      <c r="I233" s="99" t="b">
        <v>0</v>
      </c>
      <c r="J233" s="99" t="b">
        <v>0</v>
      </c>
      <c r="K233" s="99" t="b">
        <v>0</v>
      </c>
      <c r="L233" s="99" t="b">
        <v>0</v>
      </c>
      <c r="M233" s="99" t="b">
        <v>0</v>
      </c>
      <c r="N233" s="99" t="b">
        <v>0</v>
      </c>
      <c r="O233" s="99" t="b">
        <v>0</v>
      </c>
      <c r="P233" s="99" t="b">
        <v>0</v>
      </c>
      <c r="Q233" s="99" t="b">
        <v>0</v>
      </c>
      <c r="R233" s="14"/>
      <c r="S233" s="14"/>
      <c r="T233" s="14"/>
      <c r="U233" s="14"/>
      <c r="V233" s="14"/>
      <c r="W233" s="14"/>
    </row>
    <row r="234" ht="35.25" customHeight="1">
      <c r="A234" s="92" t="s">
        <v>5858</v>
      </c>
      <c r="B234" s="93" t="s">
        <v>5859</v>
      </c>
      <c r="C234" s="94" t="s">
        <v>5862</v>
      </c>
      <c r="D234" s="24" t="s">
        <v>5864</v>
      </c>
      <c r="E234" s="96" t="str">
        <f>IFERROR(__xludf.DUMMYFUNCTION("GOOGLETRANSLATE(D234,""zh-CN"",""vi"")"),"Họ là những đối thủ đáng gờm.")</f>
        <v>Họ là những đối thủ đáng gờm.</v>
      </c>
      <c r="F234" s="101" t="s">
        <v>5858</v>
      </c>
      <c r="G234" s="98" t="b">
        <f t="shared" si="1"/>
        <v>1</v>
      </c>
      <c r="H234" s="99" t="b">
        <v>1</v>
      </c>
      <c r="I234" s="99" t="b">
        <v>0</v>
      </c>
      <c r="J234" s="99" t="b">
        <v>0</v>
      </c>
      <c r="K234" s="99" t="b">
        <v>0</v>
      </c>
      <c r="L234" s="99" t="b">
        <v>0</v>
      </c>
      <c r="M234" s="99" t="b">
        <v>0</v>
      </c>
      <c r="N234" s="99" t="b">
        <v>0</v>
      </c>
      <c r="O234" s="99" t="b">
        <v>0</v>
      </c>
      <c r="P234" s="99" t="b">
        <v>0</v>
      </c>
      <c r="Q234" s="99" t="b">
        <v>0</v>
      </c>
      <c r="R234" s="14"/>
      <c r="S234" s="14"/>
      <c r="T234" s="14"/>
      <c r="U234" s="14"/>
      <c r="V234" s="14"/>
      <c r="W234" s="14"/>
    </row>
    <row r="235" ht="35.25" customHeight="1">
      <c r="A235" s="92" t="s">
        <v>5870</v>
      </c>
      <c r="B235" s="93" t="s">
        <v>5871</v>
      </c>
      <c r="C235" s="94" t="s">
        <v>5872</v>
      </c>
      <c r="D235" s="24" t="s">
        <v>5873</v>
      </c>
      <c r="E235" s="96" t="str">
        <f>IFERROR(__xludf.DUMMYFUNCTION("GOOGLETRANSLATE(D235,""zh-CN"",""vi"")"),"Bạn đời của anh ấy là một diễn viên.")</f>
        <v>Bạn đời của anh ấy là một diễn viên.</v>
      </c>
      <c r="F235" s="101" t="s">
        <v>5870</v>
      </c>
      <c r="G235" s="98" t="b">
        <f t="shared" si="1"/>
        <v>1</v>
      </c>
      <c r="H235" s="99" t="b">
        <v>1</v>
      </c>
      <c r="I235" s="99" t="b">
        <v>0</v>
      </c>
      <c r="J235" s="99" t="b">
        <v>0</v>
      </c>
      <c r="K235" s="99" t="b">
        <v>0</v>
      </c>
      <c r="L235" s="99" t="b">
        <v>0</v>
      </c>
      <c r="M235" s="99" t="b">
        <v>0</v>
      </c>
      <c r="N235" s="99" t="b">
        <v>0</v>
      </c>
      <c r="O235" s="99" t="b">
        <v>0</v>
      </c>
      <c r="P235" s="99" t="b">
        <v>0</v>
      </c>
      <c r="Q235" s="99" t="b">
        <v>0</v>
      </c>
      <c r="R235" s="14"/>
      <c r="S235" s="14"/>
      <c r="T235" s="14"/>
      <c r="U235" s="14"/>
      <c r="V235" s="14"/>
      <c r="W235" s="14"/>
    </row>
    <row r="236" ht="35.25" customHeight="1">
      <c r="A236" s="92" t="s">
        <v>5878</v>
      </c>
      <c r="B236" s="93" t="s">
        <v>5879</v>
      </c>
      <c r="C236" s="94" t="s">
        <v>1639</v>
      </c>
      <c r="D236" s="24" t="s">
        <v>5880</v>
      </c>
      <c r="E236" s="96" t="str">
        <f>IFERROR(__xludf.DUMMYFUNCTION("GOOGLETRANSLATE(D236,""zh-CN"",""vi"")"),"Chúng ta cần đổi ngoại tệ.")</f>
        <v>Chúng ta cần đổi ngoại tệ.</v>
      </c>
      <c r="F236" s="101" t="s">
        <v>5878</v>
      </c>
      <c r="G236" s="98" t="b">
        <f t="shared" si="1"/>
        <v>1</v>
      </c>
      <c r="H236" s="99" t="b">
        <v>1</v>
      </c>
      <c r="I236" s="99" t="b">
        <v>0</v>
      </c>
      <c r="J236" s="99" t="b">
        <v>0</v>
      </c>
      <c r="K236" s="99" t="b">
        <v>0</v>
      </c>
      <c r="L236" s="99" t="b">
        <v>0</v>
      </c>
      <c r="M236" s="99" t="b">
        <v>0</v>
      </c>
      <c r="N236" s="99" t="b">
        <v>0</v>
      </c>
      <c r="O236" s="99" t="b">
        <v>0</v>
      </c>
      <c r="P236" s="99" t="b">
        <v>0</v>
      </c>
      <c r="Q236" s="99" t="b">
        <v>0</v>
      </c>
      <c r="R236" s="14"/>
      <c r="S236" s="14"/>
      <c r="T236" s="14"/>
      <c r="U236" s="14"/>
      <c r="V236" s="14"/>
      <c r="W236" s="14"/>
    </row>
    <row r="237" ht="35.25" customHeight="1">
      <c r="A237" s="92" t="s">
        <v>5887</v>
      </c>
      <c r="B237" s="93" t="s">
        <v>5889</v>
      </c>
      <c r="C237" s="94" t="s">
        <v>5891</v>
      </c>
      <c r="D237" s="24" t="s">
        <v>5892</v>
      </c>
      <c r="E237" s="96" t="str">
        <f>IFERROR(__xludf.DUMMYFUNCTION("GOOGLETRANSLATE(D237,""zh-CN"",""vi"")"),"Chiếc hộp này nặng hàng tấn.")</f>
        <v>Chiếc hộp này nặng hàng tấn.</v>
      </c>
      <c r="F237" s="101" t="s">
        <v>5887</v>
      </c>
      <c r="G237" s="98" t="b">
        <f t="shared" si="1"/>
        <v>1</v>
      </c>
      <c r="H237" s="99" t="b">
        <v>1</v>
      </c>
      <c r="I237" s="99" t="b">
        <v>0</v>
      </c>
      <c r="J237" s="99" t="b">
        <v>0</v>
      </c>
      <c r="K237" s="99" t="b">
        <v>0</v>
      </c>
      <c r="L237" s="99" t="b">
        <v>0</v>
      </c>
      <c r="M237" s="99" t="b">
        <v>0</v>
      </c>
      <c r="N237" s="99" t="b">
        <v>0</v>
      </c>
      <c r="O237" s="99" t="b">
        <v>0</v>
      </c>
      <c r="P237" s="99" t="b">
        <v>0</v>
      </c>
      <c r="Q237" s="99" t="b">
        <v>0</v>
      </c>
      <c r="R237" s="14"/>
      <c r="S237" s="14"/>
      <c r="T237" s="14"/>
      <c r="U237" s="14"/>
      <c r="V237" s="14"/>
      <c r="W237" s="14"/>
    </row>
    <row r="238" ht="35.25" customHeight="1">
      <c r="A238" s="92" t="s">
        <v>5897</v>
      </c>
      <c r="B238" s="93" t="s">
        <v>5889</v>
      </c>
      <c r="C238" s="94" t="s">
        <v>5898</v>
      </c>
      <c r="D238" s="24" t="s">
        <v>5899</v>
      </c>
      <c r="E238" s="96" t="str">
        <f>IFERROR(__xludf.DUMMYFUNCTION("GOOGLETRANSLATE(D238,""zh-CN"",""vi"")"),"Chúng tôi ngồi xổm xuống nghỉ ngơi trong công viên.")</f>
        <v>Chúng tôi ngồi xổm xuống nghỉ ngơi trong công viên.</v>
      </c>
      <c r="F238" s="101" t="s">
        <v>5897</v>
      </c>
      <c r="G238" s="98" t="b">
        <f t="shared" si="1"/>
        <v>1</v>
      </c>
      <c r="H238" s="99" t="b">
        <v>1</v>
      </c>
      <c r="I238" s="99" t="b">
        <v>0</v>
      </c>
      <c r="J238" s="99" t="b">
        <v>0</v>
      </c>
      <c r="K238" s="99" t="b">
        <v>0</v>
      </c>
      <c r="L238" s="99" t="b">
        <v>0</v>
      </c>
      <c r="M238" s="99" t="b">
        <v>0</v>
      </c>
      <c r="N238" s="99" t="b">
        <v>0</v>
      </c>
      <c r="O238" s="99" t="b">
        <v>0</v>
      </c>
      <c r="P238" s="99" t="b">
        <v>0</v>
      </c>
      <c r="Q238" s="99" t="b">
        <v>0</v>
      </c>
      <c r="R238" s="14"/>
      <c r="S238" s="14"/>
      <c r="T238" s="14"/>
      <c r="U238" s="14"/>
      <c r="V238" s="14"/>
      <c r="W238" s="14"/>
    </row>
    <row r="239" ht="35.25" customHeight="1">
      <c r="A239" s="92" t="s">
        <v>5907</v>
      </c>
      <c r="B239" s="93" t="s">
        <v>5908</v>
      </c>
      <c r="C239" s="94" t="s">
        <v>5909</v>
      </c>
      <c r="D239" s="24" t="s">
        <v>5910</v>
      </c>
      <c r="E239" s="96" t="str">
        <f>IFERROR(__xludf.DUMMYFUNCTION("GOOGLETRANSLATE(D239,""zh-CN"",""vi"")"),"Ông ấy đã có một bữa tối thịnh soạn.")</f>
        <v>Ông ấy đã có một bữa tối thịnh soạn.</v>
      </c>
      <c r="F239" s="101" t="s">
        <v>5907</v>
      </c>
      <c r="G239" s="98" t="b">
        <f t="shared" si="1"/>
        <v>1</v>
      </c>
      <c r="H239" s="99" t="b">
        <v>1</v>
      </c>
      <c r="I239" s="99" t="b">
        <v>0</v>
      </c>
      <c r="J239" s="99" t="b">
        <v>0</v>
      </c>
      <c r="K239" s="99" t="b">
        <v>0</v>
      </c>
      <c r="L239" s="99" t="b">
        <v>0</v>
      </c>
      <c r="M239" s="99" t="b">
        <v>0</v>
      </c>
      <c r="N239" s="99" t="b">
        <v>0</v>
      </c>
      <c r="O239" s="99" t="b">
        <v>0</v>
      </c>
      <c r="P239" s="99" t="b">
        <v>0</v>
      </c>
      <c r="Q239" s="99" t="b">
        <v>0</v>
      </c>
      <c r="R239" s="14"/>
      <c r="S239" s="14"/>
      <c r="T239" s="14"/>
      <c r="U239" s="14"/>
      <c r="V239" s="14"/>
      <c r="W239" s="14"/>
    </row>
    <row r="240" ht="35.25" customHeight="1">
      <c r="A240" s="92" t="s">
        <v>5914</v>
      </c>
      <c r="B240" s="93" t="s">
        <v>5915</v>
      </c>
      <c r="C240" s="102" t="s">
        <v>5916</v>
      </c>
      <c r="D240" s="24" t="s">
        <v>5918</v>
      </c>
      <c r="E240" s="96" t="str">
        <f>IFERROR(__xludf.DUMMYFUNCTION("GOOGLETRANSLATE(D240,""zh-CN"",""vi"")"),"Nhờ sự giúp đỡ của bạn, chúng tôi đã hoàn thành được dự án.")</f>
        <v>Nhờ sự giúp đỡ của bạn, chúng tôi đã hoàn thành được dự án.</v>
      </c>
      <c r="F240" s="101" t="s">
        <v>5914</v>
      </c>
      <c r="G240" s="98" t="b">
        <f t="shared" si="1"/>
        <v>1</v>
      </c>
      <c r="H240" s="99" t="b">
        <v>1</v>
      </c>
      <c r="I240" s="99" t="b">
        <v>0</v>
      </c>
      <c r="J240" s="99" t="b">
        <v>0</v>
      </c>
      <c r="K240" s="99" t="b">
        <v>0</v>
      </c>
      <c r="L240" s="99" t="b">
        <v>0</v>
      </c>
      <c r="M240" s="99" t="b">
        <v>0</v>
      </c>
      <c r="N240" s="99" t="b">
        <v>0</v>
      </c>
      <c r="O240" s="99" t="b">
        <v>0</v>
      </c>
      <c r="P240" s="99" t="b">
        <v>0</v>
      </c>
      <c r="Q240" s="99" t="b">
        <v>0</v>
      </c>
      <c r="R240" s="14"/>
      <c r="S240" s="14"/>
      <c r="T240" s="14"/>
      <c r="U240" s="14"/>
      <c r="V240" s="14"/>
      <c r="W240" s="14"/>
    </row>
    <row r="241" ht="35.25" customHeight="1">
      <c r="A241" s="92" t="s">
        <v>5925</v>
      </c>
      <c r="B241" s="93" t="s">
        <v>5926</v>
      </c>
      <c r="C241" s="94" t="s">
        <v>5927</v>
      </c>
      <c r="D241" s="24" t="s">
        <v>5928</v>
      </c>
      <c r="E241" s="96" t="str">
        <f>IFERROR(__xludf.DUMMYFUNCTION("GOOGLETRANSLATE(D241,""zh-CN"",""vi"")"),"Chiếc túi này có thêm một chút không gian.")</f>
        <v>Chiếc túi này có thêm một chút không gian.</v>
      </c>
      <c r="F241" s="101" t="s">
        <v>5925</v>
      </c>
      <c r="G241" s="98" t="b">
        <f t="shared" si="1"/>
        <v>1</v>
      </c>
      <c r="H241" s="99" t="b">
        <v>1</v>
      </c>
      <c r="I241" s="99" t="b">
        <v>0</v>
      </c>
      <c r="J241" s="99" t="b">
        <v>0</v>
      </c>
      <c r="K241" s="99" t="b">
        <v>0</v>
      </c>
      <c r="L241" s="99" t="b">
        <v>0</v>
      </c>
      <c r="M241" s="99" t="b">
        <v>0</v>
      </c>
      <c r="N241" s="99" t="b">
        <v>0</v>
      </c>
      <c r="O241" s="99" t="b">
        <v>0</v>
      </c>
      <c r="P241" s="99" t="b">
        <v>0</v>
      </c>
      <c r="Q241" s="99" t="b">
        <v>0</v>
      </c>
      <c r="R241" s="14"/>
      <c r="S241" s="14"/>
      <c r="T241" s="14"/>
      <c r="U241" s="14"/>
      <c r="V241" s="14"/>
      <c r="W241" s="14"/>
    </row>
    <row r="242" ht="35.25" customHeight="1">
      <c r="A242" s="92" t="s">
        <v>5934</v>
      </c>
      <c r="B242" s="93" t="s">
        <v>5936</v>
      </c>
      <c r="C242" s="102" t="s">
        <v>5938</v>
      </c>
      <c r="D242" s="24" t="s">
        <v>5940</v>
      </c>
      <c r="E242" s="96" t="str">
        <f>IFERROR(__xludf.DUMMYFUNCTION("GOOGLETRANSLATE(D242,""zh-CN"",""vi"")"),"Cô ấy cài một bông hoa trên tóc.")</f>
        <v>Cô ấy cài một bông hoa trên tóc.</v>
      </c>
      <c r="F242" s="101" t="s">
        <v>5934</v>
      </c>
      <c r="G242" s="98" t="b">
        <f t="shared" si="1"/>
        <v>1</v>
      </c>
      <c r="H242" s="99" t="b">
        <v>1</v>
      </c>
      <c r="I242" s="99" t="b">
        <v>0</v>
      </c>
      <c r="J242" s="99" t="b">
        <v>0</v>
      </c>
      <c r="K242" s="99" t="b">
        <v>0</v>
      </c>
      <c r="L242" s="99" t="b">
        <v>0</v>
      </c>
      <c r="M242" s="99" t="b">
        <v>0</v>
      </c>
      <c r="N242" s="99" t="b">
        <v>0</v>
      </c>
      <c r="O242" s="99" t="b">
        <v>0</v>
      </c>
      <c r="P242" s="99" t="b">
        <v>0</v>
      </c>
      <c r="Q242" s="99" t="b">
        <v>0</v>
      </c>
      <c r="R242" s="14"/>
      <c r="S242" s="14"/>
      <c r="T242" s="14"/>
      <c r="U242" s="14"/>
      <c r="V242" s="14"/>
      <c r="W242" s="14"/>
    </row>
    <row r="243" ht="35.25" customHeight="1">
      <c r="A243" s="92" t="s">
        <v>5945</v>
      </c>
      <c r="B243" s="93" t="s">
        <v>5946</v>
      </c>
      <c r="C243" s="94" t="s">
        <v>5947</v>
      </c>
      <c r="D243" s="24" t="s">
        <v>5948</v>
      </c>
      <c r="E243" s="96" t="str">
        <f>IFERROR(__xludf.DUMMYFUNCTION("GOOGLETRANSLATE(D243,""zh-CN"",""vi"")"),"Chúng tôi nấp sau gốc cây.")</f>
        <v>Chúng tôi nấp sau gốc cây.</v>
      </c>
      <c r="F243" s="101" t="s">
        <v>5945</v>
      </c>
      <c r="G243" s="98" t="b">
        <f t="shared" si="1"/>
        <v>1</v>
      </c>
      <c r="H243" s="99" t="b">
        <v>1</v>
      </c>
      <c r="I243" s="99" t="b">
        <v>0</v>
      </c>
      <c r="J243" s="99" t="b">
        <v>0</v>
      </c>
      <c r="K243" s="99" t="b">
        <v>0</v>
      </c>
      <c r="L243" s="99" t="b">
        <v>0</v>
      </c>
      <c r="M243" s="99" t="b">
        <v>0</v>
      </c>
      <c r="N243" s="99" t="b">
        <v>0</v>
      </c>
      <c r="O243" s="99" t="b">
        <v>0</v>
      </c>
      <c r="P243" s="99" t="b">
        <v>0</v>
      </c>
      <c r="Q243" s="99" t="b">
        <v>0</v>
      </c>
      <c r="R243" s="14"/>
      <c r="S243" s="14"/>
      <c r="T243" s="14"/>
      <c r="U243" s="14"/>
      <c r="V243" s="14"/>
      <c r="W243" s="14"/>
    </row>
    <row r="244" ht="35.25" customHeight="1">
      <c r="A244" s="92" t="s">
        <v>5952</v>
      </c>
      <c r="B244" s="93" t="s">
        <v>5953</v>
      </c>
      <c r="C244" s="94" t="s">
        <v>5955</v>
      </c>
      <c r="D244" s="24" t="s">
        <v>5956</v>
      </c>
      <c r="E244" s="96" t="str">
        <f>IFERROR(__xludf.DUMMYFUNCTION("GOOGLETRANSLATE(D244,""zh-CN"",""vi"")"),"Thời tiết thật tệ.")</f>
        <v>Thời tiết thật tệ.</v>
      </c>
      <c r="F244" s="101" t="s">
        <v>5952</v>
      </c>
      <c r="G244" s="98" t="b">
        <f t="shared" si="1"/>
        <v>1</v>
      </c>
      <c r="H244" s="99" t="b">
        <v>1</v>
      </c>
      <c r="I244" s="99" t="b">
        <v>0</v>
      </c>
      <c r="J244" s="99" t="b">
        <v>0</v>
      </c>
      <c r="K244" s="99" t="b">
        <v>0</v>
      </c>
      <c r="L244" s="99" t="b">
        <v>0</v>
      </c>
      <c r="M244" s="99" t="b">
        <v>0</v>
      </c>
      <c r="N244" s="99" t="b">
        <v>0</v>
      </c>
      <c r="O244" s="99" t="b">
        <v>0</v>
      </c>
      <c r="P244" s="99" t="b">
        <v>0</v>
      </c>
      <c r="Q244" s="99" t="b">
        <v>0</v>
      </c>
      <c r="R244" s="14"/>
      <c r="S244" s="14"/>
      <c r="T244" s="14"/>
      <c r="U244" s="14"/>
      <c r="V244" s="14"/>
      <c r="W244" s="14"/>
    </row>
    <row r="245" ht="35.25" customHeight="1">
      <c r="A245" s="92" t="s">
        <v>5960</v>
      </c>
      <c r="B245" s="93" t="s">
        <v>5961</v>
      </c>
      <c r="C245" s="94" t="s">
        <v>5962</v>
      </c>
      <c r="D245" s="24" t="s">
        <v>5963</v>
      </c>
      <c r="E245" s="96" t="str">
        <f>IFERROR(__xludf.DUMMYFUNCTION("GOOGLETRANSLATE(D245,""zh-CN"",""vi"")"),"Cô ấy đeo một đôi bông tai rất đẹp.")</f>
        <v>Cô ấy đeo một đôi bông tai rất đẹp.</v>
      </c>
      <c r="F245" s="101" t="s">
        <v>5960</v>
      </c>
      <c r="G245" s="98" t="b">
        <f t="shared" si="1"/>
        <v>1</v>
      </c>
      <c r="H245" s="99" t="b">
        <v>1</v>
      </c>
      <c r="I245" s="99" t="b">
        <v>0</v>
      </c>
      <c r="J245" s="99" t="b">
        <v>0</v>
      </c>
      <c r="K245" s="99" t="b">
        <v>0</v>
      </c>
      <c r="L245" s="99" t="b">
        <v>0</v>
      </c>
      <c r="M245" s="99" t="b">
        <v>0</v>
      </c>
      <c r="N245" s="99" t="b">
        <v>0</v>
      </c>
      <c r="O245" s="99" t="b">
        <v>0</v>
      </c>
      <c r="P245" s="99" t="b">
        <v>0</v>
      </c>
      <c r="Q245" s="99" t="b">
        <v>0</v>
      </c>
      <c r="R245" s="14"/>
      <c r="S245" s="14"/>
      <c r="T245" s="14"/>
      <c r="U245" s="14"/>
      <c r="V245" s="14"/>
      <c r="W245" s="14"/>
    </row>
    <row r="246" ht="35.25" customHeight="1">
      <c r="A246" s="92" t="s">
        <v>5968</v>
      </c>
      <c r="B246" s="93" t="s">
        <v>5969</v>
      </c>
      <c r="C246" s="94" t="s">
        <v>5970</v>
      </c>
      <c r="D246" s="24" t="s">
        <v>5971</v>
      </c>
      <c r="E246" s="96" t="str">
        <f>IFERROR(__xludf.DUMMYFUNCTION("GOOGLETRANSLATE(D246,""zh-CN"",""vi"")"),"Họ đã có bài phát biểu tại cuộc họp.")</f>
        <v>Họ đã có bài phát biểu tại cuộc họp.</v>
      </c>
      <c r="F246" s="101" t="s">
        <v>5968</v>
      </c>
      <c r="G246" s="98" t="b">
        <f t="shared" si="1"/>
        <v>1</v>
      </c>
      <c r="H246" s="99" t="b">
        <v>1</v>
      </c>
      <c r="I246" s="99" t="b">
        <v>0</v>
      </c>
      <c r="J246" s="99" t="b">
        <v>0</v>
      </c>
      <c r="K246" s="99" t="b">
        <v>0</v>
      </c>
      <c r="L246" s="99" t="b">
        <v>0</v>
      </c>
      <c r="M246" s="99" t="b">
        <v>0</v>
      </c>
      <c r="N246" s="99" t="b">
        <v>0</v>
      </c>
      <c r="O246" s="99" t="b">
        <v>0</v>
      </c>
      <c r="P246" s="99" t="b">
        <v>0</v>
      </c>
      <c r="Q246" s="99" t="b">
        <v>0</v>
      </c>
      <c r="R246" s="14"/>
      <c r="S246" s="14"/>
      <c r="T246" s="14"/>
      <c r="U246" s="14"/>
      <c r="V246" s="14"/>
      <c r="W246" s="14"/>
    </row>
    <row r="247" ht="35.25" customHeight="1">
      <c r="A247" s="92" t="s">
        <v>5976</v>
      </c>
      <c r="B247" s="93" t="s">
        <v>5977</v>
      </c>
      <c r="C247" s="94" t="s">
        <v>5978</v>
      </c>
      <c r="D247" s="24" t="s">
        <v>5979</v>
      </c>
      <c r="E247" s="96" t="str">
        <f>IFERROR(__xludf.DUMMYFUNCTION("GOOGLETRANSLATE(D247,""zh-CN"",""vi"")"),"Anh ấy lo lắng về tương lai của mình.")</f>
        <v>Anh ấy lo lắng về tương lai của mình.</v>
      </c>
      <c r="F247" s="101" t="s">
        <v>5976</v>
      </c>
      <c r="G247" s="98" t="b">
        <f t="shared" si="1"/>
        <v>1</v>
      </c>
      <c r="H247" s="99" t="b">
        <v>1</v>
      </c>
      <c r="I247" s="99" t="b">
        <v>0</v>
      </c>
      <c r="J247" s="99" t="b">
        <v>0</v>
      </c>
      <c r="K247" s="99" t="b">
        <v>0</v>
      </c>
      <c r="L247" s="99" t="b">
        <v>0</v>
      </c>
      <c r="M247" s="99" t="b">
        <v>0</v>
      </c>
      <c r="N247" s="99" t="b">
        <v>0</v>
      </c>
      <c r="O247" s="99" t="b">
        <v>0</v>
      </c>
      <c r="P247" s="99" t="b">
        <v>0</v>
      </c>
      <c r="Q247" s="99" t="b">
        <v>0</v>
      </c>
      <c r="R247" s="14"/>
      <c r="S247" s="14"/>
      <c r="T247" s="14"/>
      <c r="U247" s="14"/>
      <c r="V247" s="14"/>
      <c r="W247" s="14"/>
    </row>
    <row r="248" ht="35.25" customHeight="1">
      <c r="A248" s="92" t="s">
        <v>5983</v>
      </c>
      <c r="B248" s="93" t="s">
        <v>5984</v>
      </c>
      <c r="C248" s="94" t="s">
        <v>5985</v>
      </c>
      <c r="D248" s="24" t="s">
        <v>5986</v>
      </c>
      <c r="E248" s="96" t="str">
        <f>IFERROR(__xludf.DUMMYFUNCTION("GOOGLETRANSLATE(D248,""zh-CN"",""vi"")"),"Một hệ thống chăm sóc sức khỏe phát triển tốt có thể cung cấp cho người dân các dịch vụ y tế tốt hơn.")</f>
        <v>Một hệ thống chăm sóc sức khỏe phát triển tốt có thể cung cấp cho người dân các dịch vụ y tế tốt hơn.</v>
      </c>
      <c r="F248" s="101" t="s">
        <v>5983</v>
      </c>
      <c r="G248" s="98" t="b">
        <f t="shared" si="1"/>
        <v>1</v>
      </c>
      <c r="H248" s="99" t="b">
        <v>1</v>
      </c>
      <c r="I248" s="99" t="b">
        <v>0</v>
      </c>
      <c r="J248" s="99" t="b">
        <v>0</v>
      </c>
      <c r="K248" s="99" t="b">
        <v>0</v>
      </c>
      <c r="L248" s="99" t="b">
        <v>0</v>
      </c>
      <c r="M248" s="99" t="b">
        <v>0</v>
      </c>
      <c r="N248" s="99" t="b">
        <v>0</v>
      </c>
      <c r="O248" s="99" t="b">
        <v>0</v>
      </c>
      <c r="P248" s="99" t="b">
        <v>0</v>
      </c>
      <c r="Q248" s="99" t="b">
        <v>0</v>
      </c>
      <c r="R248" s="14"/>
      <c r="S248" s="14"/>
      <c r="T248" s="14"/>
      <c r="U248" s="14"/>
      <c r="V248" s="14"/>
      <c r="W248" s="14"/>
    </row>
    <row r="249" ht="35.25" customHeight="1">
      <c r="A249" s="92" t="s">
        <v>5991</v>
      </c>
      <c r="B249" s="93" t="s">
        <v>5992</v>
      </c>
      <c r="C249" s="94" t="s">
        <v>5993</v>
      </c>
      <c r="D249" s="24" t="s">
        <v>5994</v>
      </c>
      <c r="E249" s="96" t="str">
        <f>IFERROR(__xludf.DUMMYFUNCTION("GOOGLETRANSLATE(D249,""zh-CN"",""vi"")"),"Tay cô ấy run rẩy.")</f>
        <v>Tay cô ấy run rẩy.</v>
      </c>
      <c r="F249" s="101" t="s">
        <v>5991</v>
      </c>
      <c r="G249" s="98" t="b">
        <f t="shared" si="1"/>
        <v>1</v>
      </c>
      <c r="H249" s="99" t="b">
        <v>1</v>
      </c>
      <c r="I249" s="99" t="b">
        <v>0</v>
      </c>
      <c r="J249" s="99" t="b">
        <v>0</v>
      </c>
      <c r="K249" s="99" t="b">
        <v>0</v>
      </c>
      <c r="L249" s="99" t="b">
        <v>0</v>
      </c>
      <c r="M249" s="99" t="b">
        <v>0</v>
      </c>
      <c r="N249" s="99" t="b">
        <v>0</v>
      </c>
      <c r="O249" s="99" t="b">
        <v>0</v>
      </c>
      <c r="P249" s="99" t="b">
        <v>0</v>
      </c>
      <c r="Q249" s="99" t="b">
        <v>0</v>
      </c>
      <c r="R249" s="14"/>
      <c r="S249" s="14"/>
      <c r="T249" s="14"/>
      <c r="U249" s="14"/>
      <c r="V249" s="14"/>
      <c r="W249" s="14"/>
    </row>
    <row r="250" ht="35.25" customHeight="1">
      <c r="A250" s="92" t="s">
        <v>5999</v>
      </c>
      <c r="B250" s="93" t="s">
        <v>6000</v>
      </c>
      <c r="C250" s="94" t="s">
        <v>6001</v>
      </c>
      <c r="D250" s="24" t="s">
        <v>6002</v>
      </c>
      <c r="E250" s="96" t="str">
        <f>IFERROR(__xludf.DUMMYFUNCTION("GOOGLETRANSLATE(D250,""zh-CN"",""vi"")"),"Bài phát biểu của ông ấy thật xuất sắc.")</f>
        <v>Bài phát biểu của ông ấy thật xuất sắc.</v>
      </c>
      <c r="F250" s="101" t="s">
        <v>5999</v>
      </c>
      <c r="G250" s="98" t="b">
        <f t="shared" si="1"/>
        <v>1</v>
      </c>
      <c r="H250" s="99" t="b">
        <v>1</v>
      </c>
      <c r="I250" s="99" t="b">
        <v>0</v>
      </c>
      <c r="J250" s="99" t="b">
        <v>0</v>
      </c>
      <c r="K250" s="99" t="b">
        <v>0</v>
      </c>
      <c r="L250" s="99" t="b">
        <v>0</v>
      </c>
      <c r="M250" s="99" t="b">
        <v>0</v>
      </c>
      <c r="N250" s="99" t="b">
        <v>0</v>
      </c>
      <c r="O250" s="99" t="b">
        <v>0</v>
      </c>
      <c r="P250" s="99" t="b">
        <v>0</v>
      </c>
      <c r="Q250" s="99" t="b">
        <v>0</v>
      </c>
      <c r="R250" s="14"/>
      <c r="S250" s="14"/>
      <c r="T250" s="14"/>
      <c r="U250" s="14"/>
      <c r="V250" s="14"/>
      <c r="W250" s="14"/>
    </row>
    <row r="251" ht="35.25" customHeight="1">
      <c r="A251" s="92" t="s">
        <v>6005</v>
      </c>
      <c r="B251" s="93" t="s">
        <v>6007</v>
      </c>
      <c r="C251" s="94" t="s">
        <v>6008</v>
      </c>
      <c r="D251" s="24" t="s">
        <v>6009</v>
      </c>
      <c r="E251" s="96" t="str">
        <f>IFERROR(__xludf.DUMMYFUNCTION("GOOGLETRANSLATE(D251,""zh-CN"",""vi"")"),"Phát minh này rất hữu ích.")</f>
        <v>Phát minh này rất hữu ích.</v>
      </c>
      <c r="F251" s="101" t="s">
        <v>6005</v>
      </c>
      <c r="G251" s="98" t="b">
        <f t="shared" si="1"/>
        <v>1</v>
      </c>
      <c r="H251" s="99" t="b">
        <v>1</v>
      </c>
      <c r="I251" s="99" t="b">
        <v>0</v>
      </c>
      <c r="J251" s="99" t="b">
        <v>0</v>
      </c>
      <c r="K251" s="99" t="b">
        <v>0</v>
      </c>
      <c r="L251" s="99" t="b">
        <v>0</v>
      </c>
      <c r="M251" s="99" t="b">
        <v>0</v>
      </c>
      <c r="N251" s="99" t="b">
        <v>0</v>
      </c>
      <c r="O251" s="99" t="b">
        <v>0</v>
      </c>
      <c r="P251" s="99" t="b">
        <v>0</v>
      </c>
      <c r="Q251" s="99" t="b">
        <v>0</v>
      </c>
      <c r="R251" s="14"/>
      <c r="S251" s="14"/>
      <c r="T251" s="14"/>
      <c r="U251" s="14"/>
      <c r="V251" s="14"/>
      <c r="W251" s="14"/>
    </row>
    <row r="252" ht="35.25" customHeight="1">
      <c r="A252" s="92" t="s">
        <v>6013</v>
      </c>
      <c r="B252" s="93" t="s">
        <v>6015</v>
      </c>
      <c r="C252" s="94" t="s">
        <v>6016</v>
      </c>
      <c r="D252" s="24" t="s">
        <v>6017</v>
      </c>
      <c r="E252" s="96" t="str">
        <f>IFERROR(__xludf.DUMMYFUNCTION("GOOGLETRANSLATE(D252,""zh-CN"",""vi"")"),"Vui lòng đưa cho tôi hóa đơn.")</f>
        <v>Vui lòng đưa cho tôi hóa đơn.</v>
      </c>
      <c r="F252" s="101" t="s">
        <v>6013</v>
      </c>
      <c r="G252" s="98" t="b">
        <f t="shared" si="1"/>
        <v>1</v>
      </c>
      <c r="H252" s="99" t="b">
        <v>1</v>
      </c>
      <c r="I252" s="99" t="b">
        <v>0</v>
      </c>
      <c r="J252" s="99" t="b">
        <v>0</v>
      </c>
      <c r="K252" s="99" t="b">
        <v>0</v>
      </c>
      <c r="L252" s="99" t="b">
        <v>0</v>
      </c>
      <c r="M252" s="99" t="b">
        <v>0</v>
      </c>
      <c r="N252" s="99" t="b">
        <v>0</v>
      </c>
      <c r="O252" s="99" t="b">
        <v>0</v>
      </c>
      <c r="P252" s="99" t="b">
        <v>0</v>
      </c>
      <c r="Q252" s="99" t="b">
        <v>0</v>
      </c>
      <c r="R252" s="14"/>
      <c r="S252" s="14"/>
      <c r="T252" s="14"/>
      <c r="U252" s="14"/>
      <c r="V252" s="14"/>
      <c r="W252" s="14"/>
    </row>
    <row r="253" ht="35.25" customHeight="1">
      <c r="A253" s="92" t="s">
        <v>6021</v>
      </c>
      <c r="B253" s="93" t="s">
        <v>6022</v>
      </c>
      <c r="C253" s="94" t="s">
        <v>6023</v>
      </c>
      <c r="D253" s="24" t="s">
        <v>6024</v>
      </c>
      <c r="E253" s="96" t="str">
        <f>IFERROR(__xludf.DUMMYFUNCTION("GOOGLETRANSLATE(D253,""zh-CN"",""vi"")"),"Ông đã phát biểu tại cuộc họp.")</f>
        <v>Ông đã phát biểu tại cuộc họp.</v>
      </c>
      <c r="F253" s="101" t="s">
        <v>6021</v>
      </c>
      <c r="G253" s="98" t="b">
        <f t="shared" si="1"/>
        <v>1</v>
      </c>
      <c r="H253" s="99" t="b">
        <v>1</v>
      </c>
      <c r="I253" s="99" t="b">
        <v>0</v>
      </c>
      <c r="J253" s="99" t="b">
        <v>0</v>
      </c>
      <c r="K253" s="99" t="b">
        <v>0</v>
      </c>
      <c r="L253" s="99" t="b">
        <v>0</v>
      </c>
      <c r="M253" s="99" t="b">
        <v>0</v>
      </c>
      <c r="N253" s="99" t="b">
        <v>0</v>
      </c>
      <c r="O253" s="99" t="b">
        <v>0</v>
      </c>
      <c r="P253" s="99" t="b">
        <v>0</v>
      </c>
      <c r="Q253" s="99" t="b">
        <v>0</v>
      </c>
      <c r="R253" s="14"/>
      <c r="S253" s="14"/>
      <c r="T253" s="14"/>
      <c r="U253" s="14"/>
      <c r="V253" s="14"/>
      <c r="W253" s="14"/>
    </row>
    <row r="254" ht="35.25" customHeight="1">
      <c r="A254" s="92" t="s">
        <v>6029</v>
      </c>
      <c r="B254" s="93" t="s">
        <v>6030</v>
      </c>
      <c r="C254" s="94" t="s">
        <v>6031</v>
      </c>
      <c r="D254" s="24" t="s">
        <v>6032</v>
      </c>
      <c r="E254" s="96" t="str">
        <f>IFERROR(__xludf.DUMMYFUNCTION("GOOGLETRANSLATE(D254,""zh-CN"",""vi"")"),"Anh ta bị phạt vì đến muộn.")</f>
        <v>Anh ta bị phạt vì đến muộn.</v>
      </c>
      <c r="F254" s="101" t="s">
        <v>6029</v>
      </c>
      <c r="G254" s="98" t="b">
        <f t="shared" si="1"/>
        <v>1</v>
      </c>
      <c r="H254" s="99" t="b">
        <v>1</v>
      </c>
      <c r="I254" s="99" t="b">
        <v>0</v>
      </c>
      <c r="J254" s="99" t="b">
        <v>0</v>
      </c>
      <c r="K254" s="99" t="b">
        <v>0</v>
      </c>
      <c r="L254" s="99" t="b">
        <v>0</v>
      </c>
      <c r="M254" s="99" t="b">
        <v>0</v>
      </c>
      <c r="N254" s="99" t="b">
        <v>0</v>
      </c>
      <c r="O254" s="99" t="b">
        <v>0</v>
      </c>
      <c r="P254" s="99" t="b">
        <v>0</v>
      </c>
      <c r="Q254" s="99" t="b">
        <v>0</v>
      </c>
      <c r="R254" s="14"/>
      <c r="S254" s="14"/>
      <c r="T254" s="14"/>
      <c r="U254" s="14"/>
      <c r="V254" s="14"/>
      <c r="W254" s="14"/>
    </row>
    <row r="255" ht="35.25" customHeight="1">
      <c r="A255" s="92" t="s">
        <v>6037</v>
      </c>
      <c r="B255" s="93" t="s">
        <v>6038</v>
      </c>
      <c r="C255" s="94" t="s">
        <v>6039</v>
      </c>
      <c r="D255" s="24" t="s">
        <v>6040</v>
      </c>
      <c r="E255" s="96" t="str">
        <f>IFERROR(__xludf.DUMMYFUNCTION("GOOGLETRANSLATE(D255,""zh-CN"",""vi"")"),"Vụ việc đã được đệ trình lên tòa án.")</f>
        <v>Vụ việc đã được đệ trình lên tòa án.</v>
      </c>
      <c r="F255" s="101" t="s">
        <v>6037</v>
      </c>
      <c r="G255" s="98" t="b">
        <f t="shared" si="1"/>
        <v>1</v>
      </c>
      <c r="H255" s="99" t="b">
        <v>1</v>
      </c>
      <c r="I255" s="99" t="b">
        <v>0</v>
      </c>
      <c r="J255" s="99" t="b">
        <v>0</v>
      </c>
      <c r="K255" s="99" t="b">
        <v>0</v>
      </c>
      <c r="L255" s="99" t="b">
        <v>0</v>
      </c>
      <c r="M255" s="99" t="b">
        <v>0</v>
      </c>
      <c r="N255" s="99" t="b">
        <v>0</v>
      </c>
      <c r="O255" s="99" t="b">
        <v>0</v>
      </c>
      <c r="P255" s="99" t="b">
        <v>0</v>
      </c>
      <c r="Q255" s="99" t="b">
        <v>0</v>
      </c>
      <c r="R255" s="14"/>
      <c r="S255" s="14"/>
      <c r="T255" s="14"/>
      <c r="U255" s="14"/>
      <c r="V255" s="14"/>
      <c r="W255" s="14"/>
    </row>
    <row r="256" ht="35.25" customHeight="1">
      <c r="A256" s="92" t="s">
        <v>6045</v>
      </c>
      <c r="B256" s="93" t="s">
        <v>6046</v>
      </c>
      <c r="C256" s="94" t="s">
        <v>6047</v>
      </c>
      <c r="D256" s="24" t="s">
        <v>6048</v>
      </c>
      <c r="E256" s="96" t="str">
        <f>IFERROR(__xludf.DUMMYFUNCTION("GOOGLETRANSLATE(D256,""zh-CN"",""vi"")"),"Hãy lật những tờ giấy này lại.")</f>
        <v>Hãy lật những tờ giấy này lại.</v>
      </c>
      <c r="F256" s="101" t="s">
        <v>6045</v>
      </c>
      <c r="G256" s="98" t="b">
        <f t="shared" si="1"/>
        <v>1</v>
      </c>
      <c r="H256" s="99" t="b">
        <v>1</v>
      </c>
      <c r="I256" s="99" t="b">
        <v>0</v>
      </c>
      <c r="J256" s="99" t="b">
        <v>0</v>
      </c>
      <c r="K256" s="99" t="b">
        <v>0</v>
      </c>
      <c r="L256" s="99" t="b">
        <v>0</v>
      </c>
      <c r="M256" s="99" t="b">
        <v>0</v>
      </c>
      <c r="N256" s="99" t="b">
        <v>0</v>
      </c>
      <c r="O256" s="99" t="b">
        <v>0</v>
      </c>
      <c r="P256" s="99" t="b">
        <v>0</v>
      </c>
      <c r="Q256" s="99" t="b">
        <v>0</v>
      </c>
      <c r="R256" s="14"/>
      <c r="S256" s="14"/>
      <c r="T256" s="14"/>
      <c r="U256" s="14"/>
      <c r="V256" s="14"/>
      <c r="W256" s="14"/>
    </row>
    <row r="257" ht="35.25" customHeight="1">
      <c r="A257" s="92" t="s">
        <v>6053</v>
      </c>
      <c r="B257" s="93" t="s">
        <v>6054</v>
      </c>
      <c r="C257" s="94" t="s">
        <v>6055</v>
      </c>
      <c r="D257" s="24" t="s">
        <v>6056</v>
      </c>
      <c r="E257" s="96" t="str">
        <f>IFERROR(__xludf.DUMMYFUNCTION("GOOGLETRANSLATE(D257,""zh-CN"",""vi"")"),"Thành phố này có nền kinh tế phát triển mạnh.")</f>
        <v>Thành phố này có nền kinh tế phát triển mạnh.</v>
      </c>
      <c r="F257" s="101" t="s">
        <v>6053</v>
      </c>
      <c r="G257" s="98" t="b">
        <f t="shared" si="1"/>
        <v>1</v>
      </c>
      <c r="H257" s="99" t="b">
        <v>1</v>
      </c>
      <c r="I257" s="99" t="b">
        <v>0</v>
      </c>
      <c r="J257" s="99" t="b">
        <v>0</v>
      </c>
      <c r="K257" s="99" t="b">
        <v>0</v>
      </c>
      <c r="L257" s="99" t="b">
        <v>0</v>
      </c>
      <c r="M257" s="99" t="b">
        <v>0</v>
      </c>
      <c r="N257" s="99" t="b">
        <v>0</v>
      </c>
      <c r="O257" s="99" t="b">
        <v>0</v>
      </c>
      <c r="P257" s="99" t="b">
        <v>0</v>
      </c>
      <c r="Q257" s="99" t="b">
        <v>0</v>
      </c>
      <c r="R257" s="14"/>
      <c r="S257" s="14"/>
      <c r="T257" s="14"/>
      <c r="U257" s="14"/>
      <c r="V257" s="14"/>
      <c r="W257" s="14"/>
    </row>
    <row r="258" ht="35.25" customHeight="1">
      <c r="A258" s="92" t="s">
        <v>6061</v>
      </c>
      <c r="B258" s="93" t="s">
        <v>6062</v>
      </c>
      <c r="C258" s="94" t="s">
        <v>4125</v>
      </c>
      <c r="D258" s="24" t="s">
        <v>6065</v>
      </c>
      <c r="E258" s="96" t="str">
        <f>IFERROR(__xludf.DUMMYFUNCTION("GOOGLETRANSLATE(D258,""zh-CN"",""vi"")"),"Thực ra anh ấy thích ở nhà hơn.")</f>
        <v>Thực ra anh ấy thích ở nhà hơn.</v>
      </c>
      <c r="F258" s="101" t="s">
        <v>6061</v>
      </c>
      <c r="G258" s="98" t="b">
        <f t="shared" si="1"/>
        <v>1</v>
      </c>
      <c r="H258" s="99" t="b">
        <v>1</v>
      </c>
      <c r="I258" s="99" t="b">
        <v>0</v>
      </c>
      <c r="J258" s="99" t="b">
        <v>0</v>
      </c>
      <c r="K258" s="99" t="b">
        <v>0</v>
      </c>
      <c r="L258" s="99" t="b">
        <v>0</v>
      </c>
      <c r="M258" s="99" t="b">
        <v>0</v>
      </c>
      <c r="N258" s="99" t="b">
        <v>0</v>
      </c>
      <c r="O258" s="99" t="b">
        <v>0</v>
      </c>
      <c r="P258" s="99" t="b">
        <v>0</v>
      </c>
      <c r="Q258" s="99" t="b">
        <v>0</v>
      </c>
      <c r="R258" s="14"/>
      <c r="S258" s="14"/>
      <c r="T258" s="14"/>
      <c r="U258" s="14"/>
      <c r="V258" s="14"/>
      <c r="W258" s="14"/>
    </row>
    <row r="259" ht="35.25" customHeight="1">
      <c r="A259" s="92" t="s">
        <v>6068</v>
      </c>
      <c r="B259" s="93" t="s">
        <v>6070</v>
      </c>
      <c r="C259" s="94" t="s">
        <v>6072</v>
      </c>
      <c r="D259" s="24" t="s">
        <v>6073</v>
      </c>
      <c r="E259" s="96" t="str">
        <f>IFERROR(__xludf.DUMMYFUNCTION("GOOGLETRANSLATE(D259,""zh-CN"",""vi"")"),"Câu này cần được đọc đi đọc lại nhiều lần.")</f>
        <v>Câu này cần được đọc đi đọc lại nhiều lần.</v>
      </c>
      <c r="F259" s="101" t="s">
        <v>6068</v>
      </c>
      <c r="G259" s="98" t="b">
        <f t="shared" si="1"/>
        <v>1</v>
      </c>
      <c r="H259" s="99" t="b">
        <v>1</v>
      </c>
      <c r="I259" s="99" t="b">
        <v>0</v>
      </c>
      <c r="J259" s="99" t="b">
        <v>0</v>
      </c>
      <c r="K259" s="99" t="b">
        <v>0</v>
      </c>
      <c r="L259" s="99" t="b">
        <v>0</v>
      </c>
      <c r="M259" s="99" t="b">
        <v>0</v>
      </c>
      <c r="N259" s="99" t="b">
        <v>0</v>
      </c>
      <c r="O259" s="99" t="b">
        <v>0</v>
      </c>
      <c r="P259" s="99" t="b">
        <v>0</v>
      </c>
      <c r="Q259" s="99" t="b">
        <v>0</v>
      </c>
      <c r="R259" s="14"/>
      <c r="S259" s="14"/>
      <c r="T259" s="14"/>
      <c r="U259" s="14"/>
      <c r="V259" s="14"/>
      <c r="W259" s="14"/>
    </row>
    <row r="260" ht="35.25" customHeight="1">
      <c r="A260" s="92" t="s">
        <v>6076</v>
      </c>
      <c r="B260" s="93" t="s">
        <v>6078</v>
      </c>
      <c r="C260" s="94" t="s">
        <v>6080</v>
      </c>
      <c r="D260" s="24" t="s">
        <v>6082</v>
      </c>
      <c r="E260" s="96" t="str">
        <f>IFERROR(__xludf.DUMMYFUNCTION("GOOGLETRANSLATE(D260,""zh-CN"",""vi"")"),"Anh ấy đã phản ứng nhanh chóng.")</f>
        <v>Anh ấy đã phản ứng nhanh chóng.</v>
      </c>
      <c r="F260" s="101" t="s">
        <v>6076</v>
      </c>
      <c r="G260" s="98" t="b">
        <f t="shared" si="1"/>
        <v>1</v>
      </c>
      <c r="H260" s="99" t="b">
        <v>1</v>
      </c>
      <c r="I260" s="99" t="b">
        <v>0</v>
      </c>
      <c r="J260" s="99" t="b">
        <v>0</v>
      </c>
      <c r="K260" s="99" t="b">
        <v>0</v>
      </c>
      <c r="L260" s="99" t="b">
        <v>0</v>
      </c>
      <c r="M260" s="99" t="b">
        <v>0</v>
      </c>
      <c r="N260" s="99" t="b">
        <v>0</v>
      </c>
      <c r="O260" s="99" t="b">
        <v>0</v>
      </c>
      <c r="P260" s="99" t="b">
        <v>0</v>
      </c>
      <c r="Q260" s="99" t="b">
        <v>0</v>
      </c>
      <c r="R260" s="14"/>
      <c r="S260" s="14"/>
      <c r="T260" s="14"/>
      <c r="U260" s="14"/>
      <c r="V260" s="14"/>
      <c r="W260" s="14"/>
    </row>
    <row r="261" ht="35.25" customHeight="1">
      <c r="A261" s="92" t="s">
        <v>6084</v>
      </c>
      <c r="B261" s="93" t="s">
        <v>6078</v>
      </c>
      <c r="C261" s="94" t="s">
        <v>6087</v>
      </c>
      <c r="D261" s="24" t="s">
        <v>6089</v>
      </c>
      <c r="E261" s="96" t="str">
        <f>IFERROR(__xludf.DUMMYFUNCTION("GOOGLETRANSLATE(D261,""zh-CN"",""vi"")"),"Giấc mơ có thể phản ánh hiện thực.")</f>
        <v>Giấc mơ có thể phản ánh hiện thực.</v>
      </c>
      <c r="F261" s="101" t="s">
        <v>6084</v>
      </c>
      <c r="G261" s="98" t="b">
        <f t="shared" si="1"/>
        <v>1</v>
      </c>
      <c r="H261" s="99" t="b">
        <v>1</v>
      </c>
      <c r="I261" s="99" t="b">
        <v>0</v>
      </c>
      <c r="J261" s="99" t="b">
        <v>0</v>
      </c>
      <c r="K261" s="99" t="b">
        <v>0</v>
      </c>
      <c r="L261" s="99" t="b">
        <v>0</v>
      </c>
      <c r="M261" s="99" t="b">
        <v>0</v>
      </c>
      <c r="N261" s="99" t="b">
        <v>0</v>
      </c>
      <c r="O261" s="99" t="b">
        <v>0</v>
      </c>
      <c r="P261" s="99" t="b">
        <v>0</v>
      </c>
      <c r="Q261" s="99" t="b">
        <v>0</v>
      </c>
      <c r="R261" s="14"/>
      <c r="S261" s="14"/>
      <c r="T261" s="14"/>
      <c r="U261" s="14"/>
      <c r="V261" s="14"/>
      <c r="W261" s="14"/>
    </row>
    <row r="262" ht="35.25" customHeight="1">
      <c r="A262" s="92" t="s">
        <v>6094</v>
      </c>
      <c r="B262" s="93" t="s">
        <v>6095</v>
      </c>
      <c r="C262" s="94" t="s">
        <v>6096</v>
      </c>
      <c r="D262" s="24" t="s">
        <v>6097</v>
      </c>
      <c r="E262" s="96" t="str">
        <f>IFERROR(__xludf.DUMMYFUNCTION("GOOGLETRANSLATE(D262,""zh-CN"",""vi"")"),"Dù sao thì chúng ta cần hoàn thành nhiệm vụ đúng thời hạn.")</f>
        <v>Dù sao thì chúng ta cần hoàn thành nhiệm vụ đúng thời hạn.</v>
      </c>
      <c r="F262" s="101" t="s">
        <v>6094</v>
      </c>
      <c r="G262" s="98" t="b">
        <f t="shared" si="1"/>
        <v>1</v>
      </c>
      <c r="H262" s="99" t="b">
        <v>1</v>
      </c>
      <c r="I262" s="99" t="b">
        <v>0</v>
      </c>
      <c r="J262" s="99" t="b">
        <v>0</v>
      </c>
      <c r="K262" s="99" t="b">
        <v>0</v>
      </c>
      <c r="L262" s="99" t="b">
        <v>0</v>
      </c>
      <c r="M262" s="99" t="b">
        <v>0</v>
      </c>
      <c r="N262" s="99" t="b">
        <v>0</v>
      </c>
      <c r="O262" s="99" t="b">
        <v>0</v>
      </c>
      <c r="P262" s="99" t="b">
        <v>0</v>
      </c>
      <c r="Q262" s="99" t="b">
        <v>0</v>
      </c>
      <c r="R262" s="14"/>
      <c r="S262" s="14"/>
      <c r="T262" s="14"/>
      <c r="U262" s="14"/>
      <c r="V262" s="14"/>
      <c r="W262" s="14"/>
    </row>
    <row r="263" ht="35.25" customHeight="1">
      <c r="A263" s="92" t="s">
        <v>6102</v>
      </c>
      <c r="B263" s="93" t="s">
        <v>6103</v>
      </c>
      <c r="C263" s="94" t="s">
        <v>6104</v>
      </c>
      <c r="D263" s="24" t="s">
        <v>6105</v>
      </c>
      <c r="E263" s="96" t="str">
        <f>IFERROR(__xludf.DUMMYFUNCTION("GOOGLETRANSLATE(D263,""zh-CN"",""vi"")"),"Đây là một vấn đề rất rộng lớn.")</f>
        <v>Đây là một vấn đề rất rộng lớn.</v>
      </c>
      <c r="F263" s="101" t="s">
        <v>6102</v>
      </c>
      <c r="G263" s="98" t="b">
        <f t="shared" si="1"/>
        <v>1</v>
      </c>
      <c r="H263" s="99" t="b">
        <v>1</v>
      </c>
      <c r="I263" s="99" t="b">
        <v>0</v>
      </c>
      <c r="J263" s="99" t="b">
        <v>0</v>
      </c>
      <c r="K263" s="99" t="b">
        <v>0</v>
      </c>
      <c r="L263" s="99" t="b">
        <v>0</v>
      </c>
      <c r="M263" s="99" t="b">
        <v>0</v>
      </c>
      <c r="N263" s="99" t="b">
        <v>0</v>
      </c>
      <c r="O263" s="99" t="b">
        <v>0</v>
      </c>
      <c r="P263" s="99" t="b">
        <v>0</v>
      </c>
      <c r="Q263" s="99" t="b">
        <v>0</v>
      </c>
      <c r="R263" s="14"/>
      <c r="S263" s="14"/>
      <c r="T263" s="14"/>
      <c r="U263" s="14"/>
      <c r="V263" s="14"/>
      <c r="W263" s="14"/>
    </row>
    <row r="264" ht="35.25" customHeight="1">
      <c r="A264" s="92" t="s">
        <v>6110</v>
      </c>
      <c r="B264" s="93" t="s">
        <v>6111</v>
      </c>
      <c r="C264" s="94" t="s">
        <v>6112</v>
      </c>
      <c r="D264" s="24" t="s">
        <v>6113</v>
      </c>
      <c r="E264" s="96" t="str">
        <f>IFERROR(__xludf.DUMMYFUNCTION("GOOGLETRANSLATE(D264,""zh-CN"",""vi"")"),"Những ô cửa sổ kính hình vuông rất đẹp.")</f>
        <v>Những ô cửa sổ kính hình vuông rất đẹp.</v>
      </c>
      <c r="F264" s="101" t="s">
        <v>6110</v>
      </c>
      <c r="G264" s="98" t="b">
        <f t="shared" si="1"/>
        <v>1</v>
      </c>
      <c r="H264" s="99" t="b">
        <v>1</v>
      </c>
      <c r="I264" s="99" t="b">
        <v>0</v>
      </c>
      <c r="J264" s="99" t="b">
        <v>0</v>
      </c>
      <c r="K264" s="99" t="b">
        <v>0</v>
      </c>
      <c r="L264" s="99" t="b">
        <v>0</v>
      </c>
      <c r="M264" s="99" t="b">
        <v>0</v>
      </c>
      <c r="N264" s="99" t="b">
        <v>0</v>
      </c>
      <c r="O264" s="99" t="b">
        <v>0</v>
      </c>
      <c r="P264" s="99" t="b">
        <v>0</v>
      </c>
      <c r="Q264" s="99" t="b">
        <v>0</v>
      </c>
      <c r="R264" s="14"/>
      <c r="S264" s="14"/>
      <c r="T264" s="14"/>
      <c r="U264" s="14"/>
      <c r="V264" s="14"/>
      <c r="W264" s="14"/>
    </row>
    <row r="265" ht="35.25" customHeight="1">
      <c r="A265" s="92" t="s">
        <v>6118</v>
      </c>
      <c r="B265" s="93" t="s">
        <v>6119</v>
      </c>
      <c r="C265" s="94" t="s">
        <v>6120</v>
      </c>
      <c r="D265" s="24" t="s">
        <v>6121</v>
      </c>
      <c r="E265" s="96" t="str">
        <f>IFERROR(__xludf.DUMMYFUNCTION("GOOGLETRANSLATE(D265,""zh-CN"",""vi"")"),"Chúng ta cần một kế hoạch chi tiết.")</f>
        <v>Chúng ta cần một kế hoạch chi tiết.</v>
      </c>
      <c r="F265" s="101" t="s">
        <v>6118</v>
      </c>
      <c r="G265" s="98" t="b">
        <f t="shared" si="1"/>
        <v>1</v>
      </c>
      <c r="H265" s="99" t="b">
        <v>1</v>
      </c>
      <c r="I265" s="99" t="b">
        <v>0</v>
      </c>
      <c r="J265" s="99" t="b">
        <v>0</v>
      </c>
      <c r="K265" s="99" t="b">
        <v>0</v>
      </c>
      <c r="L265" s="99" t="b">
        <v>0</v>
      </c>
      <c r="M265" s="99" t="b">
        <v>0</v>
      </c>
      <c r="N265" s="99" t="b">
        <v>0</v>
      </c>
      <c r="O265" s="99" t="b">
        <v>0</v>
      </c>
      <c r="P265" s="99" t="b">
        <v>0</v>
      </c>
      <c r="Q265" s="99" t="b">
        <v>0</v>
      </c>
      <c r="R265" s="14"/>
      <c r="S265" s="14"/>
      <c r="T265" s="14"/>
      <c r="U265" s="14"/>
      <c r="V265" s="14"/>
      <c r="W265" s="14"/>
    </row>
    <row r="266" ht="35.25" customHeight="1">
      <c r="A266" s="92" t="s">
        <v>6126</v>
      </c>
      <c r="B266" s="93" t="s">
        <v>6128</v>
      </c>
      <c r="C266" s="94" t="s">
        <v>6130</v>
      </c>
      <c r="D266" s="24" t="s">
        <v>6132</v>
      </c>
      <c r="E266" s="96" t="str">
        <f>IFERROR(__xludf.DUMMYFUNCTION("GOOGLETRANSLATE(D266,""zh-CN"",""vi"")"),"Phương pháp này hiệu quả hơn.")</f>
        <v>Phương pháp này hiệu quả hơn.</v>
      </c>
      <c r="F266" s="101" t="s">
        <v>6126</v>
      </c>
      <c r="G266" s="98" t="b">
        <f t="shared" si="1"/>
        <v>1</v>
      </c>
      <c r="H266" s="99" t="b">
        <v>1</v>
      </c>
      <c r="I266" s="99" t="b">
        <v>0</v>
      </c>
      <c r="J266" s="99" t="b">
        <v>0</v>
      </c>
      <c r="K266" s="99" t="b">
        <v>0</v>
      </c>
      <c r="L266" s="99" t="b">
        <v>0</v>
      </c>
      <c r="M266" s="99" t="b">
        <v>0</v>
      </c>
      <c r="N266" s="99" t="b">
        <v>0</v>
      </c>
      <c r="O266" s="99" t="b">
        <v>0</v>
      </c>
      <c r="P266" s="99" t="b">
        <v>0</v>
      </c>
      <c r="Q266" s="99" t="b">
        <v>0</v>
      </c>
      <c r="R266" s="14"/>
      <c r="S266" s="14"/>
      <c r="T266" s="14"/>
      <c r="U266" s="14"/>
      <c r="V266" s="14"/>
      <c r="W266" s="14"/>
    </row>
    <row r="267" ht="35.25" customHeight="1">
      <c r="A267" s="92" t="s">
        <v>6138</v>
      </c>
      <c r="B267" s="93" t="s">
        <v>6139</v>
      </c>
      <c r="C267" s="94" t="s">
        <v>6140</v>
      </c>
      <c r="D267" s="24" t="s">
        <v>6141</v>
      </c>
      <c r="E267" s="96" t="str">
        <f>IFERROR(__xludf.DUMMYFUNCTION("GOOGLETRANSLATE(D267,""zh-CN"",""vi"")"),"Hành vi của anh ta đã cản trở công việc.")</f>
        <v>Hành vi của anh ta đã cản trở công việc.</v>
      </c>
      <c r="F267" s="101" t="s">
        <v>6138</v>
      </c>
      <c r="G267" s="98" t="b">
        <f t="shared" si="1"/>
        <v>1</v>
      </c>
      <c r="H267" s="99" t="b">
        <v>1</v>
      </c>
      <c r="I267" s="99" t="b">
        <v>0</v>
      </c>
      <c r="J267" s="99" t="b">
        <v>0</v>
      </c>
      <c r="K267" s="99" t="b">
        <v>0</v>
      </c>
      <c r="L267" s="99" t="b">
        <v>0</v>
      </c>
      <c r="M267" s="99" t="b">
        <v>0</v>
      </c>
      <c r="N267" s="99" t="b">
        <v>0</v>
      </c>
      <c r="O267" s="99" t="b">
        <v>0</v>
      </c>
      <c r="P267" s="99" t="b">
        <v>0</v>
      </c>
      <c r="Q267" s="99" t="b">
        <v>0</v>
      </c>
      <c r="R267" s="14"/>
      <c r="S267" s="14"/>
      <c r="T267" s="14"/>
      <c r="U267" s="14"/>
      <c r="V267" s="14"/>
      <c r="W267" s="14"/>
    </row>
    <row r="268" ht="35.25" customHeight="1">
      <c r="A268" s="92" t="s">
        <v>6145</v>
      </c>
      <c r="B268" s="93" t="s">
        <v>6147</v>
      </c>
      <c r="C268" s="94" t="s">
        <v>2068</v>
      </c>
      <c r="D268" s="24" t="s">
        <v>6148</v>
      </c>
      <c r="E268" s="96" t="str">
        <f>IFERROR(__xludf.DUMMYFUNCTION("GOOGLETRANSLATE(D268,""zh-CN"",""vi"")"),"Giọng hát của cô ấy như tiếng hát của các thiên thần.")</f>
        <v>Giọng hát của cô ấy như tiếng hát của các thiên thần.</v>
      </c>
      <c r="F268" s="101" t="s">
        <v>6145</v>
      </c>
      <c r="G268" s="98" t="b">
        <f t="shared" si="1"/>
        <v>1</v>
      </c>
      <c r="H268" s="99" t="b">
        <v>1</v>
      </c>
      <c r="I268" s="99" t="b">
        <v>0</v>
      </c>
      <c r="J268" s="99" t="b">
        <v>0</v>
      </c>
      <c r="K268" s="99" t="b">
        <v>0</v>
      </c>
      <c r="L268" s="99" t="b">
        <v>0</v>
      </c>
      <c r="M268" s="99" t="b">
        <v>0</v>
      </c>
      <c r="N268" s="99" t="b">
        <v>0</v>
      </c>
      <c r="O268" s="99" t="b">
        <v>0</v>
      </c>
      <c r="P268" s="99" t="b">
        <v>0</v>
      </c>
      <c r="Q268" s="99" t="b">
        <v>0</v>
      </c>
      <c r="R268" s="14"/>
      <c r="S268" s="14"/>
      <c r="T268" s="14"/>
      <c r="U268" s="14"/>
      <c r="V268" s="14"/>
      <c r="W268" s="14"/>
    </row>
    <row r="269" ht="35.25" customHeight="1">
      <c r="A269" s="92" t="s">
        <v>6161</v>
      </c>
      <c r="B269" s="93" t="s">
        <v>6162</v>
      </c>
      <c r="C269" s="94" t="s">
        <v>6163</v>
      </c>
      <c r="D269" s="24" t="s">
        <v>6164</v>
      </c>
      <c r="E269" s="96" t="str">
        <f>IFERROR(__xludf.DUMMYFUNCTION("GOOGLETRANSLATE(D269,""zh-CN"",""vi"")"),"Tôi nhất định phải đến nơi đó.")</f>
        <v>Tôi nhất định phải đến nơi đó.</v>
      </c>
      <c r="F269" s="101" t="s">
        <v>6161</v>
      </c>
      <c r="G269" s="98" t="b">
        <f t="shared" si="1"/>
        <v>1</v>
      </c>
      <c r="H269" s="99" t="b">
        <v>1</v>
      </c>
      <c r="I269" s="99" t="b">
        <v>0</v>
      </c>
      <c r="J269" s="99" t="b">
        <v>0</v>
      </c>
      <c r="K269" s="99" t="b">
        <v>0</v>
      </c>
      <c r="L269" s="99" t="b">
        <v>0</v>
      </c>
      <c r="M269" s="99" t="b">
        <v>0</v>
      </c>
      <c r="N269" s="99" t="b">
        <v>0</v>
      </c>
      <c r="O269" s="99" t="b">
        <v>0</v>
      </c>
      <c r="P269" s="99" t="b">
        <v>0</v>
      </c>
      <c r="Q269" s="99" t="b">
        <v>0</v>
      </c>
      <c r="R269" s="14"/>
      <c r="S269" s="14"/>
      <c r="T269" s="14"/>
      <c r="U269" s="14"/>
      <c r="V269" s="14"/>
      <c r="W269" s="14"/>
    </row>
    <row r="270" ht="35.25" customHeight="1">
      <c r="A270" s="92" t="s">
        <v>6169</v>
      </c>
      <c r="B270" s="93" t="s">
        <v>6170</v>
      </c>
      <c r="C270" s="94" t="s">
        <v>6171</v>
      </c>
      <c r="D270" s="24" t="s">
        <v>6172</v>
      </c>
      <c r="E270" s="96" t="str">
        <f>IFERROR(__xludf.DUMMYFUNCTION("GOOGLETRANSLATE(D270,""zh-CN"",""vi"")"),"Chúng ta rửa tay bằng xà phòng.")</f>
        <v>Chúng ta rửa tay bằng xà phòng.</v>
      </c>
      <c r="F270" s="101" t="s">
        <v>6169</v>
      </c>
      <c r="G270" s="98" t="b">
        <f t="shared" si="1"/>
        <v>1</v>
      </c>
      <c r="H270" s="99" t="b">
        <v>1</v>
      </c>
      <c r="I270" s="99" t="b">
        <v>0</v>
      </c>
      <c r="J270" s="99" t="b">
        <v>0</v>
      </c>
      <c r="K270" s="99" t="b">
        <v>0</v>
      </c>
      <c r="L270" s="99" t="b">
        <v>0</v>
      </c>
      <c r="M270" s="99" t="b">
        <v>0</v>
      </c>
      <c r="N270" s="99" t="b">
        <v>0</v>
      </c>
      <c r="O270" s="99" t="b">
        <v>0</v>
      </c>
      <c r="P270" s="99" t="b">
        <v>0</v>
      </c>
      <c r="Q270" s="99" t="b">
        <v>0</v>
      </c>
      <c r="R270" s="14"/>
      <c r="S270" s="14"/>
      <c r="T270" s="14"/>
      <c r="U270" s="14"/>
      <c r="V270" s="14"/>
      <c r="W270" s="14"/>
    </row>
    <row r="271" ht="35.25" customHeight="1">
      <c r="A271" s="92" t="s">
        <v>6177</v>
      </c>
      <c r="B271" s="93" t="s">
        <v>6178</v>
      </c>
      <c r="C271" s="102" t="s">
        <v>6179</v>
      </c>
      <c r="D271" s="24" t="s">
        <v>6180</v>
      </c>
      <c r="E271" s="96" t="str">
        <f>IFERROR(__xludf.DUMMYFUNCTION("GOOGLETRANSLATE(D271,""zh-CN"",""vi"")"),"Đừng nói những điều vô nghĩa.")</f>
        <v>Đừng nói những điều vô nghĩa.</v>
      </c>
      <c r="F271" s="101" t="s">
        <v>6177</v>
      </c>
      <c r="G271" s="98" t="b">
        <f t="shared" si="1"/>
        <v>1</v>
      </c>
      <c r="H271" s="99" t="b">
        <v>1</v>
      </c>
      <c r="I271" s="99" t="b">
        <v>0</v>
      </c>
      <c r="J271" s="99" t="b">
        <v>0</v>
      </c>
      <c r="K271" s="99" t="b">
        <v>0</v>
      </c>
      <c r="L271" s="99" t="b">
        <v>0</v>
      </c>
      <c r="M271" s="99" t="b">
        <v>0</v>
      </c>
      <c r="N271" s="99" t="b">
        <v>0</v>
      </c>
      <c r="O271" s="99" t="b">
        <v>0</v>
      </c>
      <c r="P271" s="99" t="b">
        <v>0</v>
      </c>
      <c r="Q271" s="99" t="b">
        <v>0</v>
      </c>
      <c r="R271" s="14"/>
      <c r="S271" s="14"/>
      <c r="T271" s="14"/>
      <c r="U271" s="14"/>
      <c r="V271" s="14"/>
      <c r="W271" s="14"/>
    </row>
    <row r="272" ht="35.25" customHeight="1">
      <c r="A272" s="92" t="s">
        <v>6181</v>
      </c>
      <c r="B272" s="93" t="s">
        <v>6182</v>
      </c>
      <c r="C272" s="94" t="s">
        <v>6183</v>
      </c>
      <c r="D272" s="24" t="s">
        <v>6184</v>
      </c>
      <c r="E272" s="96" t="str">
        <f>IFERROR(__xludf.DUMMYFUNCTION("GOOGLETRANSLATE(D272,""zh-CN"",""vi"")"),"Chia tay luôn là điều buồn bã.")</f>
        <v>Chia tay luôn là điều buồn bã.</v>
      </c>
      <c r="F272" s="101" t="s">
        <v>6181</v>
      </c>
      <c r="G272" s="98" t="b">
        <f t="shared" si="1"/>
        <v>1</v>
      </c>
      <c r="H272" s="99" t="b">
        <v>1</v>
      </c>
      <c r="I272" s="99" t="b">
        <v>0</v>
      </c>
      <c r="J272" s="99" t="b">
        <v>0</v>
      </c>
      <c r="K272" s="99" t="b">
        <v>0</v>
      </c>
      <c r="L272" s="99" t="b">
        <v>0</v>
      </c>
      <c r="M272" s="99" t="b">
        <v>0</v>
      </c>
      <c r="N272" s="99" t="b">
        <v>0</v>
      </c>
      <c r="O272" s="99" t="b">
        <v>0</v>
      </c>
      <c r="P272" s="99" t="b">
        <v>0</v>
      </c>
      <c r="Q272" s="99" t="b">
        <v>0</v>
      </c>
      <c r="R272" s="14"/>
      <c r="S272" s="14"/>
      <c r="T272" s="14"/>
      <c r="U272" s="14"/>
      <c r="V272" s="14"/>
      <c r="W272" s="14"/>
    </row>
    <row r="273" ht="35.25" customHeight="1">
      <c r="A273" s="92" t="s">
        <v>6187</v>
      </c>
      <c r="B273" s="93" t="s">
        <v>6189</v>
      </c>
      <c r="C273" s="94" t="s">
        <v>6191</v>
      </c>
      <c r="D273" s="24" t="s">
        <v>6192</v>
      </c>
      <c r="E273" s="96" t="str">
        <f>IFERROR(__xludf.DUMMYFUNCTION("GOOGLETRANSLATE(D273,""zh-CN"",""vi"")"),"Các loài thực vật này phân bố rộng rãi trong khu vực này.")</f>
        <v>Các loài thực vật này phân bố rộng rãi trong khu vực này.</v>
      </c>
      <c r="F273" s="101" t="s">
        <v>6187</v>
      </c>
      <c r="G273" s="98" t="b">
        <f t="shared" si="1"/>
        <v>1</v>
      </c>
      <c r="H273" s="99" t="b">
        <v>1</v>
      </c>
      <c r="I273" s="99" t="b">
        <v>0</v>
      </c>
      <c r="J273" s="99" t="b">
        <v>0</v>
      </c>
      <c r="K273" s="99" t="b">
        <v>0</v>
      </c>
      <c r="L273" s="99" t="b">
        <v>0</v>
      </c>
      <c r="M273" s="99" t="b">
        <v>0</v>
      </c>
      <c r="N273" s="99" t="b">
        <v>0</v>
      </c>
      <c r="O273" s="99" t="b">
        <v>0</v>
      </c>
      <c r="P273" s="99" t="b">
        <v>0</v>
      </c>
      <c r="Q273" s="99" t="b">
        <v>0</v>
      </c>
      <c r="R273" s="14"/>
      <c r="S273" s="14"/>
      <c r="T273" s="14"/>
      <c r="U273" s="14"/>
      <c r="V273" s="14"/>
      <c r="W273" s="14"/>
    </row>
    <row r="274" ht="35.25" customHeight="1">
      <c r="A274" s="92" t="s">
        <v>6197</v>
      </c>
      <c r="B274" s="93" t="s">
        <v>6198</v>
      </c>
      <c r="C274" s="94" t="s">
        <v>6199</v>
      </c>
      <c r="D274" s="24" t="s">
        <v>6200</v>
      </c>
      <c r="E274" s="96" t="str">
        <f>IFERROR(__xludf.DUMMYFUNCTION("GOOGLETRANSLATE(D274,""zh-CN"",""vi"")"),"Chúng ta cần phân bổ nguồn lực một cách hợp lý.")</f>
        <v>Chúng ta cần phân bổ nguồn lực một cách hợp lý.</v>
      </c>
      <c r="F274" s="101" t="s">
        <v>6197</v>
      </c>
      <c r="G274" s="98" t="b">
        <f t="shared" si="1"/>
        <v>1</v>
      </c>
      <c r="H274" s="99" t="b">
        <v>1</v>
      </c>
      <c r="I274" s="99" t="b">
        <v>0</v>
      </c>
      <c r="J274" s="99" t="b">
        <v>0</v>
      </c>
      <c r="K274" s="99" t="b">
        <v>0</v>
      </c>
      <c r="L274" s="99" t="b">
        <v>0</v>
      </c>
      <c r="M274" s="99" t="b">
        <v>0</v>
      </c>
      <c r="N274" s="99" t="b">
        <v>0</v>
      </c>
      <c r="O274" s="99" t="b">
        <v>0</v>
      </c>
      <c r="P274" s="99" t="b">
        <v>0</v>
      </c>
      <c r="Q274" s="99" t="b">
        <v>0</v>
      </c>
      <c r="R274" s="14"/>
      <c r="S274" s="14"/>
      <c r="T274" s="14"/>
      <c r="U274" s="14"/>
      <c r="V274" s="14"/>
      <c r="W274" s="14"/>
    </row>
    <row r="275" ht="35.25" customHeight="1">
      <c r="A275" s="92" t="s">
        <v>6205</v>
      </c>
      <c r="B275" s="93" t="s">
        <v>6207</v>
      </c>
      <c r="C275" s="94" t="s">
        <v>6209</v>
      </c>
      <c r="D275" s="24" t="s">
        <v>6211</v>
      </c>
      <c r="E275" s="96" t="str">
        <f>IFERROR(__xludf.DUMMYFUNCTION("GOOGLETRANSLATE(D275,""zh-CN"",""vi"")"),"Họ quyết định chia tay.")</f>
        <v>Họ quyết định chia tay.</v>
      </c>
      <c r="F275" s="101" t="s">
        <v>6205</v>
      </c>
      <c r="G275" s="98" t="b">
        <f t="shared" si="1"/>
        <v>1</v>
      </c>
      <c r="H275" s="99" t="b">
        <v>1</v>
      </c>
      <c r="I275" s="99" t="b">
        <v>0</v>
      </c>
      <c r="J275" s="99" t="b">
        <v>0</v>
      </c>
      <c r="K275" s="99" t="b">
        <v>0</v>
      </c>
      <c r="L275" s="99" t="b">
        <v>0</v>
      </c>
      <c r="M275" s="99" t="b">
        <v>0</v>
      </c>
      <c r="N275" s="99" t="b">
        <v>0</v>
      </c>
      <c r="O275" s="99" t="b">
        <v>0</v>
      </c>
      <c r="P275" s="99" t="b">
        <v>0</v>
      </c>
      <c r="Q275" s="99" t="b">
        <v>0</v>
      </c>
      <c r="R275" s="14"/>
      <c r="S275" s="14"/>
      <c r="T275" s="14"/>
      <c r="U275" s="14"/>
      <c r="V275" s="14"/>
      <c r="W275" s="14"/>
    </row>
    <row r="276" ht="35.25" customHeight="1">
      <c r="A276" s="92" t="s">
        <v>6213</v>
      </c>
      <c r="B276" s="93" t="s">
        <v>6215</v>
      </c>
      <c r="C276" s="94" t="s">
        <v>6217</v>
      </c>
      <c r="D276" s="24" t="s">
        <v>6219</v>
      </c>
      <c r="E276" s="96" t="str">
        <f>IFERROR(__xludf.DUMMYFUNCTION("GOOGLETRANSLATE(D276,""zh-CN"",""vi"")"),"Anh ấy đang phân tích dữ liệu.")</f>
        <v>Anh ấy đang phân tích dữ liệu.</v>
      </c>
      <c r="F276" s="101" t="s">
        <v>6213</v>
      </c>
      <c r="G276" s="98" t="b">
        <f t="shared" si="1"/>
        <v>1</v>
      </c>
      <c r="H276" s="99" t="b">
        <v>1</v>
      </c>
      <c r="I276" s="99" t="b">
        <v>0</v>
      </c>
      <c r="J276" s="99" t="b">
        <v>0</v>
      </c>
      <c r="K276" s="99" t="b">
        <v>0</v>
      </c>
      <c r="L276" s="99" t="b">
        <v>0</v>
      </c>
      <c r="M276" s="99" t="b">
        <v>0</v>
      </c>
      <c r="N276" s="99" t="b">
        <v>0</v>
      </c>
      <c r="O276" s="99" t="b">
        <v>0</v>
      </c>
      <c r="P276" s="99" t="b">
        <v>0</v>
      </c>
      <c r="Q276" s="99" t="b">
        <v>0</v>
      </c>
      <c r="R276" s="14"/>
      <c r="S276" s="14"/>
      <c r="T276" s="14"/>
      <c r="U276" s="14"/>
      <c r="V276" s="14"/>
      <c r="W276" s="14"/>
    </row>
    <row r="277" ht="35.25" customHeight="1">
      <c r="A277" s="92" t="s">
        <v>6225</v>
      </c>
      <c r="B277" s="93" t="s">
        <v>6226</v>
      </c>
      <c r="C277" s="94" t="s">
        <v>6227</v>
      </c>
      <c r="D277" s="24" t="s">
        <v>6228</v>
      </c>
      <c r="E277" s="96" t="str">
        <f>IFERROR(__xludf.DUMMYFUNCTION("GOOGLETRANSLATE(D277,""zh-CN"",""vi"")"),"Mọi người đều đưa ra ý kiến ​​của mình.")</f>
        <v>Mọi người đều đưa ra ý kiến ​​của mình.</v>
      </c>
      <c r="F277" s="101" t="s">
        <v>6225</v>
      </c>
      <c r="G277" s="98" t="b">
        <f t="shared" si="1"/>
        <v>1</v>
      </c>
      <c r="H277" s="99" t="b">
        <v>1</v>
      </c>
      <c r="I277" s="99" t="b">
        <v>0</v>
      </c>
      <c r="J277" s="99" t="b">
        <v>0</v>
      </c>
      <c r="K277" s="99" t="b">
        <v>0</v>
      </c>
      <c r="L277" s="99" t="b">
        <v>0</v>
      </c>
      <c r="M277" s="99" t="b">
        <v>0</v>
      </c>
      <c r="N277" s="99" t="b">
        <v>0</v>
      </c>
      <c r="O277" s="99" t="b">
        <v>0</v>
      </c>
      <c r="P277" s="99" t="b">
        <v>0</v>
      </c>
      <c r="Q277" s="99" t="b">
        <v>0</v>
      </c>
      <c r="R277" s="14"/>
      <c r="S277" s="14"/>
      <c r="T277" s="14"/>
      <c r="U277" s="14"/>
      <c r="V277" s="14"/>
      <c r="W277" s="14"/>
    </row>
    <row r="278" ht="35.25" customHeight="1">
      <c r="A278" s="92" t="s">
        <v>6233</v>
      </c>
      <c r="B278" s="93" t="s">
        <v>6234</v>
      </c>
      <c r="C278" s="94" t="s">
        <v>6235</v>
      </c>
      <c r="D278" s="24" t="s">
        <v>6236</v>
      </c>
      <c r="E278" s="96" t="str">
        <f>IFERROR(__xludf.DUMMYFUNCTION("GOOGLETRANSLATE(D278,""zh-CN"",""vi"")"),"Chúng ta cần nỗ lực vì tương lai.")</f>
        <v>Chúng ta cần nỗ lực vì tương lai.</v>
      </c>
      <c r="F278" s="101" t="s">
        <v>6233</v>
      </c>
      <c r="G278" s="98" t="b">
        <f t="shared" si="1"/>
        <v>1</v>
      </c>
      <c r="H278" s="99" t="b">
        <v>1</v>
      </c>
      <c r="I278" s="99" t="b">
        <v>0</v>
      </c>
      <c r="J278" s="99" t="b">
        <v>0</v>
      </c>
      <c r="K278" s="99" t="b">
        <v>0</v>
      </c>
      <c r="L278" s="99" t="b">
        <v>0</v>
      </c>
      <c r="M278" s="99" t="b">
        <v>0</v>
      </c>
      <c r="N278" s="99" t="b">
        <v>0</v>
      </c>
      <c r="O278" s="99" t="b">
        <v>0</v>
      </c>
      <c r="P278" s="99" t="b">
        <v>0</v>
      </c>
      <c r="Q278" s="99" t="b">
        <v>0</v>
      </c>
      <c r="R278" s="14"/>
      <c r="S278" s="14"/>
      <c r="T278" s="14"/>
      <c r="U278" s="14"/>
      <c r="V278" s="14"/>
      <c r="W278" s="14"/>
    </row>
    <row r="279" ht="35.25" customHeight="1">
      <c r="A279" s="92" t="s">
        <v>6241</v>
      </c>
      <c r="B279" s="93" t="s">
        <v>6242</v>
      </c>
      <c r="C279" s="94" t="s">
        <v>6243</v>
      </c>
      <c r="D279" s="24" t="s">
        <v>6244</v>
      </c>
      <c r="E279" s="96" t="str">
        <f>IFERROR(__xludf.DUMMYFUNCTION("GOOGLETRANSLATE(D279,""zh-CN"",""vi"")"),"Phong cách của cô ấy rất độc đáo.")</f>
        <v>Phong cách của cô ấy rất độc đáo.</v>
      </c>
      <c r="F279" s="101" t="s">
        <v>6241</v>
      </c>
      <c r="G279" s="98" t="b">
        <f t="shared" si="1"/>
        <v>1</v>
      </c>
      <c r="H279" s="99" t="b">
        <v>1</v>
      </c>
      <c r="I279" s="99" t="b">
        <v>0</v>
      </c>
      <c r="J279" s="99" t="b">
        <v>0</v>
      </c>
      <c r="K279" s="99" t="b">
        <v>0</v>
      </c>
      <c r="L279" s="99" t="b">
        <v>0</v>
      </c>
      <c r="M279" s="99" t="b">
        <v>0</v>
      </c>
      <c r="N279" s="99" t="b">
        <v>0</v>
      </c>
      <c r="O279" s="99" t="b">
        <v>0</v>
      </c>
      <c r="P279" s="99" t="b">
        <v>0</v>
      </c>
      <c r="Q279" s="99" t="b">
        <v>0</v>
      </c>
      <c r="R279" s="14"/>
      <c r="S279" s="14"/>
      <c r="T279" s="14"/>
      <c r="U279" s="14"/>
      <c r="V279" s="14"/>
      <c r="W279" s="14"/>
    </row>
    <row r="280" ht="35.25" customHeight="1">
      <c r="A280" s="92" t="s">
        <v>6249</v>
      </c>
      <c r="B280" s="93" t="s">
        <v>6250</v>
      </c>
      <c r="C280" s="94" t="s">
        <v>6251</v>
      </c>
      <c r="D280" s="24" t="s">
        <v>6252</v>
      </c>
      <c r="E280" s="96" t="str">
        <f>IFERROR(__xludf.DUMMYFUNCTION("GOOGLETRANSLATE(D280,""zh-CN"",""vi"")"),"Cảnh vật ở đây rất đẹp.")</f>
        <v>Cảnh vật ở đây rất đẹp.</v>
      </c>
      <c r="F280" s="101" t="s">
        <v>6249</v>
      </c>
      <c r="G280" s="98" t="b">
        <f t="shared" si="1"/>
        <v>1</v>
      </c>
      <c r="H280" s="99" t="b">
        <v>1</v>
      </c>
      <c r="I280" s="99" t="b">
        <v>0</v>
      </c>
      <c r="J280" s="99" t="b">
        <v>0</v>
      </c>
      <c r="K280" s="99" t="b">
        <v>0</v>
      </c>
      <c r="L280" s="99" t="b">
        <v>0</v>
      </c>
      <c r="M280" s="99" t="b">
        <v>0</v>
      </c>
      <c r="N280" s="99" t="b">
        <v>0</v>
      </c>
      <c r="O280" s="99" t="b">
        <v>0</v>
      </c>
      <c r="P280" s="99" t="b">
        <v>0</v>
      </c>
      <c r="Q280" s="99" t="b">
        <v>0</v>
      </c>
      <c r="R280" s="14"/>
      <c r="S280" s="14"/>
      <c r="T280" s="14"/>
      <c r="U280" s="14"/>
      <c r="V280" s="14"/>
      <c r="W280" s="14"/>
    </row>
    <row r="281" ht="35.25" customHeight="1">
      <c r="A281" s="92" t="s">
        <v>6253</v>
      </c>
      <c r="B281" s="93" t="s">
        <v>6254</v>
      </c>
      <c r="C281" s="94" t="s">
        <v>6255</v>
      </c>
      <c r="D281" s="24" t="s">
        <v>6256</v>
      </c>
      <c r="E281" s="96" t="str">
        <f>IFERROR(__xludf.DUMMYFUNCTION("GOOGLETRANSLATE(D281,""zh-CN"",""vi"")"),"Phong tục của họ rất thú vị.")</f>
        <v>Phong tục của họ rất thú vị.</v>
      </c>
      <c r="F281" s="101" t="s">
        <v>6253</v>
      </c>
      <c r="G281" s="98" t="b">
        <f t="shared" si="1"/>
        <v>1</v>
      </c>
      <c r="H281" s="99" t="b">
        <v>1</v>
      </c>
      <c r="I281" s="99" t="b">
        <v>0</v>
      </c>
      <c r="J281" s="99" t="b">
        <v>0</v>
      </c>
      <c r="K281" s="99" t="b">
        <v>0</v>
      </c>
      <c r="L281" s="99" t="b">
        <v>0</v>
      </c>
      <c r="M281" s="99" t="b">
        <v>0</v>
      </c>
      <c r="N281" s="99" t="b">
        <v>0</v>
      </c>
      <c r="O281" s="99" t="b">
        <v>0</v>
      </c>
      <c r="P281" s="99" t="b">
        <v>0</v>
      </c>
      <c r="Q281" s="99" t="b">
        <v>0</v>
      </c>
      <c r="R281" s="14"/>
      <c r="S281" s="14"/>
      <c r="T281" s="14"/>
      <c r="U281" s="14"/>
      <c r="V281" s="14"/>
      <c r="W281" s="14"/>
    </row>
    <row r="282" ht="35.25" customHeight="1">
      <c r="A282" s="92" t="s">
        <v>6261</v>
      </c>
      <c r="B282" s="93" t="s">
        <v>6262</v>
      </c>
      <c r="C282" s="94" t="s">
        <v>6263</v>
      </c>
      <c r="D282" s="24" t="s">
        <v>6264</v>
      </c>
      <c r="E282" s="96" t="str">
        <f>IFERROR(__xludf.DUMMYFUNCTION("GOOGLETRANSLATE(D282,""zh-CN"",""vi"")"),"Khoản đầu tư này tiềm ẩn rủi ro cao.")</f>
        <v>Khoản đầu tư này tiềm ẩn rủi ro cao.</v>
      </c>
      <c r="F282" s="101" t="s">
        <v>6261</v>
      </c>
      <c r="G282" s="98" t="b">
        <f t="shared" si="1"/>
        <v>1</v>
      </c>
      <c r="H282" s="99" t="b">
        <v>1</v>
      </c>
      <c r="I282" s="99" t="b">
        <v>0</v>
      </c>
      <c r="J282" s="99" t="b">
        <v>0</v>
      </c>
      <c r="K282" s="99" t="b">
        <v>0</v>
      </c>
      <c r="L282" s="99" t="b">
        <v>0</v>
      </c>
      <c r="M282" s="99" t="b">
        <v>0</v>
      </c>
      <c r="N282" s="99" t="b">
        <v>0</v>
      </c>
      <c r="O282" s="99" t="b">
        <v>0</v>
      </c>
      <c r="P282" s="99" t="b">
        <v>0</v>
      </c>
      <c r="Q282" s="99" t="b">
        <v>0</v>
      </c>
      <c r="R282" s="14"/>
      <c r="S282" s="14"/>
      <c r="T282" s="14"/>
      <c r="U282" s="14"/>
      <c r="V282" s="14"/>
      <c r="W282" s="14"/>
    </row>
    <row r="283" ht="35.25" customHeight="1">
      <c r="A283" s="92" t="s">
        <v>6267</v>
      </c>
      <c r="B283" s="93" t="s">
        <v>6268</v>
      </c>
      <c r="C283" s="94" t="s">
        <v>6269</v>
      </c>
      <c r="D283" s="24" t="s">
        <v>6270</v>
      </c>
      <c r="E283" s="96" t="str">
        <f>IFERROR(__xludf.DUMMYFUNCTION("GOOGLETRANSLATE(D283,""zh-CN"",""vi"")"),"Anh ấy mê mẩn bộ phim đó.")</f>
        <v>Anh ấy mê mẩn bộ phim đó.</v>
      </c>
      <c r="F283" s="101" t="s">
        <v>6267</v>
      </c>
      <c r="G283" s="98" t="b">
        <f t="shared" si="1"/>
        <v>1</v>
      </c>
      <c r="H283" s="99" t="b">
        <v>1</v>
      </c>
      <c r="I283" s="99" t="b">
        <v>0</v>
      </c>
      <c r="J283" s="99" t="b">
        <v>0</v>
      </c>
      <c r="K283" s="99" t="b">
        <v>0</v>
      </c>
      <c r="L283" s="99" t="b">
        <v>0</v>
      </c>
      <c r="M283" s="99" t="b">
        <v>0</v>
      </c>
      <c r="N283" s="99" t="b">
        <v>0</v>
      </c>
      <c r="O283" s="99" t="b">
        <v>0</v>
      </c>
      <c r="P283" s="99" t="b">
        <v>0</v>
      </c>
      <c r="Q283" s="99" t="b">
        <v>0</v>
      </c>
      <c r="R283" s="14"/>
      <c r="S283" s="14"/>
      <c r="T283" s="14"/>
      <c r="U283" s="14"/>
      <c r="V283" s="14"/>
      <c r="W283" s="14"/>
    </row>
    <row r="284" ht="35.25" customHeight="1">
      <c r="A284" s="92" t="s">
        <v>6275</v>
      </c>
      <c r="B284" s="93" t="s">
        <v>6276</v>
      </c>
      <c r="C284" s="94" t="s">
        <v>6277</v>
      </c>
      <c r="D284" s="24" t="s">
        <v>6278</v>
      </c>
      <c r="E284" s="96" t="str">
        <f>IFERROR(__xludf.DUMMYFUNCTION("GOOGLETRANSLATE(D284,""zh-CN"",""vi"")"),"Cuốn tiểu thuyết này có chứa một số yếu tố châm biếm.")</f>
        <v>Cuốn tiểu thuyết này có chứa một số yếu tố châm biếm.</v>
      </c>
      <c r="F284" s="101" t="s">
        <v>6275</v>
      </c>
      <c r="G284" s="98" t="b">
        <f t="shared" si="1"/>
        <v>1</v>
      </c>
      <c r="H284" s="99" t="b">
        <v>1</v>
      </c>
      <c r="I284" s="99" t="b">
        <v>0</v>
      </c>
      <c r="J284" s="99" t="b">
        <v>0</v>
      </c>
      <c r="K284" s="99" t="b">
        <v>0</v>
      </c>
      <c r="L284" s="99" t="b">
        <v>0</v>
      </c>
      <c r="M284" s="99" t="b">
        <v>0</v>
      </c>
      <c r="N284" s="99" t="b">
        <v>0</v>
      </c>
      <c r="O284" s="99" t="b">
        <v>0</v>
      </c>
      <c r="P284" s="99" t="b">
        <v>0</v>
      </c>
      <c r="Q284" s="99" t="b">
        <v>0</v>
      </c>
      <c r="R284" s="14"/>
      <c r="S284" s="14"/>
      <c r="T284" s="14"/>
      <c r="U284" s="14"/>
      <c r="V284" s="14"/>
      <c r="W284" s="14"/>
    </row>
    <row r="285" ht="35.25" customHeight="1">
      <c r="A285" s="92" t="s">
        <v>6282</v>
      </c>
      <c r="B285" s="93" t="s">
        <v>6283</v>
      </c>
      <c r="C285" s="94" t="s">
        <v>6284</v>
      </c>
      <c r="D285" s="24" t="s">
        <v>6285</v>
      </c>
      <c r="E285" s="96" t="str">
        <f>IFERROR(__xludf.DUMMYFUNCTION("GOOGLETRANSLATE(D285,""zh-CN"",""vi"")"),"Ông ta phủ nhận mọi cáo buộc.")</f>
        <v>Ông ta phủ nhận mọi cáo buộc.</v>
      </c>
      <c r="F285" s="101" t="s">
        <v>6282</v>
      </c>
      <c r="G285" s="98" t="b">
        <f t="shared" si="1"/>
        <v>1</v>
      </c>
      <c r="H285" s="99" t="b">
        <v>1</v>
      </c>
      <c r="I285" s="99" t="b">
        <v>0</v>
      </c>
      <c r="J285" s="99" t="b">
        <v>0</v>
      </c>
      <c r="K285" s="99" t="b">
        <v>0</v>
      </c>
      <c r="L285" s="99" t="b">
        <v>0</v>
      </c>
      <c r="M285" s="99" t="b">
        <v>0</v>
      </c>
      <c r="N285" s="99" t="b">
        <v>0</v>
      </c>
      <c r="O285" s="99" t="b">
        <v>0</v>
      </c>
      <c r="P285" s="99" t="b">
        <v>0</v>
      </c>
      <c r="Q285" s="99" t="b">
        <v>0</v>
      </c>
      <c r="R285" s="14"/>
      <c r="S285" s="14"/>
      <c r="T285" s="14"/>
      <c r="U285" s="14"/>
      <c r="V285" s="14"/>
      <c r="W285" s="14"/>
    </row>
    <row r="286" ht="35.25" customHeight="1">
      <c r="A286" s="92" t="s">
        <v>6290</v>
      </c>
      <c r="B286" s="93" t="s">
        <v>6291</v>
      </c>
      <c r="C286" s="94" t="s">
        <v>6292</v>
      </c>
      <c r="D286" s="24" t="s">
        <v>6293</v>
      </c>
      <c r="E286" s="96" t="str">
        <f>IFERROR(__xludf.DUMMYFUNCTION("GOOGLETRANSLATE(D286,""zh-CN"",""vi"")"),"Cô ấy hoàn toàn phủ nhận điều này.")</f>
        <v>Cô ấy hoàn toàn phủ nhận điều này.</v>
      </c>
      <c r="F286" s="101" t="s">
        <v>6290</v>
      </c>
      <c r="G286" s="98" t="b">
        <f t="shared" si="1"/>
        <v>1</v>
      </c>
      <c r="H286" s="99" t="b">
        <v>1</v>
      </c>
      <c r="I286" s="99" t="b">
        <v>0</v>
      </c>
      <c r="J286" s="99" t="b">
        <v>0</v>
      </c>
      <c r="K286" s="99" t="b">
        <v>0</v>
      </c>
      <c r="L286" s="99" t="b">
        <v>0</v>
      </c>
      <c r="M286" s="99" t="b">
        <v>0</v>
      </c>
      <c r="N286" s="99" t="b">
        <v>0</v>
      </c>
      <c r="O286" s="99" t="b">
        <v>0</v>
      </c>
      <c r="P286" s="99" t="b">
        <v>0</v>
      </c>
      <c r="Q286" s="99" t="b">
        <v>0</v>
      </c>
      <c r="R286" s="14"/>
      <c r="S286" s="14"/>
      <c r="T286" s="14"/>
      <c r="U286" s="14"/>
      <c r="V286" s="14"/>
      <c r="W286" s="14"/>
    </row>
    <row r="287" ht="35.25" customHeight="1">
      <c r="A287" s="92" t="s">
        <v>6298</v>
      </c>
      <c r="B287" s="93" t="s">
        <v>6299</v>
      </c>
      <c r="C287" s="102" t="s">
        <v>6301</v>
      </c>
      <c r="D287" s="24" t="s">
        <v>6303</v>
      </c>
      <c r="E287" s="96" t="str">
        <f>IFERROR(__xludf.DUMMYFUNCTION("GOOGLETRANSLATE(D287,""zh-CN"",""vi"")"),"Anh ấy đã giúp đỡ tôi rất nhiều trên suốt chặng đường.")</f>
        <v>Anh ấy đã giúp đỡ tôi rất nhiều trên suốt chặng đường.</v>
      </c>
      <c r="F287" s="101" t="s">
        <v>6298</v>
      </c>
      <c r="G287" s="98" t="b">
        <f t="shared" si="1"/>
        <v>1</v>
      </c>
      <c r="H287" s="99" t="b">
        <v>1</v>
      </c>
      <c r="I287" s="99" t="b">
        <v>0</v>
      </c>
      <c r="J287" s="99" t="b">
        <v>0</v>
      </c>
      <c r="K287" s="99" t="b">
        <v>0</v>
      </c>
      <c r="L287" s="99" t="b">
        <v>0</v>
      </c>
      <c r="M287" s="99" t="b">
        <v>0</v>
      </c>
      <c r="N287" s="99" t="b">
        <v>0</v>
      </c>
      <c r="O287" s="99" t="b">
        <v>0</v>
      </c>
      <c r="P287" s="99" t="b">
        <v>0</v>
      </c>
      <c r="Q287" s="99" t="b">
        <v>0</v>
      </c>
      <c r="R287" s="14"/>
      <c r="S287" s="14"/>
      <c r="T287" s="14"/>
      <c r="U287" s="14"/>
      <c r="V287" s="14"/>
      <c r="W287" s="14"/>
    </row>
    <row r="288" ht="35.25" customHeight="1">
      <c r="A288" s="92" t="s">
        <v>6310</v>
      </c>
      <c r="B288" s="93" t="s">
        <v>6311</v>
      </c>
      <c r="C288" s="94" t="s">
        <v>6312</v>
      </c>
      <c r="D288" s="24" t="s">
        <v>6313</v>
      </c>
      <c r="E288" s="96" t="str">
        <f>IFERROR(__xludf.DUMMYFUNCTION("GOOGLETRANSLATE(D288,""zh-CN"",""vi"")"),"Chúng ta cần mua quần áo mới.")</f>
        <v>Chúng ta cần mua quần áo mới.</v>
      </c>
      <c r="F288" s="101" t="s">
        <v>6310</v>
      </c>
      <c r="G288" s="98" t="b">
        <f t="shared" si="1"/>
        <v>1</v>
      </c>
      <c r="H288" s="99" t="b">
        <v>1</v>
      </c>
      <c r="I288" s="99" t="b">
        <v>0</v>
      </c>
      <c r="J288" s="99" t="b">
        <v>0</v>
      </c>
      <c r="K288" s="99" t="b">
        <v>0</v>
      </c>
      <c r="L288" s="99" t="b">
        <v>0</v>
      </c>
      <c r="M288" s="99" t="b">
        <v>0</v>
      </c>
      <c r="N288" s="99" t="b">
        <v>0</v>
      </c>
      <c r="O288" s="99" t="b">
        <v>0</v>
      </c>
      <c r="P288" s="99" t="b">
        <v>0</v>
      </c>
      <c r="Q288" s="99" t="b">
        <v>0</v>
      </c>
      <c r="R288" s="14"/>
      <c r="S288" s="14"/>
      <c r="T288" s="14"/>
      <c r="U288" s="14"/>
      <c r="V288" s="14"/>
      <c r="W288" s="14"/>
    </row>
    <row r="289" ht="35.25" customHeight="1">
      <c r="A289" s="92" t="s">
        <v>6318</v>
      </c>
      <c r="B289" s="93" t="s">
        <v>6299</v>
      </c>
      <c r="C289" s="94" t="s">
        <v>6319</v>
      </c>
      <c r="D289" s="24" t="s">
        <v>6320</v>
      </c>
      <c r="E289" s="96" t="str">
        <f>IFERROR(__xludf.DUMMYFUNCTION("GOOGLETRANSLATE(D289,""zh-CN"",""vi"")"),"Bức tranh này rất đẹp.")</f>
        <v>Bức tranh này rất đẹp.</v>
      </c>
      <c r="F289" s="101" t="s">
        <v>6318</v>
      </c>
      <c r="G289" s="98" t="b">
        <f t="shared" si="1"/>
        <v>1</v>
      </c>
      <c r="H289" s="99" t="b">
        <v>1</v>
      </c>
      <c r="I289" s="99" t="b">
        <v>0</v>
      </c>
      <c r="J289" s="99" t="b">
        <v>0</v>
      </c>
      <c r="K289" s="99" t="b">
        <v>0</v>
      </c>
      <c r="L289" s="99" t="b">
        <v>0</v>
      </c>
      <c r="M289" s="99" t="b">
        <v>0</v>
      </c>
      <c r="N289" s="99" t="b">
        <v>0</v>
      </c>
      <c r="O289" s="99" t="b">
        <v>0</v>
      </c>
      <c r="P289" s="99" t="b">
        <v>0</v>
      </c>
      <c r="Q289" s="99" t="b">
        <v>0</v>
      </c>
      <c r="R289" s="14"/>
      <c r="S289" s="14"/>
      <c r="T289" s="14"/>
      <c r="U289" s="14"/>
      <c r="V289" s="14"/>
      <c r="W289" s="14"/>
    </row>
    <row r="290" ht="35.25" customHeight="1">
      <c r="A290" s="92" t="s">
        <v>6325</v>
      </c>
      <c r="B290" s="93" t="s">
        <v>6326</v>
      </c>
      <c r="C290" s="94" t="s">
        <v>6327</v>
      </c>
      <c r="D290" s="24" t="s">
        <v>6328</v>
      </c>
      <c r="E290" s="96" t="str">
        <f>IFERROR(__xludf.DUMMYFUNCTION("GOOGLETRANSLATE(D290,""zh-CN"",""vi"")"),"Cô ấy cần được kèm cặp thêm.")</f>
        <v>Cô ấy cần được kèm cặp thêm.</v>
      </c>
      <c r="F290" s="101" t="s">
        <v>6325</v>
      </c>
      <c r="G290" s="98" t="b">
        <f t="shared" si="1"/>
        <v>1</v>
      </c>
      <c r="H290" s="99" t="b">
        <v>1</v>
      </c>
      <c r="I290" s="99" t="b">
        <v>0</v>
      </c>
      <c r="J290" s="99" t="b">
        <v>0</v>
      </c>
      <c r="K290" s="99" t="b">
        <v>0</v>
      </c>
      <c r="L290" s="99" t="b">
        <v>0</v>
      </c>
      <c r="M290" s="99" t="b">
        <v>0</v>
      </c>
      <c r="N290" s="99" t="b">
        <v>0</v>
      </c>
      <c r="O290" s="99" t="b">
        <v>0</v>
      </c>
      <c r="P290" s="99" t="b">
        <v>0</v>
      </c>
      <c r="Q290" s="99" t="b">
        <v>0</v>
      </c>
      <c r="R290" s="14"/>
      <c r="S290" s="14"/>
      <c r="T290" s="14"/>
      <c r="U290" s="14"/>
      <c r="V290" s="14"/>
      <c r="W290" s="14"/>
    </row>
    <row r="291" ht="35.25" customHeight="1">
      <c r="A291" s="92" t="s">
        <v>6333</v>
      </c>
      <c r="B291" s="93" t="s">
        <v>6334</v>
      </c>
      <c r="C291" s="94" t="s">
        <v>1687</v>
      </c>
      <c r="D291" s="24" t="s">
        <v>6335</v>
      </c>
      <c r="E291" s="96" t="str">
        <f>IFERROR(__xludf.DUMMYFUNCTION("GOOGLETRANSLATE(D291,""zh-CN"",""vi"")"),"Phụ nữ đóng vai trò quan trọng trong xã hội.")</f>
        <v>Phụ nữ đóng vai trò quan trọng trong xã hội.</v>
      </c>
      <c r="F291" s="101" t="s">
        <v>6333</v>
      </c>
      <c r="G291" s="98" t="b">
        <f t="shared" si="1"/>
        <v>1</v>
      </c>
      <c r="H291" s="99" t="b">
        <v>1</v>
      </c>
      <c r="I291" s="99" t="b">
        <v>0</v>
      </c>
      <c r="J291" s="99" t="b">
        <v>0</v>
      </c>
      <c r="K291" s="99" t="b">
        <v>0</v>
      </c>
      <c r="L291" s="99" t="b">
        <v>0</v>
      </c>
      <c r="M291" s="99" t="b">
        <v>0</v>
      </c>
      <c r="N291" s="99" t="b">
        <v>0</v>
      </c>
      <c r="O291" s="99" t="b">
        <v>0</v>
      </c>
      <c r="P291" s="99" t="b">
        <v>0</v>
      </c>
      <c r="Q291" s="99" t="b">
        <v>0</v>
      </c>
      <c r="R291" s="14"/>
      <c r="S291" s="14"/>
      <c r="T291" s="14"/>
      <c r="U291" s="14"/>
      <c r="V291" s="14"/>
      <c r="W291" s="14"/>
    </row>
    <row r="292" ht="35.25" customHeight="1">
      <c r="A292" s="92" t="s">
        <v>6338</v>
      </c>
      <c r="B292" s="93" t="s">
        <v>6339</v>
      </c>
      <c r="C292" s="94" t="s">
        <v>6340</v>
      </c>
      <c r="D292" s="24" t="s">
        <v>6341</v>
      </c>
      <c r="E292" s="96" t="str">
        <f>IFERROR(__xludf.DUMMYFUNCTION("GOOGLETRANSLATE(D292,""zh-CN"",""vi"")"),"Vui lòng sao chép tập tin này.")</f>
        <v>Vui lòng sao chép tập tin này.</v>
      </c>
      <c r="F292" s="101" t="s">
        <v>6338</v>
      </c>
      <c r="G292" s="98" t="b">
        <f t="shared" si="1"/>
        <v>1</v>
      </c>
      <c r="H292" s="99" t="b">
        <v>1</v>
      </c>
      <c r="I292" s="99" t="b">
        <v>0</v>
      </c>
      <c r="J292" s="99" t="b">
        <v>0</v>
      </c>
      <c r="K292" s="99" t="b">
        <v>0</v>
      </c>
      <c r="L292" s="99" t="b">
        <v>0</v>
      </c>
      <c r="M292" s="99" t="b">
        <v>0</v>
      </c>
      <c r="N292" s="99" t="b">
        <v>0</v>
      </c>
      <c r="O292" s="99" t="b">
        <v>0</v>
      </c>
      <c r="P292" s="99" t="b">
        <v>0</v>
      </c>
      <c r="Q292" s="99" t="b">
        <v>0</v>
      </c>
      <c r="R292" s="14"/>
      <c r="S292" s="14"/>
      <c r="T292" s="14"/>
      <c r="U292" s="14"/>
      <c r="V292" s="14"/>
      <c r="W292" s="14"/>
    </row>
    <row r="293" ht="35.25" customHeight="1">
      <c r="A293" s="92" t="s">
        <v>6346</v>
      </c>
      <c r="B293" s="93" t="s">
        <v>6348</v>
      </c>
      <c r="C293" s="94" t="s">
        <v>6350</v>
      </c>
      <c r="D293" s="24" t="s">
        <v>6352</v>
      </c>
      <c r="E293" s="96" t="str">
        <f>IFERROR(__xludf.DUMMYFUNCTION("GOOGLETRANSLATE(D293,""zh-CN"",""vi"")"),"Chúng ta cần thực hiện cải cách.")</f>
        <v>Chúng ta cần thực hiện cải cách.</v>
      </c>
      <c r="F293" s="101" t="s">
        <v>6346</v>
      </c>
      <c r="G293" s="98" t="b">
        <f t="shared" si="1"/>
        <v>1</v>
      </c>
      <c r="H293" s="99" t="b">
        <v>1</v>
      </c>
      <c r="I293" s="99" t="b">
        <v>0</v>
      </c>
      <c r="J293" s="99" t="b">
        <v>0</v>
      </c>
      <c r="K293" s="99" t="b">
        <v>0</v>
      </c>
      <c r="L293" s="99" t="b">
        <v>0</v>
      </c>
      <c r="M293" s="99" t="b">
        <v>0</v>
      </c>
      <c r="N293" s="99" t="b">
        <v>0</v>
      </c>
      <c r="O293" s="99" t="b">
        <v>0</v>
      </c>
      <c r="P293" s="99" t="b">
        <v>0</v>
      </c>
      <c r="Q293" s="99" t="b">
        <v>0</v>
      </c>
      <c r="R293" s="14"/>
      <c r="S293" s="14"/>
      <c r="T293" s="14"/>
      <c r="U293" s="14"/>
      <c r="V293" s="14"/>
      <c r="W293" s="14"/>
    </row>
    <row r="294" ht="35.25" customHeight="1">
      <c r="A294" s="92" t="s">
        <v>6357</v>
      </c>
      <c r="B294" s="93" t="s">
        <v>6359</v>
      </c>
      <c r="C294" s="94" t="s">
        <v>6360</v>
      </c>
      <c r="D294" s="24" t="s">
        <v>6361</v>
      </c>
      <c r="E294" s="96" t="str">
        <f>IFERROR(__xludf.DUMMYFUNCTION("GOOGLETRANSLATE(D294,""zh-CN"",""vi"")"),"Anh ấy hy vọng sẽ cải thiện quy trình làm việc.")</f>
        <v>Anh ấy hy vọng sẽ cải thiện quy trình làm việc.</v>
      </c>
      <c r="F294" s="101" t="s">
        <v>6357</v>
      </c>
      <c r="G294" s="98" t="b">
        <f t="shared" si="1"/>
        <v>1</v>
      </c>
      <c r="H294" s="99" t="b">
        <v>1</v>
      </c>
      <c r="I294" s="99" t="b">
        <v>0</v>
      </c>
      <c r="J294" s="99" t="b">
        <v>0</v>
      </c>
      <c r="K294" s="99" t="b">
        <v>0</v>
      </c>
      <c r="L294" s="99" t="b">
        <v>0</v>
      </c>
      <c r="M294" s="99" t="b">
        <v>0</v>
      </c>
      <c r="N294" s="99" t="b">
        <v>0</v>
      </c>
      <c r="O294" s="99" t="b">
        <v>0</v>
      </c>
      <c r="P294" s="99" t="b">
        <v>0</v>
      </c>
      <c r="Q294" s="99" t="b">
        <v>0</v>
      </c>
      <c r="R294" s="14"/>
      <c r="S294" s="14"/>
      <c r="T294" s="14"/>
      <c r="U294" s="14"/>
      <c r="V294" s="14"/>
      <c r="W294" s="14"/>
    </row>
    <row r="295" ht="35.25" customHeight="1">
      <c r="A295" s="92" t="s">
        <v>6366</v>
      </c>
      <c r="B295" s="93" t="s">
        <v>6367</v>
      </c>
      <c r="C295" s="94" t="s">
        <v>6368</v>
      </c>
      <c r="D295" s="24" t="s">
        <v>6369</v>
      </c>
      <c r="E295" s="96" t="str">
        <f>IFERROR(__xludf.DUMMYFUNCTION("GOOGLETRANSLATE(D295,""zh-CN"",""vi"")"),"Họ đang cải thiện điều kiện sống của mình.")</f>
        <v>Họ đang cải thiện điều kiện sống của mình.</v>
      </c>
      <c r="F295" s="101" t="s">
        <v>6366</v>
      </c>
      <c r="G295" s="98" t="b">
        <f t="shared" si="1"/>
        <v>1</v>
      </c>
      <c r="H295" s="99" t="b">
        <v>1</v>
      </c>
      <c r="I295" s="99" t="b">
        <v>0</v>
      </c>
      <c r="J295" s="99" t="b">
        <v>0</v>
      </c>
      <c r="K295" s="99" t="b">
        <v>0</v>
      </c>
      <c r="L295" s="99" t="b">
        <v>0</v>
      </c>
      <c r="M295" s="99" t="b">
        <v>0</v>
      </c>
      <c r="N295" s="99" t="b">
        <v>0</v>
      </c>
      <c r="O295" s="99" t="b">
        <v>0</v>
      </c>
      <c r="P295" s="99" t="b">
        <v>0</v>
      </c>
      <c r="Q295" s="99" t="b">
        <v>0</v>
      </c>
      <c r="R295" s="14"/>
      <c r="S295" s="14"/>
      <c r="T295" s="14"/>
      <c r="U295" s="14"/>
      <c r="V295" s="14"/>
      <c r="W295" s="14"/>
    </row>
    <row r="296" ht="35.25" customHeight="1">
      <c r="A296" s="92" t="s">
        <v>6374</v>
      </c>
      <c r="B296" s="93" t="s">
        <v>6375</v>
      </c>
      <c r="C296" s="94" t="s">
        <v>6376</v>
      </c>
      <c r="D296" s="24" t="s">
        <v>6377</v>
      </c>
      <c r="E296" s="96" t="str">
        <f>IFERROR(__xludf.DUMMYFUNCTION("GOOGLETRANSLATE(D296,""zh-CN"",""vi"")"),"Chúng ta cần sửa chữa những sai lầm của mình.")</f>
        <v>Chúng ta cần sửa chữa những sai lầm của mình.</v>
      </c>
      <c r="F296" s="101" t="s">
        <v>6374</v>
      </c>
      <c r="G296" s="98" t="b">
        <f t="shared" si="1"/>
        <v>1</v>
      </c>
      <c r="H296" s="99" t="b">
        <v>1</v>
      </c>
      <c r="I296" s="99" t="b">
        <v>0</v>
      </c>
      <c r="J296" s="99" t="b">
        <v>0</v>
      </c>
      <c r="K296" s="99" t="b">
        <v>0</v>
      </c>
      <c r="L296" s="99" t="b">
        <v>0</v>
      </c>
      <c r="M296" s="99" t="b">
        <v>0</v>
      </c>
      <c r="N296" s="99" t="b">
        <v>0</v>
      </c>
      <c r="O296" s="99" t="b">
        <v>0</v>
      </c>
      <c r="P296" s="99" t="b">
        <v>0</v>
      </c>
      <c r="Q296" s="99" t="b">
        <v>0</v>
      </c>
      <c r="R296" s="14"/>
      <c r="S296" s="14"/>
      <c r="T296" s="14"/>
      <c r="U296" s="14"/>
      <c r="V296" s="14"/>
      <c r="W296" s="14"/>
    </row>
    <row r="297" ht="35.25" customHeight="1">
      <c r="A297" s="92" t="s">
        <v>6382</v>
      </c>
      <c r="B297" s="93" t="s">
        <v>6383</v>
      </c>
      <c r="C297" s="94" t="s">
        <v>6384</v>
      </c>
      <c r="D297" s="24" t="s">
        <v>6385</v>
      </c>
      <c r="E297" s="96" t="str">
        <f>IFERROR(__xludf.DUMMYFUNCTION("GOOGLETRANSLATE(D297,""zh-CN"",""vi"")"),"Khu vực này đã bị bao phủ bởi các tòa nhà cao tầng.")</f>
        <v>Khu vực này đã bị bao phủ bởi các tòa nhà cao tầng.</v>
      </c>
      <c r="F297" s="101" t="s">
        <v>6382</v>
      </c>
      <c r="G297" s="98" t="b">
        <f t="shared" si="1"/>
        <v>1</v>
      </c>
      <c r="H297" s="99" t="b">
        <v>1</v>
      </c>
      <c r="I297" s="99" t="b">
        <v>0</v>
      </c>
      <c r="J297" s="99" t="b">
        <v>0</v>
      </c>
      <c r="K297" s="99" t="b">
        <v>0</v>
      </c>
      <c r="L297" s="99" t="b">
        <v>0</v>
      </c>
      <c r="M297" s="99" t="b">
        <v>0</v>
      </c>
      <c r="N297" s="99" t="b">
        <v>0</v>
      </c>
      <c r="O297" s="99" t="b">
        <v>0</v>
      </c>
      <c r="P297" s="99" t="b">
        <v>0</v>
      </c>
      <c r="Q297" s="99" t="b">
        <v>0</v>
      </c>
      <c r="R297" s="14"/>
      <c r="S297" s="14"/>
      <c r="T297" s="14"/>
      <c r="U297" s="14"/>
      <c r="V297" s="14"/>
      <c r="W297" s="14"/>
    </row>
    <row r="298" ht="35.25" customHeight="1">
      <c r="A298" s="92" t="s">
        <v>6390</v>
      </c>
      <c r="B298" s="93" t="s">
        <v>6391</v>
      </c>
      <c r="C298" s="94" t="s">
        <v>6392</v>
      </c>
      <c r="D298" s="24" t="s">
        <v>6393</v>
      </c>
      <c r="E298" s="96" t="str">
        <f>IFERROR(__xludf.DUMMYFUNCTION("GOOGLETRANSLATE(D298,""zh-CN"",""vi"")"),"Phần tóm tắt của bài báo rất ngắn gọn.")</f>
        <v>Phần tóm tắt của bài báo rất ngắn gọn.</v>
      </c>
      <c r="F298" s="101" t="s">
        <v>6390</v>
      </c>
      <c r="G298" s="98" t="b">
        <f t="shared" si="1"/>
        <v>1</v>
      </c>
      <c r="H298" s="99" t="b">
        <v>1</v>
      </c>
      <c r="I298" s="99" t="b">
        <v>0</v>
      </c>
      <c r="J298" s="99" t="b">
        <v>0</v>
      </c>
      <c r="K298" s="99" t="b">
        <v>0</v>
      </c>
      <c r="L298" s="99" t="b">
        <v>0</v>
      </c>
      <c r="M298" s="99" t="b">
        <v>0</v>
      </c>
      <c r="N298" s="99" t="b">
        <v>0</v>
      </c>
      <c r="O298" s="99" t="b">
        <v>0</v>
      </c>
      <c r="P298" s="99" t="b">
        <v>0</v>
      </c>
      <c r="Q298" s="99" t="b">
        <v>0</v>
      </c>
      <c r="R298" s="14"/>
      <c r="S298" s="14"/>
      <c r="T298" s="14"/>
      <c r="U298" s="14"/>
      <c r="V298" s="14"/>
      <c r="W298" s="14"/>
    </row>
    <row r="299" ht="35.25" customHeight="1">
      <c r="A299" s="92" t="s">
        <v>6398</v>
      </c>
      <c r="B299" s="93" t="s">
        <v>6399</v>
      </c>
      <c r="C299" s="94" t="s">
        <v>6400</v>
      </c>
      <c r="D299" s="24" t="s">
        <v>6402</v>
      </c>
      <c r="E299" s="96" t="str">
        <f>IFERROR(__xludf.DUMMYFUNCTION("GOOGLETRANSLATE(D299,""zh-CN"",""vi"")"),"Khái niệm này rất quan trọng.")</f>
        <v>Khái niệm này rất quan trọng.</v>
      </c>
      <c r="F299" s="101" t="s">
        <v>6398</v>
      </c>
      <c r="G299" s="98" t="b">
        <f t="shared" si="1"/>
        <v>1</v>
      </c>
      <c r="H299" s="99" t="b">
        <v>1</v>
      </c>
      <c r="I299" s="99" t="b">
        <v>0</v>
      </c>
      <c r="J299" s="99" t="b">
        <v>0</v>
      </c>
      <c r="K299" s="99" t="b">
        <v>0</v>
      </c>
      <c r="L299" s="99" t="b">
        <v>0</v>
      </c>
      <c r="M299" s="99" t="b">
        <v>0</v>
      </c>
      <c r="N299" s="99" t="b">
        <v>0</v>
      </c>
      <c r="O299" s="99" t="b">
        <v>0</v>
      </c>
      <c r="P299" s="99" t="b">
        <v>0</v>
      </c>
      <c r="Q299" s="99" t="b">
        <v>0</v>
      </c>
      <c r="R299" s="14"/>
      <c r="S299" s="14"/>
      <c r="T299" s="14"/>
      <c r="U299" s="14"/>
      <c r="V299" s="14"/>
      <c r="W299" s="14"/>
    </row>
    <row r="300" ht="35.25" customHeight="1">
      <c r="A300" s="92" t="s">
        <v>6406</v>
      </c>
      <c r="B300" s="93" t="s">
        <v>6408</v>
      </c>
      <c r="C300" s="94" t="s">
        <v>6410</v>
      </c>
      <c r="D300" s="24" t="s">
        <v>6412</v>
      </c>
      <c r="E300" s="96" t="str">
        <f>IFERROR(__xludf.DUMMYFUNCTION("GOOGLETRANSLATE(D300,""zh-CN"",""vi"")"),"Bài phát biểu của ông ấy rất ngắn gọn, không có một từ thừa nào.")</f>
        <v>Bài phát biểu của ông ấy rất ngắn gọn, không có một từ thừa nào.</v>
      </c>
      <c r="F300" s="101" t="s">
        <v>6406</v>
      </c>
      <c r="G300" s="98" t="b">
        <f t="shared" si="1"/>
        <v>1</v>
      </c>
      <c r="H300" s="99" t="b">
        <v>1</v>
      </c>
      <c r="I300" s="99" t="b">
        <v>0</v>
      </c>
      <c r="J300" s="99" t="b">
        <v>0</v>
      </c>
      <c r="K300" s="99" t="b">
        <v>0</v>
      </c>
      <c r="L300" s="99" t="b">
        <v>0</v>
      </c>
      <c r="M300" s="99" t="b">
        <v>0</v>
      </c>
      <c r="N300" s="99" t="b">
        <v>0</v>
      </c>
      <c r="O300" s="99" t="b">
        <v>0</v>
      </c>
      <c r="P300" s="99" t="b">
        <v>0</v>
      </c>
      <c r="Q300" s="99" t="b">
        <v>0</v>
      </c>
      <c r="R300" s="14"/>
      <c r="S300" s="14"/>
      <c r="T300" s="14"/>
      <c r="U300" s="14"/>
      <c r="V300" s="14"/>
      <c r="W300" s="14"/>
    </row>
    <row r="301" ht="35.25" customHeight="1">
      <c r="A301" s="92" t="s">
        <v>6414</v>
      </c>
      <c r="B301" s="93" t="s">
        <v>6416</v>
      </c>
      <c r="C301" s="94" t="s">
        <v>6418</v>
      </c>
      <c r="D301" s="24" t="s">
        <v>6421</v>
      </c>
      <c r="E301" s="96" t="str">
        <f>IFERROR(__xludf.DUMMYFUNCTION("GOOGLETRANSLATE(D301,""zh-CN"",""vi"")"),"Không khí khô khiến lửa lan rất dễ dàng.")</f>
        <v>Không khí khô khiến lửa lan rất dễ dàng.</v>
      </c>
      <c r="F301" s="101" t="s">
        <v>6414</v>
      </c>
      <c r="G301" s="98" t="b">
        <f t="shared" si="1"/>
        <v>1</v>
      </c>
      <c r="H301" s="99" t="b">
        <v>0</v>
      </c>
      <c r="I301" s="99" t="b">
        <v>0</v>
      </c>
      <c r="J301" s="99" t="b">
        <v>0</v>
      </c>
      <c r="K301" s="99" t="b">
        <v>0</v>
      </c>
      <c r="L301" s="99" t="b">
        <v>0</v>
      </c>
      <c r="M301" s="99" t="b">
        <v>0</v>
      </c>
      <c r="N301" s="99" t="b">
        <v>0</v>
      </c>
      <c r="O301" s="99" t="b">
        <v>0</v>
      </c>
      <c r="P301" s="99" t="b">
        <v>0</v>
      </c>
      <c r="Q301" s="99" t="b">
        <v>0</v>
      </c>
      <c r="R301" s="14"/>
      <c r="S301" s="14"/>
      <c r="T301" s="14"/>
      <c r="U301" s="14"/>
      <c r="V301" s="14"/>
      <c r="W301" s="14"/>
    </row>
    <row r="302" ht="35.25" customHeight="1">
      <c r="A302" s="92" t="s">
        <v>6423</v>
      </c>
      <c r="B302" s="93" t="s">
        <v>6425</v>
      </c>
      <c r="C302" s="94" t="s">
        <v>6427</v>
      </c>
      <c r="D302" s="117" t="s">
        <v>6429</v>
      </c>
      <c r="E302" s="96" t="str">
        <f>IFERROR(__xludf.DUMMYFUNCTION("GOOGLETRANSLATE(D302,""zh-CN"",""vi"")"),"Mau hoàn thành bài tập về nhà đi.")</f>
        <v>Mau hoàn thành bài tập về nhà đi.</v>
      </c>
      <c r="F302" s="101" t="s">
        <v>6423</v>
      </c>
      <c r="G302" s="98" t="b">
        <f t="shared" si="1"/>
        <v>1</v>
      </c>
      <c r="H302" s="99" t="b">
        <v>0</v>
      </c>
      <c r="I302" s="99" t="b">
        <v>0</v>
      </c>
      <c r="J302" s="99" t="b">
        <v>0</v>
      </c>
      <c r="K302" s="99" t="b">
        <v>0</v>
      </c>
      <c r="L302" s="99" t="b">
        <v>0</v>
      </c>
      <c r="M302" s="99" t="b">
        <v>0</v>
      </c>
      <c r="N302" s="99" t="b">
        <v>0</v>
      </c>
      <c r="O302" s="99" t="b">
        <v>0</v>
      </c>
      <c r="P302" s="99" t="b">
        <v>0</v>
      </c>
      <c r="Q302" s="99" t="b">
        <v>0</v>
      </c>
      <c r="R302" s="14"/>
      <c r="S302" s="14"/>
      <c r="T302" s="14"/>
      <c r="U302" s="14"/>
      <c r="V302" s="14"/>
      <c r="W302" s="14"/>
    </row>
    <row r="303" ht="35.25" customHeight="1">
      <c r="A303" s="92" t="s">
        <v>6432</v>
      </c>
      <c r="B303" s="93" t="s">
        <v>6433</v>
      </c>
      <c r="C303" s="94" t="s">
        <v>6427</v>
      </c>
      <c r="D303" s="24" t="s">
        <v>6434</v>
      </c>
      <c r="E303" s="96" t="str">
        <f>IFERROR(__xludf.DUMMYFUNCTION("GOOGLETRANSLATE(D303,""zh-CN"",""vi"")"),"Anh ta vội vã đi khám bác sĩ.")</f>
        <v>Anh ta vội vã đi khám bác sĩ.</v>
      </c>
      <c r="F303" s="101" t="s">
        <v>6432</v>
      </c>
      <c r="G303" s="98" t="b">
        <f t="shared" si="1"/>
        <v>1</v>
      </c>
      <c r="H303" s="99" t="b">
        <v>0</v>
      </c>
      <c r="I303" s="99" t="b">
        <v>0</v>
      </c>
      <c r="J303" s="99" t="b">
        <v>0</v>
      </c>
      <c r="K303" s="99" t="b">
        <v>0</v>
      </c>
      <c r="L303" s="99" t="b">
        <v>0</v>
      </c>
      <c r="M303" s="99" t="b">
        <v>0</v>
      </c>
      <c r="N303" s="99" t="b">
        <v>0</v>
      </c>
      <c r="O303" s="99" t="b">
        <v>0</v>
      </c>
      <c r="P303" s="99" t="b">
        <v>0</v>
      </c>
      <c r="Q303" s="99" t="b">
        <v>0</v>
      </c>
      <c r="R303" s="14"/>
      <c r="S303" s="14"/>
      <c r="T303" s="14"/>
      <c r="U303" s="14"/>
      <c r="V303" s="14"/>
      <c r="W303" s="14"/>
    </row>
    <row r="304" ht="35.25" customHeight="1">
      <c r="A304" s="92" t="s">
        <v>6436</v>
      </c>
      <c r="B304" s="93" t="s">
        <v>6437</v>
      </c>
      <c r="C304" s="94" t="s">
        <v>6438</v>
      </c>
      <c r="D304" s="24" t="s">
        <v>6439</v>
      </c>
      <c r="E304" s="96" t="str">
        <f>IFERROR(__xludf.DUMMYFUNCTION("GOOGLETRANSLATE(D304,""zh-CN"",""vi"")"),"Tôi rất biết ơn sự giúp đỡ của bạn.")</f>
        <v>Tôi rất biết ơn sự giúp đỡ của bạn.</v>
      </c>
      <c r="F304" s="101" t="s">
        <v>6436</v>
      </c>
      <c r="G304" s="98" t="b">
        <f t="shared" si="1"/>
        <v>1</v>
      </c>
      <c r="H304" s="99" t="b">
        <v>0</v>
      </c>
      <c r="I304" s="99" t="b">
        <v>0</v>
      </c>
      <c r="J304" s="99" t="b">
        <v>0</v>
      </c>
      <c r="K304" s="99" t="b">
        <v>0</v>
      </c>
      <c r="L304" s="99" t="b">
        <v>0</v>
      </c>
      <c r="M304" s="99" t="b">
        <v>0</v>
      </c>
      <c r="N304" s="99" t="b">
        <v>0</v>
      </c>
      <c r="O304" s="99" t="b">
        <v>0</v>
      </c>
      <c r="P304" s="99" t="b">
        <v>0</v>
      </c>
      <c r="Q304" s="99" t="b">
        <v>0</v>
      </c>
      <c r="R304" s="14"/>
      <c r="S304" s="14"/>
      <c r="T304" s="14"/>
      <c r="U304" s="14"/>
      <c r="V304" s="14"/>
      <c r="W304" s="14"/>
    </row>
    <row r="305" ht="35.25" customHeight="1">
      <c r="A305" s="92" t="s">
        <v>6441</v>
      </c>
      <c r="B305" s="93" t="s">
        <v>6442</v>
      </c>
      <c r="C305" s="94" t="s">
        <v>6443</v>
      </c>
      <c r="D305" s="24" t="s">
        <v>6444</v>
      </c>
      <c r="E305" s="96" t="str">
        <f>IFERROR(__xludf.DUMMYFUNCTION("GOOGLETRANSLATE(D305,""zh-CN"",""vi"")"),"Tôi có thể cảm nhận được cảm xúc của bạn.")</f>
        <v>Tôi có thể cảm nhận được cảm xúc của bạn.</v>
      </c>
      <c r="F305" s="101" t="s">
        <v>6441</v>
      </c>
      <c r="G305" s="98" t="b">
        <f t="shared" si="1"/>
        <v>1</v>
      </c>
      <c r="H305" s="99" t="b">
        <v>0</v>
      </c>
      <c r="I305" s="99" t="b">
        <v>0</v>
      </c>
      <c r="J305" s="99" t="b">
        <v>0</v>
      </c>
      <c r="K305" s="99" t="b">
        <v>0</v>
      </c>
      <c r="L305" s="99" t="b">
        <v>0</v>
      </c>
      <c r="M305" s="99" t="b">
        <v>0</v>
      </c>
      <c r="N305" s="99" t="b">
        <v>0</v>
      </c>
      <c r="O305" s="99" t="b">
        <v>0</v>
      </c>
      <c r="P305" s="99" t="b">
        <v>0</v>
      </c>
      <c r="Q305" s="99" t="b">
        <v>0</v>
      </c>
      <c r="R305" s="14"/>
      <c r="S305" s="14"/>
      <c r="T305" s="14"/>
      <c r="U305" s="14"/>
      <c r="V305" s="14"/>
      <c r="W305" s="14"/>
    </row>
    <row r="306" ht="35.25" customHeight="1">
      <c r="A306" s="92" t="s">
        <v>6445</v>
      </c>
      <c r="B306" s="93" t="s">
        <v>6446</v>
      </c>
      <c r="C306" s="94" t="s">
        <v>6447</v>
      </c>
      <c r="D306" s="24" t="s">
        <v>6448</v>
      </c>
      <c r="E306" s="96" t="str">
        <f>IFERROR(__xludf.DUMMYFUNCTION("GOOGLETRANSLATE(D306,""zh-CN"",""vi"")"),"Những suy nghĩ của ông ấy khá thú vị.")</f>
        <v>Những suy nghĩ của ông ấy khá thú vị.</v>
      </c>
      <c r="F306" s="101" t="s">
        <v>6445</v>
      </c>
      <c r="G306" s="98" t="b">
        <f t="shared" si="1"/>
        <v>1</v>
      </c>
      <c r="H306" s="99" t="b">
        <v>0</v>
      </c>
      <c r="I306" s="99" t="b">
        <v>0</v>
      </c>
      <c r="J306" s="99" t="b">
        <v>0</v>
      </c>
      <c r="K306" s="99" t="b">
        <v>0</v>
      </c>
      <c r="L306" s="99" t="b">
        <v>0</v>
      </c>
      <c r="M306" s="99" t="b">
        <v>0</v>
      </c>
      <c r="N306" s="99" t="b">
        <v>0</v>
      </c>
      <c r="O306" s="99" t="b">
        <v>0</v>
      </c>
      <c r="P306" s="99" t="b">
        <v>0</v>
      </c>
      <c r="Q306" s="99" t="b">
        <v>0</v>
      </c>
      <c r="R306" s="14"/>
      <c r="S306" s="14"/>
      <c r="T306" s="14"/>
      <c r="U306" s="14"/>
      <c r="V306" s="14"/>
      <c r="W306" s="14"/>
    </row>
    <row r="307" ht="35.25" customHeight="1">
      <c r="A307" s="92" t="s">
        <v>6449</v>
      </c>
      <c r="B307" s="93" t="s">
        <v>6450</v>
      </c>
      <c r="C307" s="94" t="s">
        <v>6451</v>
      </c>
      <c r="D307" s="24" t="s">
        <v>6452</v>
      </c>
      <c r="E307" s="96" t="str">
        <f>IFERROR(__xludf.DUMMYFUNCTION("GOOGLETRANSLATE(D307,""zh-CN"",""vi"")"),"Chúng ta hãy cùng nhau hợp tác.")</f>
        <v>Chúng ta hãy cùng nhau hợp tác.</v>
      </c>
      <c r="F307" s="101" t="s">
        <v>6449</v>
      </c>
      <c r="G307" s="98" t="b">
        <f t="shared" si="1"/>
        <v>1</v>
      </c>
      <c r="H307" s="99" t="b">
        <v>0</v>
      </c>
      <c r="I307" s="99" t="b">
        <v>0</v>
      </c>
      <c r="J307" s="99" t="b">
        <v>0</v>
      </c>
      <c r="K307" s="99" t="b">
        <v>0</v>
      </c>
      <c r="L307" s="99" t="b">
        <v>0</v>
      </c>
      <c r="M307" s="99" t="b">
        <v>0</v>
      </c>
      <c r="N307" s="99" t="b">
        <v>0</v>
      </c>
      <c r="O307" s="99" t="b">
        <v>0</v>
      </c>
      <c r="P307" s="99" t="b">
        <v>0</v>
      </c>
      <c r="Q307" s="99" t="b">
        <v>0</v>
      </c>
      <c r="R307" s="14"/>
      <c r="S307" s="14"/>
      <c r="T307" s="14"/>
      <c r="U307" s="14"/>
      <c r="V307" s="14"/>
      <c r="W307" s="14"/>
    </row>
    <row r="308" ht="35.25" customHeight="1">
      <c r="A308" s="92" t="s">
        <v>6453</v>
      </c>
      <c r="B308" s="93" t="s">
        <v>6454</v>
      </c>
      <c r="C308" s="94" t="s">
        <v>6455</v>
      </c>
      <c r="D308" s="24" t="s">
        <v>6456</v>
      </c>
      <c r="E308" s="96" t="str">
        <f>IFERROR(__xludf.DUMMYFUNCTION("GOOGLETRANSLATE(D308,""zh-CN"",""vi"")"),"Thép là một yếu tố không thể thiếu trong quá trình công nghiệp hóa.")</f>
        <v>Thép là một yếu tố không thể thiếu trong quá trình công nghiệp hóa.</v>
      </c>
      <c r="F308" s="101" t="s">
        <v>6453</v>
      </c>
      <c r="G308" s="98" t="b">
        <f t="shared" si="1"/>
        <v>1</v>
      </c>
      <c r="H308" s="99" t="b">
        <v>0</v>
      </c>
      <c r="I308" s="99" t="b">
        <v>0</v>
      </c>
      <c r="J308" s="99" t="b">
        <v>0</v>
      </c>
      <c r="K308" s="99" t="b">
        <v>0</v>
      </c>
      <c r="L308" s="99" t="b">
        <v>0</v>
      </c>
      <c r="M308" s="99" t="b">
        <v>0</v>
      </c>
      <c r="N308" s="99" t="b">
        <v>0</v>
      </c>
      <c r="O308" s="99" t="b">
        <v>0</v>
      </c>
      <c r="P308" s="99" t="b">
        <v>0</v>
      </c>
      <c r="Q308" s="99" t="b">
        <v>0</v>
      </c>
      <c r="R308" s="14"/>
      <c r="S308" s="14"/>
      <c r="T308" s="14"/>
      <c r="U308" s="14"/>
      <c r="V308" s="14"/>
      <c r="W308" s="14"/>
    </row>
    <row r="309" ht="35.25" customHeight="1">
      <c r="A309" s="92" t="s">
        <v>6457</v>
      </c>
      <c r="B309" s="93" t="s">
        <v>6458</v>
      </c>
      <c r="C309" s="94" t="s">
        <v>6459</v>
      </c>
      <c r="D309" s="117" t="s">
        <v>6460</v>
      </c>
      <c r="E309" s="96" t="str">
        <f>IFERROR(__xludf.DUMMYFUNCTION("GOOGLETRANSLATE(D309,""zh-CN"",""vi"")"),"Thiết kế của chiếc váy này toát lên vẻ sang trọng cao cấp.")</f>
        <v>Thiết kế của chiếc váy này toát lên vẻ sang trọng cao cấp.</v>
      </c>
      <c r="F309" s="101" t="s">
        <v>6457</v>
      </c>
      <c r="G309" s="98" t="b">
        <f t="shared" si="1"/>
        <v>1</v>
      </c>
      <c r="H309" s="99" t="b">
        <v>0</v>
      </c>
      <c r="I309" s="99" t="b">
        <v>0</v>
      </c>
      <c r="J309" s="99" t="b">
        <v>0</v>
      </c>
      <c r="K309" s="99" t="b">
        <v>0</v>
      </c>
      <c r="L309" s="99" t="b">
        <v>0</v>
      </c>
      <c r="M309" s="99" t="b">
        <v>0</v>
      </c>
      <c r="N309" s="99" t="b">
        <v>0</v>
      </c>
      <c r="O309" s="99" t="b">
        <v>0</v>
      </c>
      <c r="P309" s="99" t="b">
        <v>0</v>
      </c>
      <c r="Q309" s="99" t="b">
        <v>0</v>
      </c>
      <c r="R309" s="14"/>
      <c r="S309" s="14"/>
      <c r="T309" s="14"/>
      <c r="U309" s="14"/>
      <c r="V309" s="14"/>
      <c r="W309" s="14"/>
    </row>
    <row r="310" ht="35.25" customHeight="1">
      <c r="A310" s="92" t="s">
        <v>6465</v>
      </c>
      <c r="B310" s="93" t="s">
        <v>6466</v>
      </c>
      <c r="C310" s="94" t="s">
        <v>6467</v>
      </c>
      <c r="D310" s="24" t="s">
        <v>6468</v>
      </c>
      <c r="E310" s="96" t="str">
        <f>IFERROR(__xludf.DUMMYFUNCTION("GOOGLETRANSLATE(D310,""zh-CN"",""vi"")"),"HSK6 là trình độ nâng cao.")</f>
        <v>HSK6 là trình độ nâng cao.</v>
      </c>
      <c r="F310" s="101" t="s">
        <v>6465</v>
      </c>
      <c r="G310" s="98" t="b">
        <f t="shared" si="1"/>
        <v>1</v>
      </c>
      <c r="H310" s="99" t="b">
        <v>0</v>
      </c>
      <c r="I310" s="99" t="b">
        <v>0</v>
      </c>
      <c r="J310" s="99" t="b">
        <v>0</v>
      </c>
      <c r="K310" s="99" t="b">
        <v>0</v>
      </c>
      <c r="L310" s="99" t="b">
        <v>0</v>
      </c>
      <c r="M310" s="99" t="b">
        <v>0</v>
      </c>
      <c r="N310" s="99" t="b">
        <v>0</v>
      </c>
      <c r="O310" s="99" t="b">
        <v>0</v>
      </c>
      <c r="P310" s="99" t="b">
        <v>0</v>
      </c>
      <c r="Q310" s="99" t="b">
        <v>0</v>
      </c>
      <c r="R310" s="14"/>
      <c r="S310" s="14"/>
      <c r="T310" s="14"/>
      <c r="U310" s="14"/>
      <c r="V310" s="14"/>
      <c r="W310" s="14"/>
    </row>
    <row r="311" ht="35.25" customHeight="1">
      <c r="A311" s="92" t="s">
        <v>6469</v>
      </c>
      <c r="B311" s="93" t="s">
        <v>6470</v>
      </c>
      <c r="C311" s="94" t="s">
        <v>1035</v>
      </c>
      <c r="D311" s="24" t="s">
        <v>6471</v>
      </c>
      <c r="E311" s="96" t="str">
        <f>IFERROR(__xludf.DUMMYFUNCTION("GOOGLETRANSLATE(D311,""zh-CN"",""vi"")"),"Chúng ta cần phải làm cho dự án này thành công.")</f>
        <v>Chúng ta cần phải làm cho dự án này thành công.</v>
      </c>
      <c r="F311" s="101" t="s">
        <v>6469</v>
      </c>
      <c r="G311" s="98" t="b">
        <f t="shared" si="1"/>
        <v>1</v>
      </c>
      <c r="H311" s="99" t="b">
        <v>0</v>
      </c>
      <c r="I311" s="99" t="b">
        <v>0</v>
      </c>
      <c r="J311" s="99" t="b">
        <v>0</v>
      </c>
      <c r="K311" s="99" t="b">
        <v>0</v>
      </c>
      <c r="L311" s="99" t="b">
        <v>0</v>
      </c>
      <c r="M311" s="99" t="b">
        <v>0</v>
      </c>
      <c r="N311" s="99" t="b">
        <v>0</v>
      </c>
      <c r="O311" s="99" t="b">
        <v>0</v>
      </c>
      <c r="P311" s="99" t="b">
        <v>0</v>
      </c>
      <c r="Q311" s="99" t="b">
        <v>0</v>
      </c>
      <c r="R311" s="14"/>
      <c r="S311" s="14"/>
      <c r="T311" s="14"/>
      <c r="U311" s="14"/>
      <c r="V311" s="14"/>
      <c r="W311" s="14"/>
    </row>
    <row r="312" ht="35.25" customHeight="1">
      <c r="A312" s="92" t="s">
        <v>6480</v>
      </c>
      <c r="B312" s="93" t="s">
        <v>6481</v>
      </c>
      <c r="C312" s="94" t="s">
        <v>6482</v>
      </c>
      <c r="D312" s="24" t="s">
        <v>6483</v>
      </c>
      <c r="E312" s="96" t="str">
        <f>IFERROR(__xludf.DUMMYFUNCTION("GOOGLETRANSLATE(D312,""zh-CN"",""vi"")"),"Chúng tôi nói lời tạm biệt với thành phố này.")</f>
        <v>Chúng tôi nói lời tạm biệt với thành phố này.</v>
      </c>
      <c r="F312" s="101" t="s">
        <v>6480</v>
      </c>
      <c r="G312" s="98" t="b">
        <f t="shared" si="1"/>
        <v>1</v>
      </c>
      <c r="H312" s="99" t="b">
        <v>0</v>
      </c>
      <c r="I312" s="99" t="b">
        <v>0</v>
      </c>
      <c r="J312" s="99" t="b">
        <v>0</v>
      </c>
      <c r="K312" s="99" t="b">
        <v>0</v>
      </c>
      <c r="L312" s="99" t="b">
        <v>0</v>
      </c>
      <c r="M312" s="99" t="b">
        <v>0</v>
      </c>
      <c r="N312" s="99" t="b">
        <v>0</v>
      </c>
      <c r="O312" s="99" t="b">
        <v>0</v>
      </c>
      <c r="P312" s="99" t="b">
        <v>0</v>
      </c>
      <c r="Q312" s="99" t="b">
        <v>0</v>
      </c>
      <c r="R312" s="14"/>
      <c r="S312" s="14"/>
      <c r="T312" s="14"/>
      <c r="U312" s="14"/>
      <c r="V312" s="14"/>
      <c r="W312" s="14"/>
    </row>
    <row r="313" ht="35.25" customHeight="1">
      <c r="A313" s="92" t="s">
        <v>6488</v>
      </c>
      <c r="B313" s="93" t="s">
        <v>6489</v>
      </c>
      <c r="C313" s="94" t="s">
        <v>2901</v>
      </c>
      <c r="D313" s="24" t="s">
        <v>6490</v>
      </c>
      <c r="E313" s="96" t="str">
        <f>IFERROR(__xludf.DUMMYFUNCTION("GOOGLETRANSLATE(D313,""zh-CN"",""vi"")"),"Nơi này đặc biệt yên tĩnh.")</f>
        <v>Nơi này đặc biệt yên tĩnh.</v>
      </c>
      <c r="F313" s="101" t="s">
        <v>6488</v>
      </c>
      <c r="G313" s="98" t="b">
        <f t="shared" si="1"/>
        <v>1</v>
      </c>
      <c r="H313" s="99" t="b">
        <v>0</v>
      </c>
      <c r="I313" s="99" t="b">
        <v>0</v>
      </c>
      <c r="J313" s="99" t="b">
        <v>0</v>
      </c>
      <c r="K313" s="99" t="b">
        <v>0</v>
      </c>
      <c r="L313" s="99" t="b">
        <v>0</v>
      </c>
      <c r="M313" s="99" t="b">
        <v>0</v>
      </c>
      <c r="N313" s="99" t="b">
        <v>0</v>
      </c>
      <c r="O313" s="99" t="b">
        <v>0</v>
      </c>
      <c r="P313" s="99" t="b">
        <v>0</v>
      </c>
      <c r="Q313" s="99" t="b">
        <v>0</v>
      </c>
      <c r="R313" s="14"/>
      <c r="S313" s="14"/>
      <c r="T313" s="14"/>
      <c r="U313" s="14"/>
      <c r="V313" s="14"/>
      <c r="W313" s="14"/>
    </row>
    <row r="314" ht="35.25" customHeight="1">
      <c r="A314" s="92" t="s">
        <v>6491</v>
      </c>
      <c r="B314" s="93" t="s">
        <v>6492</v>
      </c>
      <c r="C314" s="94" t="s">
        <v>6493</v>
      </c>
      <c r="D314" s="24" t="s">
        <v>6494</v>
      </c>
      <c r="E314" s="96" t="str">
        <f>IFERROR(__xludf.DUMMYFUNCTION("GOOGLETRANSLATE(D314,""zh-CN"",""vi"")"),"Chúng tôi sống ở nhà kế bên.")</f>
        <v>Chúng tôi sống ở nhà kế bên.</v>
      </c>
      <c r="F314" s="101" t="s">
        <v>6491</v>
      </c>
      <c r="G314" s="98" t="b">
        <f t="shared" si="1"/>
        <v>1</v>
      </c>
      <c r="H314" s="99" t="b">
        <v>0</v>
      </c>
      <c r="I314" s="99" t="b">
        <v>0</v>
      </c>
      <c r="J314" s="99" t="b">
        <v>0</v>
      </c>
      <c r="K314" s="99" t="b">
        <v>0</v>
      </c>
      <c r="L314" s="99" t="b">
        <v>0</v>
      </c>
      <c r="M314" s="99" t="b">
        <v>0</v>
      </c>
      <c r="N314" s="99" t="b">
        <v>0</v>
      </c>
      <c r="O314" s="99" t="b">
        <v>0</v>
      </c>
      <c r="P314" s="99" t="b">
        <v>0</v>
      </c>
      <c r="Q314" s="99" t="b">
        <v>0</v>
      </c>
      <c r="R314" s="14"/>
      <c r="S314" s="14"/>
      <c r="T314" s="14"/>
      <c r="U314" s="14"/>
      <c r="V314" s="14"/>
      <c r="W314" s="14"/>
    </row>
    <row r="315" ht="35.25" customHeight="1">
      <c r="A315" s="92" t="s">
        <v>6495</v>
      </c>
      <c r="B315" s="93" t="s">
        <v>6497</v>
      </c>
      <c r="C315" s="94" t="s">
        <v>6498</v>
      </c>
      <c r="D315" s="24" t="s">
        <v>6499</v>
      </c>
      <c r="E315" s="96" t="str">
        <f>IFERROR(__xludf.DUMMYFUNCTION("GOOGLETRANSLATE(D315,""zh-CN"",""vi"")"),"Mỗi trường hợp có thể khác nhau.")</f>
        <v>Mỗi trường hợp có thể khác nhau.</v>
      </c>
      <c r="F315" s="101" t="s">
        <v>6495</v>
      </c>
      <c r="G315" s="98" t="b">
        <f t="shared" si="1"/>
        <v>1</v>
      </c>
      <c r="H315" s="99" t="b">
        <v>0</v>
      </c>
      <c r="I315" s="99" t="b">
        <v>0</v>
      </c>
      <c r="J315" s="99" t="b">
        <v>0</v>
      </c>
      <c r="K315" s="99" t="b">
        <v>0</v>
      </c>
      <c r="L315" s="99" t="b">
        <v>0</v>
      </c>
      <c r="M315" s="99" t="b">
        <v>0</v>
      </c>
      <c r="N315" s="99" t="b">
        <v>0</v>
      </c>
      <c r="O315" s="99" t="b">
        <v>0</v>
      </c>
      <c r="P315" s="99" t="b">
        <v>0</v>
      </c>
      <c r="Q315" s="99" t="b">
        <v>0</v>
      </c>
      <c r="R315" s="14"/>
      <c r="S315" s="14"/>
      <c r="T315" s="14"/>
      <c r="U315" s="14"/>
      <c r="V315" s="14"/>
      <c r="W315" s="14"/>
    </row>
    <row r="316" ht="35.25" customHeight="1">
      <c r="A316" s="92" t="s">
        <v>6503</v>
      </c>
      <c r="B316" s="93" t="s">
        <v>6504</v>
      </c>
      <c r="C316" s="94" t="s">
        <v>6505</v>
      </c>
      <c r="D316" s="95" t="s">
        <v>6506</v>
      </c>
      <c r="E316" s="96" t="str">
        <f>IFERROR(__xludf.DUMMYFUNCTION("GOOGLETRANSLATE(D316,""zh-CN"",""vi"")"),"Mỗi người đều có những sở thích và mối quan tâm riêng.")</f>
        <v>Mỗi người đều có những sở thích và mối quan tâm riêng.</v>
      </c>
      <c r="F316" s="101" t="s">
        <v>6503</v>
      </c>
      <c r="G316" s="98" t="b">
        <f t="shared" si="1"/>
        <v>1</v>
      </c>
      <c r="H316" s="99" t="b">
        <v>0</v>
      </c>
      <c r="I316" s="99" t="b">
        <v>0</v>
      </c>
      <c r="J316" s="99" t="b">
        <v>0</v>
      </c>
      <c r="K316" s="99" t="b">
        <v>0</v>
      </c>
      <c r="L316" s="99" t="b">
        <v>0</v>
      </c>
      <c r="M316" s="99" t="b">
        <v>0</v>
      </c>
      <c r="N316" s="99" t="b">
        <v>0</v>
      </c>
      <c r="O316" s="99" t="b">
        <v>0</v>
      </c>
      <c r="P316" s="99" t="b">
        <v>0</v>
      </c>
      <c r="Q316" s="99" t="b">
        <v>0</v>
      </c>
      <c r="R316" s="14"/>
      <c r="S316" s="14"/>
      <c r="T316" s="14"/>
      <c r="U316" s="14"/>
      <c r="V316" s="14"/>
      <c r="W316" s="14"/>
    </row>
    <row r="317" ht="35.25" customHeight="1">
      <c r="A317" s="92" t="s">
        <v>6514</v>
      </c>
      <c r="B317" s="93" t="s">
        <v>6515</v>
      </c>
      <c r="C317" s="94" t="s">
        <v>6516</v>
      </c>
      <c r="D317" s="24" t="s">
        <v>6517</v>
      </c>
      <c r="E317" s="96" t="str">
        <f>IFERROR(__xludf.DUMMYFUNCTION("GOOGLETRANSLATE(D317,""zh-CN"",""vi"")"),"Anh ấy là một người rất cá tính.")</f>
        <v>Anh ấy là một người rất cá tính.</v>
      </c>
      <c r="F317" s="101" t="s">
        <v>6514</v>
      </c>
      <c r="G317" s="98" t="b">
        <f t="shared" si="1"/>
        <v>1</v>
      </c>
      <c r="H317" s="99" t="b">
        <v>0</v>
      </c>
      <c r="I317" s="99" t="b">
        <v>0</v>
      </c>
      <c r="J317" s="99" t="b">
        <v>0</v>
      </c>
      <c r="K317" s="99" t="b">
        <v>0</v>
      </c>
      <c r="L317" s="99" t="b">
        <v>0</v>
      </c>
      <c r="M317" s="99" t="b">
        <v>0</v>
      </c>
      <c r="N317" s="99" t="b">
        <v>0</v>
      </c>
      <c r="O317" s="99" t="b">
        <v>0</v>
      </c>
      <c r="P317" s="99" t="b">
        <v>0</v>
      </c>
      <c r="Q317" s="99" t="b">
        <v>0</v>
      </c>
      <c r="R317" s="14"/>
      <c r="S317" s="14"/>
      <c r="T317" s="14"/>
      <c r="U317" s="14"/>
      <c r="V317" s="14"/>
      <c r="W317" s="14"/>
    </row>
    <row r="318" ht="35.25" customHeight="1">
      <c r="A318" s="92" t="s">
        <v>6522</v>
      </c>
      <c r="B318" s="93" t="s">
        <v>6523</v>
      </c>
      <c r="C318" s="94" t="s">
        <v>6524</v>
      </c>
      <c r="D318" s="24" t="s">
        <v>6525</v>
      </c>
      <c r="E318" s="96" t="str">
        <f>IFERROR(__xludf.DUMMYFUNCTION("GOOGLETRANSLATE(D318,""zh-CN"",""vi"")"),"Mỗi người chịu trách nhiệm về nhiệm vụ của riêng mình.")</f>
        <v>Mỗi người chịu trách nhiệm về nhiệm vụ của riêng mình.</v>
      </c>
      <c r="F318" s="101" t="s">
        <v>6522</v>
      </c>
      <c r="G318" s="98" t="b">
        <f t="shared" si="1"/>
        <v>1</v>
      </c>
      <c r="H318" s="99" t="b">
        <v>0</v>
      </c>
      <c r="I318" s="99" t="b">
        <v>0</v>
      </c>
      <c r="J318" s="99" t="b">
        <v>0</v>
      </c>
      <c r="K318" s="99" t="b">
        <v>0</v>
      </c>
      <c r="L318" s="99" t="b">
        <v>0</v>
      </c>
      <c r="M318" s="99" t="b">
        <v>0</v>
      </c>
      <c r="N318" s="99" t="b">
        <v>0</v>
      </c>
      <c r="O318" s="99" t="b">
        <v>0</v>
      </c>
      <c r="P318" s="99" t="b">
        <v>0</v>
      </c>
      <c r="Q318" s="99" t="b">
        <v>0</v>
      </c>
      <c r="R318" s="14"/>
      <c r="S318" s="14"/>
      <c r="T318" s="14"/>
      <c r="U318" s="14"/>
      <c r="V318" s="14"/>
      <c r="W318" s="14"/>
    </row>
    <row r="319" ht="35.25" customHeight="1">
      <c r="A319" s="92" t="s">
        <v>6530</v>
      </c>
      <c r="B319" s="93" t="s">
        <v>1225</v>
      </c>
      <c r="C319" s="94" t="s">
        <v>6531</v>
      </c>
      <c r="D319" s="24" t="s">
        <v>6532</v>
      </c>
      <c r="E319" s="96" t="str">
        <f>IFERROR(__xludf.DUMMYFUNCTION("GOOGLETRANSLATE(D319,""zh-CN"",""vi"")"),"Nhớ mua giúp tôi một ít hành lá nhé.")</f>
        <v>Nhớ mua giúp tôi một ít hành lá nhé.</v>
      </c>
      <c r="F319" s="101" t="s">
        <v>6530</v>
      </c>
      <c r="G319" s="98" t="b">
        <f t="shared" si="1"/>
        <v>1</v>
      </c>
      <c r="H319" s="99" t="b">
        <v>0</v>
      </c>
      <c r="I319" s="99" t="b">
        <v>0</v>
      </c>
      <c r="J319" s="99" t="b">
        <v>0</v>
      </c>
      <c r="K319" s="99" t="b">
        <v>0</v>
      </c>
      <c r="L319" s="99" t="b">
        <v>0</v>
      </c>
      <c r="M319" s="99" t="b">
        <v>0</v>
      </c>
      <c r="N319" s="99" t="b">
        <v>0</v>
      </c>
      <c r="O319" s="99" t="b">
        <v>0</v>
      </c>
      <c r="P319" s="99" t="b">
        <v>0</v>
      </c>
      <c r="Q319" s="99" t="b">
        <v>0</v>
      </c>
      <c r="R319" s="14"/>
      <c r="S319" s="14"/>
      <c r="T319" s="14"/>
      <c r="U319" s="14"/>
      <c r="V319" s="14"/>
      <c r="W319" s="14"/>
    </row>
    <row r="320" ht="35.25" customHeight="1">
      <c r="A320" s="92" t="s">
        <v>6534</v>
      </c>
      <c r="B320" s="93" t="s">
        <v>6536</v>
      </c>
      <c r="C320" s="94" t="s">
        <v>6538</v>
      </c>
      <c r="D320" s="24" t="s">
        <v>6540</v>
      </c>
      <c r="E320" s="96" t="str">
        <f>IFERROR(__xludf.DUMMYFUNCTION("GOOGLETRANSLATE(D320,""zh-CN"",""vi"")"),"Vấn đề này về cơ bản là không thể giải quyết được.")</f>
        <v>Vấn đề này về cơ bản là không thể giải quyết được.</v>
      </c>
      <c r="F320" s="101" t="s">
        <v>6534</v>
      </c>
      <c r="G320" s="98" t="b">
        <f t="shared" si="1"/>
        <v>1</v>
      </c>
      <c r="H320" s="99" t="b">
        <v>0</v>
      </c>
      <c r="I320" s="99" t="b">
        <v>0</v>
      </c>
      <c r="J320" s="99" t="b">
        <v>0</v>
      </c>
      <c r="K320" s="99" t="b">
        <v>0</v>
      </c>
      <c r="L320" s="99" t="b">
        <v>0</v>
      </c>
      <c r="M320" s="99" t="b">
        <v>0</v>
      </c>
      <c r="N320" s="99" t="b">
        <v>0</v>
      </c>
      <c r="O320" s="99" t="b">
        <v>0</v>
      </c>
      <c r="P320" s="99" t="b">
        <v>0</v>
      </c>
      <c r="Q320" s="99" t="b">
        <v>0</v>
      </c>
      <c r="R320" s="14"/>
      <c r="S320" s="14"/>
      <c r="T320" s="14"/>
      <c r="U320" s="14"/>
      <c r="V320" s="14"/>
      <c r="W320" s="14"/>
    </row>
    <row r="321" ht="35.25" customHeight="1">
      <c r="A321" s="92" t="s">
        <v>6541</v>
      </c>
      <c r="B321" s="93" t="s">
        <v>6542</v>
      </c>
      <c r="C321" s="94" t="s">
        <v>6543</v>
      </c>
      <c r="D321" s="24" t="s">
        <v>6544</v>
      </c>
      <c r="E321" s="96" t="str">
        <f>IFERROR(__xludf.DUMMYFUNCTION("GOOGLETRANSLATE(D321,""zh-CN"",""vi"")"),"Nhà máy đang mở rộng quy mô sản xuất.")</f>
        <v>Nhà máy đang mở rộng quy mô sản xuất.</v>
      </c>
      <c r="F321" s="101" t="s">
        <v>6541</v>
      </c>
      <c r="G321" s="98" t="b">
        <f t="shared" si="1"/>
        <v>1</v>
      </c>
      <c r="H321" s="99" t="b">
        <v>0</v>
      </c>
      <c r="I321" s="99" t="b">
        <v>0</v>
      </c>
      <c r="J321" s="99" t="b">
        <v>0</v>
      </c>
      <c r="K321" s="99" t="b">
        <v>0</v>
      </c>
      <c r="L321" s="99" t="b">
        <v>0</v>
      </c>
      <c r="M321" s="99" t="b">
        <v>0</v>
      </c>
      <c r="N321" s="99" t="b">
        <v>0</v>
      </c>
      <c r="O321" s="99" t="b">
        <v>0</v>
      </c>
      <c r="P321" s="99" t="b">
        <v>0</v>
      </c>
      <c r="Q321" s="99" t="b">
        <v>0</v>
      </c>
      <c r="R321" s="14"/>
      <c r="S321" s="14"/>
      <c r="T321" s="14"/>
      <c r="U321" s="14"/>
      <c r="V321" s="14"/>
      <c r="W321" s="14"/>
    </row>
    <row r="322" ht="35.25" customHeight="1">
      <c r="A322" s="92" t="s">
        <v>6549</v>
      </c>
      <c r="B322" s="93" t="s">
        <v>6550</v>
      </c>
      <c r="C322" s="94" t="s">
        <v>6551</v>
      </c>
      <c r="D322" s="24" t="s">
        <v>6552</v>
      </c>
      <c r="E322" s="96" t="str">
        <f>IFERROR(__xludf.DUMMYFUNCTION("GOOGLETRANSLATE(D322,""zh-CN"",""vi"")"),"Anh ấy là một kỹ sư.")</f>
        <v>Anh ấy là một kỹ sư.</v>
      </c>
      <c r="F322" s="101" t="s">
        <v>6549</v>
      </c>
      <c r="G322" s="98" t="b">
        <f t="shared" si="1"/>
        <v>1</v>
      </c>
      <c r="H322" s="99" t="b">
        <v>0</v>
      </c>
      <c r="I322" s="99" t="b">
        <v>0</v>
      </c>
      <c r="J322" s="99" t="b">
        <v>0</v>
      </c>
      <c r="K322" s="99" t="b">
        <v>0</v>
      </c>
      <c r="L322" s="99" t="b">
        <v>0</v>
      </c>
      <c r="M322" s="99" t="b">
        <v>0</v>
      </c>
      <c r="N322" s="99" t="b">
        <v>0</v>
      </c>
      <c r="O322" s="99" t="b">
        <v>0</v>
      </c>
      <c r="P322" s="99" t="b">
        <v>0</v>
      </c>
      <c r="Q322" s="99" t="b">
        <v>0</v>
      </c>
      <c r="R322" s="14"/>
      <c r="S322" s="14"/>
      <c r="T322" s="14"/>
      <c r="U322" s="14"/>
      <c r="V322" s="14"/>
      <c r="W322" s="14"/>
    </row>
    <row r="323" ht="35.25" customHeight="1">
      <c r="A323" s="92" t="s">
        <v>6557</v>
      </c>
      <c r="B323" s="93" t="s">
        <v>6558</v>
      </c>
      <c r="C323" s="94" t="s">
        <v>6559</v>
      </c>
      <c r="D323" s="24" t="s">
        <v>6560</v>
      </c>
      <c r="E323" s="96" t="str">
        <f>IFERROR(__xludf.DUMMYFUNCTION("GOOGLETRANSLATE(D323,""zh-CN"",""vi"")"),"Chúng ta cần một số công cụ để khắc phục vấn đề này.")</f>
        <v>Chúng ta cần một số công cụ để khắc phục vấn đề này.</v>
      </c>
      <c r="F323" s="101" t="s">
        <v>6557</v>
      </c>
      <c r="G323" s="98" t="b">
        <f t="shared" si="1"/>
        <v>1</v>
      </c>
      <c r="H323" s="99" t="b">
        <v>0</v>
      </c>
      <c r="I323" s="99" t="b">
        <v>0</v>
      </c>
      <c r="J323" s="99" t="b">
        <v>0</v>
      </c>
      <c r="K323" s="99" t="b">
        <v>0</v>
      </c>
      <c r="L323" s="99" t="b">
        <v>0</v>
      </c>
      <c r="M323" s="99" t="b">
        <v>0</v>
      </c>
      <c r="N323" s="99" t="b">
        <v>0</v>
      </c>
      <c r="O323" s="99" t="b">
        <v>0</v>
      </c>
      <c r="P323" s="99" t="b">
        <v>0</v>
      </c>
      <c r="Q323" s="99" t="b">
        <v>0</v>
      </c>
      <c r="R323" s="14"/>
      <c r="S323" s="14"/>
      <c r="T323" s="14"/>
      <c r="U323" s="14"/>
      <c r="V323" s="14"/>
      <c r="W323" s="14"/>
    </row>
    <row r="324" ht="35.25" customHeight="1">
      <c r="A324" s="92" t="s">
        <v>6565</v>
      </c>
      <c r="B324" s="93" t="s">
        <v>6566</v>
      </c>
      <c r="C324" s="94" t="s">
        <v>6567</v>
      </c>
      <c r="D324" s="24" t="s">
        <v>6568</v>
      </c>
      <c r="E324" s="96" t="str">
        <f>IFERROR(__xludf.DUMMYFUNCTION("GOOGLETRANSLATE(D324,""zh-CN"",""vi"")"),"Các công nhân đang làm thêm giờ.")</f>
        <v>Các công nhân đang làm thêm giờ.</v>
      </c>
      <c r="F324" s="101" t="s">
        <v>6565</v>
      </c>
      <c r="G324" s="98" t="b">
        <f t="shared" si="1"/>
        <v>1</v>
      </c>
      <c r="H324" s="99" t="b">
        <v>0</v>
      </c>
      <c r="I324" s="99" t="b">
        <v>0</v>
      </c>
      <c r="J324" s="99" t="b">
        <v>0</v>
      </c>
      <c r="K324" s="99" t="b">
        <v>0</v>
      </c>
      <c r="L324" s="99" t="b">
        <v>0</v>
      </c>
      <c r="M324" s="99" t="b">
        <v>0</v>
      </c>
      <c r="N324" s="99" t="b">
        <v>0</v>
      </c>
      <c r="O324" s="99" t="b">
        <v>0</v>
      </c>
      <c r="P324" s="99" t="b">
        <v>0</v>
      </c>
      <c r="Q324" s="99" t="b">
        <v>0</v>
      </c>
      <c r="R324" s="14"/>
      <c r="S324" s="14"/>
      <c r="T324" s="14"/>
      <c r="U324" s="14"/>
      <c r="V324" s="14"/>
      <c r="W324" s="14"/>
    </row>
    <row r="325" ht="35.25" customHeight="1">
      <c r="A325" s="92" t="s">
        <v>6573</v>
      </c>
      <c r="B325" s="93" t="s">
        <v>6574</v>
      </c>
      <c r="C325" s="94" t="s">
        <v>6575</v>
      </c>
      <c r="D325" s="24" t="s">
        <v>6576</v>
      </c>
      <c r="E325" s="96" t="str">
        <f>IFERROR(__xludf.DUMMYFUNCTION("GOOGLETRANSLATE(D325,""zh-CN"",""vi"")"),"Sản phẩm này đại diện cho ngành công nghiệp của chúng ta.")</f>
        <v>Sản phẩm này đại diện cho ngành công nghiệp của chúng ta.</v>
      </c>
      <c r="F325" s="101" t="s">
        <v>6573</v>
      </c>
      <c r="G325" s="98" t="b">
        <f t="shared" si="1"/>
        <v>1</v>
      </c>
      <c r="H325" s="99" t="b">
        <v>0</v>
      </c>
      <c r="I325" s="99" t="b">
        <v>0</v>
      </c>
      <c r="J325" s="99" t="b">
        <v>0</v>
      </c>
      <c r="K325" s="99" t="b">
        <v>0</v>
      </c>
      <c r="L325" s="99" t="b">
        <v>0</v>
      </c>
      <c r="M325" s="99" t="b">
        <v>0</v>
      </c>
      <c r="N325" s="99" t="b">
        <v>0</v>
      </c>
      <c r="O325" s="99" t="b">
        <v>0</v>
      </c>
      <c r="P325" s="99" t="b">
        <v>0</v>
      </c>
      <c r="Q325" s="99" t="b">
        <v>0</v>
      </c>
      <c r="R325" s="14"/>
      <c r="S325" s="14"/>
      <c r="T325" s="14"/>
      <c r="U325" s="14"/>
      <c r="V325" s="14"/>
      <c r="W325" s="14"/>
    </row>
    <row r="326" ht="35.25" customHeight="1">
      <c r="A326" s="92" t="s">
        <v>6585</v>
      </c>
      <c r="B326" s="93" t="s">
        <v>6586</v>
      </c>
      <c r="C326" s="94" t="s">
        <v>6587</v>
      </c>
      <c r="D326" s="24" t="s">
        <v>6588</v>
      </c>
      <c r="E326" s="96" t="str">
        <f>IFERROR(__xludf.DUMMYFUNCTION("GOOGLETRANSLATE(D326,""zh-CN"",""vi"")"),"Công ty vừa công bố một chính sách mới.")</f>
        <v>Công ty vừa công bố một chính sách mới.</v>
      </c>
      <c r="F326" s="101" t="s">
        <v>6585</v>
      </c>
      <c r="G326" s="98" t="b">
        <f t="shared" si="1"/>
        <v>1</v>
      </c>
      <c r="H326" s="99" t="b">
        <v>0</v>
      </c>
      <c r="I326" s="99" t="b">
        <v>0</v>
      </c>
      <c r="J326" s="99" t="b">
        <v>0</v>
      </c>
      <c r="K326" s="99" t="b">
        <v>0</v>
      </c>
      <c r="L326" s="99" t="b">
        <v>0</v>
      </c>
      <c r="M326" s="99" t="b">
        <v>0</v>
      </c>
      <c r="N326" s="99" t="b">
        <v>0</v>
      </c>
      <c r="O326" s="99" t="b">
        <v>0</v>
      </c>
      <c r="P326" s="99" t="b">
        <v>0</v>
      </c>
      <c r="Q326" s="99" t="b">
        <v>0</v>
      </c>
      <c r="R326" s="14"/>
      <c r="S326" s="14"/>
      <c r="T326" s="14"/>
      <c r="U326" s="14"/>
      <c r="V326" s="14"/>
      <c r="W326" s="14"/>
    </row>
    <row r="327" ht="35.25" customHeight="1">
      <c r="A327" s="92" t="s">
        <v>6593</v>
      </c>
      <c r="B327" s="93" t="s">
        <v>6594</v>
      </c>
      <c r="C327" s="94" t="s">
        <v>6595</v>
      </c>
      <c r="D327" s="24" t="s">
        <v>6596</v>
      </c>
      <c r="E327" s="96" t="str">
        <f>IFERROR(__xludf.DUMMYFUNCTION("GOOGLETRANSLATE(D327,""zh-CN"",""vi"")"),"Thông tin này đã được công bố.")</f>
        <v>Thông tin này đã được công bố.</v>
      </c>
      <c r="F327" s="101" t="s">
        <v>6593</v>
      </c>
      <c r="G327" s="98" t="b">
        <f t="shared" si="1"/>
        <v>1</v>
      </c>
      <c r="H327" s="99" t="b">
        <v>0</v>
      </c>
      <c r="I327" s="99" t="b">
        <v>0</v>
      </c>
      <c r="J327" s="99" t="b">
        <v>0</v>
      </c>
      <c r="K327" s="99" t="b">
        <v>0</v>
      </c>
      <c r="L327" s="99" t="b">
        <v>0</v>
      </c>
      <c r="M327" s="99" t="b">
        <v>0</v>
      </c>
      <c r="N327" s="99" t="b">
        <v>0</v>
      </c>
      <c r="O327" s="99" t="b">
        <v>0</v>
      </c>
      <c r="P327" s="99" t="b">
        <v>0</v>
      </c>
      <c r="Q327" s="99" t="b">
        <v>0</v>
      </c>
      <c r="R327" s="14"/>
      <c r="S327" s="14"/>
      <c r="T327" s="14"/>
      <c r="U327" s="14"/>
      <c r="V327" s="14"/>
      <c r="W327" s="14"/>
    </row>
    <row r="328" ht="35.25" customHeight="1">
      <c r="A328" s="92" t="s">
        <v>6598</v>
      </c>
      <c r="B328" s="93" t="s">
        <v>6599</v>
      </c>
      <c r="C328" s="94" t="s">
        <v>6600</v>
      </c>
      <c r="D328" s="24" t="s">
        <v>6601</v>
      </c>
      <c r="E328" s="96" t="str">
        <f>IFERROR(__xludf.DUMMYFUNCTION("GOOGLETRANSLATE(D328,""zh-CN"",""vi"")"),"Chúng ta cần đối xử công bằng với tất cả mọi người.")</f>
        <v>Chúng ta cần đối xử công bằng với tất cả mọi người.</v>
      </c>
      <c r="F328" s="101" t="s">
        <v>6598</v>
      </c>
      <c r="G328" s="98" t="b">
        <f t="shared" si="1"/>
        <v>1</v>
      </c>
      <c r="H328" s="99" t="b">
        <v>0</v>
      </c>
      <c r="I328" s="99" t="b">
        <v>0</v>
      </c>
      <c r="J328" s="99" t="b">
        <v>0</v>
      </c>
      <c r="K328" s="99" t="b">
        <v>0</v>
      </c>
      <c r="L328" s="99" t="b">
        <v>0</v>
      </c>
      <c r="M328" s="99" t="b">
        <v>0</v>
      </c>
      <c r="N328" s="99" t="b">
        <v>0</v>
      </c>
      <c r="O328" s="99" t="b">
        <v>0</v>
      </c>
      <c r="P328" s="99" t="b">
        <v>0</v>
      </c>
      <c r="Q328" s="99" t="b">
        <v>0</v>
      </c>
      <c r="R328" s="14"/>
      <c r="S328" s="14"/>
      <c r="T328" s="14"/>
      <c r="U328" s="14"/>
      <c r="V328" s="14"/>
      <c r="W328" s="14"/>
    </row>
    <row r="329" ht="35.25" customHeight="1">
      <c r="A329" s="92" t="s">
        <v>6605</v>
      </c>
      <c r="B329" s="93" t="s">
        <v>6606</v>
      </c>
      <c r="C329" s="94" t="s">
        <v>6607</v>
      </c>
      <c r="D329" s="24" t="s">
        <v>6608</v>
      </c>
      <c r="E329" s="96" t="str">
        <f>IFERROR(__xludf.DUMMYFUNCTION("GOOGLETRANSLATE(D329,""zh-CN"",""vi"")"),"Cô ấy sống trong một căn hộ.")</f>
        <v>Cô ấy sống trong một căn hộ.</v>
      </c>
      <c r="F329" s="101" t="s">
        <v>6605</v>
      </c>
      <c r="G329" s="98" t="b">
        <f t="shared" si="1"/>
        <v>1</v>
      </c>
      <c r="H329" s="99" t="b">
        <v>0</v>
      </c>
      <c r="I329" s="99" t="b">
        <v>0</v>
      </c>
      <c r="J329" s="99" t="b">
        <v>0</v>
      </c>
      <c r="K329" s="99" t="b">
        <v>0</v>
      </c>
      <c r="L329" s="99" t="b">
        <v>0</v>
      </c>
      <c r="M329" s="99" t="b">
        <v>0</v>
      </c>
      <c r="N329" s="99" t="b">
        <v>0</v>
      </c>
      <c r="O329" s="99" t="b">
        <v>0</v>
      </c>
      <c r="P329" s="99" t="b">
        <v>0</v>
      </c>
      <c r="Q329" s="99" t="b">
        <v>0</v>
      </c>
      <c r="R329" s="14"/>
      <c r="S329" s="14"/>
      <c r="T329" s="14"/>
      <c r="U329" s="14"/>
      <c r="V329" s="14"/>
      <c r="W329" s="14"/>
    </row>
    <row r="330" ht="35.25" customHeight="1">
      <c r="A330" s="92" t="s">
        <v>6609</v>
      </c>
      <c r="B330" s="93" t="s">
        <v>6610</v>
      </c>
      <c r="C330" s="94" t="s">
        <v>6611</v>
      </c>
      <c r="D330" s="24" t="s">
        <v>6612</v>
      </c>
      <c r="E330" s="96" t="str">
        <f>IFERROR(__xludf.DUMMYFUNCTION("GOOGLETRANSLATE(D330,""zh-CN"",""vi"")"),"Lịch sử thế kỷ thứ năm trước Công nguyên rất thú vị.")</f>
        <v>Lịch sử thế kỷ thứ năm trước Công nguyên rất thú vị.</v>
      </c>
      <c r="F330" s="101" t="s">
        <v>6609</v>
      </c>
      <c r="G330" s="98" t="b">
        <f t="shared" si="1"/>
        <v>1</v>
      </c>
      <c r="H330" s="99" t="b">
        <v>0</v>
      </c>
      <c r="I330" s="99" t="b">
        <v>0</v>
      </c>
      <c r="J330" s="99" t="b">
        <v>0</v>
      </c>
      <c r="K330" s="99" t="b">
        <v>0</v>
      </c>
      <c r="L330" s="99" t="b">
        <v>0</v>
      </c>
      <c r="M330" s="99" t="b">
        <v>0</v>
      </c>
      <c r="N330" s="99" t="b">
        <v>0</v>
      </c>
      <c r="O330" s="99" t="b">
        <v>0</v>
      </c>
      <c r="P330" s="99" t="b">
        <v>0</v>
      </c>
      <c r="Q330" s="99" t="b">
        <v>0</v>
      </c>
      <c r="R330" s="14"/>
      <c r="S330" s="14"/>
      <c r="T330" s="14"/>
      <c r="U330" s="14"/>
      <c r="V330" s="14"/>
      <c r="W330" s="14"/>
    </row>
    <row r="331" ht="35.25" customHeight="1">
      <c r="A331" s="92" t="s">
        <v>6613</v>
      </c>
      <c r="B331" s="93" t="s">
        <v>6614</v>
      </c>
      <c r="C331" s="94" t="s">
        <v>6615</v>
      </c>
      <c r="D331" s="24" t="s">
        <v>6616</v>
      </c>
      <c r="E331" s="96" t="str">
        <f>IFERROR(__xludf.DUMMYFUNCTION("GOOGLETRANSLATE(D331,""zh-CN"",""vi"")"),"Nàng là một công chúa xinh đẹp.")</f>
        <v>Nàng là một công chúa xinh đẹp.</v>
      </c>
      <c r="F331" s="101" t="s">
        <v>6613</v>
      </c>
      <c r="G331" s="98" t="b">
        <f t="shared" si="1"/>
        <v>1</v>
      </c>
      <c r="H331" s="99" t="b">
        <v>0</v>
      </c>
      <c r="I331" s="99" t="b">
        <v>0</v>
      </c>
      <c r="J331" s="99" t="b">
        <v>0</v>
      </c>
      <c r="K331" s="99" t="b">
        <v>0</v>
      </c>
      <c r="L331" s="99" t="b">
        <v>0</v>
      </c>
      <c r="M331" s="99" t="b">
        <v>0</v>
      </c>
      <c r="N331" s="99" t="b">
        <v>0</v>
      </c>
      <c r="O331" s="99" t="b">
        <v>0</v>
      </c>
      <c r="P331" s="99" t="b">
        <v>0</v>
      </c>
      <c r="Q331" s="99" t="b">
        <v>0</v>
      </c>
      <c r="R331" s="14"/>
      <c r="S331" s="14"/>
      <c r="T331" s="14"/>
      <c r="U331" s="14"/>
      <c r="V331" s="14"/>
      <c r="W331" s="14"/>
    </row>
    <row r="332" ht="35.25" customHeight="1">
      <c r="A332" s="92" t="s">
        <v>6621</v>
      </c>
      <c r="B332" s="93" t="s">
        <v>6622</v>
      </c>
      <c r="C332" s="94" t="s">
        <v>6623</v>
      </c>
      <c r="D332" s="24" t="s">
        <v>6624</v>
      </c>
      <c r="E332" s="96" t="str">
        <f>IFERROR(__xludf.DUMMYFUNCTION("GOOGLETRANSLATE(D332,""zh-CN"",""vi"")"),"Phần mềm này rất mạnh mẽ.")</f>
        <v>Phần mềm này rất mạnh mẽ.</v>
      </c>
      <c r="F332" s="101" t="s">
        <v>6621</v>
      </c>
      <c r="G332" s="98" t="b">
        <f t="shared" si="1"/>
        <v>1</v>
      </c>
      <c r="H332" s="99" t="b">
        <v>0</v>
      </c>
      <c r="I332" s="99" t="b">
        <v>0</v>
      </c>
      <c r="J332" s="99" t="b">
        <v>0</v>
      </c>
      <c r="K332" s="99" t="b">
        <v>0</v>
      </c>
      <c r="L332" s="99" t="b">
        <v>0</v>
      </c>
      <c r="M332" s="99" t="b">
        <v>0</v>
      </c>
      <c r="N332" s="99" t="b">
        <v>0</v>
      </c>
      <c r="O332" s="99" t="b">
        <v>0</v>
      </c>
      <c r="P332" s="99" t="b">
        <v>0</v>
      </c>
      <c r="Q332" s="99" t="b">
        <v>0</v>
      </c>
      <c r="R332" s="14"/>
      <c r="S332" s="14"/>
      <c r="T332" s="14"/>
      <c r="U332" s="14"/>
      <c r="V332" s="14"/>
      <c r="W332" s="14"/>
    </row>
    <row r="333" ht="35.25" customHeight="1">
      <c r="A333" s="92" t="s">
        <v>6629</v>
      </c>
      <c r="B333" s="93" t="s">
        <v>6630</v>
      </c>
      <c r="C333" s="94" t="s">
        <v>4719</v>
      </c>
      <c r="D333" s="24" t="s">
        <v>6632</v>
      </c>
      <c r="E333" s="96" t="str">
        <f>IFERROR(__xludf.DUMMYFUNCTION("GOOGLETRANSLATE(D333,""zh-CN"",""vi"")"),"Chúc mừng bạn đã giành được giải thưởng.")</f>
        <v>Chúc mừng bạn đã giành được giải thưởng.</v>
      </c>
      <c r="F333" s="101" t="s">
        <v>6629</v>
      </c>
      <c r="G333" s="98" t="b">
        <f t="shared" si="1"/>
        <v>1</v>
      </c>
      <c r="H333" s="99" t="b">
        <v>0</v>
      </c>
      <c r="I333" s="99" t="b">
        <v>0</v>
      </c>
      <c r="J333" s="99" t="b">
        <v>0</v>
      </c>
      <c r="K333" s="99" t="b">
        <v>0</v>
      </c>
      <c r="L333" s="99" t="b">
        <v>0</v>
      </c>
      <c r="M333" s="99" t="b">
        <v>0</v>
      </c>
      <c r="N333" s="99" t="b">
        <v>0</v>
      </c>
      <c r="O333" s="99" t="b">
        <v>0</v>
      </c>
      <c r="P333" s="99" t="b">
        <v>0</v>
      </c>
      <c r="Q333" s="99" t="b">
        <v>0</v>
      </c>
      <c r="R333" s="14"/>
      <c r="S333" s="14"/>
      <c r="T333" s="14"/>
      <c r="U333" s="14"/>
      <c r="V333" s="14"/>
      <c r="W333" s="14"/>
    </row>
    <row r="334" ht="35.25" customHeight="1">
      <c r="A334" s="92" t="s">
        <v>6640</v>
      </c>
      <c r="B334" s="93" t="s">
        <v>6641</v>
      </c>
      <c r="C334" s="94" t="s">
        <v>6642</v>
      </c>
      <c r="D334" s="24" t="s">
        <v>6643</v>
      </c>
      <c r="E334" s="96" t="str">
        <f>IFERROR(__xludf.DUMMYFUNCTION("GOOGLETRANSLATE(D334,""zh-CN"",""vi"")"),"Những đóng góp của ông ấy rất đáng kể.")</f>
        <v>Những đóng góp của ông ấy rất đáng kể.</v>
      </c>
      <c r="F334" s="101" t="s">
        <v>6640</v>
      </c>
      <c r="G334" s="98" t="b">
        <f t="shared" si="1"/>
        <v>1</v>
      </c>
      <c r="H334" s="99" t="b">
        <v>0</v>
      </c>
      <c r="I334" s="99" t="b">
        <v>0</v>
      </c>
      <c r="J334" s="99" t="b">
        <v>0</v>
      </c>
      <c r="K334" s="99" t="b">
        <v>0</v>
      </c>
      <c r="L334" s="99" t="b">
        <v>0</v>
      </c>
      <c r="M334" s="99" t="b">
        <v>0</v>
      </c>
      <c r="N334" s="99" t="b">
        <v>0</v>
      </c>
      <c r="O334" s="99" t="b">
        <v>0</v>
      </c>
      <c r="P334" s="99" t="b">
        <v>0</v>
      </c>
      <c r="Q334" s="99" t="b">
        <v>0</v>
      </c>
      <c r="R334" s="14"/>
      <c r="S334" s="14"/>
      <c r="T334" s="14"/>
      <c r="U334" s="14"/>
      <c r="V334" s="14"/>
      <c r="W334" s="14"/>
    </row>
    <row r="335" ht="35.25" customHeight="1">
      <c r="A335" s="92" t="s">
        <v>6648</v>
      </c>
      <c r="B335" s="93" t="s">
        <v>6649</v>
      </c>
      <c r="C335" s="94" t="s">
        <v>6650</v>
      </c>
      <c r="D335" s="24" t="s">
        <v>6651</v>
      </c>
      <c r="E335" s="96" t="str">
        <f>IFERROR(__xludf.DUMMYFUNCTION("GOOGLETRANSLATE(D335,""zh-CN"",""vi"")"),"Chúng ta cần giao tiếp hiệu quả.")</f>
        <v>Chúng ta cần giao tiếp hiệu quả.</v>
      </c>
      <c r="F335" s="101" t="s">
        <v>6648</v>
      </c>
      <c r="G335" s="98" t="b">
        <f t="shared" si="1"/>
        <v>1</v>
      </c>
      <c r="H335" s="99" t="b">
        <v>0</v>
      </c>
      <c r="I335" s="99" t="b">
        <v>0</v>
      </c>
      <c r="J335" s="99" t="b">
        <v>0</v>
      </c>
      <c r="K335" s="99" t="b">
        <v>0</v>
      </c>
      <c r="L335" s="99" t="b">
        <v>0</v>
      </c>
      <c r="M335" s="99" t="b">
        <v>0</v>
      </c>
      <c r="N335" s="99" t="b">
        <v>0</v>
      </c>
      <c r="O335" s="99" t="b">
        <v>0</v>
      </c>
      <c r="P335" s="99" t="b">
        <v>0</v>
      </c>
      <c r="Q335" s="99" t="b">
        <v>0</v>
      </c>
      <c r="R335" s="14"/>
      <c r="S335" s="14"/>
      <c r="T335" s="14"/>
      <c r="U335" s="14"/>
      <c r="V335" s="14"/>
      <c r="W335" s="14"/>
    </row>
    <row r="336" ht="35.25" customHeight="1">
      <c r="A336" s="92" t="s">
        <v>6655</v>
      </c>
      <c r="B336" s="93" t="s">
        <v>6656</v>
      </c>
      <c r="C336" s="94" t="s">
        <v>6657</v>
      </c>
      <c r="D336" s="24" t="s">
        <v>6658</v>
      </c>
      <c r="E336" s="96" t="str">
        <f>IFERROR(__xludf.DUMMYFUNCTION("GOOGLETRANSLATE(D336,""zh-CN"",""vi"")"),"Những bộ phận này cấu thành toàn bộ dự án.")</f>
        <v>Những bộ phận này cấu thành toàn bộ dự án.</v>
      </c>
      <c r="F336" s="101" t="s">
        <v>6655</v>
      </c>
      <c r="G336" s="98" t="b">
        <f t="shared" si="1"/>
        <v>1</v>
      </c>
      <c r="H336" s="99" t="b">
        <v>0</v>
      </c>
      <c r="I336" s="99" t="b">
        <v>0</v>
      </c>
      <c r="J336" s="99" t="b">
        <v>0</v>
      </c>
      <c r="K336" s="99" t="b">
        <v>0</v>
      </c>
      <c r="L336" s="99" t="b">
        <v>0</v>
      </c>
      <c r="M336" s="99" t="b">
        <v>0</v>
      </c>
      <c r="N336" s="99" t="b">
        <v>0</v>
      </c>
      <c r="O336" s="99" t="b">
        <v>0</v>
      </c>
      <c r="P336" s="99" t="b">
        <v>0</v>
      </c>
      <c r="Q336" s="99" t="b">
        <v>0</v>
      </c>
      <c r="R336" s="14"/>
      <c r="S336" s="14"/>
      <c r="T336" s="14"/>
      <c r="U336" s="14"/>
      <c r="V336" s="14"/>
      <c r="W336" s="14"/>
    </row>
    <row r="337" ht="35.25" customHeight="1">
      <c r="A337" s="92" t="s">
        <v>6662</v>
      </c>
      <c r="B337" s="93" t="s">
        <v>6663</v>
      </c>
      <c r="C337" s="94" t="s">
        <v>6664</v>
      </c>
      <c r="D337" s="24" t="s">
        <v>6665</v>
      </c>
      <c r="E337" s="96" t="str">
        <f>IFERROR(__xludf.DUMMYFUNCTION("GOOGLETRANSLATE(D337,""zh-CN"",""vi"")"),"Tôi đến nhà dì tôi chơi.")</f>
        <v>Tôi đến nhà dì tôi chơi.</v>
      </c>
      <c r="F337" s="101" t="s">
        <v>6662</v>
      </c>
      <c r="G337" s="98" t="b">
        <f t="shared" si="1"/>
        <v>1</v>
      </c>
      <c r="H337" s="99" t="b">
        <v>0</v>
      </c>
      <c r="I337" s="99" t="b">
        <v>0</v>
      </c>
      <c r="J337" s="99" t="b">
        <v>0</v>
      </c>
      <c r="K337" s="99" t="b">
        <v>0</v>
      </c>
      <c r="L337" s="99" t="b">
        <v>0</v>
      </c>
      <c r="M337" s="99" t="b">
        <v>0</v>
      </c>
      <c r="N337" s="99" t="b">
        <v>0</v>
      </c>
      <c r="O337" s="99" t="b">
        <v>0</v>
      </c>
      <c r="P337" s="99" t="b">
        <v>0</v>
      </c>
      <c r="Q337" s="99" t="b">
        <v>0</v>
      </c>
      <c r="R337" s="14"/>
      <c r="S337" s="14"/>
      <c r="T337" s="14"/>
      <c r="U337" s="14"/>
      <c r="V337" s="14"/>
      <c r="W337" s="14"/>
    </row>
    <row r="338" ht="35.25" customHeight="1">
      <c r="A338" s="92" t="s">
        <v>6670</v>
      </c>
      <c r="B338" s="93" t="s">
        <v>6671</v>
      </c>
      <c r="C338" s="94" t="s">
        <v>6672</v>
      </c>
      <c r="D338" s="24" t="s">
        <v>6673</v>
      </c>
      <c r="E338" s="96" t="str">
        <f>IFERROR(__xludf.DUMMYFUNCTION("GOOGLETRANSLATE(D338,""zh-CN"",""vi"")"),"Cô gái này rất thân thiện.")</f>
        <v>Cô gái này rất thân thiện.</v>
      </c>
      <c r="F338" s="101" t="s">
        <v>6670</v>
      </c>
      <c r="G338" s="98" t="b">
        <f t="shared" si="1"/>
        <v>1</v>
      </c>
      <c r="H338" s="99" t="b">
        <v>0</v>
      </c>
      <c r="I338" s="99" t="b">
        <v>0</v>
      </c>
      <c r="J338" s="99" t="b">
        <v>0</v>
      </c>
      <c r="K338" s="99" t="b">
        <v>0</v>
      </c>
      <c r="L338" s="99" t="b">
        <v>0</v>
      </c>
      <c r="M338" s="99" t="b">
        <v>0</v>
      </c>
      <c r="N338" s="99" t="b">
        <v>0</v>
      </c>
      <c r="O338" s="99" t="b">
        <v>0</v>
      </c>
      <c r="P338" s="99" t="b">
        <v>0</v>
      </c>
      <c r="Q338" s="99" t="b">
        <v>0</v>
      </c>
      <c r="R338" s="14"/>
      <c r="S338" s="14"/>
      <c r="T338" s="14"/>
      <c r="U338" s="14"/>
      <c r="V338" s="14"/>
      <c r="W338" s="14"/>
    </row>
    <row r="339" ht="35.25" customHeight="1">
      <c r="A339" s="92" t="s">
        <v>6677</v>
      </c>
      <c r="B339" s="93" t="s">
        <v>6678</v>
      </c>
      <c r="C339" s="94" t="s">
        <v>6679</v>
      </c>
      <c r="D339" s="24" t="s">
        <v>6681</v>
      </c>
      <c r="E339" s="96" t="str">
        <f>IFERROR(__xludf.DUMMYFUNCTION("GOOGLETRANSLATE(D339,""zh-CN"",""vi"")"),"Phong cách kiến ​​trúc cổ xưa rất đặc sắc.")</f>
        <v>Phong cách kiến ​​trúc cổ xưa rất đặc sắc.</v>
      </c>
      <c r="F339" s="101" t="s">
        <v>6677</v>
      </c>
      <c r="G339" s="98" t="b">
        <f t="shared" si="1"/>
        <v>1</v>
      </c>
      <c r="H339" s="99" t="b">
        <v>0</v>
      </c>
      <c r="I339" s="99" t="b">
        <v>0</v>
      </c>
      <c r="J339" s="99" t="b">
        <v>0</v>
      </c>
      <c r="K339" s="99" t="b">
        <v>0</v>
      </c>
      <c r="L339" s="99" t="b">
        <v>0</v>
      </c>
      <c r="M339" s="99" t="b">
        <v>0</v>
      </c>
      <c r="N339" s="99" t="b">
        <v>0</v>
      </c>
      <c r="O339" s="99" t="b">
        <v>0</v>
      </c>
      <c r="P339" s="99" t="b">
        <v>0</v>
      </c>
      <c r="Q339" s="99" t="b">
        <v>0</v>
      </c>
      <c r="R339" s="14"/>
      <c r="S339" s="14"/>
      <c r="T339" s="14"/>
      <c r="U339" s="14"/>
      <c r="V339" s="14"/>
      <c r="W339" s="14"/>
    </row>
    <row r="340" ht="35.25" customHeight="1">
      <c r="A340" s="92" t="s">
        <v>6686</v>
      </c>
      <c r="B340" s="93" t="s">
        <v>6688</v>
      </c>
      <c r="C340" s="94" t="s">
        <v>6690</v>
      </c>
      <c r="D340" s="24" t="s">
        <v>6692</v>
      </c>
      <c r="E340" s="96" t="str">
        <f>IFERROR(__xludf.DUMMYFUNCTION("GOOGLETRANSLATE(D340,""zh-CN"",""vi"")"),"Anh ấy thích nhạc cổ điển.")</f>
        <v>Anh ấy thích nhạc cổ điển.</v>
      </c>
      <c r="F340" s="101" t="s">
        <v>6686</v>
      </c>
      <c r="G340" s="98" t="b">
        <f t="shared" si="1"/>
        <v>1</v>
      </c>
      <c r="H340" s="99" t="b">
        <v>0</v>
      </c>
      <c r="I340" s="99" t="b">
        <v>0</v>
      </c>
      <c r="J340" s="99" t="b">
        <v>0</v>
      </c>
      <c r="K340" s="99" t="b">
        <v>0</v>
      </c>
      <c r="L340" s="99" t="b">
        <v>0</v>
      </c>
      <c r="M340" s="99" t="b">
        <v>0</v>
      </c>
      <c r="N340" s="99" t="b">
        <v>0</v>
      </c>
      <c r="O340" s="99" t="b">
        <v>0</v>
      </c>
      <c r="P340" s="99" t="b">
        <v>0</v>
      </c>
      <c r="Q340" s="99" t="b">
        <v>0</v>
      </c>
      <c r="R340" s="14"/>
      <c r="S340" s="14"/>
      <c r="T340" s="14"/>
      <c r="U340" s="14"/>
      <c r="V340" s="14"/>
      <c r="W340" s="14"/>
    </row>
    <row r="341" ht="35.25" customHeight="1">
      <c r="A341" s="92" t="s">
        <v>6697</v>
      </c>
      <c r="B341" s="93" t="s">
        <v>6698</v>
      </c>
      <c r="C341" s="94" t="s">
        <v>6699</v>
      </c>
      <c r="D341" s="24" t="s">
        <v>6700</v>
      </c>
      <c r="E341" s="96" t="str">
        <f>IFERROR(__xludf.DUMMYFUNCTION("GOOGLETRANSLATE(D341,""zh-CN"",""vi"")"),"Chúng ta cần nghiên cứu thị trường chứng khoán.")</f>
        <v>Chúng ta cần nghiên cứu thị trường chứng khoán.</v>
      </c>
      <c r="F341" s="101" t="s">
        <v>6697</v>
      </c>
      <c r="G341" s="98" t="b">
        <f t="shared" si="1"/>
        <v>1</v>
      </c>
      <c r="H341" s="99" t="b">
        <v>0</v>
      </c>
      <c r="I341" s="99" t="b">
        <v>0</v>
      </c>
      <c r="J341" s="99" t="b">
        <v>0</v>
      </c>
      <c r="K341" s="99" t="b">
        <v>0</v>
      </c>
      <c r="L341" s="99" t="b">
        <v>0</v>
      </c>
      <c r="M341" s="99" t="b">
        <v>0</v>
      </c>
      <c r="N341" s="99" t="b">
        <v>0</v>
      </c>
      <c r="O341" s="99" t="b">
        <v>0</v>
      </c>
      <c r="P341" s="99" t="b">
        <v>0</v>
      </c>
      <c r="Q341" s="99" t="b">
        <v>0</v>
      </c>
      <c r="R341" s="14"/>
      <c r="S341" s="14"/>
      <c r="T341" s="14"/>
      <c r="U341" s="14"/>
      <c r="V341" s="14"/>
      <c r="W341" s="14"/>
    </row>
    <row r="342" ht="35.25" customHeight="1">
      <c r="A342" s="92" t="s">
        <v>6705</v>
      </c>
      <c r="B342" s="93" t="s">
        <v>6706</v>
      </c>
      <c r="C342" s="94" t="s">
        <v>6707</v>
      </c>
      <c r="D342" s="24" t="s">
        <v>6708</v>
      </c>
      <c r="E342" s="96" t="str">
        <f>IFERROR(__xludf.DUMMYFUNCTION("GOOGLETRANSLATE(D342,""zh-CN"",""vi"")"),"Xương này rất cứng.")</f>
        <v>Xương này rất cứng.</v>
      </c>
      <c r="F342" s="101" t="s">
        <v>6705</v>
      </c>
      <c r="G342" s="98" t="b">
        <f t="shared" si="1"/>
        <v>1</v>
      </c>
      <c r="H342" s="99" t="b">
        <v>0</v>
      </c>
      <c r="I342" s="99" t="b">
        <v>0</v>
      </c>
      <c r="J342" s="99" t="b">
        <v>0</v>
      </c>
      <c r="K342" s="99" t="b">
        <v>0</v>
      </c>
      <c r="L342" s="99" t="b">
        <v>0</v>
      </c>
      <c r="M342" s="99" t="b">
        <v>0</v>
      </c>
      <c r="N342" s="99" t="b">
        <v>0</v>
      </c>
      <c r="O342" s="99" t="b">
        <v>0</v>
      </c>
      <c r="P342" s="99" t="b">
        <v>0</v>
      </c>
      <c r="Q342" s="99" t="b">
        <v>0</v>
      </c>
      <c r="R342" s="14"/>
      <c r="S342" s="14"/>
      <c r="T342" s="14"/>
      <c r="U342" s="14"/>
      <c r="V342" s="14"/>
      <c r="W342" s="14"/>
    </row>
    <row r="343" ht="35.25" customHeight="1">
      <c r="A343" s="92" t="s">
        <v>6712</v>
      </c>
      <c r="B343" s="93" t="s">
        <v>6713</v>
      </c>
      <c r="C343" s="94" t="s">
        <v>1806</v>
      </c>
      <c r="D343" s="24" t="s">
        <v>6714</v>
      </c>
      <c r="E343" s="96" t="str">
        <f>IFERROR(__xludf.DUMMYFUNCTION("GOOGLETRANSLATE(D343,""zh-CN"",""vi"")"),"Bài phát biểu của ông đã truyền cảm hứng cho tất cả mọi người.")</f>
        <v>Bài phát biểu của ông đã truyền cảm hứng cho tất cả mọi người.</v>
      </c>
      <c r="F343" s="101" t="s">
        <v>6712</v>
      </c>
      <c r="G343" s="98" t="b">
        <f t="shared" si="1"/>
        <v>1</v>
      </c>
      <c r="H343" s="99" t="b">
        <v>0</v>
      </c>
      <c r="I343" s="99" t="b">
        <v>0</v>
      </c>
      <c r="J343" s="99" t="b">
        <v>0</v>
      </c>
      <c r="K343" s="99" t="b">
        <v>0</v>
      </c>
      <c r="L343" s="99" t="b">
        <v>0</v>
      </c>
      <c r="M343" s="99" t="b">
        <v>0</v>
      </c>
      <c r="N343" s="99" t="b">
        <v>0</v>
      </c>
      <c r="O343" s="99" t="b">
        <v>0</v>
      </c>
      <c r="P343" s="99" t="b">
        <v>0</v>
      </c>
      <c r="Q343" s="99" t="b">
        <v>0</v>
      </c>
      <c r="R343" s="14"/>
      <c r="S343" s="14"/>
      <c r="T343" s="14"/>
      <c r="U343" s="14"/>
      <c r="V343" s="14"/>
      <c r="W343" s="14"/>
    </row>
    <row r="344" ht="35.25" customHeight="1">
      <c r="A344" s="92" t="s">
        <v>6718</v>
      </c>
      <c r="B344" s="93" t="s">
        <v>6719</v>
      </c>
      <c r="C344" s="94" t="s">
        <v>6720</v>
      </c>
      <c r="D344" s="24" t="s">
        <v>6722</v>
      </c>
      <c r="E344" s="96" t="str">
        <f>IFERROR(__xludf.DUMMYFUNCTION("GOOGLETRANSLATE(D344,""zh-CN"",""vi"")"),"Mọi người đều vỗ tay tán thưởng anh ấy.")</f>
        <v>Mọi người đều vỗ tay tán thưởng anh ấy.</v>
      </c>
      <c r="F344" s="101" t="s">
        <v>6718</v>
      </c>
      <c r="G344" s="98" t="b">
        <f t="shared" si="1"/>
        <v>1</v>
      </c>
      <c r="H344" s="99" t="b">
        <v>0</v>
      </c>
      <c r="I344" s="99" t="b">
        <v>0</v>
      </c>
      <c r="J344" s="99" t="b">
        <v>0</v>
      </c>
      <c r="K344" s="99" t="b">
        <v>0</v>
      </c>
      <c r="L344" s="99" t="b">
        <v>0</v>
      </c>
      <c r="M344" s="99" t="b">
        <v>0</v>
      </c>
      <c r="N344" s="99" t="b">
        <v>0</v>
      </c>
      <c r="O344" s="99" t="b">
        <v>0</v>
      </c>
      <c r="P344" s="99" t="b">
        <v>0</v>
      </c>
      <c r="Q344" s="99" t="b">
        <v>0</v>
      </c>
      <c r="R344" s="14"/>
      <c r="S344" s="14"/>
      <c r="T344" s="14"/>
      <c r="U344" s="14"/>
      <c r="V344" s="14"/>
      <c r="W344" s="14"/>
    </row>
    <row r="345" ht="35.25" customHeight="1">
      <c r="A345" s="92" t="s">
        <v>6726</v>
      </c>
      <c r="B345" s="93" t="s">
        <v>6727</v>
      </c>
      <c r="C345" s="94" t="s">
        <v>6729</v>
      </c>
      <c r="D345" s="24" t="s">
        <v>6731</v>
      </c>
      <c r="E345" s="96" t="str">
        <f>IFERROR(__xludf.DUMMYFUNCTION("GOOGLETRANSLATE(D345,""zh-CN"",""vi"")"),"Bảng này cố định.")</f>
        <v>Bảng này cố định.</v>
      </c>
      <c r="F345" s="101" t="s">
        <v>6726</v>
      </c>
      <c r="G345" s="98" t="b">
        <f t="shared" si="1"/>
        <v>1</v>
      </c>
      <c r="H345" s="99" t="b">
        <v>1</v>
      </c>
      <c r="I345" s="99" t="b">
        <v>0</v>
      </c>
      <c r="J345" s="99" t="b">
        <v>0</v>
      </c>
      <c r="K345" s="99" t="b">
        <v>0</v>
      </c>
      <c r="L345" s="99" t="b">
        <v>0</v>
      </c>
      <c r="M345" s="99" t="b">
        <v>0</v>
      </c>
      <c r="N345" s="99" t="b">
        <v>0</v>
      </c>
      <c r="O345" s="99" t="b">
        <v>0</v>
      </c>
      <c r="P345" s="99" t="b">
        <v>0</v>
      </c>
      <c r="Q345" s="99" t="b">
        <v>0</v>
      </c>
      <c r="R345" s="14"/>
      <c r="S345" s="14"/>
      <c r="T345" s="14"/>
      <c r="U345" s="14"/>
      <c r="V345" s="14"/>
      <c r="W345" s="14"/>
    </row>
    <row r="346" ht="35.25" customHeight="1">
      <c r="A346" s="92" t="s">
        <v>6734</v>
      </c>
      <c r="B346" s="93" t="s">
        <v>6735</v>
      </c>
      <c r="C346" s="94" t="s">
        <v>6736</v>
      </c>
      <c r="D346" s="24" t="s">
        <v>6738</v>
      </c>
      <c r="E346" s="96" t="str">
        <f>IFERROR(__xludf.DUMMYFUNCTION("GOOGLETRANSLATE(D346,""zh-CN"",""vi"")"),"Vui lòng đăng ký trước khi vào.")</f>
        <v>Vui lòng đăng ký trước khi vào.</v>
      </c>
      <c r="F346" s="101" t="s">
        <v>6734</v>
      </c>
      <c r="G346" s="98" t="b">
        <f t="shared" si="1"/>
        <v>1</v>
      </c>
      <c r="H346" s="99" t="b">
        <v>1</v>
      </c>
      <c r="I346" s="99" t="b">
        <v>0</v>
      </c>
      <c r="J346" s="99" t="b">
        <v>0</v>
      </c>
      <c r="K346" s="99" t="b">
        <v>0</v>
      </c>
      <c r="L346" s="99" t="b">
        <v>0</v>
      </c>
      <c r="M346" s="99" t="b">
        <v>0</v>
      </c>
      <c r="N346" s="99" t="b">
        <v>0</v>
      </c>
      <c r="O346" s="99" t="b">
        <v>0</v>
      </c>
      <c r="P346" s="99" t="b">
        <v>0</v>
      </c>
      <c r="Q346" s="99" t="b">
        <v>0</v>
      </c>
      <c r="R346" s="14"/>
      <c r="S346" s="14"/>
      <c r="T346" s="14"/>
      <c r="U346" s="14"/>
      <c r="V346" s="14"/>
      <c r="W346" s="14"/>
    </row>
    <row r="347" ht="35.25" customHeight="1">
      <c r="A347" s="92" t="s">
        <v>6742</v>
      </c>
      <c r="B347" s="93" t="s">
        <v>6743</v>
      </c>
      <c r="C347" s="94" t="s">
        <v>6746</v>
      </c>
      <c r="D347" s="24" t="s">
        <v>6748</v>
      </c>
      <c r="E347" s="96" t="str">
        <f>IFERROR(__xludf.DUMMYFUNCTION("GOOGLETRANSLATE(D347,""zh-CN"",""vi"")"),"Cô ấy cư xử rất tốt.")</f>
        <v>Cô ấy cư xử rất tốt.</v>
      </c>
      <c r="F347" s="101" t="s">
        <v>6742</v>
      </c>
      <c r="G347" s="98" t="b">
        <f t="shared" si="1"/>
        <v>1</v>
      </c>
      <c r="H347" s="99" t="b">
        <v>1</v>
      </c>
      <c r="I347" s="99" t="b">
        <v>0</v>
      </c>
      <c r="J347" s="99" t="b">
        <v>0</v>
      </c>
      <c r="K347" s="99" t="b">
        <v>0</v>
      </c>
      <c r="L347" s="99" t="b">
        <v>0</v>
      </c>
      <c r="M347" s="99" t="b">
        <v>0</v>
      </c>
      <c r="N347" s="99" t="b">
        <v>0</v>
      </c>
      <c r="O347" s="99" t="b">
        <v>0</v>
      </c>
      <c r="P347" s="99" t="b">
        <v>0</v>
      </c>
      <c r="Q347" s="99" t="b">
        <v>0</v>
      </c>
      <c r="R347" s="14"/>
      <c r="S347" s="14"/>
      <c r="T347" s="14"/>
      <c r="U347" s="14"/>
      <c r="V347" s="14"/>
      <c r="W347" s="14"/>
    </row>
    <row r="348" ht="35.25" customHeight="1">
      <c r="A348" s="92" t="s">
        <v>6751</v>
      </c>
      <c r="B348" s="93" t="s">
        <v>6753</v>
      </c>
      <c r="C348" s="94" t="s">
        <v>6754</v>
      </c>
      <c r="D348" s="24" t="s">
        <v>6756</v>
      </c>
      <c r="E348" s="96" t="str">
        <f>IFERROR(__xludf.DUMMYFUNCTION("GOOGLETRANSLATE(D348,""zh-CN"",""vi"")"),"Chiếc xe rẽ vào một khúc cua trên đường.")</f>
        <v>Chiếc xe rẽ vào một khúc cua trên đường.</v>
      </c>
      <c r="F348" s="101" t="s">
        <v>6751</v>
      </c>
      <c r="G348" s="98" t="b">
        <f t="shared" si="1"/>
        <v>1</v>
      </c>
      <c r="H348" s="99" t="b">
        <v>1</v>
      </c>
      <c r="I348" s="99" t="b">
        <v>0</v>
      </c>
      <c r="J348" s="99" t="b">
        <v>0</v>
      </c>
      <c r="K348" s="99" t="b">
        <v>0</v>
      </c>
      <c r="L348" s="99" t="b">
        <v>0</v>
      </c>
      <c r="M348" s="99" t="b">
        <v>0</v>
      </c>
      <c r="N348" s="99" t="b">
        <v>0</v>
      </c>
      <c r="O348" s="99" t="b">
        <v>0</v>
      </c>
      <c r="P348" s="99" t="b">
        <v>0</v>
      </c>
      <c r="Q348" s="99" t="b">
        <v>0</v>
      </c>
      <c r="R348" s="14"/>
      <c r="S348" s="14"/>
      <c r="T348" s="14"/>
      <c r="U348" s="14"/>
      <c r="V348" s="14"/>
      <c r="W348" s="14"/>
    </row>
    <row r="349" ht="35.25" customHeight="1">
      <c r="A349" s="92" t="s">
        <v>6759</v>
      </c>
      <c r="B349" s="93" t="s">
        <v>6761</v>
      </c>
      <c r="C349" s="94" t="s">
        <v>6763</v>
      </c>
      <c r="D349" s="24" t="s">
        <v>6764</v>
      </c>
      <c r="E349" s="96" t="str">
        <f>IFERROR(__xludf.DUMMYFUNCTION("GOOGLETRANSLATE(D349,""zh-CN"",""vi"")"),"Chẳng trách cô ấy vui vẻ đến vậy.")</f>
        <v>Chẳng trách cô ấy vui vẻ đến vậy.</v>
      </c>
      <c r="F349" s="101" t="s">
        <v>6759</v>
      </c>
      <c r="G349" s="98" t="b">
        <f t="shared" si="1"/>
        <v>1</v>
      </c>
      <c r="H349" s="99" t="b">
        <v>1</v>
      </c>
      <c r="I349" s="99" t="b">
        <v>0</v>
      </c>
      <c r="J349" s="99" t="b">
        <v>0</v>
      </c>
      <c r="K349" s="99" t="b">
        <v>0</v>
      </c>
      <c r="L349" s="99" t="b">
        <v>0</v>
      </c>
      <c r="M349" s="99" t="b">
        <v>0</v>
      </c>
      <c r="N349" s="99" t="b">
        <v>0</v>
      </c>
      <c r="O349" s="99" t="b">
        <v>0</v>
      </c>
      <c r="P349" s="99" t="b">
        <v>0</v>
      </c>
      <c r="Q349" s="99" t="b">
        <v>0</v>
      </c>
      <c r="R349" s="14"/>
      <c r="S349" s="14"/>
      <c r="T349" s="14"/>
      <c r="U349" s="14"/>
      <c r="V349" s="14"/>
      <c r="W349" s="14"/>
    </row>
    <row r="350" ht="35.25" customHeight="1">
      <c r="A350" s="92" t="s">
        <v>6765</v>
      </c>
      <c r="B350" s="93" t="s">
        <v>6766</v>
      </c>
      <c r="C350" s="94" t="s">
        <v>6767</v>
      </c>
      <c r="D350" s="24" t="s">
        <v>6768</v>
      </c>
      <c r="E350" s="96" t="str">
        <f>IFERROR(__xludf.DUMMYFUNCTION("GOOGLETRANSLATE(D350,""zh-CN"",""vi"")"),"Họ quyết định đóng cửa công ty.")</f>
        <v>Họ quyết định đóng cửa công ty.</v>
      </c>
      <c r="F350" s="101" t="s">
        <v>6765</v>
      </c>
      <c r="G350" s="98" t="b">
        <f t="shared" si="1"/>
        <v>1</v>
      </c>
      <c r="H350" s="99" t="b">
        <v>1</v>
      </c>
      <c r="I350" s="99" t="b">
        <v>0</v>
      </c>
      <c r="J350" s="99" t="b">
        <v>0</v>
      </c>
      <c r="K350" s="99" t="b">
        <v>0</v>
      </c>
      <c r="L350" s="99" t="b">
        <v>0</v>
      </c>
      <c r="M350" s="99" t="b">
        <v>0</v>
      </c>
      <c r="N350" s="99" t="b">
        <v>0</v>
      </c>
      <c r="O350" s="99" t="b">
        <v>0</v>
      </c>
      <c r="P350" s="99" t="b">
        <v>0</v>
      </c>
      <c r="Q350" s="99" t="b">
        <v>0</v>
      </c>
      <c r="R350" s="14"/>
      <c r="S350" s="14"/>
      <c r="T350" s="14"/>
      <c r="U350" s="14"/>
      <c r="V350" s="14"/>
      <c r="W350" s="14"/>
    </row>
    <row r="351" ht="35.25" customHeight="1">
      <c r="A351" s="92" t="s">
        <v>6773</v>
      </c>
      <c r="B351" s="93" t="s">
        <v>6774</v>
      </c>
      <c r="C351" s="94" t="s">
        <v>6775</v>
      </c>
      <c r="D351" s="24" t="s">
        <v>6776</v>
      </c>
      <c r="E351" s="96" t="str">
        <f>IFERROR(__xludf.DUMMYFUNCTION("GOOGLETRANSLATE(D351,""zh-CN"",""vi"")"),"Chúng ta cần theo dõi xu hướng thị trường.")</f>
        <v>Chúng ta cần theo dõi xu hướng thị trường.</v>
      </c>
      <c r="F351" s="101" t="s">
        <v>6773</v>
      </c>
      <c r="G351" s="98" t="b">
        <f t="shared" si="1"/>
        <v>1</v>
      </c>
      <c r="H351" s="99" t="b">
        <v>1</v>
      </c>
      <c r="I351" s="99" t="b">
        <v>0</v>
      </c>
      <c r="J351" s="99" t="b">
        <v>0</v>
      </c>
      <c r="K351" s="99" t="b">
        <v>0</v>
      </c>
      <c r="L351" s="99" t="b">
        <v>0</v>
      </c>
      <c r="M351" s="99" t="b">
        <v>0</v>
      </c>
      <c r="N351" s="99" t="b">
        <v>0</v>
      </c>
      <c r="O351" s="99" t="b">
        <v>0</v>
      </c>
      <c r="P351" s="99" t="b">
        <v>0</v>
      </c>
      <c r="Q351" s="99" t="b">
        <v>0</v>
      </c>
      <c r="R351" s="14"/>
      <c r="S351" s="14"/>
      <c r="T351" s="14"/>
      <c r="U351" s="14"/>
      <c r="V351" s="14"/>
      <c r="W351" s="14"/>
    </row>
    <row r="352" ht="35.25" customHeight="1">
      <c r="A352" s="92" t="s">
        <v>6789</v>
      </c>
      <c r="B352" s="93" t="s">
        <v>6790</v>
      </c>
      <c r="C352" s="94" t="s">
        <v>2967</v>
      </c>
      <c r="D352" s="24" t="s">
        <v>6794</v>
      </c>
      <c r="E352" s="96" t="str">
        <f>IFERROR(__xludf.DUMMYFUNCTION("GOOGLETRANSLATE(D352,""zh-CN"",""vi"")"),"Anh ấy có quan điểm riêng biệt.")</f>
        <v>Anh ấy có quan điểm riêng biệt.</v>
      </c>
      <c r="F352" s="101" t="s">
        <v>6789</v>
      </c>
      <c r="G352" s="98" t="b">
        <f t="shared" si="1"/>
        <v>1</v>
      </c>
      <c r="H352" s="99" t="b">
        <v>1</v>
      </c>
      <c r="I352" s="99" t="b">
        <v>0</v>
      </c>
      <c r="J352" s="99" t="b">
        <v>0</v>
      </c>
      <c r="K352" s="99" t="b">
        <v>0</v>
      </c>
      <c r="L352" s="99" t="b">
        <v>0</v>
      </c>
      <c r="M352" s="99" t="b">
        <v>0</v>
      </c>
      <c r="N352" s="99" t="b">
        <v>0</v>
      </c>
      <c r="O352" s="99" t="b">
        <v>0</v>
      </c>
      <c r="P352" s="99" t="b">
        <v>0</v>
      </c>
      <c r="Q352" s="99" t="b">
        <v>0</v>
      </c>
      <c r="R352" s="14"/>
      <c r="S352" s="14"/>
      <c r="T352" s="14"/>
      <c r="U352" s="14"/>
      <c r="V352" s="14"/>
      <c r="W352" s="14"/>
    </row>
    <row r="353" ht="35.25" customHeight="1">
      <c r="A353" s="92" t="s">
        <v>6800</v>
      </c>
      <c r="B353" s="93" t="s">
        <v>6801</v>
      </c>
      <c r="C353" s="94" t="s">
        <v>6802</v>
      </c>
      <c r="D353" s="24" t="s">
        <v>6803</v>
      </c>
      <c r="E353" s="96" t="str">
        <f>IFERROR(__xludf.DUMMYFUNCTION("GOOGLETRANSLATE(D353,""zh-CN"",""vi"")"),"Đây là một khái niệm mới.")</f>
        <v>Đây là một khái niệm mới.</v>
      </c>
      <c r="F353" s="101" t="s">
        <v>6800</v>
      </c>
      <c r="G353" s="98" t="b">
        <f t="shared" si="1"/>
        <v>1</v>
      </c>
      <c r="H353" s="99" t="b">
        <v>1</v>
      </c>
      <c r="I353" s="99" t="b">
        <v>0</v>
      </c>
      <c r="J353" s="99" t="b">
        <v>0</v>
      </c>
      <c r="K353" s="99" t="b">
        <v>0</v>
      </c>
      <c r="L353" s="99" t="b">
        <v>0</v>
      </c>
      <c r="M353" s="99" t="b">
        <v>0</v>
      </c>
      <c r="N353" s="99" t="b">
        <v>0</v>
      </c>
      <c r="O353" s="99" t="b">
        <v>0</v>
      </c>
      <c r="P353" s="99" t="b">
        <v>0</v>
      </c>
      <c r="Q353" s="99" t="b">
        <v>0</v>
      </c>
      <c r="R353" s="14"/>
      <c r="S353" s="14"/>
      <c r="T353" s="14"/>
      <c r="U353" s="14"/>
      <c r="V353" s="14"/>
      <c r="W353" s="14"/>
    </row>
    <row r="354" ht="35.25" customHeight="1">
      <c r="A354" s="92" t="s">
        <v>6808</v>
      </c>
      <c r="B354" s="93" t="s">
        <v>1310</v>
      </c>
      <c r="C354" s="94" t="s">
        <v>6809</v>
      </c>
      <c r="D354" s="24" t="s">
        <v>6810</v>
      </c>
      <c r="E354" s="96" t="str">
        <f>IFERROR(__xludf.DUMMYFUNCTION("GOOGLETRANSLATE(D354,""zh-CN"",""vi"")"),"Ông ấy là một quan chức.")</f>
        <v>Ông ấy là một quan chức.</v>
      </c>
      <c r="F354" s="101" t="s">
        <v>6808</v>
      </c>
      <c r="G354" s="98" t="b">
        <f t="shared" si="1"/>
        <v>1</v>
      </c>
      <c r="H354" s="99" t="b">
        <v>1</v>
      </c>
      <c r="I354" s="99" t="b">
        <v>0</v>
      </c>
      <c r="J354" s="99" t="b">
        <v>0</v>
      </c>
      <c r="K354" s="99" t="b">
        <v>0</v>
      </c>
      <c r="L354" s="99" t="b">
        <v>0</v>
      </c>
      <c r="M354" s="99" t="b">
        <v>0</v>
      </c>
      <c r="N354" s="99" t="b">
        <v>0</v>
      </c>
      <c r="O354" s="99" t="b">
        <v>0</v>
      </c>
      <c r="P354" s="99" t="b">
        <v>0</v>
      </c>
      <c r="Q354" s="99" t="b">
        <v>0</v>
      </c>
      <c r="R354" s="14"/>
      <c r="S354" s="14"/>
      <c r="T354" s="14"/>
      <c r="U354" s="14"/>
      <c r="V354" s="14"/>
      <c r="W354" s="14"/>
    </row>
    <row r="355" ht="35.25" customHeight="1">
      <c r="A355" s="92" t="s">
        <v>6815</v>
      </c>
      <c r="B355" s="93" t="s">
        <v>6816</v>
      </c>
      <c r="C355" s="94" t="s">
        <v>6817</v>
      </c>
      <c r="D355" s="24" t="s">
        <v>6818</v>
      </c>
      <c r="E355" s="96" t="str">
        <f>IFERROR(__xludf.DUMMYFUNCTION("GOOGLETRANSLATE(D355,""zh-CN"",""vi"")"),"Chúng ta cần mua một số ống dẫn nước.")</f>
        <v>Chúng ta cần mua một số ống dẫn nước.</v>
      </c>
      <c r="F355" s="101" t="s">
        <v>6815</v>
      </c>
      <c r="G355" s="98" t="b">
        <f t="shared" si="1"/>
        <v>1</v>
      </c>
      <c r="H355" s="99" t="b">
        <v>1</v>
      </c>
      <c r="I355" s="99" t="b">
        <v>0</v>
      </c>
      <c r="J355" s="99" t="b">
        <v>0</v>
      </c>
      <c r="K355" s="99" t="b">
        <v>0</v>
      </c>
      <c r="L355" s="99" t="b">
        <v>0</v>
      </c>
      <c r="M355" s="99" t="b">
        <v>0</v>
      </c>
      <c r="N355" s="99" t="b">
        <v>0</v>
      </c>
      <c r="O355" s="99" t="b">
        <v>0</v>
      </c>
      <c r="P355" s="99" t="b">
        <v>0</v>
      </c>
      <c r="Q355" s="99" t="b">
        <v>0</v>
      </c>
      <c r="R355" s="14"/>
      <c r="S355" s="14"/>
      <c r="T355" s="14"/>
      <c r="U355" s="14"/>
      <c r="V355" s="14"/>
      <c r="W355" s="14"/>
    </row>
    <row r="356" ht="35.25" customHeight="1">
      <c r="A356" s="92" t="s">
        <v>6827</v>
      </c>
      <c r="B356" s="93" t="s">
        <v>6828</v>
      </c>
      <c r="C356" s="94" t="s">
        <v>6829</v>
      </c>
      <c r="D356" s="24" t="s">
        <v>6830</v>
      </c>
      <c r="E356" s="96" t="str">
        <f>IFERROR(__xludf.DUMMYFUNCTION("GOOGLETRANSLATE(D356,""zh-CN"",""vi"")"),"Anh ấy đã giành chức vô địch.")</f>
        <v>Anh ấy đã giành chức vô địch.</v>
      </c>
      <c r="F356" s="101" t="s">
        <v>6827</v>
      </c>
      <c r="G356" s="98" t="b">
        <f t="shared" si="1"/>
        <v>1</v>
      </c>
      <c r="H356" s="99" t="b">
        <v>1</v>
      </c>
      <c r="I356" s="99" t="b">
        <v>0</v>
      </c>
      <c r="J356" s="99" t="b">
        <v>0</v>
      </c>
      <c r="K356" s="99" t="b">
        <v>0</v>
      </c>
      <c r="L356" s="99" t="b">
        <v>0</v>
      </c>
      <c r="M356" s="99" t="b">
        <v>0</v>
      </c>
      <c r="N356" s="99" t="b">
        <v>0</v>
      </c>
      <c r="O356" s="99" t="b">
        <v>0</v>
      </c>
      <c r="P356" s="99" t="b">
        <v>0</v>
      </c>
      <c r="Q356" s="99" t="b">
        <v>0</v>
      </c>
      <c r="R356" s="14"/>
      <c r="S356" s="14"/>
      <c r="T356" s="14"/>
      <c r="U356" s="14"/>
      <c r="V356" s="14"/>
      <c r="W356" s="14"/>
    </row>
    <row r="357" ht="35.25" customHeight="1">
      <c r="A357" s="92" t="s">
        <v>6835</v>
      </c>
      <c r="B357" s="93" t="s">
        <v>6837</v>
      </c>
      <c r="C357" s="94" t="s">
        <v>6840</v>
      </c>
      <c r="D357" s="24" t="s">
        <v>6842</v>
      </c>
      <c r="E357" s="96" t="str">
        <f>IFERROR(__xludf.DUMMYFUNCTION("GOOGLETRANSLATE(D357,""zh-CN"",""vi"")"),"Chiếc thảm này rất mịn.")</f>
        <v>Chiếc thảm này rất mịn.</v>
      </c>
      <c r="F357" s="101" t="s">
        <v>6835</v>
      </c>
      <c r="G357" s="98" t="b">
        <f t="shared" si="1"/>
        <v>1</v>
      </c>
      <c r="H357" s="99" t="b">
        <v>1</v>
      </c>
      <c r="I357" s="99" t="b">
        <v>0</v>
      </c>
      <c r="J357" s="99" t="b">
        <v>0</v>
      </c>
      <c r="K357" s="99" t="b">
        <v>0</v>
      </c>
      <c r="L357" s="99" t="b">
        <v>0</v>
      </c>
      <c r="M357" s="99" t="b">
        <v>0</v>
      </c>
      <c r="N357" s="99" t="b">
        <v>0</v>
      </c>
      <c r="O357" s="99" t="b">
        <v>0</v>
      </c>
      <c r="P357" s="99" t="b">
        <v>0</v>
      </c>
      <c r="Q357" s="99" t="b">
        <v>0</v>
      </c>
      <c r="R357" s="14"/>
      <c r="S357" s="14"/>
      <c r="T357" s="14"/>
      <c r="U357" s="14"/>
      <c r="V357" s="14"/>
      <c r="W357" s="14"/>
    </row>
    <row r="358" ht="35.25" customHeight="1">
      <c r="A358" s="92" t="s">
        <v>6843</v>
      </c>
      <c r="B358" s="93" t="s">
        <v>6845</v>
      </c>
      <c r="C358" s="94" t="s">
        <v>6847</v>
      </c>
      <c r="D358" s="24" t="s">
        <v>6849</v>
      </c>
      <c r="E358" s="96" t="str">
        <f>IFERROR(__xludf.DUMMYFUNCTION("GOOGLETRANSLATE(D358,""zh-CN"",""vi"")"),"Chào mừng quý khách đến với cửa hàng của chúng tôi.")</f>
        <v>Chào mừng quý khách đến với cửa hàng của chúng tôi.</v>
      </c>
      <c r="F358" s="101" t="s">
        <v>6843</v>
      </c>
      <c r="G358" s="98" t="b">
        <f t="shared" si="1"/>
        <v>1</v>
      </c>
      <c r="H358" s="99" t="b">
        <v>1</v>
      </c>
      <c r="I358" s="99" t="b">
        <v>0</v>
      </c>
      <c r="J358" s="99" t="b">
        <v>0</v>
      </c>
      <c r="K358" s="99" t="b">
        <v>0</v>
      </c>
      <c r="L358" s="99" t="b">
        <v>0</v>
      </c>
      <c r="M358" s="99" t="b">
        <v>0</v>
      </c>
      <c r="N358" s="99" t="b">
        <v>0</v>
      </c>
      <c r="O358" s="99" t="b">
        <v>0</v>
      </c>
      <c r="P358" s="99" t="b">
        <v>0</v>
      </c>
      <c r="Q358" s="99" t="b">
        <v>0</v>
      </c>
      <c r="R358" s="14"/>
      <c r="S358" s="14"/>
      <c r="T358" s="14"/>
      <c r="U358" s="14"/>
      <c r="V358" s="14"/>
      <c r="W358" s="14"/>
    </row>
    <row r="359" ht="35.25" customHeight="1">
      <c r="A359" s="92" t="s">
        <v>6851</v>
      </c>
      <c r="B359" s="93" t="s">
        <v>6853</v>
      </c>
      <c r="C359" s="94" t="s">
        <v>6856</v>
      </c>
      <c r="D359" s="24" t="s">
        <v>6858</v>
      </c>
      <c r="E359" s="96" t="str">
        <f>IFERROR(__xludf.DUMMYFUNCTION("GOOGLETRANSLATE(D359,""zh-CN"",""vi"")"),"Ánh mặt trời buổi sáng chiếu rọi trái đất, mang đến cho chúng ta niềm hy vọng về tương lai.")</f>
        <v>Ánh mặt trời buổi sáng chiếu rọi trái đất, mang đến cho chúng ta niềm hy vọng về tương lai.</v>
      </c>
      <c r="F359" s="101" t="s">
        <v>6851</v>
      </c>
      <c r="G359" s="98" t="b">
        <f t="shared" si="1"/>
        <v>1</v>
      </c>
      <c r="H359" s="99" t="b">
        <v>1</v>
      </c>
      <c r="I359" s="99" t="b">
        <v>0</v>
      </c>
      <c r="J359" s="99" t="b">
        <v>0</v>
      </c>
      <c r="K359" s="99" t="b">
        <v>0</v>
      </c>
      <c r="L359" s="99" t="b">
        <v>0</v>
      </c>
      <c r="M359" s="99" t="b">
        <v>0</v>
      </c>
      <c r="N359" s="99" t="b">
        <v>0</v>
      </c>
      <c r="O359" s="99" t="b">
        <v>0</v>
      </c>
      <c r="P359" s="99" t="b">
        <v>0</v>
      </c>
      <c r="Q359" s="99" t="b">
        <v>0</v>
      </c>
      <c r="R359" s="14"/>
      <c r="S359" s="14"/>
      <c r="T359" s="14"/>
      <c r="U359" s="14"/>
      <c r="V359" s="14"/>
      <c r="W359" s="14"/>
    </row>
    <row r="360" ht="35.25" customHeight="1">
      <c r="A360" s="92" t="s">
        <v>6861</v>
      </c>
      <c r="B360" s="93" t="s">
        <v>6863</v>
      </c>
      <c r="C360" s="94" t="s">
        <v>6865</v>
      </c>
      <c r="D360" s="24" t="s">
        <v>6866</v>
      </c>
      <c r="E360" s="96" t="str">
        <f>IFERROR(__xludf.DUMMYFUNCTION("GOOGLETRANSLATE(D360,""zh-CN"",""vi"")"),"Chúng tôi đã mua một đĩa CD.")</f>
        <v>Chúng tôi đã mua một đĩa CD.</v>
      </c>
      <c r="F360" s="101" t="s">
        <v>6861</v>
      </c>
      <c r="G360" s="98" t="b">
        <f t="shared" si="1"/>
        <v>1</v>
      </c>
      <c r="H360" s="99" t="b">
        <v>1</v>
      </c>
      <c r="I360" s="99" t="b">
        <v>0</v>
      </c>
      <c r="J360" s="99" t="b">
        <v>0</v>
      </c>
      <c r="K360" s="99" t="b">
        <v>0</v>
      </c>
      <c r="L360" s="99" t="b">
        <v>0</v>
      </c>
      <c r="M360" s="99" t="b">
        <v>0</v>
      </c>
      <c r="N360" s="99" t="b">
        <v>0</v>
      </c>
      <c r="O360" s="99" t="b">
        <v>0</v>
      </c>
      <c r="P360" s="99" t="b">
        <v>0</v>
      </c>
      <c r="Q360" s="99" t="b">
        <v>0</v>
      </c>
      <c r="R360" s="14"/>
      <c r="S360" s="14"/>
      <c r="T360" s="14"/>
      <c r="U360" s="14"/>
      <c r="V360" s="14"/>
      <c r="W360" s="14"/>
    </row>
    <row r="361" ht="35.25" customHeight="1">
      <c r="A361" s="92" t="s">
        <v>6871</v>
      </c>
      <c r="B361" s="93" t="s">
        <v>6872</v>
      </c>
      <c r="C361" s="94" t="s">
        <v>6873</v>
      </c>
      <c r="D361" s="24" t="s">
        <v>6874</v>
      </c>
      <c r="E361" s="96" t="str">
        <f>IFERROR(__xludf.DUMMYFUNCTION("GOOGLETRANSLATE(D361,""zh-CN"",""vi"")"),"Có rất nhiều người ở quảng trường.")</f>
        <v>Có rất nhiều người ở quảng trường.</v>
      </c>
      <c r="F361" s="101" t="s">
        <v>6871</v>
      </c>
      <c r="G361" s="98" t="b">
        <f t="shared" si="1"/>
        <v>1</v>
      </c>
      <c r="H361" s="99" t="b">
        <v>1</v>
      </c>
      <c r="I361" s="99" t="b">
        <v>0</v>
      </c>
      <c r="J361" s="99" t="b">
        <v>0</v>
      </c>
      <c r="K361" s="99" t="b">
        <v>0</v>
      </c>
      <c r="L361" s="99" t="b">
        <v>0</v>
      </c>
      <c r="M361" s="99" t="b">
        <v>0</v>
      </c>
      <c r="N361" s="99" t="b">
        <v>0</v>
      </c>
      <c r="O361" s="99" t="b">
        <v>0</v>
      </c>
      <c r="P361" s="99" t="b">
        <v>0</v>
      </c>
      <c r="Q361" s="99" t="b">
        <v>0</v>
      </c>
      <c r="R361" s="14"/>
      <c r="S361" s="14"/>
      <c r="T361" s="14"/>
      <c r="U361" s="14"/>
      <c r="V361" s="14"/>
      <c r="W361" s="14"/>
    </row>
    <row r="362" ht="35.25" customHeight="1">
      <c r="A362" s="92" t="s">
        <v>6879</v>
      </c>
      <c r="B362" s="93" t="s">
        <v>6881</v>
      </c>
      <c r="C362" s="94" t="s">
        <v>6883</v>
      </c>
      <c r="D362" s="24" t="s">
        <v>6885</v>
      </c>
      <c r="E362" s="96" t="str">
        <f>IFERROR(__xludf.DUMMYFUNCTION("GOOGLETRANSLATE(D362,""zh-CN"",""vi"")"),"Khu vực này rất rộng lớn.")</f>
        <v>Khu vực này rất rộng lớn.</v>
      </c>
      <c r="F362" s="101" t="s">
        <v>6879</v>
      </c>
      <c r="G362" s="98" t="b">
        <f t="shared" si="1"/>
        <v>1</v>
      </c>
      <c r="H362" s="99" t="b">
        <v>1</v>
      </c>
      <c r="I362" s="99" t="b">
        <v>0</v>
      </c>
      <c r="J362" s="99" t="b">
        <v>0</v>
      </c>
      <c r="K362" s="99" t="b">
        <v>0</v>
      </c>
      <c r="L362" s="99" t="b">
        <v>0</v>
      </c>
      <c r="M362" s="99" t="b">
        <v>0</v>
      </c>
      <c r="N362" s="99" t="b">
        <v>0</v>
      </c>
      <c r="O362" s="99" t="b">
        <v>0</v>
      </c>
      <c r="P362" s="99" t="b">
        <v>0</v>
      </c>
      <c r="Q362" s="99" t="b">
        <v>0</v>
      </c>
      <c r="R362" s="14"/>
      <c r="S362" s="14"/>
      <c r="T362" s="14"/>
      <c r="U362" s="14"/>
      <c r="V362" s="14"/>
      <c r="W362" s="14"/>
    </row>
    <row r="363" ht="35.25" customHeight="1">
      <c r="A363" s="92" t="s">
        <v>6887</v>
      </c>
      <c r="B363" s="93" t="s">
        <v>6888</v>
      </c>
      <c r="C363" s="94" t="s">
        <v>6890</v>
      </c>
      <c r="D363" s="24" t="s">
        <v>6892</v>
      </c>
      <c r="E363" s="96" t="str">
        <f>IFERROR(__xludf.DUMMYFUNCTION("GOOGLETRANSLATE(D363,""zh-CN"",""vi"")"),"Cuốn sách này bao gồm nhiều chủ đề khác nhau.")</f>
        <v>Cuốn sách này bao gồm nhiều chủ đề khác nhau.</v>
      </c>
      <c r="F363" s="101" t="s">
        <v>6887</v>
      </c>
      <c r="G363" s="98" t="b">
        <f t="shared" si="1"/>
        <v>1</v>
      </c>
      <c r="H363" s="99" t="b">
        <v>1</v>
      </c>
      <c r="I363" s="99" t="b">
        <v>0</v>
      </c>
      <c r="J363" s="99" t="b">
        <v>0</v>
      </c>
      <c r="K363" s="99" t="b">
        <v>0</v>
      </c>
      <c r="L363" s="99" t="b">
        <v>0</v>
      </c>
      <c r="M363" s="99" t="b">
        <v>0</v>
      </c>
      <c r="N363" s="99" t="b">
        <v>0</v>
      </c>
      <c r="O363" s="99" t="b">
        <v>0</v>
      </c>
      <c r="P363" s="99" t="b">
        <v>0</v>
      </c>
      <c r="Q363" s="99" t="b">
        <v>0</v>
      </c>
      <c r="R363" s="14"/>
      <c r="S363" s="14"/>
      <c r="T363" s="14"/>
      <c r="U363" s="14"/>
      <c r="V363" s="14"/>
      <c r="W363" s="14"/>
    </row>
    <row r="364" ht="35.25" customHeight="1">
      <c r="A364" s="92" t="s">
        <v>6895</v>
      </c>
      <c r="B364" s="93" t="s">
        <v>6897</v>
      </c>
      <c r="C364" s="94" t="s">
        <v>6899</v>
      </c>
      <c r="D364" s="24" t="s">
        <v>6901</v>
      </c>
      <c r="E364" s="96" t="str">
        <f>IFERROR(__xludf.DUMMYFUNCTION("GOOGLETRANSLATE(D364,""zh-CN"",""vi"")"),"Chúng ta cần tóm tắt và tổng hợp thông tin.")</f>
        <v>Chúng ta cần tóm tắt và tổng hợp thông tin.</v>
      </c>
      <c r="F364" s="101" t="s">
        <v>6895</v>
      </c>
      <c r="G364" s="98" t="b">
        <f t="shared" si="1"/>
        <v>1</v>
      </c>
      <c r="H364" s="99" t="b">
        <v>1</v>
      </c>
      <c r="I364" s="99" t="b">
        <v>0</v>
      </c>
      <c r="J364" s="99" t="b">
        <v>0</v>
      </c>
      <c r="K364" s="99" t="b">
        <v>0</v>
      </c>
      <c r="L364" s="99" t="b">
        <v>0</v>
      </c>
      <c r="M364" s="99" t="b">
        <v>0</v>
      </c>
      <c r="N364" s="99" t="b">
        <v>0</v>
      </c>
      <c r="O364" s="99" t="b">
        <v>0</v>
      </c>
      <c r="P364" s="99" t="b">
        <v>0</v>
      </c>
      <c r="Q364" s="99" t="b">
        <v>0</v>
      </c>
      <c r="R364" s="14"/>
      <c r="S364" s="14"/>
      <c r="T364" s="14"/>
      <c r="U364" s="14"/>
      <c r="V364" s="14"/>
      <c r="W364" s="14"/>
    </row>
    <row r="365" ht="35.25" customHeight="1">
      <c r="A365" s="92" t="s">
        <v>6903</v>
      </c>
      <c r="B365" s="93" t="s">
        <v>6904</v>
      </c>
      <c r="C365" s="94" t="s">
        <v>6905</v>
      </c>
      <c r="D365" s="24" t="s">
        <v>6907</v>
      </c>
      <c r="E365" s="96" t="str">
        <f>IFERROR(__xludf.DUMMYFUNCTION("GOOGLETRANSLATE(D365,""zh-CN"",""vi"")"),"Anh ấy tuân thủ mọi quy tắc.")</f>
        <v>Anh ấy tuân thủ mọi quy tắc.</v>
      </c>
      <c r="F365" s="101" t="s">
        <v>6903</v>
      </c>
      <c r="G365" s="98" t="b">
        <f t="shared" si="1"/>
        <v>1</v>
      </c>
      <c r="H365" s="99" t="b">
        <v>1</v>
      </c>
      <c r="I365" s="99" t="b">
        <v>0</v>
      </c>
      <c r="J365" s="99" t="b">
        <v>0</v>
      </c>
      <c r="K365" s="99" t="b">
        <v>0</v>
      </c>
      <c r="L365" s="99" t="b">
        <v>0</v>
      </c>
      <c r="M365" s="99" t="b">
        <v>0</v>
      </c>
      <c r="N365" s="99" t="b">
        <v>0</v>
      </c>
      <c r="O365" s="99" t="b">
        <v>0</v>
      </c>
      <c r="P365" s="99" t="b">
        <v>0</v>
      </c>
      <c r="Q365" s="99" t="b">
        <v>0</v>
      </c>
      <c r="R365" s="14"/>
      <c r="S365" s="14"/>
      <c r="T365" s="14"/>
      <c r="U365" s="14"/>
      <c r="V365" s="14"/>
      <c r="W365" s="14"/>
    </row>
    <row r="366" ht="35.25" customHeight="1">
      <c r="A366" s="92" t="s">
        <v>6913</v>
      </c>
      <c r="B366" s="93" t="s">
        <v>6914</v>
      </c>
      <c r="C366" s="94" t="s">
        <v>6915</v>
      </c>
      <c r="D366" s="24" t="s">
        <v>6916</v>
      </c>
      <c r="E366" s="96" t="str">
        <f>IFERROR(__xludf.DUMMYFUNCTION("GOOGLETRANSLATE(D366,""zh-CN"",""vi"")"),"Vấn đề này có tính chất rất phức tạp.")</f>
        <v>Vấn đề này có tính chất rất phức tạp.</v>
      </c>
      <c r="F366" s="101" t="s">
        <v>6913</v>
      </c>
      <c r="G366" s="98" t="b">
        <f t="shared" si="1"/>
        <v>1</v>
      </c>
      <c r="H366" s="99" t="b">
        <v>1</v>
      </c>
      <c r="I366" s="99" t="b">
        <v>0</v>
      </c>
      <c r="J366" s="99" t="b">
        <v>0</v>
      </c>
      <c r="K366" s="99" t="b">
        <v>0</v>
      </c>
      <c r="L366" s="99" t="b">
        <v>0</v>
      </c>
      <c r="M366" s="99" t="b">
        <v>0</v>
      </c>
      <c r="N366" s="99" t="b">
        <v>0</v>
      </c>
      <c r="O366" s="99" t="b">
        <v>0</v>
      </c>
      <c r="P366" s="99" t="b">
        <v>0</v>
      </c>
      <c r="Q366" s="99" t="b">
        <v>0</v>
      </c>
      <c r="R366" s="14"/>
      <c r="S366" s="14"/>
      <c r="T366" s="14"/>
      <c r="U366" s="14"/>
      <c r="V366" s="14"/>
      <c r="W366" s="14"/>
    </row>
    <row r="367" ht="35.25" customHeight="1">
      <c r="A367" s="92" t="s">
        <v>6920</v>
      </c>
      <c r="B367" s="93" t="s">
        <v>6921</v>
      </c>
      <c r="C367" s="94" t="s">
        <v>6922</v>
      </c>
      <c r="D367" s="24" t="s">
        <v>6923</v>
      </c>
      <c r="E367" s="96" t="str">
        <f>IFERROR(__xludf.DUMMYFUNCTION("GOOGLETRANSLATE(D367,""zh-CN"",""vi"")"),"Công ty tiếp tục mở rộng.")</f>
        <v>Công ty tiếp tục mở rộng.</v>
      </c>
      <c r="F367" s="101" t="s">
        <v>6920</v>
      </c>
      <c r="G367" s="98" t="b">
        <f t="shared" si="1"/>
        <v>1</v>
      </c>
      <c r="H367" s="99" t="b">
        <v>1</v>
      </c>
      <c r="I367" s="99" t="b">
        <v>0</v>
      </c>
      <c r="J367" s="99" t="b">
        <v>0</v>
      </c>
      <c r="K367" s="99" t="b">
        <v>0</v>
      </c>
      <c r="L367" s="99" t="b">
        <v>0</v>
      </c>
      <c r="M367" s="99" t="b">
        <v>0</v>
      </c>
      <c r="N367" s="99" t="b">
        <v>0</v>
      </c>
      <c r="O367" s="99" t="b">
        <v>0</v>
      </c>
      <c r="P367" s="99" t="b">
        <v>0</v>
      </c>
      <c r="Q367" s="99" t="b">
        <v>0</v>
      </c>
      <c r="R367" s="14"/>
      <c r="S367" s="14"/>
      <c r="T367" s="14"/>
      <c r="U367" s="14"/>
      <c r="V367" s="14"/>
      <c r="W367" s="14"/>
    </row>
    <row r="368" ht="35.25" customHeight="1">
      <c r="A368" s="92" t="s">
        <v>6928</v>
      </c>
      <c r="B368" s="93" t="s">
        <v>6929</v>
      </c>
      <c r="C368" s="94" t="s">
        <v>6930</v>
      </c>
      <c r="D368" s="24" t="s">
        <v>6931</v>
      </c>
      <c r="E368" s="96" t="str">
        <f>IFERROR(__xludf.DUMMYFUNCTION("GOOGLETRANSLATE(D368,""zh-CN"",""vi"")"),"Chúng ta cần tuân thủ các quy tắc.")</f>
        <v>Chúng ta cần tuân thủ các quy tắc.</v>
      </c>
      <c r="F368" s="101" t="s">
        <v>6928</v>
      </c>
      <c r="G368" s="98" t="b">
        <f t="shared" si="1"/>
        <v>1</v>
      </c>
      <c r="H368" s="99" t="b">
        <v>1</v>
      </c>
      <c r="I368" s="99" t="b">
        <v>0</v>
      </c>
      <c r="J368" s="99" t="b">
        <v>0</v>
      </c>
      <c r="K368" s="99" t="b">
        <v>0</v>
      </c>
      <c r="L368" s="99" t="b">
        <v>0</v>
      </c>
      <c r="M368" s="99" t="b">
        <v>0</v>
      </c>
      <c r="N368" s="99" t="b">
        <v>0</v>
      </c>
      <c r="O368" s="99" t="b">
        <v>0</v>
      </c>
      <c r="P368" s="99" t="b">
        <v>0</v>
      </c>
      <c r="Q368" s="99" t="b">
        <v>0</v>
      </c>
      <c r="R368" s="14"/>
      <c r="S368" s="14"/>
      <c r="T368" s="14"/>
      <c r="U368" s="14"/>
      <c r="V368" s="14"/>
      <c r="W368" s="14"/>
    </row>
    <row r="369" ht="35.25" customHeight="1">
      <c r="A369" s="92" t="s">
        <v>6935</v>
      </c>
      <c r="B369" s="93" t="s">
        <v>6936</v>
      </c>
      <c r="C369" s="94" t="s">
        <v>6938</v>
      </c>
      <c r="D369" s="24" t="s">
        <v>6940</v>
      </c>
      <c r="E369" s="96" t="str">
        <f>IFERROR(__xludf.DUMMYFUNCTION("GOOGLETRANSLATE(D369,""zh-CN"",""vi"")"),"Vui lòng đến quầy để hoàn tất các thủ tục.")</f>
        <v>Vui lòng đến quầy để hoàn tất các thủ tục.</v>
      </c>
      <c r="F369" s="101" t="s">
        <v>6935</v>
      </c>
      <c r="G369" s="98" t="b">
        <f t="shared" si="1"/>
        <v>1</v>
      </c>
      <c r="H369" s="99" t="b">
        <v>1</v>
      </c>
      <c r="I369" s="99" t="b">
        <v>0</v>
      </c>
      <c r="J369" s="99" t="b">
        <v>0</v>
      </c>
      <c r="K369" s="99" t="b">
        <v>0</v>
      </c>
      <c r="L369" s="99" t="b">
        <v>0</v>
      </c>
      <c r="M369" s="99" t="b">
        <v>0</v>
      </c>
      <c r="N369" s="99" t="b">
        <v>0</v>
      </c>
      <c r="O369" s="99" t="b">
        <v>0</v>
      </c>
      <c r="P369" s="99" t="b">
        <v>0</v>
      </c>
      <c r="Q369" s="99" t="b">
        <v>0</v>
      </c>
      <c r="R369" s="14"/>
      <c r="S369" s="14"/>
      <c r="T369" s="14"/>
      <c r="U369" s="14"/>
      <c r="V369" s="14"/>
      <c r="W369" s="14"/>
    </row>
    <row r="370" ht="35.25" customHeight="1">
      <c r="A370" s="92" t="s">
        <v>6944</v>
      </c>
      <c r="B370" s="93" t="s">
        <v>6946</v>
      </c>
      <c r="C370" s="94" t="s">
        <v>6948</v>
      </c>
      <c r="D370" s="24" t="s">
        <v>6950</v>
      </c>
      <c r="E370" s="96" t="str">
        <f>IFERROR(__xludf.DUMMYFUNCTION("GOOGLETRANSLATE(D370,""zh-CN"",""vi"")"),"Quả bóng lăn khỏi bàn.")</f>
        <v>Quả bóng lăn khỏi bàn.</v>
      </c>
      <c r="F370" s="101" t="s">
        <v>6944</v>
      </c>
      <c r="G370" s="98" t="b">
        <f t="shared" si="1"/>
        <v>1</v>
      </c>
      <c r="H370" s="99" t="b">
        <v>1</v>
      </c>
      <c r="I370" s="99" t="b">
        <v>0</v>
      </c>
      <c r="J370" s="99" t="b">
        <v>0</v>
      </c>
      <c r="K370" s="99" t="b">
        <v>0</v>
      </c>
      <c r="L370" s="99" t="b">
        <v>0</v>
      </c>
      <c r="M370" s="99" t="b">
        <v>0</v>
      </c>
      <c r="N370" s="99" t="b">
        <v>0</v>
      </c>
      <c r="O370" s="99" t="b">
        <v>0</v>
      </c>
      <c r="P370" s="99" t="b">
        <v>0</v>
      </c>
      <c r="Q370" s="99" t="b">
        <v>0</v>
      </c>
      <c r="R370" s="14"/>
      <c r="S370" s="14"/>
      <c r="T370" s="14"/>
      <c r="U370" s="14"/>
      <c r="V370" s="14"/>
      <c r="W370" s="14"/>
    </row>
    <row r="371" ht="35.25" customHeight="1">
      <c r="A371" s="92" t="s">
        <v>6954</v>
      </c>
      <c r="B371" s="93" t="s">
        <v>6956</v>
      </c>
      <c r="C371" s="94" t="s">
        <v>6957</v>
      </c>
      <c r="D371" s="24" t="s">
        <v>6958</v>
      </c>
      <c r="E371" s="96" t="str">
        <f>IFERROR(__xludf.DUMMYFUNCTION("GOOGLETRANSLATE(D371,""zh-CN"",""vi"")"),"Chúng ta dùng nồi để nấu súp.")</f>
        <v>Chúng ta dùng nồi để nấu súp.</v>
      </c>
      <c r="F371" s="101" t="s">
        <v>6954</v>
      </c>
      <c r="G371" s="98" t="b">
        <f t="shared" si="1"/>
        <v>1</v>
      </c>
      <c r="H371" s="99" t="b">
        <v>1</v>
      </c>
      <c r="I371" s="99" t="b">
        <v>0</v>
      </c>
      <c r="J371" s="99" t="b">
        <v>0</v>
      </c>
      <c r="K371" s="99" t="b">
        <v>0</v>
      </c>
      <c r="L371" s="99" t="b">
        <v>0</v>
      </c>
      <c r="M371" s="99" t="b">
        <v>0</v>
      </c>
      <c r="N371" s="99" t="b">
        <v>0</v>
      </c>
      <c r="O371" s="99" t="b">
        <v>0</v>
      </c>
      <c r="P371" s="99" t="b">
        <v>0</v>
      </c>
      <c r="Q371" s="99" t="b">
        <v>0</v>
      </c>
      <c r="R371" s="14"/>
      <c r="S371" s="14"/>
      <c r="T371" s="14"/>
      <c r="U371" s="14"/>
      <c r="V371" s="14"/>
      <c r="W371" s="14"/>
    </row>
    <row r="372" ht="35.25" customHeight="1">
      <c r="A372" s="92" t="s">
        <v>6963</v>
      </c>
      <c r="B372" s="93" t="s">
        <v>6964</v>
      </c>
      <c r="C372" s="94" t="s">
        <v>6965</v>
      </c>
      <c r="D372" s="24" t="s">
        <v>6966</v>
      </c>
      <c r="E372" s="96" t="str">
        <f>IFERROR(__xludf.DUMMYFUNCTION("GOOGLETRANSLATE(D372,""zh-CN"",""vi"")"),"Ngày Quốc Khánh là một ngày lễ quan trọng ở Trung Quốc.")</f>
        <v>Ngày Quốc Khánh là một ngày lễ quan trọng ở Trung Quốc.</v>
      </c>
      <c r="F372" s="101" t="s">
        <v>6963</v>
      </c>
      <c r="G372" s="98" t="b">
        <f t="shared" si="1"/>
        <v>1</v>
      </c>
      <c r="H372" s="99" t="b">
        <v>1</v>
      </c>
      <c r="I372" s="99" t="b">
        <v>0</v>
      </c>
      <c r="J372" s="99" t="b">
        <v>0</v>
      </c>
      <c r="K372" s="99" t="b">
        <v>0</v>
      </c>
      <c r="L372" s="99" t="b">
        <v>0</v>
      </c>
      <c r="M372" s="99" t="b">
        <v>0</v>
      </c>
      <c r="N372" s="99" t="b">
        <v>0</v>
      </c>
      <c r="O372" s="99" t="b">
        <v>0</v>
      </c>
      <c r="P372" s="99" t="b">
        <v>0</v>
      </c>
      <c r="Q372" s="99" t="b">
        <v>0</v>
      </c>
      <c r="R372" s="14"/>
      <c r="S372" s="14"/>
      <c r="T372" s="14"/>
      <c r="U372" s="14"/>
      <c r="V372" s="14"/>
      <c r="W372" s="14"/>
    </row>
    <row r="373" ht="35.25" customHeight="1">
      <c r="A373" s="92" t="s">
        <v>6973</v>
      </c>
      <c r="B373" s="93" t="s">
        <v>6975</v>
      </c>
      <c r="C373" s="94" t="s">
        <v>6977</v>
      </c>
      <c r="D373" s="24" t="s">
        <v>6978</v>
      </c>
      <c r="E373" s="96" t="str">
        <f>IFERROR(__xludf.DUMMYFUNCTION("GOOGLETRANSLATE(D373,""zh-CN"",""vi"")"),"Nhà vua sống trong một cung điện tráng lệ.")</f>
        <v>Nhà vua sống trong một cung điện tráng lệ.</v>
      </c>
      <c r="F373" s="101" t="s">
        <v>6973</v>
      </c>
      <c r="G373" s="98" t="b">
        <f t="shared" si="1"/>
        <v>1</v>
      </c>
      <c r="H373" s="99" t="b">
        <v>1</v>
      </c>
      <c r="I373" s="99" t="b">
        <v>0</v>
      </c>
      <c r="J373" s="99" t="b">
        <v>0</v>
      </c>
      <c r="K373" s="99" t="b">
        <v>0</v>
      </c>
      <c r="L373" s="99" t="b">
        <v>0</v>
      </c>
      <c r="M373" s="99" t="b">
        <v>0</v>
      </c>
      <c r="N373" s="99" t="b">
        <v>0</v>
      </c>
      <c r="O373" s="99" t="b">
        <v>0</v>
      </c>
      <c r="P373" s="99" t="b">
        <v>0</v>
      </c>
      <c r="Q373" s="99" t="b">
        <v>0</v>
      </c>
      <c r="R373" s="14"/>
      <c r="S373" s="14"/>
      <c r="T373" s="14"/>
      <c r="U373" s="14"/>
      <c r="V373" s="14"/>
      <c r="W373" s="14"/>
    </row>
    <row r="374" ht="35.25" customHeight="1">
      <c r="A374" s="92" t="s">
        <v>6982</v>
      </c>
      <c r="B374" s="93" t="s">
        <v>6983</v>
      </c>
      <c r="C374" s="94" t="s">
        <v>6984</v>
      </c>
      <c r="D374" s="24" t="s">
        <v>6985</v>
      </c>
      <c r="E374" s="96" t="str">
        <f>IFERROR(__xludf.DUMMYFUNCTION("GOOGLETRANSLATE(D374,""zh-CN"",""vi"")"),"Anh ấy quả thực đã thắng trận đấu.")</f>
        <v>Anh ấy quả thực đã thắng trận đấu.</v>
      </c>
      <c r="F374" s="101" t="s">
        <v>6982</v>
      </c>
      <c r="G374" s="98" t="b">
        <f t="shared" si="1"/>
        <v>1</v>
      </c>
      <c r="H374" s="99" t="b">
        <v>1</v>
      </c>
      <c r="I374" s="99" t="b">
        <v>0</v>
      </c>
      <c r="J374" s="99" t="b">
        <v>0</v>
      </c>
      <c r="K374" s="99" t="b">
        <v>0</v>
      </c>
      <c r="L374" s="99" t="b">
        <v>0</v>
      </c>
      <c r="M374" s="99" t="b">
        <v>0</v>
      </c>
      <c r="N374" s="99" t="b">
        <v>0</v>
      </c>
      <c r="O374" s="99" t="b">
        <v>0</v>
      </c>
      <c r="P374" s="99" t="b">
        <v>0</v>
      </c>
      <c r="Q374" s="99" t="b">
        <v>0</v>
      </c>
      <c r="R374" s="14"/>
      <c r="S374" s="14"/>
      <c r="T374" s="14"/>
      <c r="U374" s="14"/>
      <c r="V374" s="14"/>
      <c r="W374" s="14"/>
    </row>
    <row r="375" ht="35.25" customHeight="1">
      <c r="A375" s="92" t="s">
        <v>6990</v>
      </c>
      <c r="B375" s="93" t="s">
        <v>6991</v>
      </c>
      <c r="C375" s="102" t="s">
        <v>6992</v>
      </c>
      <c r="D375" s="24" t="s">
        <v>6993</v>
      </c>
      <c r="E375" s="96" t="str">
        <f>IFERROR(__xludf.DUMMYFUNCTION("GOOGLETRANSLATE(D375,""zh-CN"",""vi"")"),"Loại quả này rất ngọt.")</f>
        <v>Loại quả này rất ngọt.</v>
      </c>
      <c r="F375" s="101" t="s">
        <v>6990</v>
      </c>
      <c r="G375" s="98" t="b">
        <f t="shared" si="1"/>
        <v>1</v>
      </c>
      <c r="H375" s="99" t="b">
        <v>1</v>
      </c>
      <c r="I375" s="99" t="b">
        <v>0</v>
      </c>
      <c r="J375" s="99" t="b">
        <v>0</v>
      </c>
      <c r="K375" s="99" t="b">
        <v>0</v>
      </c>
      <c r="L375" s="99" t="b">
        <v>0</v>
      </c>
      <c r="M375" s="99" t="b">
        <v>0</v>
      </c>
      <c r="N375" s="99" t="b">
        <v>0</v>
      </c>
      <c r="O375" s="99" t="b">
        <v>0</v>
      </c>
      <c r="P375" s="99" t="b">
        <v>0</v>
      </c>
      <c r="Q375" s="99" t="b">
        <v>0</v>
      </c>
      <c r="R375" s="14"/>
      <c r="S375" s="14"/>
      <c r="T375" s="14"/>
      <c r="U375" s="14"/>
      <c r="V375" s="14"/>
      <c r="W375" s="14"/>
    </row>
    <row r="376" ht="35.25" customHeight="1">
      <c r="A376" s="92" t="s">
        <v>6998</v>
      </c>
      <c r="B376" s="93" t="s">
        <v>6999</v>
      </c>
      <c r="C376" s="94" t="s">
        <v>7000</v>
      </c>
      <c r="D376" s="24" t="s">
        <v>7001</v>
      </c>
      <c r="E376" s="96" t="str">
        <f>IFERROR(__xludf.DUMMYFUNCTION("GOOGLETRANSLATE(D376,""zh-CN"",""vi"")"),"Yêu cầu của anh ấy hơi quá đáng.")</f>
        <v>Yêu cầu của anh ấy hơi quá đáng.</v>
      </c>
      <c r="F376" s="101" t="s">
        <v>6998</v>
      </c>
      <c r="G376" s="98" t="b">
        <f t="shared" si="1"/>
        <v>1</v>
      </c>
      <c r="H376" s="99" t="b">
        <v>1</v>
      </c>
      <c r="I376" s="99" t="b">
        <v>0</v>
      </c>
      <c r="J376" s="99" t="b">
        <v>0</v>
      </c>
      <c r="K376" s="99" t="b">
        <v>0</v>
      </c>
      <c r="L376" s="99" t="b">
        <v>0</v>
      </c>
      <c r="M376" s="99" t="b">
        <v>0</v>
      </c>
      <c r="N376" s="99" t="b">
        <v>0</v>
      </c>
      <c r="O376" s="99" t="b">
        <v>0</v>
      </c>
      <c r="P376" s="99" t="b">
        <v>0</v>
      </c>
      <c r="Q376" s="99" t="b">
        <v>0</v>
      </c>
      <c r="R376" s="14"/>
      <c r="S376" s="14"/>
      <c r="T376" s="14"/>
      <c r="U376" s="14"/>
      <c r="V376" s="14"/>
      <c r="W376" s="14"/>
    </row>
    <row r="377" ht="35.25" customHeight="1">
      <c r="A377" s="92" t="s">
        <v>7006</v>
      </c>
      <c r="B377" s="93" t="s">
        <v>7007</v>
      </c>
      <c r="C377" s="94" t="s">
        <v>7008</v>
      </c>
      <c r="D377" s="24" t="s">
        <v>7009</v>
      </c>
      <c r="E377" s="96" t="str">
        <f>IFERROR(__xludf.DUMMYFUNCTION("GOOGLETRANSLATE(D377,""zh-CN"",""vi"")"),"Tôi bị dị ứng với một số loại thực phẩm.")</f>
        <v>Tôi bị dị ứng với một số loại thực phẩm.</v>
      </c>
      <c r="F377" s="101" t="s">
        <v>7006</v>
      </c>
      <c r="G377" s="98" t="b">
        <f t="shared" si="1"/>
        <v>1</v>
      </c>
      <c r="H377" s="99" t="b">
        <v>1</v>
      </c>
      <c r="I377" s="99" t="b">
        <v>0</v>
      </c>
      <c r="J377" s="99" t="b">
        <v>0</v>
      </c>
      <c r="K377" s="99" t="b">
        <v>0</v>
      </c>
      <c r="L377" s="99" t="b">
        <v>0</v>
      </c>
      <c r="M377" s="99" t="b">
        <v>0</v>
      </c>
      <c r="N377" s="99" t="b">
        <v>0</v>
      </c>
      <c r="O377" s="99" t="b">
        <v>0</v>
      </c>
      <c r="P377" s="99" t="b">
        <v>0</v>
      </c>
      <c r="Q377" s="99" t="b">
        <v>0</v>
      </c>
      <c r="R377" s="14"/>
      <c r="S377" s="14"/>
      <c r="T377" s="14"/>
      <c r="U377" s="14"/>
      <c r="V377" s="14"/>
      <c r="W377" s="14"/>
    </row>
    <row r="378" ht="35.25" customHeight="1">
      <c r="A378" s="92" t="s">
        <v>7022</v>
      </c>
      <c r="B378" s="93" t="s">
        <v>7023</v>
      </c>
      <c r="C378" s="94" t="s">
        <v>7024</v>
      </c>
      <c r="D378" s="24" t="s">
        <v>7025</v>
      </c>
      <c r="E378" s="96" t="str">
        <f>IFERROR(__xludf.DUMMYFUNCTION("GOOGLETRANSLATE(D378,""zh-CN"",""vi"")"),"Sản phẩm thực phẩm này đã hết hạn sử dụng.")</f>
        <v>Sản phẩm thực phẩm này đã hết hạn sử dụng.</v>
      </c>
      <c r="F378" s="101" t="s">
        <v>7022</v>
      </c>
      <c r="G378" s="98" t="b">
        <f t="shared" si="1"/>
        <v>1</v>
      </c>
      <c r="H378" s="99" t="b">
        <v>1</v>
      </c>
      <c r="I378" s="99" t="b">
        <v>0</v>
      </c>
      <c r="J378" s="99" t="b">
        <v>0</v>
      </c>
      <c r="K378" s="99" t="b">
        <v>0</v>
      </c>
      <c r="L378" s="99" t="b">
        <v>0</v>
      </c>
      <c r="M378" s="99" t="b">
        <v>0</v>
      </c>
      <c r="N378" s="99" t="b">
        <v>0</v>
      </c>
      <c r="O378" s="99" t="b">
        <v>0</v>
      </c>
      <c r="P378" s="99" t="b">
        <v>0</v>
      </c>
      <c r="Q378" s="99" t="b">
        <v>0</v>
      </c>
      <c r="R378" s="14"/>
      <c r="S378" s="14"/>
      <c r="T378" s="14"/>
      <c r="U378" s="14"/>
      <c r="V378" s="14"/>
      <c r="W378" s="14"/>
    </row>
    <row r="379" ht="35.25" customHeight="1">
      <c r="A379" s="92" t="s">
        <v>7030</v>
      </c>
      <c r="B379" s="93" t="s">
        <v>7032</v>
      </c>
      <c r="C379" s="94" t="s">
        <v>7034</v>
      </c>
      <c r="D379" s="24" t="s">
        <v>7035</v>
      </c>
      <c r="E379" s="96" t="str">
        <f>IFERROR(__xludf.DUMMYFUNCTION("GOOGLETRANSLATE(D379,""zh-CN"",""vi"")"),"Ha, bạn nói đúng.")</f>
        <v>Ha, bạn nói đúng.</v>
      </c>
      <c r="F379" s="101" t="s">
        <v>7030</v>
      </c>
      <c r="G379" s="98" t="b">
        <f t="shared" si="1"/>
        <v>1</v>
      </c>
      <c r="H379" s="99" t="b">
        <v>1</v>
      </c>
      <c r="I379" s="99" t="b">
        <v>0</v>
      </c>
      <c r="J379" s="99" t="b">
        <v>0</v>
      </c>
      <c r="K379" s="99" t="b">
        <v>0</v>
      </c>
      <c r="L379" s="99" t="b">
        <v>0</v>
      </c>
      <c r="M379" s="99" t="b">
        <v>0</v>
      </c>
      <c r="N379" s="99" t="b">
        <v>0</v>
      </c>
      <c r="O379" s="99" t="b">
        <v>0</v>
      </c>
      <c r="P379" s="99" t="b">
        <v>0</v>
      </c>
      <c r="Q379" s="99" t="b">
        <v>0</v>
      </c>
      <c r="R379" s="14"/>
      <c r="S379" s="14"/>
      <c r="T379" s="14"/>
      <c r="U379" s="14"/>
      <c r="V379" s="14"/>
      <c r="W379" s="14"/>
    </row>
    <row r="380" ht="35.25" customHeight="1">
      <c r="A380" s="92" t="s">
        <v>7037</v>
      </c>
      <c r="B380" s="93" t="s">
        <v>7039</v>
      </c>
      <c r="C380" s="94" t="s">
        <v>7041</v>
      </c>
      <c r="D380" s="24" t="s">
        <v>7043</v>
      </c>
      <c r="E380" s="96" t="str">
        <f>IFERROR(__xludf.DUMMYFUNCTION("GOOGLETRANSLATE(D380,""zh-CN"",""vi"")"),"Anh ấy làm việc ở hải quan.")</f>
        <v>Anh ấy làm việc ở hải quan.</v>
      </c>
      <c r="F380" s="101" t="s">
        <v>7037</v>
      </c>
      <c r="G380" s="98" t="b">
        <f t="shared" si="1"/>
        <v>1</v>
      </c>
      <c r="H380" s="99" t="b">
        <v>1</v>
      </c>
      <c r="I380" s="99" t="b">
        <v>0</v>
      </c>
      <c r="J380" s="99" t="b">
        <v>0</v>
      </c>
      <c r="K380" s="99" t="b">
        <v>0</v>
      </c>
      <c r="L380" s="99" t="b">
        <v>0</v>
      </c>
      <c r="M380" s="99" t="b">
        <v>0</v>
      </c>
      <c r="N380" s="99" t="b">
        <v>0</v>
      </c>
      <c r="O380" s="99" t="b">
        <v>0</v>
      </c>
      <c r="P380" s="99" t="b">
        <v>0</v>
      </c>
      <c r="Q380" s="99" t="b">
        <v>0</v>
      </c>
      <c r="R380" s="14"/>
      <c r="S380" s="14"/>
      <c r="T380" s="14"/>
      <c r="U380" s="14"/>
      <c r="V380" s="14"/>
      <c r="W380" s="14"/>
    </row>
    <row r="381" ht="35.25" customHeight="1">
      <c r="A381" s="92" t="s">
        <v>7047</v>
      </c>
      <c r="B381" s="93" t="s">
        <v>7049</v>
      </c>
      <c r="C381" s="94" t="s">
        <v>7050</v>
      </c>
      <c r="D381" s="24" t="s">
        <v>7051</v>
      </c>
      <c r="E381" s="96" t="str">
        <f>IFERROR(__xludf.DUMMYFUNCTION("GOOGLETRANSLATE(D381,""zh-CN"",""vi"")"),"Tối nay chúng ta sẽ ăn hải sản.")</f>
        <v>Tối nay chúng ta sẽ ăn hải sản.</v>
      </c>
      <c r="F381" s="101" t="s">
        <v>7047</v>
      </c>
      <c r="G381" s="98" t="b">
        <f t="shared" si="1"/>
        <v>1</v>
      </c>
      <c r="H381" s="99" t="b">
        <v>1</v>
      </c>
      <c r="I381" s="99" t="b">
        <v>0</v>
      </c>
      <c r="J381" s="99" t="b">
        <v>0</v>
      </c>
      <c r="K381" s="99" t="b">
        <v>0</v>
      </c>
      <c r="L381" s="99" t="b">
        <v>0</v>
      </c>
      <c r="M381" s="99" t="b">
        <v>0</v>
      </c>
      <c r="N381" s="99" t="b">
        <v>0</v>
      </c>
      <c r="O381" s="99" t="b">
        <v>0</v>
      </c>
      <c r="P381" s="99" t="b">
        <v>0</v>
      </c>
      <c r="Q381" s="99" t="b">
        <v>0</v>
      </c>
      <c r="R381" s="14"/>
      <c r="S381" s="14"/>
      <c r="T381" s="14"/>
      <c r="U381" s="14"/>
      <c r="V381" s="14"/>
      <c r="W381" s="14"/>
    </row>
    <row r="382" ht="35.25" customHeight="1">
      <c r="A382" s="92" t="s">
        <v>7055</v>
      </c>
      <c r="B382" s="93" t="s">
        <v>7056</v>
      </c>
      <c r="C382" s="94" t="s">
        <v>7057</v>
      </c>
      <c r="D382" s="24" t="s">
        <v>7058</v>
      </c>
      <c r="E382" s="96" t="str">
        <f>IFERROR(__xludf.DUMMYFUNCTION("GOOGLETRANSLATE(D382,""zh-CN"",""vi"")"),"Ông ta hét lớn giữa quảng trường.")</f>
        <v>Ông ta hét lớn giữa quảng trường.</v>
      </c>
      <c r="F382" s="101" t="s">
        <v>7055</v>
      </c>
      <c r="G382" s="98" t="b">
        <f t="shared" si="1"/>
        <v>1</v>
      </c>
      <c r="H382" s="99" t="b">
        <v>1</v>
      </c>
      <c r="I382" s="99" t="b">
        <v>0</v>
      </c>
      <c r="J382" s="99" t="b">
        <v>0</v>
      </c>
      <c r="K382" s="99" t="b">
        <v>0</v>
      </c>
      <c r="L382" s="99" t="b">
        <v>0</v>
      </c>
      <c r="M382" s="99" t="b">
        <v>0</v>
      </c>
      <c r="N382" s="99" t="b">
        <v>0</v>
      </c>
      <c r="O382" s="99" t="b">
        <v>0</v>
      </c>
      <c r="P382" s="99" t="b">
        <v>0</v>
      </c>
      <c r="Q382" s="99" t="b">
        <v>0</v>
      </c>
      <c r="R382" s="14"/>
      <c r="S382" s="14"/>
      <c r="T382" s="14"/>
      <c r="U382" s="14"/>
      <c r="V382" s="14"/>
      <c r="W382" s="14"/>
    </row>
    <row r="383" ht="35.25" customHeight="1">
      <c r="A383" s="92" t="s">
        <v>7063</v>
      </c>
      <c r="B383" s="93" t="s">
        <v>7064</v>
      </c>
      <c r="C383" s="94" t="s">
        <v>7065</v>
      </c>
      <c r="D383" s="24" t="s">
        <v>7066</v>
      </c>
      <c r="E383" s="96" t="str">
        <f>IFERROR(__xludf.DUMMYFUNCTION("GOOGLETRANSLATE(D383,""zh-CN"",""vi"")"),"Ngành công nghiệp này có một tương lai đầy hứa hẹn.")</f>
        <v>Ngành công nghiệp này có một tương lai đầy hứa hẹn.</v>
      </c>
      <c r="F383" s="101" t="s">
        <v>7063</v>
      </c>
      <c r="G383" s="98" t="b">
        <f t="shared" si="1"/>
        <v>1</v>
      </c>
      <c r="H383" s="99" t="b">
        <v>1</v>
      </c>
      <c r="I383" s="99" t="b">
        <v>0</v>
      </c>
      <c r="J383" s="99" t="b">
        <v>0</v>
      </c>
      <c r="K383" s="99" t="b">
        <v>0</v>
      </c>
      <c r="L383" s="99" t="b">
        <v>0</v>
      </c>
      <c r="M383" s="99" t="b">
        <v>0</v>
      </c>
      <c r="N383" s="99" t="b">
        <v>0</v>
      </c>
      <c r="O383" s="99" t="b">
        <v>0</v>
      </c>
      <c r="P383" s="99" t="b">
        <v>0</v>
      </c>
      <c r="Q383" s="99" t="b">
        <v>0</v>
      </c>
      <c r="R383" s="14"/>
      <c r="S383" s="14"/>
      <c r="T383" s="14"/>
      <c r="U383" s="14"/>
      <c r="V383" s="14"/>
      <c r="W383" s="14"/>
    </row>
    <row r="384" ht="35.25" customHeight="1">
      <c r="A384" s="92" t="s">
        <v>7071</v>
      </c>
      <c r="B384" s="93" t="s">
        <v>7072</v>
      </c>
      <c r="C384" s="102" t="s">
        <v>7073</v>
      </c>
      <c r="D384" s="24" t="s">
        <v>7074</v>
      </c>
      <c r="E384" s="96" t="str">
        <f>IFERROR(__xludf.DUMMYFUNCTION("GOOGLETRANSLATE(D384,""zh-CN"",""vi"")"),"Xe của anh ấy rất sang trọng.")</f>
        <v>Xe của anh ấy rất sang trọng.</v>
      </c>
      <c r="F384" s="101" t="s">
        <v>7071</v>
      </c>
      <c r="G384" s="98" t="b">
        <f t="shared" si="1"/>
        <v>1</v>
      </c>
      <c r="H384" s="99" t="b">
        <v>1</v>
      </c>
      <c r="I384" s="99" t="b">
        <v>0</v>
      </c>
      <c r="J384" s="99" t="b">
        <v>0</v>
      </c>
      <c r="K384" s="99" t="b">
        <v>0</v>
      </c>
      <c r="L384" s="99" t="b">
        <v>0</v>
      </c>
      <c r="M384" s="99" t="b">
        <v>0</v>
      </c>
      <c r="N384" s="99" t="b">
        <v>0</v>
      </c>
      <c r="O384" s="99" t="b">
        <v>0</v>
      </c>
      <c r="P384" s="99" t="b">
        <v>0</v>
      </c>
      <c r="Q384" s="99" t="b">
        <v>0</v>
      </c>
      <c r="R384" s="14"/>
      <c r="S384" s="14"/>
      <c r="T384" s="14"/>
      <c r="U384" s="14"/>
      <c r="V384" s="14"/>
      <c r="W384" s="14"/>
    </row>
    <row r="385" ht="35.25" customHeight="1">
      <c r="A385" s="92" t="s">
        <v>7079</v>
      </c>
      <c r="B385" s="93" t="s">
        <v>7080</v>
      </c>
      <c r="C385" s="94" t="s">
        <v>7081</v>
      </c>
      <c r="D385" s="24" t="s">
        <v>7082</v>
      </c>
      <c r="E385" s="96" t="str">
        <f>IFERROR(__xludf.DUMMYFUNCTION("GOOGLETRANSLATE(D385,""zh-CN"",""vi"")"),"Cô ấy là một người rất ấm áp và hiếu khách.")</f>
        <v>Cô ấy là một người rất ấm áp và hiếu khách.</v>
      </c>
      <c r="F385" s="101" t="s">
        <v>7079</v>
      </c>
      <c r="G385" s="98" t="b">
        <f t="shared" si="1"/>
        <v>1</v>
      </c>
      <c r="H385" s="99" t="b">
        <v>1</v>
      </c>
      <c r="I385" s="99" t="b">
        <v>0</v>
      </c>
      <c r="J385" s="99" t="b">
        <v>0</v>
      </c>
      <c r="K385" s="99" t="b">
        <v>0</v>
      </c>
      <c r="L385" s="99" t="b">
        <v>0</v>
      </c>
      <c r="M385" s="99" t="b">
        <v>0</v>
      </c>
      <c r="N385" s="99" t="b">
        <v>0</v>
      </c>
      <c r="O385" s="99" t="b">
        <v>0</v>
      </c>
      <c r="P385" s="99" t="b">
        <v>0</v>
      </c>
      <c r="Q385" s="99" t="b">
        <v>0</v>
      </c>
      <c r="R385" s="14"/>
      <c r="S385" s="14"/>
      <c r="T385" s="14"/>
      <c r="U385" s="14"/>
      <c r="V385" s="14"/>
      <c r="W385" s="14"/>
    </row>
    <row r="386" ht="35.25" customHeight="1">
      <c r="A386" s="92" t="s">
        <v>7087</v>
      </c>
      <c r="B386" s="93" t="s">
        <v>7088</v>
      </c>
      <c r="C386" s="94" t="s">
        <v>7089</v>
      </c>
      <c r="D386" s="24" t="s">
        <v>7090</v>
      </c>
      <c r="E386" s="96" t="str">
        <f>IFERROR(__xludf.DUMMYFUNCTION("GOOGLETRANSLATE(D386,""zh-CN"",""vi"")"),"Anh ấy tò mò về mọi thứ.")</f>
        <v>Anh ấy tò mò về mọi thứ.</v>
      </c>
      <c r="F386" s="101" t="s">
        <v>7087</v>
      </c>
      <c r="G386" s="98" t="b">
        <f t="shared" si="1"/>
        <v>1</v>
      </c>
      <c r="H386" s="99" t="b">
        <v>1</v>
      </c>
      <c r="I386" s="99" t="b">
        <v>0</v>
      </c>
      <c r="J386" s="99" t="b">
        <v>0</v>
      </c>
      <c r="K386" s="99" t="b">
        <v>0</v>
      </c>
      <c r="L386" s="99" t="b">
        <v>0</v>
      </c>
      <c r="M386" s="99" t="b">
        <v>0</v>
      </c>
      <c r="N386" s="99" t="b">
        <v>0</v>
      </c>
      <c r="O386" s="99" t="b">
        <v>0</v>
      </c>
      <c r="P386" s="99" t="b">
        <v>0</v>
      </c>
      <c r="Q386" s="99" t="b">
        <v>0</v>
      </c>
      <c r="R386" s="14"/>
      <c r="S386" s="14"/>
      <c r="T386" s="14"/>
      <c r="U386" s="14"/>
      <c r="V386" s="14"/>
      <c r="W386" s="14"/>
    </row>
    <row r="387" ht="35.25" customHeight="1">
      <c r="A387" s="92" t="s">
        <v>7093</v>
      </c>
      <c r="B387" s="93" t="s">
        <v>7094</v>
      </c>
      <c r="C387" s="94" t="s">
        <v>7095</v>
      </c>
      <c r="D387" s="24" t="s">
        <v>7096</v>
      </c>
      <c r="E387" s="96" t="str">
        <f>IFERROR(__xludf.DUMMYFUNCTION("GOOGLETRANSLATE(D387,""zh-CN"",""vi"")"),"Công ty hoạt động hợp pháp.")</f>
        <v>Công ty hoạt động hợp pháp.</v>
      </c>
      <c r="F387" s="101" t="s">
        <v>7093</v>
      </c>
      <c r="G387" s="98" t="b">
        <f t="shared" si="1"/>
        <v>1</v>
      </c>
      <c r="H387" s="99" t="b">
        <v>1</v>
      </c>
      <c r="I387" s="99" t="b">
        <v>0</v>
      </c>
      <c r="J387" s="99" t="b">
        <v>0</v>
      </c>
      <c r="K387" s="99" t="b">
        <v>0</v>
      </c>
      <c r="L387" s="99" t="b">
        <v>0</v>
      </c>
      <c r="M387" s="99" t="b">
        <v>0</v>
      </c>
      <c r="N387" s="99" t="b">
        <v>0</v>
      </c>
      <c r="O387" s="99" t="b">
        <v>0</v>
      </c>
      <c r="P387" s="99" t="b">
        <v>0</v>
      </c>
      <c r="Q387" s="99" t="b">
        <v>0</v>
      </c>
      <c r="R387" s="14"/>
      <c r="S387" s="14"/>
      <c r="T387" s="14"/>
      <c r="U387" s="14"/>
      <c r="V387" s="14"/>
      <c r="W387" s="14"/>
    </row>
    <row r="388" ht="35.25" customHeight="1">
      <c r="A388" s="92" t="s">
        <v>7101</v>
      </c>
      <c r="B388" s="93" t="s">
        <v>7102</v>
      </c>
      <c r="C388" s="94" t="s">
        <v>7103</v>
      </c>
      <c r="D388" s="24" t="s">
        <v>7104</v>
      </c>
      <c r="E388" s="96" t="str">
        <f>IFERROR(__xludf.DUMMYFUNCTION("GOOGLETRANSLATE(D388,""zh-CN"",""vi"")"),"Những đề xuất này đều hợp lý.")</f>
        <v>Những đề xuất này đều hợp lý.</v>
      </c>
      <c r="F388" s="101" t="s">
        <v>7101</v>
      </c>
      <c r="G388" s="98" t="b">
        <f t="shared" si="1"/>
        <v>1</v>
      </c>
      <c r="H388" s="99" t="b">
        <v>1</v>
      </c>
      <c r="I388" s="99" t="b">
        <v>0</v>
      </c>
      <c r="J388" s="99" t="b">
        <v>0</v>
      </c>
      <c r="K388" s="99" t="b">
        <v>0</v>
      </c>
      <c r="L388" s="99" t="b">
        <v>0</v>
      </c>
      <c r="M388" s="99" t="b">
        <v>0</v>
      </c>
      <c r="N388" s="99" t="b">
        <v>0</v>
      </c>
      <c r="O388" s="99" t="b">
        <v>0</v>
      </c>
      <c r="P388" s="99" t="b">
        <v>0</v>
      </c>
      <c r="Q388" s="99" t="b">
        <v>0</v>
      </c>
      <c r="R388" s="14"/>
      <c r="S388" s="14"/>
      <c r="T388" s="14"/>
      <c r="U388" s="14"/>
      <c r="V388" s="14"/>
      <c r="W388" s="14"/>
    </row>
    <row r="389" ht="35.25" customHeight="1">
      <c r="A389" s="92" t="s">
        <v>7109</v>
      </c>
      <c r="B389" s="93" t="s">
        <v>7110</v>
      </c>
      <c r="C389" s="94" t="s">
        <v>7111</v>
      </c>
      <c r="D389" s="24" t="s">
        <v>7112</v>
      </c>
      <c r="E389" s="96" t="str">
        <f>IFERROR(__xludf.DUMMYFUNCTION("GOOGLETRANSLATE(D389,""zh-CN"",""vi"")"),"Chúng tôi đã ký hợp đồng.")</f>
        <v>Chúng tôi đã ký hợp đồng.</v>
      </c>
      <c r="F389" s="101" t="s">
        <v>7109</v>
      </c>
      <c r="G389" s="98" t="b">
        <f t="shared" si="1"/>
        <v>1</v>
      </c>
      <c r="H389" s="99" t="b">
        <v>1</v>
      </c>
      <c r="I389" s="99" t="b">
        <v>0</v>
      </c>
      <c r="J389" s="99" t="b">
        <v>0</v>
      </c>
      <c r="K389" s="99" t="b">
        <v>0</v>
      </c>
      <c r="L389" s="99" t="b">
        <v>0</v>
      </c>
      <c r="M389" s="99" t="b">
        <v>0</v>
      </c>
      <c r="N389" s="99" t="b">
        <v>0</v>
      </c>
      <c r="O389" s="99" t="b">
        <v>0</v>
      </c>
      <c r="P389" s="99" t="b">
        <v>0</v>
      </c>
      <c r="Q389" s="99" t="b">
        <v>0</v>
      </c>
      <c r="R389" s="14"/>
      <c r="S389" s="14"/>
      <c r="T389" s="14"/>
      <c r="U389" s="14"/>
      <c r="V389" s="14"/>
      <c r="W389" s="14"/>
    </row>
    <row r="390" ht="35.25" customHeight="1">
      <c r="A390" s="92" t="s">
        <v>7117</v>
      </c>
      <c r="B390" s="93" t="s">
        <v>7118</v>
      </c>
      <c r="C390" s="94" t="s">
        <v>7119</v>
      </c>
      <c r="D390" s="24" t="s">
        <v>7120</v>
      </c>
      <c r="E390" s="96" t="str">
        <f>IFERROR(__xludf.DUMMYFUNCTION("GOOGLETRANSLATE(D390,""zh-CN"",""vi"")"),"Bức ảnh tập thể này rất ý nghĩa.")</f>
        <v>Bức ảnh tập thể này rất ý nghĩa.</v>
      </c>
      <c r="F390" s="101" t="s">
        <v>7117</v>
      </c>
      <c r="G390" s="98" t="b">
        <f t="shared" si="1"/>
        <v>1</v>
      </c>
      <c r="H390" s="99" t="b">
        <v>1</v>
      </c>
      <c r="I390" s="99" t="b">
        <v>0</v>
      </c>
      <c r="J390" s="99" t="b">
        <v>0</v>
      </c>
      <c r="K390" s="99" t="b">
        <v>0</v>
      </c>
      <c r="L390" s="99" t="b">
        <v>0</v>
      </c>
      <c r="M390" s="99" t="b">
        <v>0</v>
      </c>
      <c r="N390" s="99" t="b">
        <v>0</v>
      </c>
      <c r="O390" s="99" t="b">
        <v>0</v>
      </c>
      <c r="P390" s="99" t="b">
        <v>0</v>
      </c>
      <c r="Q390" s="99" t="b">
        <v>0</v>
      </c>
      <c r="R390" s="14"/>
      <c r="S390" s="14"/>
      <c r="T390" s="14"/>
      <c r="U390" s="14"/>
      <c r="V390" s="14"/>
      <c r="W390" s="14"/>
    </row>
    <row r="391" ht="35.25" customHeight="1">
      <c r="A391" s="92" t="s">
        <v>7122</v>
      </c>
      <c r="B391" s="93" t="s">
        <v>7123</v>
      </c>
      <c r="C391" s="94" t="s">
        <v>7124</v>
      </c>
      <c r="D391" s="24" t="s">
        <v>7125</v>
      </c>
      <c r="E391" s="96" t="str">
        <f>IFERROR(__xludf.DUMMYFUNCTION("GOOGLETRANSLATE(D391,""zh-CN"",""vi"")"),"Chúng ta cần hợp tác để hoàn thành dự án này.")</f>
        <v>Chúng ta cần hợp tác để hoàn thành dự án này.</v>
      </c>
      <c r="F391" s="101" t="s">
        <v>7122</v>
      </c>
      <c r="G391" s="98" t="b">
        <f t="shared" si="1"/>
        <v>1</v>
      </c>
      <c r="H391" s="99" t="b">
        <v>1</v>
      </c>
      <c r="I391" s="99" t="b">
        <v>0</v>
      </c>
      <c r="J391" s="99" t="b">
        <v>0</v>
      </c>
      <c r="K391" s="99" t="b">
        <v>0</v>
      </c>
      <c r="L391" s="99" t="b">
        <v>0</v>
      </c>
      <c r="M391" s="99" t="b">
        <v>0</v>
      </c>
      <c r="N391" s="99" t="b">
        <v>0</v>
      </c>
      <c r="O391" s="99" t="b">
        <v>0</v>
      </c>
      <c r="P391" s="99" t="b">
        <v>0</v>
      </c>
      <c r="Q391" s="99" t="b">
        <v>0</v>
      </c>
      <c r="R391" s="14"/>
      <c r="S391" s="14"/>
      <c r="T391" s="14"/>
      <c r="U391" s="14"/>
      <c r="V391" s="14"/>
      <c r="W391" s="14"/>
    </row>
    <row r="392" ht="35.25" customHeight="1">
      <c r="A392" s="92" t="s">
        <v>7130</v>
      </c>
      <c r="B392" s="93" t="s">
        <v>7131</v>
      </c>
      <c r="C392" s="94" t="s">
        <v>7132</v>
      </c>
      <c r="D392" s="24" t="s">
        <v>7133</v>
      </c>
      <c r="E392" s="96" t="str">
        <f>IFERROR(__xludf.DUMMYFUNCTION("GOOGLETRANSLATE(D392,""zh-CN"",""vi"")"),"Sao lại vội thế?")</f>
        <v>Sao lại vội thế?</v>
      </c>
      <c r="F392" s="101" t="s">
        <v>7130</v>
      </c>
      <c r="G392" s="98" t="b">
        <f t="shared" si="1"/>
        <v>1</v>
      </c>
      <c r="H392" s="99" t="b">
        <v>1</v>
      </c>
      <c r="I392" s="99" t="b">
        <v>0</v>
      </c>
      <c r="J392" s="99" t="b">
        <v>0</v>
      </c>
      <c r="K392" s="99" t="b">
        <v>0</v>
      </c>
      <c r="L392" s="99" t="b">
        <v>0</v>
      </c>
      <c r="M392" s="99" t="b">
        <v>0</v>
      </c>
      <c r="N392" s="99" t="b">
        <v>0</v>
      </c>
      <c r="O392" s="99" t="b">
        <v>0</v>
      </c>
      <c r="P392" s="99" t="b">
        <v>0</v>
      </c>
      <c r="Q392" s="99" t="b">
        <v>0</v>
      </c>
      <c r="R392" s="14"/>
      <c r="S392" s="14"/>
      <c r="T392" s="14"/>
      <c r="U392" s="14"/>
      <c r="V392" s="14"/>
      <c r="W392" s="14"/>
    </row>
    <row r="393" ht="35.25" customHeight="1">
      <c r="A393" s="92" t="s">
        <v>7138</v>
      </c>
      <c r="B393" s="93" t="s">
        <v>7139</v>
      </c>
      <c r="C393" s="94" t="s">
        <v>7140</v>
      </c>
      <c r="D393" s="24" t="s">
        <v>7141</v>
      </c>
      <c r="E393" s="96" t="str">
        <f>IFERROR(__xludf.DUMMYFUNCTION("GOOGLETRANSLATE(D393,""zh-CN"",""vi"")"),"Ngoài ra, thời tiết cũng rất tệ.")</f>
        <v>Ngoài ra, thời tiết cũng rất tệ.</v>
      </c>
      <c r="F393" s="101" t="s">
        <v>7138</v>
      </c>
      <c r="G393" s="98" t="b">
        <f t="shared" si="1"/>
        <v>1</v>
      </c>
      <c r="H393" s="99" t="b">
        <v>1</v>
      </c>
      <c r="I393" s="99" t="b">
        <v>0</v>
      </c>
      <c r="J393" s="99" t="b">
        <v>0</v>
      </c>
      <c r="K393" s="99" t="b">
        <v>0</v>
      </c>
      <c r="L393" s="99" t="b">
        <v>0</v>
      </c>
      <c r="M393" s="99" t="b">
        <v>0</v>
      </c>
      <c r="N393" s="99" t="b">
        <v>0</v>
      </c>
      <c r="O393" s="99" t="b">
        <v>0</v>
      </c>
      <c r="P393" s="99" t="b">
        <v>0</v>
      </c>
      <c r="Q393" s="99" t="b">
        <v>0</v>
      </c>
      <c r="R393" s="14"/>
      <c r="S393" s="14"/>
      <c r="T393" s="14"/>
      <c r="U393" s="14"/>
      <c r="V393" s="14"/>
      <c r="W393" s="14"/>
    </row>
    <row r="394" ht="35.25" customHeight="1">
      <c r="A394" s="92" t="s">
        <v>7146</v>
      </c>
      <c r="B394" s="93" t="s">
        <v>7147</v>
      </c>
      <c r="C394" s="94" t="s">
        <v>7148</v>
      </c>
      <c r="D394" s="24" t="s">
        <v>7149</v>
      </c>
      <c r="E394" s="96" t="str">
        <f>IFERROR(__xludf.DUMMYFUNCTION("GOOGLETRANSLATE(D394,""zh-CN"",""vi"")"),"Chúng tôi hy vọng sẽ giải quyết vấn đề một cách hòa bình.")</f>
        <v>Chúng tôi hy vọng sẽ giải quyết vấn đề một cách hòa bình.</v>
      </c>
      <c r="F394" s="101" t="s">
        <v>7146</v>
      </c>
      <c r="G394" s="98" t="b">
        <f t="shared" si="1"/>
        <v>1</v>
      </c>
      <c r="H394" s="99" t="b">
        <v>1</v>
      </c>
      <c r="I394" s="99" t="b">
        <v>0</v>
      </c>
      <c r="J394" s="99" t="b">
        <v>0</v>
      </c>
      <c r="K394" s="99" t="b">
        <v>0</v>
      </c>
      <c r="L394" s="99" t="b">
        <v>0</v>
      </c>
      <c r="M394" s="99" t="b">
        <v>0</v>
      </c>
      <c r="N394" s="99" t="b">
        <v>0</v>
      </c>
      <c r="O394" s="99" t="b">
        <v>0</v>
      </c>
      <c r="P394" s="99" t="b">
        <v>0</v>
      </c>
      <c r="Q394" s="99" t="b">
        <v>0</v>
      </c>
      <c r="R394" s="14"/>
      <c r="S394" s="14"/>
      <c r="T394" s="14"/>
      <c r="U394" s="14"/>
      <c r="V394" s="14"/>
      <c r="W394" s="14"/>
    </row>
    <row r="395" ht="35.25" customHeight="1">
      <c r="A395" s="92" t="s">
        <v>7158</v>
      </c>
      <c r="B395" s="93" t="s">
        <v>7159</v>
      </c>
      <c r="C395" s="94" t="s">
        <v>7160</v>
      </c>
      <c r="D395" s="24" t="s">
        <v>7161</v>
      </c>
      <c r="E395" s="96" t="str">
        <f>IFERROR(__xludf.DUMMYFUNCTION("GOOGLETRANSLATE(D395,""zh-CN"",""vi"")"),"Đây là vấn đề cốt lõi.")</f>
        <v>Đây là vấn đề cốt lõi.</v>
      </c>
      <c r="F395" s="101" t="s">
        <v>7158</v>
      </c>
      <c r="G395" s="98" t="b">
        <f t="shared" si="1"/>
        <v>1</v>
      </c>
      <c r="H395" s="99" t="b">
        <v>1</v>
      </c>
      <c r="I395" s="99" t="b">
        <v>0</v>
      </c>
      <c r="J395" s="99" t="b">
        <v>0</v>
      </c>
      <c r="K395" s="99" t="b">
        <v>0</v>
      </c>
      <c r="L395" s="99" t="b">
        <v>0</v>
      </c>
      <c r="M395" s="99" t="b">
        <v>0</v>
      </c>
      <c r="N395" s="99" t="b">
        <v>0</v>
      </c>
      <c r="O395" s="99" t="b">
        <v>0</v>
      </c>
      <c r="P395" s="99" t="b">
        <v>0</v>
      </c>
      <c r="Q395" s="99" t="b">
        <v>0</v>
      </c>
      <c r="R395" s="14"/>
      <c r="S395" s="14"/>
      <c r="T395" s="14"/>
      <c r="U395" s="14"/>
      <c r="V395" s="14"/>
      <c r="W395" s="14"/>
    </row>
    <row r="396" ht="35.25" customHeight="1">
      <c r="A396" s="92" t="s">
        <v>7166</v>
      </c>
      <c r="B396" s="93" t="s">
        <v>7167</v>
      </c>
      <c r="C396" s="94" t="s">
        <v>7168</v>
      </c>
      <c r="D396" s="24" t="s">
        <v>7170</v>
      </c>
      <c r="E396" s="96" t="str">
        <f>IFERROR(__xludf.DUMMYFUNCTION("GOOGLETRANSLATE(D396,""zh-CN"",""vi"")"),"Hình như anh ta vẫn còn ghét tôi.")</f>
        <v>Hình như anh ta vẫn còn ghét tôi.</v>
      </c>
      <c r="F396" s="101" t="s">
        <v>7166</v>
      </c>
      <c r="G396" s="98" t="b">
        <f t="shared" si="1"/>
        <v>1</v>
      </c>
      <c r="H396" s="99" t="b">
        <v>1</v>
      </c>
      <c r="I396" s="99" t="b">
        <v>0</v>
      </c>
      <c r="J396" s="99" t="b">
        <v>0</v>
      </c>
      <c r="K396" s="99" t="b">
        <v>0</v>
      </c>
      <c r="L396" s="99" t="b">
        <v>0</v>
      </c>
      <c r="M396" s="99" t="b">
        <v>0</v>
      </c>
      <c r="N396" s="99" t="b">
        <v>0</v>
      </c>
      <c r="O396" s="99" t="b">
        <v>0</v>
      </c>
      <c r="P396" s="99" t="b">
        <v>0</v>
      </c>
      <c r="Q396" s="99" t="b">
        <v>0</v>
      </c>
      <c r="R396" s="14"/>
      <c r="S396" s="14"/>
      <c r="T396" s="14"/>
      <c r="U396" s="14"/>
      <c r="V396" s="14"/>
      <c r="W396" s="14"/>
    </row>
    <row r="397" ht="35.25" customHeight="1">
      <c r="A397" s="92" t="s">
        <v>7177</v>
      </c>
      <c r="B397" s="93" t="s">
        <v>7179</v>
      </c>
      <c r="C397" s="94" t="s">
        <v>7180</v>
      </c>
      <c r="D397" s="24" t="s">
        <v>7181</v>
      </c>
      <c r="E397" s="96" t="str">
        <f>IFERROR(__xludf.DUMMYFUNCTION("GOOGLETRANSLATE(D397,""zh-CN"",""vi"")"),"Những con khỉ đang chơi đùa trên cây.")</f>
        <v>Những con khỉ đang chơi đùa trên cây.</v>
      </c>
      <c r="F397" s="101" t="s">
        <v>7177</v>
      </c>
      <c r="G397" s="98" t="b">
        <f t="shared" si="1"/>
        <v>1</v>
      </c>
      <c r="H397" s="99" t="b">
        <v>1</v>
      </c>
      <c r="I397" s="99" t="b">
        <v>0</v>
      </c>
      <c r="J397" s="99" t="b">
        <v>0</v>
      </c>
      <c r="K397" s="99" t="b">
        <v>0</v>
      </c>
      <c r="L397" s="99" t="b">
        <v>0</v>
      </c>
      <c r="M397" s="99" t="b">
        <v>0</v>
      </c>
      <c r="N397" s="99" t="b">
        <v>0</v>
      </c>
      <c r="O397" s="99" t="b">
        <v>0</v>
      </c>
      <c r="P397" s="99" t="b">
        <v>0</v>
      </c>
      <c r="Q397" s="99" t="b">
        <v>0</v>
      </c>
      <c r="R397" s="14"/>
      <c r="S397" s="14"/>
      <c r="T397" s="14"/>
      <c r="U397" s="14"/>
      <c r="V397" s="14"/>
      <c r="W397" s="14"/>
    </row>
    <row r="398" ht="35.25" customHeight="1">
      <c r="A398" s="92" t="s">
        <v>7185</v>
      </c>
      <c r="B398" s="93" t="s">
        <v>7187</v>
      </c>
      <c r="C398" s="94" t="s">
        <v>440</v>
      </c>
      <c r="D398" s="24" t="s">
        <v>7188</v>
      </c>
      <c r="E398" s="96" t="str">
        <f>IFERROR(__xludf.DUMMYFUNCTION("GOOGLETRANSLATE(D398,""zh-CN"",""vi"")"),"Anh ấy cảm thấy đau lưng.")</f>
        <v>Anh ấy cảm thấy đau lưng.</v>
      </c>
      <c r="F398" s="101" t="s">
        <v>7185</v>
      </c>
      <c r="G398" s="98" t="b">
        <f t="shared" si="1"/>
        <v>1</v>
      </c>
      <c r="H398" s="99" t="b">
        <v>1</v>
      </c>
      <c r="I398" s="99" t="b">
        <v>0</v>
      </c>
      <c r="J398" s="99" t="b">
        <v>0</v>
      </c>
      <c r="K398" s="99" t="b">
        <v>0</v>
      </c>
      <c r="L398" s="99" t="b">
        <v>0</v>
      </c>
      <c r="M398" s="99" t="b">
        <v>0</v>
      </c>
      <c r="N398" s="99" t="b">
        <v>0</v>
      </c>
      <c r="O398" s="99" t="b">
        <v>0</v>
      </c>
      <c r="P398" s="99" t="b">
        <v>0</v>
      </c>
      <c r="Q398" s="99" t="b">
        <v>0</v>
      </c>
      <c r="R398" s="14"/>
      <c r="S398" s="14"/>
      <c r="T398" s="14"/>
      <c r="U398" s="14"/>
      <c r="V398" s="14"/>
      <c r="W398" s="14"/>
    </row>
    <row r="399" ht="35.25" customHeight="1">
      <c r="A399" s="92" t="s">
        <v>7190</v>
      </c>
      <c r="B399" s="93" t="s">
        <v>7193</v>
      </c>
      <c r="C399" s="94" t="s">
        <v>7195</v>
      </c>
      <c r="D399" s="24" t="s">
        <v>7196</v>
      </c>
      <c r="E399" s="96" t="str">
        <f>IFERROR(__xludf.DUMMYFUNCTION("GOOGLETRANSLATE(D399,""zh-CN"",""vi"")"),"Hậu quả mà anh ta phải gánh chịu rất nghiêm trọng.")</f>
        <v>Hậu quả mà anh ta phải gánh chịu rất nghiêm trọng.</v>
      </c>
      <c r="F399" s="101" t="s">
        <v>7190</v>
      </c>
      <c r="G399" s="98" t="b">
        <f t="shared" si="1"/>
        <v>1</v>
      </c>
      <c r="H399" s="99" t="b">
        <v>1</v>
      </c>
      <c r="I399" s="99" t="b">
        <v>0</v>
      </c>
      <c r="J399" s="99" t="b">
        <v>0</v>
      </c>
      <c r="K399" s="99" t="b">
        <v>0</v>
      </c>
      <c r="L399" s="99" t="b">
        <v>0</v>
      </c>
      <c r="M399" s="99" t="b">
        <v>0</v>
      </c>
      <c r="N399" s="99" t="b">
        <v>0</v>
      </c>
      <c r="O399" s="99" t="b">
        <v>0</v>
      </c>
      <c r="P399" s="99" t="b">
        <v>0</v>
      </c>
      <c r="Q399" s="99" t="b">
        <v>0</v>
      </c>
      <c r="R399" s="14"/>
      <c r="S399" s="14"/>
      <c r="T399" s="14"/>
      <c r="U399" s="14"/>
      <c r="V399" s="14"/>
      <c r="W399" s="14"/>
    </row>
    <row r="400" ht="35.25" customHeight="1">
      <c r="A400" s="92" t="s">
        <v>7201</v>
      </c>
      <c r="B400" s="93" t="s">
        <v>7202</v>
      </c>
      <c r="C400" s="94" t="s">
        <v>7203</v>
      </c>
      <c r="D400" s="24" t="s">
        <v>7204</v>
      </c>
      <c r="E400" s="96" t="str">
        <f>IFERROR(__xludf.DUMMYFUNCTION("GOOGLETRANSLATE(D400,""zh-CN"",""vi"")"),"Chúng ta cần chú ý đến hơi thở của mình.")</f>
        <v>Chúng ta cần chú ý đến hơi thở của mình.</v>
      </c>
      <c r="F400" s="101" t="s">
        <v>7201</v>
      </c>
      <c r="G400" s="98" t="b">
        <f t="shared" si="1"/>
        <v>1</v>
      </c>
      <c r="H400" s="99" t="b">
        <v>1</v>
      </c>
      <c r="I400" s="99" t="b">
        <v>0</v>
      </c>
      <c r="J400" s="99" t="b">
        <v>0</v>
      </c>
      <c r="K400" s="99" t="b">
        <v>0</v>
      </c>
      <c r="L400" s="99" t="b">
        <v>0</v>
      </c>
      <c r="M400" s="99" t="b">
        <v>0</v>
      </c>
      <c r="N400" s="99" t="b">
        <v>0</v>
      </c>
      <c r="O400" s="99" t="b">
        <v>0</v>
      </c>
      <c r="P400" s="99" t="b">
        <v>0</v>
      </c>
      <c r="Q400" s="99" t="b">
        <v>0</v>
      </c>
      <c r="R400" s="14"/>
      <c r="S400" s="14"/>
      <c r="T400" s="14"/>
      <c r="U400" s="14"/>
      <c r="V400" s="14"/>
      <c r="W400" s="14"/>
    </row>
    <row r="401" ht="35.25" customHeight="1">
      <c r="A401" s="92" t="s">
        <v>7209</v>
      </c>
      <c r="B401" s="93" t="s">
        <v>7210</v>
      </c>
      <c r="C401" s="94" t="s">
        <v>7211</v>
      </c>
      <c r="D401" s="24" t="s">
        <v>7212</v>
      </c>
      <c r="E401" s="96" t="str">
        <f>IFERROR(__xludf.DUMMYFUNCTION("GOOGLETRANSLATE(D401,""zh-CN"",""vi"")"),"Thời tiết đột nhiên trở lạnh.")</f>
        <v>Thời tiết đột nhiên trở lạnh.</v>
      </c>
      <c r="F401" s="101" t="s">
        <v>7209</v>
      </c>
      <c r="G401" s="98" t="b">
        <f t="shared" si="1"/>
        <v>1</v>
      </c>
      <c r="H401" s="99" t="b">
        <v>1</v>
      </c>
      <c r="I401" s="99" t="b">
        <v>0</v>
      </c>
      <c r="J401" s="99" t="b">
        <v>0</v>
      </c>
      <c r="K401" s="99" t="b">
        <v>0</v>
      </c>
      <c r="L401" s="99" t="b">
        <v>0</v>
      </c>
      <c r="M401" s="99" t="b">
        <v>0</v>
      </c>
      <c r="N401" s="99" t="b">
        <v>0</v>
      </c>
      <c r="O401" s="99" t="b">
        <v>0</v>
      </c>
      <c r="P401" s="99" t="b">
        <v>0</v>
      </c>
      <c r="Q401" s="99" t="b">
        <v>0</v>
      </c>
      <c r="R401" s="14"/>
      <c r="S401" s="14"/>
      <c r="T401" s="14"/>
      <c r="U401" s="14"/>
      <c r="V401" s="14"/>
      <c r="W401" s="14"/>
    </row>
    <row r="402" ht="35.25" customHeight="1">
      <c r="A402" s="92" t="s">
        <v>7217</v>
      </c>
      <c r="B402" s="93" t="s">
        <v>7218</v>
      </c>
      <c r="C402" s="94" t="s">
        <v>7219</v>
      </c>
      <c r="D402" s="24" t="s">
        <v>7220</v>
      </c>
      <c r="E402" s="96" t="str">
        <f>IFERROR(__xludf.DUMMYFUNCTION("GOOGLETRANSLATE(D402,""zh-CN"",""vi"")"),"Đừng bỏ qua chi tiết này.")</f>
        <v>Đừng bỏ qua chi tiết này.</v>
      </c>
      <c r="F402" s="101" t="s">
        <v>7217</v>
      </c>
      <c r="G402" s="98" t="b">
        <f t="shared" si="1"/>
        <v>1</v>
      </c>
      <c r="H402" s="99" t="b">
        <v>1</v>
      </c>
      <c r="I402" s="99" t="b">
        <v>0</v>
      </c>
      <c r="J402" s="99" t="b">
        <v>0</v>
      </c>
      <c r="K402" s="99" t="b">
        <v>0</v>
      </c>
      <c r="L402" s="99" t="b">
        <v>0</v>
      </c>
      <c r="M402" s="99" t="b">
        <v>0</v>
      </c>
      <c r="N402" s="99" t="b">
        <v>0</v>
      </c>
      <c r="O402" s="99" t="b">
        <v>0</v>
      </c>
      <c r="P402" s="99" t="b">
        <v>0</v>
      </c>
      <c r="Q402" s="99" t="b">
        <v>0</v>
      </c>
      <c r="R402" s="14"/>
      <c r="S402" s="14"/>
      <c r="T402" s="14"/>
      <c r="U402" s="14"/>
      <c r="V402" s="14"/>
      <c r="W402" s="14"/>
    </row>
    <row r="403" ht="35.25" customHeight="1">
      <c r="A403" s="92" t="s">
        <v>7225</v>
      </c>
      <c r="B403" s="93" t="s">
        <v>7226</v>
      </c>
      <c r="C403" s="94" t="s">
        <v>7227</v>
      </c>
      <c r="D403" s="24" t="s">
        <v>7228</v>
      </c>
      <c r="E403" s="96" t="str">
        <f>IFERROR(__xludf.DUMMYFUNCTION("GOOGLETRANSLATE(D403,""zh-CN"",""vi"")"),"Anh ta lúc nào cũng nói chuyện vớ vẩn.")</f>
        <v>Anh ta lúc nào cũng nói chuyện vớ vẩn.</v>
      </c>
      <c r="F403" s="101" t="s">
        <v>7225</v>
      </c>
      <c r="G403" s="98" t="b">
        <f t="shared" si="1"/>
        <v>1</v>
      </c>
      <c r="H403" s="99" t="b">
        <v>1</v>
      </c>
      <c r="I403" s="99" t="b">
        <v>0</v>
      </c>
      <c r="J403" s="99" t="b">
        <v>0</v>
      </c>
      <c r="K403" s="99" t="b">
        <v>0</v>
      </c>
      <c r="L403" s="99" t="b">
        <v>0</v>
      </c>
      <c r="M403" s="99" t="b">
        <v>0</v>
      </c>
      <c r="N403" s="99" t="b">
        <v>0</v>
      </c>
      <c r="O403" s="99" t="b">
        <v>0</v>
      </c>
      <c r="P403" s="99" t="b">
        <v>0</v>
      </c>
      <c r="Q403" s="99" t="b">
        <v>0</v>
      </c>
      <c r="R403" s="14"/>
      <c r="S403" s="14"/>
      <c r="T403" s="14"/>
      <c r="U403" s="14"/>
      <c r="V403" s="14"/>
      <c r="W403" s="14"/>
    </row>
    <row r="404" ht="35.25" customHeight="1">
      <c r="A404" s="92" t="s">
        <v>7232</v>
      </c>
      <c r="B404" s="93" t="s">
        <v>7233</v>
      </c>
      <c r="C404" s="94" t="s">
        <v>7234</v>
      </c>
      <c r="D404" s="24" t="s">
        <v>7235</v>
      </c>
      <c r="E404" s="96" t="str">
        <f>IFERROR(__xludf.DUMMYFUNCTION("GOOGLETRANSLATE(D404,""zh-CN"",""vi"")"),"Con hẻm rất yên tĩnh.")</f>
        <v>Con hẻm rất yên tĩnh.</v>
      </c>
      <c r="F404" s="101" t="s">
        <v>7232</v>
      </c>
      <c r="G404" s="98" t="b">
        <f t="shared" si="1"/>
        <v>1</v>
      </c>
      <c r="H404" s="99" t="b">
        <v>1</v>
      </c>
      <c r="I404" s="99" t="b">
        <v>0</v>
      </c>
      <c r="J404" s="99" t="b">
        <v>0</v>
      </c>
      <c r="K404" s="99" t="b">
        <v>0</v>
      </c>
      <c r="L404" s="99" t="b">
        <v>0</v>
      </c>
      <c r="M404" s="99" t="b">
        <v>0</v>
      </c>
      <c r="N404" s="99" t="b">
        <v>0</v>
      </c>
      <c r="O404" s="99" t="b">
        <v>0</v>
      </c>
      <c r="P404" s="99" t="b">
        <v>0</v>
      </c>
      <c r="Q404" s="99" t="b">
        <v>0</v>
      </c>
      <c r="R404" s="14"/>
      <c r="S404" s="14"/>
      <c r="T404" s="14"/>
      <c r="U404" s="14"/>
      <c r="V404" s="14"/>
      <c r="W404" s="14"/>
    </row>
    <row r="405" ht="35.25" customHeight="1">
      <c r="A405" s="92" t="s">
        <v>7240</v>
      </c>
      <c r="B405" s="93" t="s">
        <v>7241</v>
      </c>
      <c r="C405" s="94" t="s">
        <v>7242</v>
      </c>
      <c r="D405" s="24" t="s">
        <v>7243</v>
      </c>
      <c r="E405" s="96" t="str">
        <f>IFERROR(__xludf.DUMMYFUNCTION("GOOGLETRANSLATE(D405,""zh-CN"",""vi"")"),"Chúng ta đun nước trong ấm đun nước.")</f>
        <v>Chúng ta đun nước trong ấm đun nước.</v>
      </c>
      <c r="F405" s="101" t="s">
        <v>7240</v>
      </c>
      <c r="G405" s="98" t="b">
        <f t="shared" si="1"/>
        <v>1</v>
      </c>
      <c r="H405" s="99" t="b">
        <v>1</v>
      </c>
      <c r="I405" s="99" t="b">
        <v>0</v>
      </c>
      <c r="J405" s="99" t="b">
        <v>0</v>
      </c>
      <c r="K405" s="99" t="b">
        <v>0</v>
      </c>
      <c r="L405" s="99" t="b">
        <v>0</v>
      </c>
      <c r="M405" s="99" t="b">
        <v>0</v>
      </c>
      <c r="N405" s="99" t="b">
        <v>0</v>
      </c>
      <c r="O405" s="99" t="b">
        <v>0</v>
      </c>
      <c r="P405" s="99" t="b">
        <v>0</v>
      </c>
      <c r="Q405" s="99" t="b">
        <v>0</v>
      </c>
      <c r="R405" s="14"/>
      <c r="S405" s="14"/>
      <c r="T405" s="14"/>
      <c r="U405" s="14"/>
      <c r="V405" s="14"/>
      <c r="W405" s="14"/>
    </row>
    <row r="406" ht="35.25" customHeight="1">
      <c r="A406" s="92" t="s">
        <v>7248</v>
      </c>
      <c r="B406" s="93" t="s">
        <v>7249</v>
      </c>
      <c r="C406" s="94" t="s">
        <v>7250</v>
      </c>
      <c r="D406" s="24" t="s">
        <v>7251</v>
      </c>
      <c r="E406" s="96" t="str">
        <f>IFERROR(__xludf.DUMMYFUNCTION("GOOGLETRANSLATE(D406,""zh-CN"",""vi"")"),"Những con bướm bay lượn giữa những bông hoa.")</f>
        <v>Những con bướm bay lượn giữa những bông hoa.</v>
      </c>
      <c r="F406" s="101" t="s">
        <v>7248</v>
      </c>
      <c r="G406" s="98" t="b">
        <f t="shared" si="1"/>
        <v>1</v>
      </c>
      <c r="H406" s="99" t="b">
        <v>1</v>
      </c>
      <c r="I406" s="99" t="b">
        <v>0</v>
      </c>
      <c r="J406" s="99" t="b">
        <v>0</v>
      </c>
      <c r="K406" s="99" t="b">
        <v>0</v>
      </c>
      <c r="L406" s="99" t="b">
        <v>0</v>
      </c>
      <c r="M406" s="99" t="b">
        <v>0</v>
      </c>
      <c r="N406" s="99" t="b">
        <v>0</v>
      </c>
      <c r="O406" s="99" t="b">
        <v>0</v>
      </c>
      <c r="P406" s="99" t="b">
        <v>0</v>
      </c>
      <c r="Q406" s="99" t="b">
        <v>0</v>
      </c>
      <c r="R406" s="14"/>
      <c r="S406" s="14"/>
      <c r="T406" s="14"/>
      <c r="U406" s="14"/>
      <c r="V406" s="14"/>
      <c r="W406" s="14"/>
    </row>
    <row r="407" ht="35.25" customHeight="1">
      <c r="A407" s="92" t="s">
        <v>7256</v>
      </c>
      <c r="B407" s="93" t="s">
        <v>7257</v>
      </c>
      <c r="C407" s="94" t="s">
        <v>7258</v>
      </c>
      <c r="D407" s="24" t="s">
        <v>7259</v>
      </c>
      <c r="E407" s="96" t="str">
        <f>IFERROR(__xludf.DUMMYFUNCTION("GOOGLETRANSLATE(D407,""zh-CN"",""vi"")"),"Anh ấy lúc nào cũng bối rối.")</f>
        <v>Anh ấy lúc nào cũng bối rối.</v>
      </c>
      <c r="F407" s="101" t="s">
        <v>7256</v>
      </c>
      <c r="G407" s="98" t="b">
        <f t="shared" si="1"/>
        <v>1</v>
      </c>
      <c r="H407" s="99" t="b">
        <v>1</v>
      </c>
      <c r="I407" s="99" t="b">
        <v>0</v>
      </c>
      <c r="J407" s="99" t="b">
        <v>0</v>
      </c>
      <c r="K407" s="99" t="b">
        <v>0</v>
      </c>
      <c r="L407" s="99" t="b">
        <v>0</v>
      </c>
      <c r="M407" s="99" t="b">
        <v>0</v>
      </c>
      <c r="N407" s="99" t="b">
        <v>0</v>
      </c>
      <c r="O407" s="99" t="b">
        <v>0</v>
      </c>
      <c r="P407" s="99" t="b">
        <v>0</v>
      </c>
      <c r="Q407" s="99" t="b">
        <v>0</v>
      </c>
      <c r="R407" s="14"/>
      <c r="S407" s="14"/>
      <c r="T407" s="14"/>
      <c r="U407" s="14"/>
      <c r="V407" s="14"/>
      <c r="W407" s="14"/>
    </row>
    <row r="408" ht="35.25" customHeight="1">
      <c r="A408" s="92" t="s">
        <v>7266</v>
      </c>
      <c r="B408" s="93" t="s">
        <v>7268</v>
      </c>
      <c r="C408" s="94" t="s">
        <v>7270</v>
      </c>
      <c r="D408" s="24" t="s">
        <v>7271</v>
      </c>
      <c r="E408" s="96" t="str">
        <f>IFERROR(__xludf.DUMMYFUNCTION("GOOGLETRANSLATE(D408,""zh-CN"",""vi"")"),"Tôi thích ăn đậu phộng.")</f>
        <v>Tôi thích ăn đậu phộng.</v>
      </c>
      <c r="F408" s="101" t="s">
        <v>7266</v>
      </c>
      <c r="G408" s="98" t="b">
        <f t="shared" si="1"/>
        <v>1</v>
      </c>
      <c r="H408" s="99" t="b">
        <v>1</v>
      </c>
      <c r="I408" s="99" t="b">
        <v>0</v>
      </c>
      <c r="J408" s="99" t="b">
        <v>0</v>
      </c>
      <c r="K408" s="99" t="b">
        <v>0</v>
      </c>
      <c r="L408" s="99" t="b">
        <v>0</v>
      </c>
      <c r="M408" s="99" t="b">
        <v>0</v>
      </c>
      <c r="N408" s="99" t="b">
        <v>0</v>
      </c>
      <c r="O408" s="99" t="b">
        <v>0</v>
      </c>
      <c r="P408" s="99" t="b">
        <v>0</v>
      </c>
      <c r="Q408" s="99" t="b">
        <v>0</v>
      </c>
      <c r="R408" s="14"/>
      <c r="S408" s="14"/>
      <c r="T408" s="14"/>
      <c r="U408" s="14"/>
      <c r="V408" s="14"/>
      <c r="W408" s="14"/>
    </row>
    <row r="409" ht="35.25" customHeight="1">
      <c r="A409" s="92" t="s">
        <v>7276</v>
      </c>
      <c r="B409" s="93" t="s">
        <v>7277</v>
      </c>
      <c r="C409" s="94" t="s">
        <v>7278</v>
      </c>
      <c r="D409" s="24" t="s">
        <v>7279</v>
      </c>
      <c r="E409" s="96" t="str">
        <f>IFERROR(__xludf.DUMMYFUNCTION("GOOGLETRANSLATE(D409,""zh-CN"",""vi"")"),"Chèo thuyền là một hình thức tập thể dục tuyệt vời.")</f>
        <v>Chèo thuyền là một hình thức tập thể dục tuyệt vời.</v>
      </c>
      <c r="F409" s="101" t="s">
        <v>7276</v>
      </c>
      <c r="G409" s="98" t="b">
        <f t="shared" si="1"/>
        <v>1</v>
      </c>
      <c r="H409" s="99" t="b">
        <v>1</v>
      </c>
      <c r="I409" s="99" t="b">
        <v>0</v>
      </c>
      <c r="J409" s="99" t="b">
        <v>0</v>
      </c>
      <c r="K409" s="99" t="b">
        <v>0</v>
      </c>
      <c r="L409" s="99" t="b">
        <v>0</v>
      </c>
      <c r="M409" s="99" t="b">
        <v>0</v>
      </c>
      <c r="N409" s="99" t="b">
        <v>0</v>
      </c>
      <c r="O409" s="99" t="b">
        <v>0</v>
      </c>
      <c r="P409" s="99" t="b">
        <v>0</v>
      </c>
      <c r="Q409" s="99" t="b">
        <v>0</v>
      </c>
      <c r="R409" s="14"/>
      <c r="S409" s="14"/>
      <c r="T409" s="14"/>
      <c r="U409" s="14"/>
      <c r="V409" s="14"/>
      <c r="W409" s="14"/>
    </row>
    <row r="410" ht="35.25" customHeight="1">
      <c r="A410" s="92" t="s">
        <v>7284</v>
      </c>
      <c r="B410" s="93" t="s">
        <v>7285</v>
      </c>
      <c r="C410" s="94" t="s">
        <v>7286</v>
      </c>
      <c r="D410" s="24" t="s">
        <v>7287</v>
      </c>
      <c r="E410" s="96" t="str">
        <f>IFERROR(__xludf.DUMMYFUNCTION("GOOGLETRANSLATE(D410,""zh-CN"",""vi"")"),"Anh ấy là người Mỹ gốc Hoa.")</f>
        <v>Anh ấy là người Mỹ gốc Hoa.</v>
      </c>
      <c r="F410" s="101" t="s">
        <v>7284</v>
      </c>
      <c r="G410" s="98" t="b">
        <f t="shared" si="1"/>
        <v>1</v>
      </c>
      <c r="H410" s="99" t="b">
        <v>1</v>
      </c>
      <c r="I410" s="99" t="b">
        <v>0</v>
      </c>
      <c r="J410" s="99" t="b">
        <v>0</v>
      </c>
      <c r="K410" s="99" t="b">
        <v>0</v>
      </c>
      <c r="L410" s="99" t="b">
        <v>0</v>
      </c>
      <c r="M410" s="99" t="b">
        <v>0</v>
      </c>
      <c r="N410" s="99" t="b">
        <v>0</v>
      </c>
      <c r="O410" s="99" t="b">
        <v>0</v>
      </c>
      <c r="P410" s="99" t="b">
        <v>0</v>
      </c>
      <c r="Q410" s="99" t="b">
        <v>0</v>
      </c>
      <c r="R410" s="14"/>
      <c r="S410" s="14"/>
      <c r="T410" s="14"/>
      <c r="U410" s="14"/>
      <c r="V410" s="14"/>
      <c r="W410" s="14"/>
    </row>
    <row r="411" ht="35.25" customHeight="1">
      <c r="A411" s="92" t="s">
        <v>7292</v>
      </c>
      <c r="B411" s="93" t="s">
        <v>7277</v>
      </c>
      <c r="C411" s="94" t="s">
        <v>7293</v>
      </c>
      <c r="D411" s="24" t="s">
        <v>7294</v>
      </c>
      <c r="E411" s="96" t="str">
        <f>IFERROR(__xludf.DUMMYFUNCTION("GOOGLETRANSLATE(D411,""zh-CN"",""vi"")"),"Sàn nhà trơn trượt, cẩn thận kẻo ngã.")</f>
        <v>Sàn nhà trơn trượt, cẩn thận kẻo ngã.</v>
      </c>
      <c r="F411" s="101" t="s">
        <v>7292</v>
      </c>
      <c r="G411" s="98" t="b">
        <f t="shared" si="1"/>
        <v>1</v>
      </c>
      <c r="H411" s="99" t="b">
        <v>1</v>
      </c>
      <c r="I411" s="99" t="b">
        <v>0</v>
      </c>
      <c r="J411" s="99" t="b">
        <v>0</v>
      </c>
      <c r="K411" s="99" t="b">
        <v>0</v>
      </c>
      <c r="L411" s="99" t="b">
        <v>0</v>
      </c>
      <c r="M411" s="99" t="b">
        <v>0</v>
      </c>
      <c r="N411" s="99" t="b">
        <v>0</v>
      </c>
      <c r="O411" s="99" t="b">
        <v>0</v>
      </c>
      <c r="P411" s="99" t="b">
        <v>0</v>
      </c>
      <c r="Q411" s="99" t="b">
        <v>0</v>
      </c>
      <c r="R411" s="14"/>
      <c r="S411" s="14"/>
      <c r="T411" s="14"/>
      <c r="U411" s="14"/>
      <c r="V411" s="14"/>
      <c r="W411" s="14"/>
    </row>
    <row r="412" ht="35.25" customHeight="1">
      <c r="A412" s="92" t="s">
        <v>7299</v>
      </c>
      <c r="B412" s="93" t="s">
        <v>7300</v>
      </c>
      <c r="C412" s="94" t="s">
        <v>7301</v>
      </c>
      <c r="D412" s="24" t="s">
        <v>7302</v>
      </c>
      <c r="E412" s="96" t="str">
        <f>IFERROR(__xludf.DUMMYFUNCTION("GOOGLETRANSLATE(D412,""zh-CN"",""vi"")"),"Tôi đang học ngành hóa học.")</f>
        <v>Tôi đang học ngành hóa học.</v>
      </c>
      <c r="F412" s="101" t="s">
        <v>7299</v>
      </c>
      <c r="G412" s="98" t="b">
        <f t="shared" si="1"/>
        <v>1</v>
      </c>
      <c r="H412" s="99" t="b">
        <v>1</v>
      </c>
      <c r="I412" s="99" t="b">
        <v>0</v>
      </c>
      <c r="J412" s="99" t="b">
        <v>0</v>
      </c>
      <c r="K412" s="99" t="b">
        <v>0</v>
      </c>
      <c r="L412" s="99" t="b">
        <v>0</v>
      </c>
      <c r="M412" s="99" t="b">
        <v>0</v>
      </c>
      <c r="N412" s="99" t="b">
        <v>0</v>
      </c>
      <c r="O412" s="99" t="b">
        <v>0</v>
      </c>
      <c r="P412" s="99" t="b">
        <v>0</v>
      </c>
      <c r="Q412" s="99" t="b">
        <v>0</v>
      </c>
      <c r="R412" s="14"/>
      <c r="S412" s="14"/>
      <c r="T412" s="14"/>
      <c r="U412" s="14"/>
      <c r="V412" s="14"/>
      <c r="W412" s="14"/>
    </row>
    <row r="413" ht="35.25" customHeight="1">
      <c r="A413" s="92" t="s">
        <v>7307</v>
      </c>
      <c r="B413" s="93" t="s">
        <v>7308</v>
      </c>
      <c r="C413" s="94" t="s">
        <v>7309</v>
      </c>
      <c r="D413" s="24" t="s">
        <v>7310</v>
      </c>
      <c r="E413" s="96" t="str">
        <f>IFERROR(__xludf.DUMMYFUNCTION("GOOGLETRANSLATE(D413,""zh-CN"",""vi"")"),"Chúng tôi đã thảo luận về nhiều chủ đề.")</f>
        <v>Chúng tôi đã thảo luận về nhiều chủ đề.</v>
      </c>
      <c r="F413" s="101" t="s">
        <v>7307</v>
      </c>
      <c r="G413" s="98" t="b">
        <f t="shared" si="1"/>
        <v>1</v>
      </c>
      <c r="H413" s="99" t="b">
        <v>1</v>
      </c>
      <c r="I413" s="99" t="b">
        <v>0</v>
      </c>
      <c r="J413" s="99" t="b">
        <v>0</v>
      </c>
      <c r="K413" s="99" t="b">
        <v>0</v>
      </c>
      <c r="L413" s="99" t="b">
        <v>0</v>
      </c>
      <c r="M413" s="99" t="b">
        <v>0</v>
      </c>
      <c r="N413" s="99" t="b">
        <v>0</v>
      </c>
      <c r="O413" s="99" t="b">
        <v>0</v>
      </c>
      <c r="P413" s="99" t="b">
        <v>0</v>
      </c>
      <c r="Q413" s="99" t="b">
        <v>0</v>
      </c>
      <c r="R413" s="14"/>
      <c r="S413" s="14"/>
      <c r="T413" s="14"/>
      <c r="U413" s="14"/>
      <c r="V413" s="14"/>
      <c r="W413" s="14"/>
    </row>
    <row r="414" ht="35.25" customHeight="1">
      <c r="A414" s="92" t="s">
        <v>7311</v>
      </c>
      <c r="B414" s="93" t="s">
        <v>7312</v>
      </c>
      <c r="C414" s="94" t="s">
        <v>7313</v>
      </c>
      <c r="D414" s="24" t="s">
        <v>7314</v>
      </c>
      <c r="E414" s="96" t="str">
        <f>IFERROR(__xludf.DUMMYFUNCTION("GOOGLETRANSLATE(D414,""zh-CN"",""vi"")"),"Tôi nhớ quê nhà lắm.")</f>
        <v>Tôi nhớ quê nhà lắm.</v>
      </c>
      <c r="F414" s="101" t="s">
        <v>7311</v>
      </c>
      <c r="G414" s="98" t="b">
        <f t="shared" si="1"/>
        <v>1</v>
      </c>
      <c r="H414" s="99" t="b">
        <v>1</v>
      </c>
      <c r="I414" s="99" t="b">
        <v>0</v>
      </c>
      <c r="J414" s="99" t="b">
        <v>0</v>
      </c>
      <c r="K414" s="99" t="b">
        <v>0</v>
      </c>
      <c r="L414" s="99" t="b">
        <v>0</v>
      </c>
      <c r="M414" s="99" t="b">
        <v>0</v>
      </c>
      <c r="N414" s="99" t="b">
        <v>0</v>
      </c>
      <c r="O414" s="99" t="b">
        <v>0</v>
      </c>
      <c r="P414" s="99" t="b">
        <v>0</v>
      </c>
      <c r="Q414" s="99" t="b">
        <v>0</v>
      </c>
      <c r="R414" s="14"/>
      <c r="S414" s="14"/>
      <c r="T414" s="14"/>
      <c r="U414" s="14"/>
      <c r="V414" s="14"/>
      <c r="W414" s="14"/>
    </row>
    <row r="415" ht="35.25" customHeight="1">
      <c r="A415" s="92" t="s">
        <v>7319</v>
      </c>
      <c r="B415" s="93" t="s">
        <v>7320</v>
      </c>
      <c r="C415" s="94" t="s">
        <v>7321</v>
      </c>
      <c r="D415" s="24" t="s">
        <v>7322</v>
      </c>
      <c r="E415" s="96" t="str">
        <f>IFERROR(__xludf.DUMMYFUNCTION("GOOGLETRANSLATE(D415,""zh-CN"",""vi"")"),"Cô ấy đang mang thai và đang nghỉ ngơi.")</f>
        <v>Cô ấy đang mang thai và đang nghỉ ngơi.</v>
      </c>
      <c r="F415" s="101" t="s">
        <v>7319</v>
      </c>
      <c r="G415" s="98" t="b">
        <f t="shared" si="1"/>
        <v>1</v>
      </c>
      <c r="H415" s="99" t="b">
        <v>1</v>
      </c>
      <c r="I415" s="99" t="b">
        <v>0</v>
      </c>
      <c r="J415" s="99" t="b">
        <v>0</v>
      </c>
      <c r="K415" s="99" t="b">
        <v>0</v>
      </c>
      <c r="L415" s="99" t="b">
        <v>0</v>
      </c>
      <c r="M415" s="99" t="b">
        <v>0</v>
      </c>
      <c r="N415" s="99" t="b">
        <v>0</v>
      </c>
      <c r="O415" s="99" t="b">
        <v>0</v>
      </c>
      <c r="P415" s="99" t="b">
        <v>0</v>
      </c>
      <c r="Q415" s="99" t="b">
        <v>0</v>
      </c>
      <c r="R415" s="14"/>
      <c r="S415" s="14"/>
      <c r="T415" s="14"/>
      <c r="U415" s="14"/>
      <c r="V415" s="14"/>
      <c r="W415" s="14"/>
    </row>
    <row r="416" ht="35.25" customHeight="1">
      <c r="A416" s="92" t="s">
        <v>7327</v>
      </c>
      <c r="B416" s="93" t="s">
        <v>7328</v>
      </c>
      <c r="C416" s="102" t="s">
        <v>7329</v>
      </c>
      <c r="D416" s="24" t="s">
        <v>7330</v>
      </c>
      <c r="E416" s="96" t="str">
        <f>IFERROR(__xludf.DUMMYFUNCTION("GOOGLETRANSLATE(D416,""zh-CN"",""vi"")"),"Tập thể dục có thể giúp giảm căng thẳng.")</f>
        <v>Tập thể dục có thể giúp giảm căng thẳng.</v>
      </c>
      <c r="F416" s="101" t="s">
        <v>7327</v>
      </c>
      <c r="G416" s="98" t="b">
        <f t="shared" si="1"/>
        <v>1</v>
      </c>
      <c r="H416" s="99" t="b">
        <v>1</v>
      </c>
      <c r="I416" s="99" t="b">
        <v>0</v>
      </c>
      <c r="J416" s="99" t="b">
        <v>0</v>
      </c>
      <c r="K416" s="99" t="b">
        <v>0</v>
      </c>
      <c r="L416" s="99" t="b">
        <v>0</v>
      </c>
      <c r="M416" s="99" t="b">
        <v>0</v>
      </c>
      <c r="N416" s="99" t="b">
        <v>0</v>
      </c>
      <c r="O416" s="99" t="b">
        <v>0</v>
      </c>
      <c r="P416" s="99" t="b">
        <v>0</v>
      </c>
      <c r="Q416" s="99" t="b">
        <v>0</v>
      </c>
      <c r="R416" s="14"/>
      <c r="S416" s="14"/>
      <c r="T416" s="14"/>
      <c r="U416" s="14"/>
      <c r="V416" s="14"/>
      <c r="W416" s="14"/>
    </row>
    <row r="417" ht="35.25" customHeight="1">
      <c r="A417" s="92" t="s">
        <v>7335</v>
      </c>
      <c r="B417" s="93" t="s">
        <v>7336</v>
      </c>
      <c r="C417" s="94" t="s">
        <v>7337</v>
      </c>
      <c r="D417" s="24" t="s">
        <v>7338</v>
      </c>
      <c r="E417" s="96" t="str">
        <f>IFERROR(__xludf.DUMMYFUNCTION("GOOGLETRANSLATE(D417,""zh-CN"",""vi"")"),"Anh ấy có trí tưởng tượng phong phú.")</f>
        <v>Anh ấy có trí tưởng tượng phong phú.</v>
      </c>
      <c r="F417" s="101" t="s">
        <v>7335</v>
      </c>
      <c r="G417" s="98" t="b">
        <f t="shared" si="1"/>
        <v>1</v>
      </c>
      <c r="H417" s="99" t="b">
        <v>1</v>
      </c>
      <c r="I417" s="99" t="b">
        <v>0</v>
      </c>
      <c r="J417" s="99" t="b">
        <v>0</v>
      </c>
      <c r="K417" s="99" t="b">
        <v>0</v>
      </c>
      <c r="L417" s="99" t="b">
        <v>0</v>
      </c>
      <c r="M417" s="99" t="b">
        <v>0</v>
      </c>
      <c r="N417" s="99" t="b">
        <v>0</v>
      </c>
      <c r="O417" s="99" t="b">
        <v>0</v>
      </c>
      <c r="P417" s="99" t="b">
        <v>0</v>
      </c>
      <c r="Q417" s="99" t="b">
        <v>0</v>
      </c>
      <c r="R417" s="14"/>
      <c r="S417" s="14"/>
      <c r="T417" s="14"/>
      <c r="U417" s="14"/>
      <c r="V417" s="14"/>
      <c r="W417" s="14"/>
    </row>
    <row r="418" ht="35.25" customHeight="1">
      <c r="A418" s="92" t="s">
        <v>7347</v>
      </c>
      <c r="B418" s="93" t="s">
        <v>7348</v>
      </c>
      <c r="C418" s="94" t="s">
        <v>7349</v>
      </c>
      <c r="D418" s="24" t="s">
        <v>7350</v>
      </c>
      <c r="E418" s="96" t="str">
        <f>IFERROR(__xludf.DUMMYFUNCTION("GOOGLETRANSLATE(D418,""zh-CN"",""vi"")"),"Cô ấy cảm thấy rất lo lắng trong suốt buổi phỏng vấn.")</f>
        <v>Cô ấy cảm thấy rất lo lắng trong suốt buổi phỏng vấn.</v>
      </c>
      <c r="F418" s="101" t="s">
        <v>7347</v>
      </c>
      <c r="G418" s="98" t="b">
        <f t="shared" si="1"/>
        <v>1</v>
      </c>
      <c r="H418" s="99" t="b">
        <v>1</v>
      </c>
      <c r="I418" s="99" t="b">
        <v>0</v>
      </c>
      <c r="J418" s="99" t="b">
        <v>0</v>
      </c>
      <c r="K418" s="99" t="b">
        <v>0</v>
      </c>
      <c r="L418" s="99" t="b">
        <v>0</v>
      </c>
      <c r="M418" s="99" t="b">
        <v>0</v>
      </c>
      <c r="N418" s="99" t="b">
        <v>0</v>
      </c>
      <c r="O418" s="99" t="b">
        <v>0</v>
      </c>
      <c r="P418" s="99" t="b">
        <v>0</v>
      </c>
      <c r="Q418" s="99" t="b">
        <v>0</v>
      </c>
      <c r="R418" s="14"/>
      <c r="S418" s="14"/>
      <c r="T418" s="14"/>
      <c r="U418" s="14"/>
      <c r="V418" s="14"/>
      <c r="W418" s="14"/>
    </row>
    <row r="419" ht="35.25" customHeight="1">
      <c r="A419" s="92" t="s">
        <v>7354</v>
      </c>
      <c r="B419" s="93" t="s">
        <v>7356</v>
      </c>
      <c r="C419" s="94" t="s">
        <v>7357</v>
      </c>
      <c r="D419" s="24" t="s">
        <v>7358</v>
      </c>
      <c r="E419" s="96" t="str">
        <f>IFERROR(__xludf.DUMMYFUNCTION("GOOGLETRANSLATE(D419,""zh-CN"",""vi"")"),"Miếng vàng này rất nặng.")</f>
        <v>Miếng vàng này rất nặng.</v>
      </c>
      <c r="F419" s="101" t="s">
        <v>7354</v>
      </c>
      <c r="G419" s="98" t="b">
        <f t="shared" si="1"/>
        <v>1</v>
      </c>
      <c r="H419" s="99" t="b">
        <v>1</v>
      </c>
      <c r="I419" s="99" t="b">
        <v>0</v>
      </c>
      <c r="J419" s="99" t="b">
        <v>0</v>
      </c>
      <c r="K419" s="99" t="b">
        <v>0</v>
      </c>
      <c r="L419" s="99" t="b">
        <v>0</v>
      </c>
      <c r="M419" s="99" t="b">
        <v>0</v>
      </c>
      <c r="N419" s="99" t="b">
        <v>0</v>
      </c>
      <c r="O419" s="99" t="b">
        <v>0</v>
      </c>
      <c r="P419" s="99" t="b">
        <v>0</v>
      </c>
      <c r="Q419" s="99" t="b">
        <v>0</v>
      </c>
      <c r="R419" s="14"/>
      <c r="S419" s="14"/>
      <c r="T419" s="14"/>
      <c r="U419" s="14"/>
      <c r="V419" s="14"/>
      <c r="W419" s="14"/>
    </row>
    <row r="420" ht="35.25" customHeight="1">
      <c r="A420" s="92" t="s">
        <v>7360</v>
      </c>
      <c r="B420" s="93" t="s">
        <v>7362</v>
      </c>
      <c r="C420" s="94" t="s">
        <v>7364</v>
      </c>
      <c r="D420" s="24" t="s">
        <v>7366</v>
      </c>
      <c r="E420" s="96" t="str">
        <f>IFERROR(__xludf.DUMMYFUNCTION("GOOGLETRANSLATE(D420,""zh-CN"",""vi"")"),"Bầu trời chuyển sang màu xám.")</f>
        <v>Bầu trời chuyển sang màu xám.</v>
      </c>
      <c r="F420" s="101" t="s">
        <v>7360</v>
      </c>
      <c r="G420" s="98" t="b">
        <f t="shared" si="1"/>
        <v>1</v>
      </c>
      <c r="H420" s="99" t="b">
        <v>1</v>
      </c>
      <c r="I420" s="99" t="b">
        <v>0</v>
      </c>
      <c r="J420" s="99" t="b">
        <v>0</v>
      </c>
      <c r="K420" s="99" t="b">
        <v>0</v>
      </c>
      <c r="L420" s="99" t="b">
        <v>0</v>
      </c>
      <c r="M420" s="99" t="b">
        <v>0</v>
      </c>
      <c r="N420" s="99" t="b">
        <v>0</v>
      </c>
      <c r="O420" s="99" t="b">
        <v>0</v>
      </c>
      <c r="P420" s="99" t="b">
        <v>0</v>
      </c>
      <c r="Q420" s="99" t="b">
        <v>0</v>
      </c>
      <c r="R420" s="14"/>
      <c r="S420" s="14"/>
      <c r="T420" s="14"/>
      <c r="U420" s="14"/>
      <c r="V420" s="14"/>
      <c r="W420" s="14"/>
    </row>
    <row r="421" ht="35.25" customHeight="1">
      <c r="A421" s="92" t="s">
        <v>7370</v>
      </c>
      <c r="B421" s="93" t="s">
        <v>7372</v>
      </c>
      <c r="C421" s="94" t="s">
        <v>7373</v>
      </c>
      <c r="D421" s="24" t="s">
        <v>7374</v>
      </c>
      <c r="E421" s="96" t="str">
        <f>IFERROR(__xludf.DUMMYFUNCTION("GOOGLETRANSLATE(D421,""zh-CN"",""vi"")"),"Trên mặt bàn có một lớp bụi.")</f>
        <v>Trên mặt bàn có một lớp bụi.</v>
      </c>
      <c r="F421" s="101" t="s">
        <v>7370</v>
      </c>
      <c r="G421" s="98" t="b">
        <f t="shared" si="1"/>
        <v>1</v>
      </c>
      <c r="H421" s="99" t="b">
        <v>1</v>
      </c>
      <c r="I421" s="99" t="b">
        <v>0</v>
      </c>
      <c r="J421" s="99" t="b">
        <v>0</v>
      </c>
      <c r="K421" s="99" t="b">
        <v>0</v>
      </c>
      <c r="L421" s="99" t="b">
        <v>0</v>
      </c>
      <c r="M421" s="99" t="b">
        <v>0</v>
      </c>
      <c r="N421" s="99" t="b">
        <v>0</v>
      </c>
      <c r="O421" s="99" t="b">
        <v>0</v>
      </c>
      <c r="P421" s="99" t="b">
        <v>0</v>
      </c>
      <c r="Q421" s="99" t="b">
        <v>0</v>
      </c>
      <c r="R421" s="14"/>
      <c r="S421" s="14"/>
      <c r="T421" s="14"/>
      <c r="U421" s="14"/>
      <c r="V421" s="14"/>
      <c r="W421" s="14"/>
    </row>
    <row r="422" ht="35.25" customHeight="1">
      <c r="A422" s="92" t="s">
        <v>7375</v>
      </c>
      <c r="B422" s="93" t="s">
        <v>7376</v>
      </c>
      <c r="C422" s="94" t="s">
        <v>7377</v>
      </c>
      <c r="D422" s="24" t="s">
        <v>7379</v>
      </c>
      <c r="E422" s="96" t="str">
        <f>IFERROR(__xludf.DUMMYFUNCTION("GOOGLETRANSLATE(D422,""zh-CN"",""vi"")"),"Ông ấy rất thất vọng vì thất bại đó.")</f>
        <v>Ông ấy rất thất vọng vì thất bại đó.</v>
      </c>
      <c r="F422" s="101" t="s">
        <v>7375</v>
      </c>
      <c r="G422" s="98" t="b">
        <f t="shared" si="1"/>
        <v>1</v>
      </c>
      <c r="H422" s="99" t="b">
        <v>1</v>
      </c>
      <c r="I422" s="99" t="b">
        <v>0</v>
      </c>
      <c r="J422" s="99" t="b">
        <v>0</v>
      </c>
      <c r="K422" s="99" t="b">
        <v>0</v>
      </c>
      <c r="L422" s="99" t="b">
        <v>0</v>
      </c>
      <c r="M422" s="99" t="b">
        <v>0</v>
      </c>
      <c r="N422" s="99" t="b">
        <v>0</v>
      </c>
      <c r="O422" s="99" t="b">
        <v>0</v>
      </c>
      <c r="P422" s="99" t="b">
        <v>0</v>
      </c>
      <c r="Q422" s="99" t="b">
        <v>0</v>
      </c>
      <c r="R422" s="14"/>
      <c r="S422" s="14"/>
      <c r="T422" s="14"/>
      <c r="U422" s="14"/>
      <c r="V422" s="14"/>
      <c r="W422" s="14"/>
    </row>
    <row r="423" ht="35.25" customHeight="1">
      <c r="A423" s="92" t="s">
        <v>7387</v>
      </c>
      <c r="B423" s="93" t="s">
        <v>7362</v>
      </c>
      <c r="C423" s="94" t="s">
        <v>7388</v>
      </c>
      <c r="D423" s="24" t="s">
        <v>7390</v>
      </c>
      <c r="E423" s="96" t="str">
        <f>IFERROR(__xludf.DUMMYFUNCTION("GOOGLETRANSLATE(D423,""zh-CN"",""vi"")"),"Cô ấy vẫy tay chào tạm biệt mọi người.")</f>
        <v>Cô ấy vẫy tay chào tạm biệt mọi người.</v>
      </c>
      <c r="F423" s="101" t="s">
        <v>7387</v>
      </c>
      <c r="G423" s="98" t="b">
        <f t="shared" si="1"/>
        <v>1</v>
      </c>
      <c r="H423" s="99" t="b">
        <v>1</v>
      </c>
      <c r="I423" s="99" t="b">
        <v>0</v>
      </c>
      <c r="J423" s="99" t="b">
        <v>0</v>
      </c>
      <c r="K423" s="99" t="b">
        <v>0</v>
      </c>
      <c r="L423" s="99" t="b">
        <v>0</v>
      </c>
      <c r="M423" s="99" t="b">
        <v>0</v>
      </c>
      <c r="N423" s="99" t="b">
        <v>0</v>
      </c>
      <c r="O423" s="99" t="b">
        <v>0</v>
      </c>
      <c r="P423" s="99" t="b">
        <v>0</v>
      </c>
      <c r="Q423" s="99" t="b">
        <v>0</v>
      </c>
      <c r="R423" s="14"/>
      <c r="S423" s="14"/>
      <c r="T423" s="14"/>
      <c r="U423" s="14"/>
      <c r="V423" s="14"/>
      <c r="W423" s="14"/>
    </row>
    <row r="424" ht="35.25" customHeight="1">
      <c r="A424" s="92" t="s">
        <v>7394</v>
      </c>
      <c r="B424" s="93" t="s">
        <v>7396</v>
      </c>
      <c r="C424" s="94" t="s">
        <v>7398</v>
      </c>
      <c r="D424" s="24" t="s">
        <v>7399</v>
      </c>
      <c r="E424" s="96" t="str">
        <f>IFERROR(__xludf.DUMMYFUNCTION("GOOGLETRANSLATE(D424,""zh-CN"",""vi"")"),"Chúng ta cần phục hồi sức lực.")</f>
        <v>Chúng ta cần phục hồi sức lực.</v>
      </c>
      <c r="F424" s="101" t="s">
        <v>7394</v>
      </c>
      <c r="G424" s="98" t="b">
        <f t="shared" si="1"/>
        <v>1</v>
      </c>
      <c r="H424" s="99" t="b">
        <v>1</v>
      </c>
      <c r="I424" s="99" t="b">
        <v>0</v>
      </c>
      <c r="J424" s="99" t="b">
        <v>0</v>
      </c>
      <c r="K424" s="99" t="b">
        <v>0</v>
      </c>
      <c r="L424" s="99" t="b">
        <v>0</v>
      </c>
      <c r="M424" s="99" t="b">
        <v>0</v>
      </c>
      <c r="N424" s="99" t="b">
        <v>0</v>
      </c>
      <c r="O424" s="99" t="b">
        <v>0</v>
      </c>
      <c r="P424" s="99" t="b">
        <v>0</v>
      </c>
      <c r="Q424" s="99" t="b">
        <v>0</v>
      </c>
      <c r="R424" s="14"/>
      <c r="S424" s="14"/>
      <c r="T424" s="14"/>
      <c r="U424" s="14"/>
      <c r="V424" s="14"/>
      <c r="W424" s="14"/>
    </row>
    <row r="425" ht="35.25" customHeight="1">
      <c r="A425" s="92" t="s">
        <v>7402</v>
      </c>
      <c r="B425" s="93" t="s">
        <v>7404</v>
      </c>
      <c r="C425" s="94" t="s">
        <v>7406</v>
      </c>
      <c r="D425" s="24" t="s">
        <v>7407</v>
      </c>
      <c r="E425" s="96" t="str">
        <f>IFERROR(__xludf.DUMMYFUNCTION("GOOGLETRANSLATE(D425,""zh-CN"",""vi"")"),"Tỷ giá hối đoái hiện tại rất biến động.")</f>
        <v>Tỷ giá hối đoái hiện tại rất biến động.</v>
      </c>
      <c r="F425" s="101" t="s">
        <v>7402</v>
      </c>
      <c r="G425" s="98" t="b">
        <f t="shared" si="1"/>
        <v>1</v>
      </c>
      <c r="H425" s="99" t="b">
        <v>1</v>
      </c>
      <c r="I425" s="99" t="b">
        <v>0</v>
      </c>
      <c r="J425" s="99" t="b">
        <v>0</v>
      </c>
      <c r="K425" s="99" t="b">
        <v>0</v>
      </c>
      <c r="L425" s="99" t="b">
        <v>0</v>
      </c>
      <c r="M425" s="99" t="b">
        <v>0</v>
      </c>
      <c r="N425" s="99" t="b">
        <v>0</v>
      </c>
      <c r="O425" s="99" t="b">
        <v>0</v>
      </c>
      <c r="P425" s="99" t="b">
        <v>0</v>
      </c>
      <c r="Q425" s="99" t="b">
        <v>0</v>
      </c>
      <c r="R425" s="14"/>
      <c r="S425" s="14"/>
      <c r="T425" s="14"/>
      <c r="U425" s="14"/>
      <c r="V425" s="14"/>
      <c r="W425" s="14"/>
    </row>
    <row r="426" ht="35.25" customHeight="1">
      <c r="A426" s="92" t="s">
        <v>7412</v>
      </c>
      <c r="B426" s="93" t="s">
        <v>7413</v>
      </c>
      <c r="C426" s="94" t="s">
        <v>7414</v>
      </c>
      <c r="D426" s="24" t="s">
        <v>7415</v>
      </c>
      <c r="E426" s="96" t="str">
        <f>IFERROR(__xludf.DUMMYFUNCTION("GOOGLETRANSLATE(D426,""zh-CN"",""vi"")"),"Cô ấy đang chuẩn bị cho đám cưới của mình.")</f>
        <v>Cô ấy đang chuẩn bị cho đám cưới của mình.</v>
      </c>
      <c r="F426" s="101" t="s">
        <v>7412</v>
      </c>
      <c r="G426" s="98" t="b">
        <f t="shared" si="1"/>
        <v>1</v>
      </c>
      <c r="H426" s="99" t="b">
        <v>1</v>
      </c>
      <c r="I426" s="99" t="b">
        <v>0</v>
      </c>
      <c r="J426" s="99" t="b">
        <v>0</v>
      </c>
      <c r="K426" s="99" t="b">
        <v>0</v>
      </c>
      <c r="L426" s="99" t="b">
        <v>0</v>
      </c>
      <c r="M426" s="99" t="b">
        <v>0</v>
      </c>
      <c r="N426" s="99" t="b">
        <v>0</v>
      </c>
      <c r="O426" s="99" t="b">
        <v>0</v>
      </c>
      <c r="P426" s="99" t="b">
        <v>0</v>
      </c>
      <c r="Q426" s="99" t="b">
        <v>0</v>
      </c>
      <c r="R426" s="14"/>
      <c r="S426" s="14"/>
      <c r="T426" s="14"/>
      <c r="U426" s="14"/>
      <c r="V426" s="14"/>
      <c r="W426" s="14"/>
    </row>
    <row r="427" ht="35.25" customHeight="1">
      <c r="A427" s="92" t="s">
        <v>7420</v>
      </c>
      <c r="B427" s="93" t="s">
        <v>7421</v>
      </c>
      <c r="C427" s="94" t="s">
        <v>7422</v>
      </c>
      <c r="D427" s="24" t="s">
        <v>7423</v>
      </c>
      <c r="E427" s="96" t="str">
        <f>IFERROR(__xludf.DUMMYFUNCTION("GOOGLETRANSLATE(D427,""zh-CN"",""vi"")"),"Cuộc hôn nhân của họ rất hạnh phúc.")</f>
        <v>Cuộc hôn nhân của họ rất hạnh phúc.</v>
      </c>
      <c r="F427" s="101" t="s">
        <v>7420</v>
      </c>
      <c r="G427" s="98" t="b">
        <f t="shared" si="1"/>
        <v>1</v>
      </c>
      <c r="H427" s="99" t="b">
        <v>1</v>
      </c>
      <c r="I427" s="99" t="b">
        <v>0</v>
      </c>
      <c r="J427" s="99" t="b">
        <v>0</v>
      </c>
      <c r="K427" s="99" t="b">
        <v>0</v>
      </c>
      <c r="L427" s="99" t="b">
        <v>0</v>
      </c>
      <c r="M427" s="99" t="b">
        <v>0</v>
      </c>
      <c r="N427" s="99" t="b">
        <v>0</v>
      </c>
      <c r="O427" s="99" t="b">
        <v>0</v>
      </c>
      <c r="P427" s="99" t="b">
        <v>0</v>
      </c>
      <c r="Q427" s="99" t="b">
        <v>0</v>
      </c>
      <c r="R427" s="14"/>
      <c r="S427" s="14"/>
      <c r="T427" s="14"/>
      <c r="U427" s="14"/>
      <c r="V427" s="14"/>
      <c r="W427" s="14"/>
    </row>
    <row r="428" ht="35.25" customHeight="1">
      <c r="A428" s="92" t="s">
        <v>7428</v>
      </c>
      <c r="B428" s="93" t="s">
        <v>7429</v>
      </c>
      <c r="C428" s="94" t="s">
        <v>7430</v>
      </c>
      <c r="D428" s="24" t="s">
        <v>7431</v>
      </c>
      <c r="E428" s="96" t="str">
        <f>IFERROR(__xludf.DUMMYFUNCTION("GOOGLETRANSLATE(D428,""zh-CN"",""vi"")"),"Anh ấy rất năng động trong công việc.")</f>
        <v>Anh ấy rất năng động trong công việc.</v>
      </c>
      <c r="F428" s="101" t="s">
        <v>7428</v>
      </c>
      <c r="G428" s="98" t="b">
        <f t="shared" si="1"/>
        <v>1</v>
      </c>
      <c r="H428" s="99" t="b">
        <v>1</v>
      </c>
      <c r="I428" s="99" t="b">
        <v>0</v>
      </c>
      <c r="J428" s="99" t="b">
        <v>0</v>
      </c>
      <c r="K428" s="99" t="b">
        <v>0</v>
      </c>
      <c r="L428" s="99" t="b">
        <v>0</v>
      </c>
      <c r="M428" s="99" t="b">
        <v>0</v>
      </c>
      <c r="N428" s="99" t="b">
        <v>0</v>
      </c>
      <c r="O428" s="99" t="b">
        <v>0</v>
      </c>
      <c r="P428" s="99" t="b">
        <v>0</v>
      </c>
      <c r="Q428" s="99" t="b">
        <v>0</v>
      </c>
      <c r="R428" s="14"/>
      <c r="S428" s="14"/>
      <c r="T428" s="14"/>
      <c r="U428" s="14"/>
      <c r="V428" s="14"/>
      <c r="W428" s="14"/>
    </row>
    <row r="429" ht="35.25" customHeight="1">
      <c r="A429" s="92" t="s">
        <v>7436</v>
      </c>
      <c r="B429" s="93" t="s">
        <v>7437</v>
      </c>
      <c r="C429" s="94" t="s">
        <v>7438</v>
      </c>
      <c r="D429" s="24" t="s">
        <v>7439</v>
      </c>
      <c r="E429" s="96" t="str">
        <f>IFERROR(__xludf.DUMMYFUNCTION("GOOGLETRANSLATE(D429,""zh-CN"",""vi"")"),"Chúng ta cần mua một ít diêm.")</f>
        <v>Chúng ta cần mua một ít diêm.</v>
      </c>
      <c r="F429" s="101" t="s">
        <v>7436</v>
      </c>
      <c r="G429" s="98" t="b">
        <f t="shared" si="1"/>
        <v>1</v>
      </c>
      <c r="H429" s="99" t="b">
        <v>1</v>
      </c>
      <c r="I429" s="99" t="b">
        <v>0</v>
      </c>
      <c r="J429" s="99" t="b">
        <v>0</v>
      </c>
      <c r="K429" s="99" t="b">
        <v>0</v>
      </c>
      <c r="L429" s="99" t="b">
        <v>0</v>
      </c>
      <c r="M429" s="99" t="b">
        <v>0</v>
      </c>
      <c r="N429" s="99" t="b">
        <v>0</v>
      </c>
      <c r="O429" s="99" t="b">
        <v>0</v>
      </c>
      <c r="P429" s="99" t="b">
        <v>0</v>
      </c>
      <c r="Q429" s="99" t="b">
        <v>0</v>
      </c>
      <c r="R429" s="14"/>
      <c r="S429" s="14"/>
      <c r="T429" s="14"/>
      <c r="U429" s="14"/>
      <c r="V429" s="14"/>
      <c r="W429" s="14"/>
    </row>
    <row r="430" ht="35.25" customHeight="1">
      <c r="A430" s="92" t="s">
        <v>7448</v>
      </c>
      <c r="B430" s="93" t="s">
        <v>7449</v>
      </c>
      <c r="C430" s="94" t="s">
        <v>7450</v>
      </c>
      <c r="D430" s="24" t="s">
        <v>7452</v>
      </c>
      <c r="E430" s="96" t="str">
        <f>IFERROR(__xludf.DUMMYFUNCTION("GOOGLETRANSLATE(D430,""zh-CN"",""vi"")"),"Anh ấy là bạn tốt của tôi.")</f>
        <v>Anh ấy là bạn tốt của tôi.</v>
      </c>
      <c r="F430" s="101" t="s">
        <v>7448</v>
      </c>
      <c r="G430" s="98" t="b">
        <f t="shared" si="1"/>
        <v>1</v>
      </c>
      <c r="H430" s="99" t="b">
        <v>1</v>
      </c>
      <c r="I430" s="99" t="b">
        <v>0</v>
      </c>
      <c r="J430" s="99" t="b">
        <v>0</v>
      </c>
      <c r="K430" s="99" t="b">
        <v>0</v>
      </c>
      <c r="L430" s="99" t="b">
        <v>0</v>
      </c>
      <c r="M430" s="99" t="b">
        <v>0</v>
      </c>
      <c r="N430" s="99" t="b">
        <v>0</v>
      </c>
      <c r="O430" s="99" t="b">
        <v>0</v>
      </c>
      <c r="P430" s="99" t="b">
        <v>0</v>
      </c>
      <c r="Q430" s="99" t="b">
        <v>0</v>
      </c>
      <c r="R430" s="14"/>
      <c r="S430" s="14"/>
      <c r="T430" s="14"/>
      <c r="U430" s="14"/>
      <c r="V430" s="14"/>
      <c r="W430" s="14"/>
    </row>
    <row r="431" ht="35.25" customHeight="1">
      <c r="A431" s="92" t="s">
        <v>7456</v>
      </c>
      <c r="B431" s="93" t="s">
        <v>7457</v>
      </c>
      <c r="C431" s="102" t="s">
        <v>7458</v>
      </c>
      <c r="D431" s="24" t="s">
        <v>7459</v>
      </c>
      <c r="E431" s="96" t="str">
        <f>IFERROR(__xludf.DUMMYFUNCTION("GOOGLETRANSLATE(D431,""zh-CN"",""vi"")"),"Có lẽ ngày mai thời tiết sẽ tốt hơn.")</f>
        <v>Có lẽ ngày mai thời tiết sẽ tốt hơn.</v>
      </c>
      <c r="F431" s="101" t="s">
        <v>7456</v>
      </c>
      <c r="G431" s="98" t="b">
        <f t="shared" si="1"/>
        <v>1</v>
      </c>
      <c r="H431" s="99" t="b">
        <v>1</v>
      </c>
      <c r="I431" s="99" t="b">
        <v>0</v>
      </c>
      <c r="J431" s="99" t="b">
        <v>0</v>
      </c>
      <c r="K431" s="99" t="b">
        <v>0</v>
      </c>
      <c r="L431" s="99" t="b">
        <v>0</v>
      </c>
      <c r="M431" s="99" t="b">
        <v>0</v>
      </c>
      <c r="N431" s="99" t="b">
        <v>0</v>
      </c>
      <c r="O431" s="99" t="b">
        <v>0</v>
      </c>
      <c r="P431" s="99" t="b">
        <v>0</v>
      </c>
      <c r="Q431" s="99" t="b">
        <v>0</v>
      </c>
      <c r="R431" s="14"/>
      <c r="S431" s="14"/>
      <c r="T431" s="14"/>
      <c r="U431" s="14"/>
      <c r="V431" s="14"/>
      <c r="W431" s="14"/>
    </row>
    <row r="432" ht="35.25" customHeight="1">
      <c r="A432" s="92" t="s">
        <v>7464</v>
      </c>
      <c r="B432" s="93" t="s">
        <v>7465</v>
      </c>
      <c r="C432" s="94" t="s">
        <v>7466</v>
      </c>
      <c r="D432" s="24" t="s">
        <v>7467</v>
      </c>
      <c r="E432" s="96" t="str">
        <f>IFERROR(__xludf.DUMMYFUNCTION("GOOGLETRANSLATE(D432,""zh-CN"",""vi"")"),"Cỗ máy này rất hiện đại.")</f>
        <v>Cỗ máy này rất hiện đại.</v>
      </c>
      <c r="F432" s="101" t="s">
        <v>7464</v>
      </c>
      <c r="G432" s="98" t="b">
        <f t="shared" si="1"/>
        <v>1</v>
      </c>
      <c r="H432" s="99" t="b">
        <v>1</v>
      </c>
      <c r="I432" s="99" t="b">
        <v>0</v>
      </c>
      <c r="J432" s="99" t="b">
        <v>0</v>
      </c>
      <c r="K432" s="99" t="b">
        <v>0</v>
      </c>
      <c r="L432" s="99" t="b">
        <v>0</v>
      </c>
      <c r="M432" s="99" t="b">
        <v>0</v>
      </c>
      <c r="N432" s="99" t="b">
        <v>0</v>
      </c>
      <c r="O432" s="99" t="b">
        <v>0</v>
      </c>
      <c r="P432" s="99" t="b">
        <v>0</v>
      </c>
      <c r="Q432" s="99" t="b">
        <v>0</v>
      </c>
      <c r="R432" s="14"/>
      <c r="S432" s="14"/>
      <c r="T432" s="14"/>
      <c r="U432" s="14"/>
      <c r="V432" s="14"/>
      <c r="W432" s="14"/>
    </row>
    <row r="433" ht="35.25" customHeight="1">
      <c r="A433" s="92" t="s">
        <v>7469</v>
      </c>
      <c r="B433" s="93" t="s">
        <v>7471</v>
      </c>
      <c r="C433" s="94" t="s">
        <v>7473</v>
      </c>
      <c r="D433" s="24" t="s">
        <v>7475</v>
      </c>
      <c r="E433" s="96" t="str">
        <f>IFERROR(__xludf.DUMMYFUNCTION("GOOGLETRANSLATE(D433,""zh-CN"",""vi"")"),"Anh ấy đang tập luyện để tăng cường cơ bắp.")</f>
        <v>Anh ấy đang tập luyện để tăng cường cơ bắp.</v>
      </c>
      <c r="F433" s="101" t="s">
        <v>7469</v>
      </c>
      <c r="G433" s="98" t="b">
        <f t="shared" si="1"/>
        <v>1</v>
      </c>
      <c r="H433" s="99" t="b">
        <v>1</v>
      </c>
      <c r="I433" s="99" t="b">
        <v>0</v>
      </c>
      <c r="J433" s="99" t="b">
        <v>0</v>
      </c>
      <c r="K433" s="99" t="b">
        <v>0</v>
      </c>
      <c r="L433" s="99" t="b">
        <v>0</v>
      </c>
      <c r="M433" s="99" t="b">
        <v>0</v>
      </c>
      <c r="N433" s="99" t="b">
        <v>0</v>
      </c>
      <c r="O433" s="99" t="b">
        <v>0</v>
      </c>
      <c r="P433" s="99" t="b">
        <v>0</v>
      </c>
      <c r="Q433" s="99" t="b">
        <v>0</v>
      </c>
      <c r="R433" s="14"/>
      <c r="S433" s="14"/>
      <c r="T433" s="14"/>
      <c r="U433" s="14"/>
      <c r="V433" s="14"/>
      <c r="W433" s="14"/>
    </row>
    <row r="434" ht="35.25" customHeight="1">
      <c r="A434" s="92" t="s">
        <v>7476</v>
      </c>
      <c r="B434" s="93" t="s">
        <v>7477</v>
      </c>
      <c r="C434" s="94" t="s">
        <v>7478</v>
      </c>
      <c r="D434" s="24" t="s">
        <v>7480</v>
      </c>
      <c r="E434" s="96" t="str">
        <f>IFERROR(__xludf.DUMMYFUNCTION("GOOGLETRANSLATE(D434,""zh-CN"",""vi"")"),"Đây là một kỹ năng cơ bản.")</f>
        <v>Đây là một kỹ năng cơ bản.</v>
      </c>
      <c r="F434" s="101" t="s">
        <v>7476</v>
      </c>
      <c r="G434" s="98" t="b">
        <f t="shared" si="1"/>
        <v>1</v>
      </c>
      <c r="H434" s="99" t="b">
        <v>1</v>
      </c>
      <c r="I434" s="99" t="b">
        <v>0</v>
      </c>
      <c r="J434" s="99" t="b">
        <v>0</v>
      </c>
      <c r="K434" s="99" t="b">
        <v>0</v>
      </c>
      <c r="L434" s="99" t="b">
        <v>0</v>
      </c>
      <c r="M434" s="99" t="b">
        <v>0</v>
      </c>
      <c r="N434" s="99" t="b">
        <v>0</v>
      </c>
      <c r="O434" s="99" t="b">
        <v>0</v>
      </c>
      <c r="P434" s="99" t="b">
        <v>0</v>
      </c>
      <c r="Q434" s="99" t="b">
        <v>0</v>
      </c>
      <c r="R434" s="14"/>
      <c r="S434" s="14"/>
      <c r="T434" s="14"/>
      <c r="U434" s="14"/>
      <c r="V434" s="14"/>
      <c r="W434" s="14"/>
    </row>
    <row r="435" ht="35.25" customHeight="1">
      <c r="A435" s="92" t="s">
        <v>7484</v>
      </c>
      <c r="B435" s="93" t="s">
        <v>7485</v>
      </c>
      <c r="C435" s="94" t="s">
        <v>7486</v>
      </c>
      <c r="D435" s="24" t="s">
        <v>7487</v>
      </c>
      <c r="E435" s="96" t="str">
        <f>IFERROR(__xludf.DUMMYFUNCTION("GOOGLETRANSLATE(D435,""zh-CN"",""vi"")"),"Trận đấu diễn ra rất căng thẳng.")</f>
        <v>Trận đấu diễn ra rất căng thẳng.</v>
      </c>
      <c r="F435" s="101" t="s">
        <v>7484</v>
      </c>
      <c r="G435" s="98" t="b">
        <f t="shared" si="1"/>
        <v>1</v>
      </c>
      <c r="H435" s="99" t="b">
        <v>1</v>
      </c>
      <c r="I435" s="99" t="b">
        <v>0</v>
      </c>
      <c r="J435" s="99" t="b">
        <v>0</v>
      </c>
      <c r="K435" s="99" t="b">
        <v>0</v>
      </c>
      <c r="L435" s="99" t="b">
        <v>0</v>
      </c>
      <c r="M435" s="99" t="b">
        <v>0</v>
      </c>
      <c r="N435" s="99" t="b">
        <v>0</v>
      </c>
      <c r="O435" s="99" t="b">
        <v>0</v>
      </c>
      <c r="P435" s="99" t="b">
        <v>0</v>
      </c>
      <c r="Q435" s="99" t="b">
        <v>0</v>
      </c>
      <c r="R435" s="14"/>
      <c r="S435" s="14"/>
      <c r="T435" s="14"/>
      <c r="U435" s="14"/>
      <c r="V435" s="14"/>
      <c r="W435" s="14"/>
    </row>
    <row r="436" ht="35.25" customHeight="1">
      <c r="A436" s="92" t="s">
        <v>7492</v>
      </c>
      <c r="B436" s="93" t="s">
        <v>7493</v>
      </c>
      <c r="C436" s="94" t="s">
        <v>7494</v>
      </c>
      <c r="D436" s="24" t="s">
        <v>7495</v>
      </c>
      <c r="E436" s="96" t="str">
        <f>IFERROR(__xludf.DUMMYFUNCTION("GOOGLETRANSLATE(D436,""zh-CN"",""vi"")"),"Anh ấy đã vượt qua kỳ thi.")</f>
        <v>Anh ấy đã vượt qua kỳ thi.</v>
      </c>
      <c r="F436" s="101" t="s">
        <v>7492</v>
      </c>
      <c r="G436" s="98" t="b">
        <f t="shared" si="1"/>
        <v>1</v>
      </c>
      <c r="H436" s="99" t="b">
        <v>1</v>
      </c>
      <c r="I436" s="99" t="b">
        <v>0</v>
      </c>
      <c r="J436" s="99" t="b">
        <v>0</v>
      </c>
      <c r="K436" s="99" t="b">
        <v>0</v>
      </c>
      <c r="L436" s="99" t="b">
        <v>0</v>
      </c>
      <c r="M436" s="99" t="b">
        <v>0</v>
      </c>
      <c r="N436" s="99" t="b">
        <v>0</v>
      </c>
      <c r="O436" s="99" t="b">
        <v>0</v>
      </c>
      <c r="P436" s="99" t="b">
        <v>0</v>
      </c>
      <c r="Q436" s="99" t="b">
        <v>0</v>
      </c>
      <c r="R436" s="14"/>
      <c r="S436" s="14"/>
      <c r="T436" s="14"/>
      <c r="U436" s="14"/>
      <c r="V436" s="14"/>
      <c r="W436" s="14"/>
    </row>
    <row r="437" ht="35.25" customHeight="1">
      <c r="A437" s="92" t="s">
        <v>7500</v>
      </c>
      <c r="B437" s="93" t="s">
        <v>7501</v>
      </c>
      <c r="C437" s="94" t="s">
        <v>7502</v>
      </c>
      <c r="D437" s="24" t="s">
        <v>7503</v>
      </c>
      <c r="E437" s="96" t="str">
        <f>IFERROR(__xludf.DUMMYFUNCTION("GOOGLETRANSLATE(D437,""zh-CN"",""vi"")"),"Tình huống này cực kỳ hiếm gặp.")</f>
        <v>Tình huống này cực kỳ hiếm gặp.</v>
      </c>
      <c r="F437" s="101" t="s">
        <v>7500</v>
      </c>
      <c r="G437" s="98" t="b">
        <f t="shared" si="1"/>
        <v>1</v>
      </c>
      <c r="H437" s="99" t="b">
        <v>1</v>
      </c>
      <c r="I437" s="99" t="b">
        <v>0</v>
      </c>
      <c r="J437" s="99" t="b">
        <v>0</v>
      </c>
      <c r="K437" s="99" t="b">
        <v>0</v>
      </c>
      <c r="L437" s="99" t="b">
        <v>0</v>
      </c>
      <c r="M437" s="99" t="b">
        <v>0</v>
      </c>
      <c r="N437" s="99" t="b">
        <v>0</v>
      </c>
      <c r="O437" s="99" t="b">
        <v>0</v>
      </c>
      <c r="P437" s="99" t="b">
        <v>0</v>
      </c>
      <c r="Q437" s="99" t="b">
        <v>0</v>
      </c>
      <c r="R437" s="14"/>
      <c r="S437" s="14"/>
      <c r="T437" s="14"/>
      <c r="U437" s="14"/>
      <c r="V437" s="14"/>
      <c r="W437" s="14"/>
    </row>
    <row r="438" ht="35.25" customHeight="1">
      <c r="A438" s="92" t="s">
        <v>7508</v>
      </c>
      <c r="B438" s="93" t="s">
        <v>7509</v>
      </c>
      <c r="C438" s="94" t="s">
        <v>5355</v>
      </c>
      <c r="D438" s="24" t="s">
        <v>7510</v>
      </c>
      <c r="E438" s="96" t="str">
        <f>IFERROR(__xludf.DUMMYFUNCTION("GOOGLETRANSLATE(D438,""zh-CN"",""vi"")"),"Anh ta vội vã đến bệnh viện.")</f>
        <v>Anh ta vội vã đến bệnh viện.</v>
      </c>
      <c r="F438" s="101" t="s">
        <v>7508</v>
      </c>
      <c r="G438" s="98" t="b">
        <f t="shared" si="1"/>
        <v>1</v>
      </c>
      <c r="H438" s="99" t="b">
        <v>1</v>
      </c>
      <c r="I438" s="99" t="b">
        <v>0</v>
      </c>
      <c r="J438" s="99" t="b">
        <v>0</v>
      </c>
      <c r="K438" s="99" t="b">
        <v>0</v>
      </c>
      <c r="L438" s="99" t="b">
        <v>0</v>
      </c>
      <c r="M438" s="99" t="b">
        <v>0</v>
      </c>
      <c r="N438" s="99" t="b">
        <v>0</v>
      </c>
      <c r="O438" s="99" t="b">
        <v>0</v>
      </c>
      <c r="P438" s="99" t="b">
        <v>0</v>
      </c>
      <c r="Q438" s="99" t="b">
        <v>0</v>
      </c>
      <c r="R438" s="14"/>
      <c r="S438" s="14"/>
      <c r="T438" s="14"/>
      <c r="U438" s="14"/>
      <c r="V438" s="14"/>
      <c r="W438" s="14"/>
    </row>
    <row r="439" ht="35.25" customHeight="1">
      <c r="A439" s="92" t="s">
        <v>7515</v>
      </c>
      <c r="B439" s="93" t="s">
        <v>7516</v>
      </c>
      <c r="C439" s="94" t="s">
        <v>7517</v>
      </c>
      <c r="D439" s="24" t="s">
        <v>7518</v>
      </c>
      <c r="E439" s="96" t="str">
        <f>IFERROR(__xludf.DUMMYFUNCTION("GOOGLETRANSLATE(D439,""zh-CN"",""vi"")"),"Cô ấy đã đến phòng cấp cứu để được điều trị.")</f>
        <v>Cô ấy đã đến phòng cấp cứu để được điều trị.</v>
      </c>
      <c r="F439" s="101" t="s">
        <v>7515</v>
      </c>
      <c r="G439" s="98" t="b">
        <f t="shared" si="1"/>
        <v>1</v>
      </c>
      <c r="H439" s="99" t="b">
        <v>1</v>
      </c>
      <c r="I439" s="99" t="b">
        <v>0</v>
      </c>
      <c r="J439" s="99" t="b">
        <v>0</v>
      </c>
      <c r="K439" s="99" t="b">
        <v>0</v>
      </c>
      <c r="L439" s="99" t="b">
        <v>0</v>
      </c>
      <c r="M439" s="99" t="b">
        <v>0</v>
      </c>
      <c r="N439" s="99" t="b">
        <v>0</v>
      </c>
      <c r="O439" s="99" t="b">
        <v>0</v>
      </c>
      <c r="P439" s="99" t="b">
        <v>0</v>
      </c>
      <c r="Q439" s="99" t="b">
        <v>0</v>
      </c>
      <c r="R439" s="14"/>
      <c r="S439" s="14"/>
      <c r="T439" s="14"/>
      <c r="U439" s="14"/>
      <c r="V439" s="14"/>
      <c r="W439" s="14"/>
    </row>
    <row r="440" ht="35.25" customHeight="1">
      <c r="A440" s="92" t="s">
        <v>7523</v>
      </c>
      <c r="B440" s="93" t="s">
        <v>7524</v>
      </c>
      <c r="C440" s="94" t="s">
        <v>7525</v>
      </c>
      <c r="D440" s="24" t="s">
        <v>7526</v>
      </c>
      <c r="E440" s="96" t="str">
        <f>IFERROR(__xludf.DUMMYFUNCTION("GOOGLETRANSLATE(D440,""zh-CN"",""vi"")"),"Chúng tôi tập trung ở sân chơi.")</f>
        <v>Chúng tôi tập trung ở sân chơi.</v>
      </c>
      <c r="F440" s="101" t="s">
        <v>7523</v>
      </c>
      <c r="G440" s="98" t="b">
        <f t="shared" si="1"/>
        <v>1</v>
      </c>
      <c r="H440" s="99" t="b">
        <v>1</v>
      </c>
      <c r="I440" s="99" t="b">
        <v>0</v>
      </c>
      <c r="J440" s="99" t="b">
        <v>0</v>
      </c>
      <c r="K440" s="99" t="b">
        <v>0</v>
      </c>
      <c r="L440" s="99" t="b">
        <v>0</v>
      </c>
      <c r="M440" s="99" t="b">
        <v>0</v>
      </c>
      <c r="N440" s="99" t="b">
        <v>0</v>
      </c>
      <c r="O440" s="99" t="b">
        <v>0</v>
      </c>
      <c r="P440" s="99" t="b">
        <v>0</v>
      </c>
      <c r="Q440" s="99" t="b">
        <v>0</v>
      </c>
      <c r="R440" s="14"/>
      <c r="S440" s="14"/>
      <c r="T440" s="14"/>
      <c r="U440" s="14"/>
      <c r="V440" s="14"/>
      <c r="W440" s="14"/>
    </row>
    <row r="441" ht="35.25" customHeight="1">
      <c r="A441" s="92" t="s">
        <v>7530</v>
      </c>
      <c r="B441" s="93" t="s">
        <v>7531</v>
      </c>
      <c r="C441" s="94" t="s">
        <v>7532</v>
      </c>
      <c r="D441" s="24" t="s">
        <v>7533</v>
      </c>
      <c r="E441" s="96" t="str">
        <f>IFERROR(__xludf.DUMMYFUNCTION("GOOGLETRANSLATE(D441,""zh-CN"",""vi"")"),"Đây là hoạt động nhóm.")</f>
        <v>Đây là hoạt động nhóm.</v>
      </c>
      <c r="F441" s="101" t="s">
        <v>7530</v>
      </c>
      <c r="G441" s="98" t="b">
        <f t="shared" si="1"/>
        <v>1</v>
      </c>
      <c r="H441" s="99" t="b">
        <v>1</v>
      </c>
      <c r="I441" s="99" t="b">
        <v>0</v>
      </c>
      <c r="J441" s="99" t="b">
        <v>0</v>
      </c>
      <c r="K441" s="99" t="b">
        <v>0</v>
      </c>
      <c r="L441" s="99" t="b">
        <v>0</v>
      </c>
      <c r="M441" s="99" t="b">
        <v>0</v>
      </c>
      <c r="N441" s="99" t="b">
        <v>0</v>
      </c>
      <c r="O441" s="99" t="b">
        <v>0</v>
      </c>
      <c r="P441" s="99" t="b">
        <v>0</v>
      </c>
      <c r="Q441" s="99" t="b">
        <v>0</v>
      </c>
      <c r="R441" s="14"/>
      <c r="S441" s="14"/>
      <c r="T441" s="14"/>
      <c r="U441" s="14"/>
      <c r="V441" s="14"/>
      <c r="W441" s="14"/>
    </row>
    <row r="442" ht="35.25" customHeight="1">
      <c r="A442" s="92" t="s">
        <v>7538</v>
      </c>
      <c r="B442" s="93" t="s">
        <v>7539</v>
      </c>
      <c r="C442" s="94" t="s">
        <v>7540</v>
      </c>
      <c r="D442" s="24" t="s">
        <v>7541</v>
      </c>
      <c r="E442" s="96" t="str">
        <f>IFERROR(__xludf.DUMMYFUNCTION("GOOGLETRANSLATE(D442,""zh-CN"",""vi"")"),"Mọi người hãy tập trung lắng nghe bài giảng.")</f>
        <v>Mọi người hãy tập trung lắng nghe bài giảng.</v>
      </c>
      <c r="F442" s="101" t="s">
        <v>7538</v>
      </c>
      <c r="G442" s="98" t="b">
        <f t="shared" si="1"/>
        <v>1</v>
      </c>
      <c r="H442" s="99" t="b">
        <v>1</v>
      </c>
      <c r="I442" s="99" t="b">
        <v>0</v>
      </c>
      <c r="J442" s="99" t="b">
        <v>0</v>
      </c>
      <c r="K442" s="99" t="b">
        <v>0</v>
      </c>
      <c r="L442" s="99" t="b">
        <v>0</v>
      </c>
      <c r="M442" s="99" t="b">
        <v>0</v>
      </c>
      <c r="N442" s="99" t="b">
        <v>0</v>
      </c>
      <c r="O442" s="99" t="b">
        <v>0</v>
      </c>
      <c r="P442" s="99" t="b">
        <v>0</v>
      </c>
      <c r="Q442" s="99" t="b">
        <v>0</v>
      </c>
      <c r="R442" s="14"/>
      <c r="S442" s="14"/>
      <c r="T442" s="14"/>
      <c r="U442" s="14"/>
      <c r="V442" s="14"/>
      <c r="W442" s="14"/>
    </row>
    <row r="443" ht="35.25" customHeight="1">
      <c r="A443" s="92" t="s">
        <v>7546</v>
      </c>
      <c r="B443" s="93" t="s">
        <v>7547</v>
      </c>
      <c r="C443" s="94" t="s">
        <v>7548</v>
      </c>
      <c r="D443" s="24" t="s">
        <v>7549</v>
      </c>
      <c r="E443" s="96" t="str">
        <f>IFERROR(__xludf.DUMMYFUNCTION("GOOGLETRANSLATE(D443,""zh-CN"",""vi"")"),"Chúng ta cần tính toán tổng chi phí.")</f>
        <v>Chúng ta cần tính toán tổng chi phí.</v>
      </c>
      <c r="F443" s="101" t="s">
        <v>7546</v>
      </c>
      <c r="G443" s="98" t="b">
        <f t="shared" si="1"/>
        <v>1</v>
      </c>
      <c r="H443" s="99" t="b">
        <v>1</v>
      </c>
      <c r="I443" s="99" t="b">
        <v>0</v>
      </c>
      <c r="J443" s="99" t="b">
        <v>0</v>
      </c>
      <c r="K443" s="99" t="b">
        <v>0</v>
      </c>
      <c r="L443" s="99" t="b">
        <v>0</v>
      </c>
      <c r="M443" s="99" t="b">
        <v>0</v>
      </c>
      <c r="N443" s="99" t="b">
        <v>0</v>
      </c>
      <c r="O443" s="99" t="b">
        <v>0</v>
      </c>
      <c r="P443" s="99" t="b">
        <v>0</v>
      </c>
      <c r="Q443" s="99" t="b">
        <v>0</v>
      </c>
      <c r="R443" s="14"/>
      <c r="S443" s="14"/>
      <c r="T443" s="14"/>
      <c r="U443" s="14"/>
      <c r="V443" s="14"/>
      <c r="W443" s="14"/>
    </row>
    <row r="444" ht="35.25" customHeight="1">
      <c r="A444" s="92" t="s">
        <v>7556</v>
      </c>
      <c r="B444" s="93" t="s">
        <v>7558</v>
      </c>
      <c r="C444" s="94" t="s">
        <v>7560</v>
      </c>
      <c r="D444" s="24" t="s">
        <v>7561</v>
      </c>
      <c r="E444" s="96" t="str">
        <f>IFERROR(__xludf.DUMMYFUNCTION("GOOGLETRANSLATE(D444,""zh-CN"",""vi"")"),"Vui lòng ghi lại tiến độ của bạn.")</f>
        <v>Vui lòng ghi lại tiến độ của bạn.</v>
      </c>
      <c r="F444" s="101" t="s">
        <v>7556</v>
      </c>
      <c r="G444" s="98" t="b">
        <f t="shared" si="1"/>
        <v>1</v>
      </c>
      <c r="H444" s="99" t="b">
        <v>1</v>
      </c>
      <c r="I444" s="99" t="b">
        <v>0</v>
      </c>
      <c r="J444" s="99" t="b">
        <v>0</v>
      </c>
      <c r="K444" s="99" t="b">
        <v>0</v>
      </c>
      <c r="L444" s="99" t="b">
        <v>0</v>
      </c>
      <c r="M444" s="99" t="b">
        <v>0</v>
      </c>
      <c r="N444" s="99" t="b">
        <v>0</v>
      </c>
      <c r="O444" s="99" t="b">
        <v>0</v>
      </c>
      <c r="P444" s="99" t="b">
        <v>0</v>
      </c>
      <c r="Q444" s="99" t="b">
        <v>0</v>
      </c>
      <c r="R444" s="14"/>
      <c r="S444" s="14"/>
      <c r="T444" s="14"/>
      <c r="U444" s="14"/>
      <c r="V444" s="14"/>
      <c r="W444" s="14"/>
    </row>
    <row r="445" ht="35.25" customHeight="1">
      <c r="A445" s="92" t="s">
        <v>7566</v>
      </c>
      <c r="B445" s="93" t="s">
        <v>7567</v>
      </c>
      <c r="C445" s="94" t="s">
        <v>7568</v>
      </c>
      <c r="D445" s="24" t="s">
        <v>7569</v>
      </c>
      <c r="E445" s="96" t="str">
        <f>IFERROR(__xludf.DUMMYFUNCTION("GOOGLETRANSLATE(D445,""zh-CN"",""vi"")"),"Anh ấy có trí nhớ rất tốt.")</f>
        <v>Anh ấy có trí nhớ rất tốt.</v>
      </c>
      <c r="F445" s="101" t="s">
        <v>7566</v>
      </c>
      <c r="G445" s="98" t="b">
        <f t="shared" si="1"/>
        <v>1</v>
      </c>
      <c r="H445" s="99" t="b">
        <v>1</v>
      </c>
      <c r="I445" s="99" t="b">
        <v>0</v>
      </c>
      <c r="J445" s="99" t="b">
        <v>0</v>
      </c>
      <c r="K445" s="99" t="b">
        <v>0</v>
      </c>
      <c r="L445" s="99" t="b">
        <v>0</v>
      </c>
      <c r="M445" s="99" t="b">
        <v>0</v>
      </c>
      <c r="N445" s="99" t="b">
        <v>0</v>
      </c>
      <c r="O445" s="99" t="b">
        <v>0</v>
      </c>
      <c r="P445" s="99" t="b">
        <v>0</v>
      </c>
      <c r="Q445" s="99" t="b">
        <v>0</v>
      </c>
      <c r="R445" s="14"/>
      <c r="S445" s="14"/>
      <c r="T445" s="14"/>
      <c r="U445" s="14"/>
      <c r="V445" s="14"/>
      <c r="W445" s="14"/>
    </row>
    <row r="446" ht="35.25" customHeight="1">
      <c r="A446" s="92" t="s">
        <v>7574</v>
      </c>
      <c r="B446" s="93" t="s">
        <v>7558</v>
      </c>
      <c r="C446" s="94" t="s">
        <v>7575</v>
      </c>
      <c r="D446" s="24" t="s">
        <v>7576</v>
      </c>
      <c r="E446" s="96" t="str">
        <f>IFERROR(__xludf.DUMMYFUNCTION("GOOGLETRANSLATE(D446,""zh-CN"",""vi"")"),"Cuốn sách này là một tài liệu lịch sử.")</f>
        <v>Cuốn sách này là một tài liệu lịch sử.</v>
      </c>
      <c r="F446" s="101" t="s">
        <v>7574</v>
      </c>
      <c r="G446" s="98" t="b">
        <f t="shared" si="1"/>
        <v>1</v>
      </c>
      <c r="H446" s="99" t="b">
        <v>1</v>
      </c>
      <c r="I446" s="99" t="b">
        <v>0</v>
      </c>
      <c r="J446" s="99" t="b">
        <v>0</v>
      </c>
      <c r="K446" s="99" t="b">
        <v>0</v>
      </c>
      <c r="L446" s="99" t="b">
        <v>0</v>
      </c>
      <c r="M446" s="99" t="b">
        <v>0</v>
      </c>
      <c r="N446" s="99" t="b">
        <v>0</v>
      </c>
      <c r="O446" s="99" t="b">
        <v>0</v>
      </c>
      <c r="P446" s="99" t="b">
        <v>0</v>
      </c>
      <c r="Q446" s="99" t="b">
        <v>0</v>
      </c>
      <c r="R446" s="14"/>
      <c r="S446" s="14"/>
      <c r="T446" s="14"/>
      <c r="U446" s="14"/>
      <c r="V446" s="14"/>
      <c r="W446" s="14"/>
    </row>
    <row r="447" ht="35.25" customHeight="1">
      <c r="A447" s="92" t="s">
        <v>7581</v>
      </c>
      <c r="B447" s="93" t="s">
        <v>7582</v>
      </c>
      <c r="C447" s="94" t="s">
        <v>7583</v>
      </c>
      <c r="D447" s="24" t="s">
        <v>7584</v>
      </c>
      <c r="E447" s="96" t="str">
        <f>IFERROR(__xludf.DUMMYFUNCTION("GOOGLETRANSLATE(D447,""zh-CN"",""vi"")"),"Anh ấy tuân thủ nghiêm ngặt các quy tắc.")</f>
        <v>Anh ấy tuân thủ nghiêm ngặt các quy tắc.</v>
      </c>
      <c r="F447" s="101" t="s">
        <v>7581</v>
      </c>
      <c r="G447" s="98" t="b">
        <f t="shared" si="1"/>
        <v>1</v>
      </c>
      <c r="H447" s="99" t="b">
        <v>1</v>
      </c>
      <c r="I447" s="99" t="b">
        <v>0</v>
      </c>
      <c r="J447" s="99" t="b">
        <v>0</v>
      </c>
      <c r="K447" s="99" t="b">
        <v>0</v>
      </c>
      <c r="L447" s="99" t="b">
        <v>0</v>
      </c>
      <c r="M447" s="99" t="b">
        <v>0</v>
      </c>
      <c r="N447" s="99" t="b">
        <v>0</v>
      </c>
      <c r="O447" s="99" t="b">
        <v>0</v>
      </c>
      <c r="P447" s="99" t="b">
        <v>0</v>
      </c>
      <c r="Q447" s="99" t="b">
        <v>0</v>
      </c>
      <c r="R447" s="14"/>
      <c r="S447" s="14"/>
      <c r="T447" s="14"/>
      <c r="U447" s="14"/>
      <c r="V447" s="14"/>
      <c r="W447" s="14"/>
    </row>
    <row r="448" ht="35.25" customHeight="1">
      <c r="A448" s="92" t="s">
        <v>7588</v>
      </c>
      <c r="B448" s="93" t="s">
        <v>7590</v>
      </c>
      <c r="C448" s="94" t="s">
        <v>7591</v>
      </c>
      <c r="D448" s="24" t="s">
        <v>7592</v>
      </c>
      <c r="E448" s="96" t="str">
        <f>IFERROR(__xludf.DUMMYFUNCTION("GOOGLETRANSLATE(D448,""zh-CN"",""vi"")"),"Hãy cùng nhau kỷ niệm ngày đặc biệt này.")</f>
        <v>Hãy cùng nhau kỷ niệm ngày đặc biệt này.</v>
      </c>
      <c r="F448" s="101" t="s">
        <v>7588</v>
      </c>
      <c r="G448" s="98" t="b">
        <f t="shared" si="1"/>
        <v>1</v>
      </c>
      <c r="H448" s="99" t="b">
        <v>1</v>
      </c>
      <c r="I448" s="99" t="b">
        <v>0</v>
      </c>
      <c r="J448" s="99" t="b">
        <v>0</v>
      </c>
      <c r="K448" s="99" t="b">
        <v>0</v>
      </c>
      <c r="L448" s="99" t="b">
        <v>0</v>
      </c>
      <c r="M448" s="99" t="b">
        <v>0</v>
      </c>
      <c r="N448" s="99" t="b">
        <v>0</v>
      </c>
      <c r="O448" s="99" t="b">
        <v>0</v>
      </c>
      <c r="P448" s="99" t="b">
        <v>0</v>
      </c>
      <c r="Q448" s="99" t="b">
        <v>0</v>
      </c>
      <c r="R448" s="14"/>
      <c r="S448" s="14"/>
      <c r="T448" s="14"/>
      <c r="U448" s="14"/>
      <c r="V448" s="14"/>
      <c r="W448" s="14"/>
    </row>
    <row r="449" ht="35.25" customHeight="1">
      <c r="A449" s="92" t="s">
        <v>7594</v>
      </c>
      <c r="B449" s="93" t="s">
        <v>7596</v>
      </c>
      <c r="C449" s="94" t="s">
        <v>7598</v>
      </c>
      <c r="D449" s="117" t="s">
        <v>7600</v>
      </c>
      <c r="E449" s="96" t="str">
        <f>IFERROR(__xludf.DUMMYFUNCTION("GOOGLETRANSLATE(D449,""zh-CN"",""vi"")"),"Anh ta có biết cách thắt cà vạt không?")</f>
        <v>Anh ta có biết cách thắt cà vạt không?</v>
      </c>
      <c r="F449" s="101" t="s">
        <v>7594</v>
      </c>
      <c r="G449" s="98" t="b">
        <f t="shared" si="1"/>
        <v>1</v>
      </c>
      <c r="H449" s="99" t="b">
        <v>1</v>
      </c>
      <c r="I449" s="99" t="b">
        <v>0</v>
      </c>
      <c r="J449" s="99" t="b">
        <v>0</v>
      </c>
      <c r="K449" s="99" t="b">
        <v>0</v>
      </c>
      <c r="L449" s="99" t="b">
        <v>0</v>
      </c>
      <c r="M449" s="99" t="b">
        <v>0</v>
      </c>
      <c r="N449" s="99" t="b">
        <v>0</v>
      </c>
      <c r="O449" s="99" t="b">
        <v>0</v>
      </c>
      <c r="P449" s="99" t="b">
        <v>0</v>
      </c>
      <c r="Q449" s="99" t="b">
        <v>0</v>
      </c>
      <c r="R449" s="14"/>
      <c r="S449" s="14"/>
      <c r="T449" s="14"/>
      <c r="U449" s="14"/>
      <c r="V449" s="14"/>
      <c r="W449" s="14"/>
    </row>
    <row r="450" ht="35.25" customHeight="1">
      <c r="A450" s="92" t="s">
        <v>7601</v>
      </c>
      <c r="B450" s="93" t="s">
        <v>7603</v>
      </c>
      <c r="C450" s="94" t="s">
        <v>7605</v>
      </c>
      <c r="D450" s="24" t="s">
        <v>7607</v>
      </c>
      <c r="E450" s="96" t="str">
        <f>IFERROR(__xludf.DUMMYFUNCTION("GOOGLETRANSLATE(D450,""zh-CN"",""vi"")"),"Cô ấy cảm thấy rất cô đơn.")</f>
        <v>Cô ấy cảm thấy rất cô đơn.</v>
      </c>
      <c r="F450" s="101" t="s">
        <v>7601</v>
      </c>
      <c r="G450" s="98" t="b">
        <f t="shared" si="1"/>
        <v>1</v>
      </c>
      <c r="H450" s="99" t="b">
        <v>0</v>
      </c>
      <c r="I450" s="99" t="b">
        <v>0</v>
      </c>
      <c r="J450" s="99" t="b">
        <v>0</v>
      </c>
      <c r="K450" s="99" t="b">
        <v>0</v>
      </c>
      <c r="L450" s="99" t="b">
        <v>0</v>
      </c>
      <c r="M450" s="99" t="b">
        <v>0</v>
      </c>
      <c r="N450" s="99" t="b">
        <v>0</v>
      </c>
      <c r="O450" s="99" t="b">
        <v>0</v>
      </c>
      <c r="P450" s="99" t="b">
        <v>0</v>
      </c>
      <c r="Q450" s="99" t="b">
        <v>0</v>
      </c>
      <c r="R450" s="14"/>
      <c r="S450" s="14"/>
      <c r="T450" s="14"/>
      <c r="U450" s="14"/>
      <c r="V450" s="14"/>
      <c r="W450" s="14"/>
    </row>
    <row r="451" ht="35.25" customHeight="1">
      <c r="A451" s="92" t="s">
        <v>7609</v>
      </c>
      <c r="B451" s="93" t="s">
        <v>7610</v>
      </c>
      <c r="C451" s="94" t="s">
        <v>7611</v>
      </c>
      <c r="D451" s="24" t="s">
        <v>7612</v>
      </c>
      <c r="E451" s="96" t="str">
        <f>IFERROR(__xludf.DUMMYFUNCTION("GOOGLETRANSLATE(D451,""zh-CN"",""vi"")"),"Tôi cần một cái kẹp để giữ tài liệu.")</f>
        <v>Tôi cần một cái kẹp để giữ tài liệu.</v>
      </c>
      <c r="F451" s="101" t="s">
        <v>7609</v>
      </c>
      <c r="G451" s="98" t="b">
        <f t="shared" si="1"/>
        <v>1</v>
      </c>
      <c r="H451" s="99" t="b">
        <v>0</v>
      </c>
      <c r="I451" s="99" t="b">
        <v>0</v>
      </c>
      <c r="J451" s="99" t="b">
        <v>0</v>
      </c>
      <c r="K451" s="99" t="b">
        <v>0</v>
      </c>
      <c r="L451" s="99" t="b">
        <v>0</v>
      </c>
      <c r="M451" s="99" t="b">
        <v>0</v>
      </c>
      <c r="N451" s="99" t="b">
        <v>0</v>
      </c>
      <c r="O451" s="99" t="b">
        <v>0</v>
      </c>
      <c r="P451" s="99" t="b">
        <v>0</v>
      </c>
      <c r="Q451" s="99" t="b">
        <v>0</v>
      </c>
      <c r="R451" s="14"/>
      <c r="S451" s="14"/>
      <c r="T451" s="14"/>
      <c r="U451" s="14"/>
      <c r="V451" s="14"/>
      <c r="W451" s="14"/>
    </row>
    <row r="452" ht="35.25" customHeight="1">
      <c r="A452" s="92" t="s">
        <v>7615</v>
      </c>
      <c r="B452" s="93" t="s">
        <v>7617</v>
      </c>
      <c r="C452" s="94" t="s">
        <v>7619</v>
      </c>
      <c r="D452" s="24" t="s">
        <v>7620</v>
      </c>
      <c r="E452" s="96" t="str">
        <f>IFERROR(__xludf.DUMMYFUNCTION("GOOGLETRANSLATE(D452,""zh-CN"",""vi"")"),"Gia đình chúng tôi rất hòa thuận.")</f>
        <v>Gia đình chúng tôi rất hòa thuận.</v>
      </c>
      <c r="F452" s="101" t="s">
        <v>7615</v>
      </c>
      <c r="G452" s="98" t="b">
        <f t="shared" si="1"/>
        <v>1</v>
      </c>
      <c r="H452" s="99" t="b">
        <v>0</v>
      </c>
      <c r="I452" s="99" t="b">
        <v>0</v>
      </c>
      <c r="J452" s="99" t="b">
        <v>0</v>
      </c>
      <c r="K452" s="99" t="b">
        <v>0</v>
      </c>
      <c r="L452" s="99" t="b">
        <v>0</v>
      </c>
      <c r="M452" s="99" t="b">
        <v>0</v>
      </c>
      <c r="N452" s="99" t="b">
        <v>0</v>
      </c>
      <c r="O452" s="99" t="b">
        <v>0</v>
      </c>
      <c r="P452" s="99" t="b">
        <v>0</v>
      </c>
      <c r="Q452" s="99" t="b">
        <v>0</v>
      </c>
      <c r="R452" s="14"/>
      <c r="S452" s="14"/>
      <c r="T452" s="14"/>
      <c r="U452" s="14"/>
      <c r="V452" s="14"/>
      <c r="W452" s="14"/>
    </row>
    <row r="453" ht="35.25" customHeight="1">
      <c r="A453" s="92" t="s">
        <v>7621</v>
      </c>
      <c r="B453" s="93" t="s">
        <v>7623</v>
      </c>
      <c r="C453" s="94" t="s">
        <v>7625</v>
      </c>
      <c r="D453" s="24" t="s">
        <v>7627</v>
      </c>
      <c r="E453" s="96" t="str">
        <f>IFERROR(__xludf.DUMMYFUNCTION("GOOGLETRANSLATE(D453,""zh-CN"",""vi"")"),"Cô ấy phụ trách việc nhà.")</f>
        <v>Cô ấy phụ trách việc nhà.</v>
      </c>
      <c r="F453" s="101" t="s">
        <v>7621</v>
      </c>
      <c r="G453" s="98" t="b">
        <f t="shared" si="1"/>
        <v>1</v>
      </c>
      <c r="H453" s="99" t="b">
        <v>0</v>
      </c>
      <c r="I453" s="99" t="b">
        <v>0</v>
      </c>
      <c r="J453" s="99" t="b">
        <v>0</v>
      </c>
      <c r="K453" s="99" t="b">
        <v>0</v>
      </c>
      <c r="L453" s="99" t="b">
        <v>0</v>
      </c>
      <c r="M453" s="99" t="b">
        <v>0</v>
      </c>
      <c r="N453" s="99" t="b">
        <v>0</v>
      </c>
      <c r="O453" s="99" t="b">
        <v>0</v>
      </c>
      <c r="P453" s="99" t="b">
        <v>0</v>
      </c>
      <c r="Q453" s="99" t="b">
        <v>0</v>
      </c>
      <c r="R453" s="14"/>
      <c r="S453" s="14"/>
      <c r="T453" s="14"/>
      <c r="U453" s="14"/>
      <c r="V453" s="14"/>
      <c r="W453" s="14"/>
    </row>
    <row r="454" ht="35.25" customHeight="1">
      <c r="A454" s="92" t="s">
        <v>7629</v>
      </c>
      <c r="B454" s="93" t="s">
        <v>7630</v>
      </c>
      <c r="C454" s="94" t="s">
        <v>7632</v>
      </c>
      <c r="D454" s="24" t="s">
        <v>7634</v>
      </c>
      <c r="E454" s="96" t="str">
        <f>IFERROR(__xludf.DUMMYFUNCTION("GOOGLETRANSLATE(D454,""zh-CN"",""vi"")"),"Quê hương tôi nằm ở một thành phố xinh đẹp.")</f>
        <v>Quê hương tôi nằm ở một thành phố xinh đẹp.</v>
      </c>
      <c r="F454" s="101" t="s">
        <v>7629</v>
      </c>
      <c r="G454" s="98" t="b">
        <f t="shared" si="1"/>
        <v>1</v>
      </c>
      <c r="H454" s="99" t="b">
        <v>0</v>
      </c>
      <c r="I454" s="99" t="b">
        <v>0</v>
      </c>
      <c r="J454" s="99" t="b">
        <v>0</v>
      </c>
      <c r="K454" s="99" t="b">
        <v>0</v>
      </c>
      <c r="L454" s="99" t="b">
        <v>0</v>
      </c>
      <c r="M454" s="99" t="b">
        <v>0</v>
      </c>
      <c r="N454" s="99" t="b">
        <v>0</v>
      </c>
      <c r="O454" s="99" t="b">
        <v>0</v>
      </c>
      <c r="P454" s="99" t="b">
        <v>0</v>
      </c>
      <c r="Q454" s="99" t="b">
        <v>0</v>
      </c>
      <c r="R454" s="14"/>
      <c r="S454" s="14"/>
      <c r="T454" s="14"/>
      <c r="U454" s="14"/>
      <c r="V454" s="14"/>
      <c r="W454" s="14"/>
    </row>
    <row r="455" ht="35.25" customHeight="1">
      <c r="A455" s="92" t="s">
        <v>7637</v>
      </c>
      <c r="B455" s="93" t="s">
        <v>7638</v>
      </c>
      <c r="C455" s="94" t="s">
        <v>7639</v>
      </c>
      <c r="D455" s="24" t="s">
        <v>7641</v>
      </c>
      <c r="E455" s="96" t="str">
        <f>IFERROR(__xludf.DUMMYFUNCTION("GOOGLETRANSLATE(D455,""zh-CN"",""vi"")"),"Vị khách này rất nổi tiếng.")</f>
        <v>Vị khách này rất nổi tiếng.</v>
      </c>
      <c r="F455" s="101" t="s">
        <v>7637</v>
      </c>
      <c r="G455" s="98" t="b">
        <f t="shared" si="1"/>
        <v>1</v>
      </c>
      <c r="H455" s="99" t="b">
        <v>0</v>
      </c>
      <c r="I455" s="99" t="b">
        <v>0</v>
      </c>
      <c r="J455" s="99" t="b">
        <v>0</v>
      </c>
      <c r="K455" s="99" t="b">
        <v>0</v>
      </c>
      <c r="L455" s="99" t="b">
        <v>0</v>
      </c>
      <c r="M455" s="99" t="b">
        <v>0</v>
      </c>
      <c r="N455" s="99" t="b">
        <v>0</v>
      </c>
      <c r="O455" s="99" t="b">
        <v>0</v>
      </c>
      <c r="P455" s="99" t="b">
        <v>0</v>
      </c>
      <c r="Q455" s="99" t="b">
        <v>0</v>
      </c>
      <c r="R455" s="14"/>
      <c r="S455" s="14"/>
      <c r="T455" s="14"/>
      <c r="U455" s="14"/>
      <c r="V455" s="14"/>
      <c r="W455" s="14"/>
    </row>
    <row r="456" ht="35.25" customHeight="1">
      <c r="A456" s="92" t="s">
        <v>7645</v>
      </c>
      <c r="B456" s="93" t="s">
        <v>2428</v>
      </c>
      <c r="C456" s="94" t="s">
        <v>7647</v>
      </c>
      <c r="D456" s="24" t="s">
        <v>7649</v>
      </c>
      <c r="E456" s="96" t="str">
        <f>IFERROR(__xludf.DUMMYFUNCTION("GOOGLETRANSLATE(D456,""zh-CN"",""vi"")"),"Người A là người đầu tiên.")</f>
        <v>Người A là người đầu tiên.</v>
      </c>
      <c r="F456" s="101" t="s">
        <v>7645</v>
      </c>
      <c r="G456" s="98" t="b">
        <f t="shared" si="1"/>
        <v>1</v>
      </c>
      <c r="H456" s="99" t="b">
        <v>0</v>
      </c>
      <c r="I456" s="99" t="b">
        <v>0</v>
      </c>
      <c r="J456" s="99" t="b">
        <v>0</v>
      </c>
      <c r="K456" s="99" t="b">
        <v>0</v>
      </c>
      <c r="L456" s="99" t="b">
        <v>0</v>
      </c>
      <c r="M456" s="99" t="b">
        <v>0</v>
      </c>
      <c r="N456" s="99" t="b">
        <v>0</v>
      </c>
      <c r="O456" s="99" t="b">
        <v>0</v>
      </c>
      <c r="P456" s="99" t="b">
        <v>0</v>
      </c>
      <c r="Q456" s="99" t="b">
        <v>0</v>
      </c>
      <c r="R456" s="14"/>
      <c r="S456" s="14"/>
      <c r="T456" s="14"/>
      <c r="U456" s="14"/>
      <c r="V456" s="14"/>
      <c r="W456" s="14"/>
    </row>
    <row r="457" ht="35.25" customHeight="1">
      <c r="A457" s="92" t="s">
        <v>7652</v>
      </c>
      <c r="B457" s="93" t="s">
        <v>7653</v>
      </c>
      <c r="C457" s="94" t="s">
        <v>7654</v>
      </c>
      <c r="D457" s="24" t="s">
        <v>7655</v>
      </c>
      <c r="E457" s="96" t="str">
        <f>IFERROR(__xludf.DUMMYFUNCTION("GOOGLETRANSLATE(D457,""zh-CN"",""vi"")"),"Nếu ngày mai trời mưa, chúng ta sẽ không đi du lịch.")</f>
        <v>Nếu ngày mai trời mưa, chúng ta sẽ không đi du lịch.</v>
      </c>
      <c r="F457" s="101" t="s">
        <v>7652</v>
      </c>
      <c r="G457" s="98" t="b">
        <f t="shared" si="1"/>
        <v>1</v>
      </c>
      <c r="H457" s="99" t="b">
        <v>0</v>
      </c>
      <c r="I457" s="99" t="b">
        <v>0</v>
      </c>
      <c r="J457" s="99" t="b">
        <v>0</v>
      </c>
      <c r="K457" s="99" t="b">
        <v>0</v>
      </c>
      <c r="L457" s="99" t="b">
        <v>0</v>
      </c>
      <c r="M457" s="99" t="b">
        <v>0</v>
      </c>
      <c r="N457" s="99" t="b">
        <v>0</v>
      </c>
      <c r="O457" s="99" t="b">
        <v>0</v>
      </c>
      <c r="P457" s="99" t="b">
        <v>0</v>
      </c>
      <c r="Q457" s="99" t="b">
        <v>0</v>
      </c>
      <c r="R457" s="14"/>
      <c r="S457" s="14"/>
      <c r="T457" s="14"/>
      <c r="U457" s="14"/>
      <c r="V457" s="14"/>
      <c r="W457" s="14"/>
    </row>
    <row r="458" ht="35.25" customHeight="1">
      <c r="A458" s="92" t="s">
        <v>7662</v>
      </c>
      <c r="B458" s="93" t="s">
        <v>7664</v>
      </c>
      <c r="C458" s="94" t="s">
        <v>7665</v>
      </c>
      <c r="D458" s="24" t="s">
        <v>7667</v>
      </c>
      <c r="E458" s="96" t="str">
        <f>IFERROR(__xludf.DUMMYFUNCTION("GOOGLETRANSLATE(D458,""zh-CN"",""vi"")"),"Nếu anh ấy không đến thì sao?")</f>
        <v>Nếu anh ấy không đến thì sao?</v>
      </c>
      <c r="F458" s="101" t="s">
        <v>7662</v>
      </c>
      <c r="G458" s="98" t="b">
        <f t="shared" si="1"/>
        <v>1</v>
      </c>
      <c r="H458" s="99" t="b">
        <v>0</v>
      </c>
      <c r="I458" s="99" t="b">
        <v>0</v>
      </c>
      <c r="J458" s="99" t="b">
        <v>0</v>
      </c>
      <c r="K458" s="99" t="b">
        <v>0</v>
      </c>
      <c r="L458" s="99" t="b">
        <v>0</v>
      </c>
      <c r="M458" s="99" t="b">
        <v>0</v>
      </c>
      <c r="N458" s="99" t="b">
        <v>0</v>
      </c>
      <c r="O458" s="99" t="b">
        <v>0</v>
      </c>
      <c r="P458" s="99" t="b">
        <v>0</v>
      </c>
      <c r="Q458" s="99" t="b">
        <v>0</v>
      </c>
      <c r="R458" s="14"/>
      <c r="S458" s="14"/>
      <c r="T458" s="14"/>
      <c r="U458" s="14"/>
      <c r="V458" s="14"/>
      <c r="W458" s="14"/>
    </row>
    <row r="459" ht="35.25" customHeight="1">
      <c r="A459" s="92" t="s">
        <v>7669</v>
      </c>
      <c r="B459" s="93" t="s">
        <v>7671</v>
      </c>
      <c r="C459" s="94" t="s">
        <v>7673</v>
      </c>
      <c r="D459" s="24" t="s">
        <v>7675</v>
      </c>
      <c r="E459" s="96" t="str">
        <f>IFERROR(__xludf.DUMMYFUNCTION("GOOGLETRANSLATE(D459,""zh-CN"",""vi"")"),"Cô ta giả vờ ốm để trốn việc.")</f>
        <v>Cô ta giả vờ ốm để trốn việc.</v>
      </c>
      <c r="F459" s="101" t="s">
        <v>7669</v>
      </c>
      <c r="G459" s="98" t="b">
        <f t="shared" si="1"/>
        <v>1</v>
      </c>
      <c r="H459" s="99" t="b">
        <v>0</v>
      </c>
      <c r="I459" s="99" t="b">
        <v>0</v>
      </c>
      <c r="J459" s="99" t="b">
        <v>0</v>
      </c>
      <c r="K459" s="99" t="b">
        <v>0</v>
      </c>
      <c r="L459" s="99" t="b">
        <v>0</v>
      </c>
      <c r="M459" s="99" t="b">
        <v>0</v>
      </c>
      <c r="N459" s="99" t="b">
        <v>0</v>
      </c>
      <c r="O459" s="99" t="b">
        <v>0</v>
      </c>
      <c r="P459" s="99" t="b">
        <v>0</v>
      </c>
      <c r="Q459" s="99" t="b">
        <v>0</v>
      </c>
      <c r="R459" s="14"/>
      <c r="S459" s="14"/>
      <c r="T459" s="14"/>
      <c r="U459" s="14"/>
      <c r="V459" s="14"/>
      <c r="W459" s="14"/>
    </row>
    <row r="460" ht="35.25" customHeight="1">
      <c r="A460" s="92" t="s">
        <v>7676</v>
      </c>
      <c r="B460" s="93" t="s">
        <v>7677</v>
      </c>
      <c r="C460" s="94" t="s">
        <v>7679</v>
      </c>
      <c r="D460" s="24" t="s">
        <v>7681</v>
      </c>
      <c r="E460" s="96" t="str">
        <f>IFERROR(__xludf.DUMMYFUNCTION("GOOGLETRANSLATE(D460,""zh-CN"",""vi"")"),"Chiếc đồng hồ này rất có giá trị.")</f>
        <v>Chiếc đồng hồ này rất có giá trị.</v>
      </c>
      <c r="F460" s="101" t="s">
        <v>7676</v>
      </c>
      <c r="G460" s="98" t="b">
        <f t="shared" si="1"/>
        <v>1</v>
      </c>
      <c r="H460" s="99" t="b">
        <v>0</v>
      </c>
      <c r="I460" s="99" t="b">
        <v>0</v>
      </c>
      <c r="J460" s="99" t="b">
        <v>0</v>
      </c>
      <c r="K460" s="99" t="b">
        <v>0</v>
      </c>
      <c r="L460" s="99" t="b">
        <v>0</v>
      </c>
      <c r="M460" s="99" t="b">
        <v>0</v>
      </c>
      <c r="N460" s="99" t="b">
        <v>0</v>
      </c>
      <c r="O460" s="99" t="b">
        <v>0</v>
      </c>
      <c r="P460" s="99" t="b">
        <v>0</v>
      </c>
      <c r="Q460" s="99" t="b">
        <v>0</v>
      </c>
      <c r="R460" s="14"/>
      <c r="S460" s="14"/>
      <c r="T460" s="14"/>
      <c r="U460" s="14"/>
      <c r="V460" s="14"/>
      <c r="W460" s="14"/>
    </row>
    <row r="461" ht="35.25" customHeight="1">
      <c r="A461" s="92" t="s">
        <v>7684</v>
      </c>
      <c r="B461" s="93" t="s">
        <v>7685</v>
      </c>
      <c r="C461" s="94" t="s">
        <v>7686</v>
      </c>
      <c r="D461" s="24" t="s">
        <v>7687</v>
      </c>
      <c r="E461" s="96" t="str">
        <f>IFERROR(__xludf.DUMMYFUNCTION("GOOGLETRANSLATE(D461,""zh-CN"",""vi"")"),"Anh ấy đang học lái xe.")</f>
        <v>Anh ấy đang học lái xe.</v>
      </c>
      <c r="F461" s="101" t="s">
        <v>7684</v>
      </c>
      <c r="G461" s="98" t="b">
        <f t="shared" si="1"/>
        <v>1</v>
      </c>
      <c r="H461" s="99" t="b">
        <v>0</v>
      </c>
      <c r="I461" s="99" t="b">
        <v>0</v>
      </c>
      <c r="J461" s="99" t="b">
        <v>0</v>
      </c>
      <c r="K461" s="99" t="b">
        <v>0</v>
      </c>
      <c r="L461" s="99" t="b">
        <v>0</v>
      </c>
      <c r="M461" s="99" t="b">
        <v>0</v>
      </c>
      <c r="N461" s="99" t="b">
        <v>0</v>
      </c>
      <c r="O461" s="99" t="b">
        <v>0</v>
      </c>
      <c r="P461" s="99" t="b">
        <v>0</v>
      </c>
      <c r="Q461" s="99" t="b">
        <v>0</v>
      </c>
      <c r="R461" s="14"/>
      <c r="S461" s="14"/>
      <c r="T461" s="14"/>
      <c r="U461" s="14"/>
      <c r="V461" s="14"/>
      <c r="W461" s="14"/>
    </row>
    <row r="462" ht="35.25" customHeight="1">
      <c r="A462" s="92" t="s">
        <v>7692</v>
      </c>
      <c r="B462" s="93" t="s">
        <v>7693</v>
      </c>
      <c r="C462" s="94" t="s">
        <v>7694</v>
      </c>
      <c r="D462" s="24" t="s">
        <v>7695</v>
      </c>
      <c r="E462" s="96" t="str">
        <f>IFERROR(__xludf.DUMMYFUNCTION("GOOGLETRANSLATE(D462,""zh-CN"",""vi"")"),"Cô ấy đã lên kế hoạch kết hôn với anh ta.")</f>
        <v>Cô ấy đã lên kế hoạch kết hôn với anh ta.</v>
      </c>
      <c r="F462" s="101" t="s">
        <v>7692</v>
      </c>
      <c r="G462" s="98" t="b">
        <f t="shared" si="1"/>
        <v>1</v>
      </c>
      <c r="H462" s="99" t="b">
        <v>0</v>
      </c>
      <c r="I462" s="99" t="b">
        <v>0</v>
      </c>
      <c r="J462" s="99" t="b">
        <v>0</v>
      </c>
      <c r="K462" s="99" t="b">
        <v>0</v>
      </c>
      <c r="L462" s="99" t="b">
        <v>0</v>
      </c>
      <c r="M462" s="99" t="b">
        <v>0</v>
      </c>
      <c r="N462" s="99" t="b">
        <v>0</v>
      </c>
      <c r="O462" s="99" t="b">
        <v>0</v>
      </c>
      <c r="P462" s="99" t="b">
        <v>0</v>
      </c>
      <c r="Q462" s="99" t="b">
        <v>0</v>
      </c>
      <c r="R462" s="14"/>
      <c r="S462" s="14"/>
      <c r="T462" s="14"/>
      <c r="U462" s="14"/>
      <c r="V462" s="14"/>
      <c r="W462" s="14"/>
    </row>
    <row r="463" ht="35.25" customHeight="1">
      <c r="A463" s="92" t="s">
        <v>7700</v>
      </c>
      <c r="B463" s="93" t="s">
        <v>7701</v>
      </c>
      <c r="C463" s="94" t="s">
        <v>7702</v>
      </c>
      <c r="D463" s="24" t="s">
        <v>7703</v>
      </c>
      <c r="E463" s="96" t="str">
        <f>IFERROR(__xludf.DUMMYFUNCTION("GOOGLETRANSLATE(D463,""zh-CN"",""vi"")"),"Ông kiên quyết bác bỏ đề xuất đó.")</f>
        <v>Ông kiên quyết bác bỏ đề xuất đó.</v>
      </c>
      <c r="F463" s="101" t="s">
        <v>7700</v>
      </c>
      <c r="G463" s="98" t="b">
        <f t="shared" si="1"/>
        <v>1</v>
      </c>
      <c r="H463" s="99" t="b">
        <v>0</v>
      </c>
      <c r="I463" s="99" t="b">
        <v>0</v>
      </c>
      <c r="J463" s="99" t="b">
        <v>0</v>
      </c>
      <c r="K463" s="99" t="b">
        <v>0</v>
      </c>
      <c r="L463" s="99" t="b">
        <v>0</v>
      </c>
      <c r="M463" s="99" t="b">
        <v>0</v>
      </c>
      <c r="N463" s="99" t="b">
        <v>0</v>
      </c>
      <c r="O463" s="99" t="b">
        <v>0</v>
      </c>
      <c r="P463" s="99" t="b">
        <v>0</v>
      </c>
      <c r="Q463" s="99" t="b">
        <v>0</v>
      </c>
      <c r="R463" s="14"/>
      <c r="S463" s="14"/>
      <c r="T463" s="14"/>
      <c r="U463" s="14"/>
      <c r="V463" s="14"/>
      <c r="W463" s="14"/>
    </row>
    <row r="464" ht="35.25" customHeight="1">
      <c r="A464" s="92" t="s">
        <v>7704</v>
      </c>
      <c r="B464" s="93" t="s">
        <v>7705</v>
      </c>
      <c r="C464" s="94" t="s">
        <v>7706</v>
      </c>
      <c r="D464" s="24" t="s">
        <v>7707</v>
      </c>
      <c r="E464" s="96" t="str">
        <f>IFERROR(__xludf.DUMMYFUNCTION("GOOGLETRANSLATE(D464,""zh-CN"",""vi"")"),"Cô ấy rất mạnh mẽ.")</f>
        <v>Cô ấy rất mạnh mẽ.</v>
      </c>
      <c r="F464" s="101" t="s">
        <v>7704</v>
      </c>
      <c r="G464" s="98" t="b">
        <f t="shared" si="1"/>
        <v>1</v>
      </c>
      <c r="H464" s="99" t="b">
        <v>0</v>
      </c>
      <c r="I464" s="99" t="b">
        <v>0</v>
      </c>
      <c r="J464" s="99" t="b">
        <v>0</v>
      </c>
      <c r="K464" s="99" t="b">
        <v>0</v>
      </c>
      <c r="L464" s="99" t="b">
        <v>0</v>
      </c>
      <c r="M464" s="99" t="b">
        <v>0</v>
      </c>
      <c r="N464" s="99" t="b">
        <v>0</v>
      </c>
      <c r="O464" s="99" t="b">
        <v>0</v>
      </c>
      <c r="P464" s="99" t="b">
        <v>0</v>
      </c>
      <c r="Q464" s="99" t="b">
        <v>0</v>
      </c>
      <c r="R464" s="14"/>
      <c r="S464" s="14"/>
      <c r="T464" s="14"/>
      <c r="U464" s="14"/>
      <c r="V464" s="14"/>
      <c r="W464" s="14"/>
    </row>
    <row r="465" ht="35.25" customHeight="1">
      <c r="A465" s="92" t="s">
        <v>7712</v>
      </c>
      <c r="B465" s="93" t="s">
        <v>7713</v>
      </c>
      <c r="C465" s="94" t="s">
        <v>7714</v>
      </c>
      <c r="D465" s="24" t="s">
        <v>7715</v>
      </c>
      <c r="E465" s="96" t="str">
        <f>IFERROR(__xludf.DUMMYFUNCTION("GOOGLETRANSLATE(D465,""zh-CN"",""vi"")"),"Anh ấy bị thương ở vai.")</f>
        <v>Anh ấy bị thương ở vai.</v>
      </c>
      <c r="F465" s="101" t="s">
        <v>7712</v>
      </c>
      <c r="G465" s="98" t="b">
        <f t="shared" si="1"/>
        <v>1</v>
      </c>
      <c r="H465" s="99" t="b">
        <v>0</v>
      </c>
      <c r="I465" s="99" t="b">
        <v>0</v>
      </c>
      <c r="J465" s="99" t="b">
        <v>0</v>
      </c>
      <c r="K465" s="99" t="b">
        <v>0</v>
      </c>
      <c r="L465" s="99" t="b">
        <v>0</v>
      </c>
      <c r="M465" s="99" t="b">
        <v>0</v>
      </c>
      <c r="N465" s="99" t="b">
        <v>0</v>
      </c>
      <c r="O465" s="99" t="b">
        <v>0</v>
      </c>
      <c r="P465" s="99" t="b">
        <v>0</v>
      </c>
      <c r="Q465" s="99" t="b">
        <v>0</v>
      </c>
      <c r="R465" s="14"/>
      <c r="S465" s="14"/>
      <c r="T465" s="14"/>
      <c r="U465" s="14"/>
      <c r="V465" s="14"/>
      <c r="W465" s="14"/>
    </row>
    <row r="466" ht="35.25" customHeight="1">
      <c r="A466" s="92" t="s">
        <v>7720</v>
      </c>
      <c r="B466" s="93" t="s">
        <v>7721</v>
      </c>
      <c r="C466" s="94" t="s">
        <v>7722</v>
      </c>
      <c r="D466" s="24" t="s">
        <v>7723</v>
      </c>
      <c r="E466" s="96" t="str">
        <f>IFERROR(__xludf.DUMMYFUNCTION("GOOGLETRANSLATE(D466,""zh-CN"",""vi"")"),"Nhiệm vụ này vô cùng khó khăn.")</f>
        <v>Nhiệm vụ này vô cùng khó khăn.</v>
      </c>
      <c r="F466" s="101" t="s">
        <v>7720</v>
      </c>
      <c r="G466" s="98" t="b">
        <f t="shared" si="1"/>
        <v>1</v>
      </c>
      <c r="H466" s="99" t="b">
        <v>0</v>
      </c>
      <c r="I466" s="99" t="b">
        <v>0</v>
      </c>
      <c r="J466" s="99" t="b">
        <v>0</v>
      </c>
      <c r="K466" s="99" t="b">
        <v>0</v>
      </c>
      <c r="L466" s="99" t="b">
        <v>0</v>
      </c>
      <c r="M466" s="99" t="b">
        <v>0</v>
      </c>
      <c r="N466" s="99" t="b">
        <v>0</v>
      </c>
      <c r="O466" s="99" t="b">
        <v>0</v>
      </c>
      <c r="P466" s="99" t="b">
        <v>0</v>
      </c>
      <c r="Q466" s="99" t="b">
        <v>0</v>
      </c>
      <c r="R466" s="14"/>
      <c r="S466" s="14"/>
      <c r="T466" s="14"/>
      <c r="U466" s="14"/>
      <c r="V466" s="14"/>
      <c r="W466" s="14"/>
    </row>
    <row r="467" ht="35.25" customHeight="1">
      <c r="A467" s="92" t="s">
        <v>7727</v>
      </c>
      <c r="B467" s="93" t="s">
        <v>7729</v>
      </c>
      <c r="C467" s="94" t="s">
        <v>7730</v>
      </c>
      <c r="D467" s="24" t="s">
        <v>7731</v>
      </c>
      <c r="E467" s="96" t="str">
        <f>IFERROR(__xludf.DUMMYFUNCTION("GOOGLETRANSLATE(D467,""zh-CN"",""vi"")"),"Anh ấy đã trải qua quá trình huấn luyện nghiêm ngặt.")</f>
        <v>Anh ấy đã trải qua quá trình huấn luyện nghiêm ngặt.</v>
      </c>
      <c r="F467" s="101" t="s">
        <v>7727</v>
      </c>
      <c r="G467" s="98" t="b">
        <f t="shared" si="1"/>
        <v>1</v>
      </c>
      <c r="H467" s="99" t="b">
        <v>0</v>
      </c>
      <c r="I467" s="99" t="b">
        <v>0</v>
      </c>
      <c r="J467" s="99" t="b">
        <v>0</v>
      </c>
      <c r="K467" s="99" t="b">
        <v>0</v>
      </c>
      <c r="L467" s="99" t="b">
        <v>0</v>
      </c>
      <c r="M467" s="99" t="b">
        <v>0</v>
      </c>
      <c r="N467" s="99" t="b">
        <v>0</v>
      </c>
      <c r="O467" s="99" t="b">
        <v>0</v>
      </c>
      <c r="P467" s="99" t="b">
        <v>0</v>
      </c>
      <c r="Q467" s="99" t="b">
        <v>0</v>
      </c>
      <c r="R467" s="14"/>
      <c r="S467" s="14"/>
      <c r="T467" s="14"/>
      <c r="U467" s="14"/>
      <c r="V467" s="14"/>
      <c r="W467" s="14"/>
    </row>
    <row r="468" ht="35.25" customHeight="1">
      <c r="A468" s="92" t="s">
        <v>7732</v>
      </c>
      <c r="B468" s="93" t="s">
        <v>7734</v>
      </c>
      <c r="C468" s="94" t="s">
        <v>7736</v>
      </c>
      <c r="D468" s="24" t="s">
        <v>7738</v>
      </c>
      <c r="E468" s="96" t="str">
        <f>IFERROR(__xludf.DUMMYFUNCTION("GOOGLETRANSLATE(D468,""zh-CN"",""vi"")"),"Anh ấy làm việc bán thời gian với vai trò là người phiên dịch.")</f>
        <v>Anh ấy làm việc bán thời gian với vai trò là người phiên dịch.</v>
      </c>
      <c r="F468" s="101" t="s">
        <v>7732</v>
      </c>
      <c r="G468" s="98" t="b">
        <f t="shared" si="1"/>
        <v>1</v>
      </c>
      <c r="H468" s="99" t="b">
        <v>0</v>
      </c>
      <c r="I468" s="99" t="b">
        <v>0</v>
      </c>
      <c r="J468" s="99" t="b">
        <v>0</v>
      </c>
      <c r="K468" s="99" t="b">
        <v>0</v>
      </c>
      <c r="L468" s="99" t="b">
        <v>0</v>
      </c>
      <c r="M468" s="99" t="b">
        <v>0</v>
      </c>
      <c r="N468" s="99" t="b">
        <v>0</v>
      </c>
      <c r="O468" s="99" t="b">
        <v>0</v>
      </c>
      <c r="P468" s="99" t="b">
        <v>0</v>
      </c>
      <c r="Q468" s="99" t="b">
        <v>0</v>
      </c>
      <c r="R468" s="14"/>
      <c r="S468" s="14"/>
      <c r="T468" s="14"/>
      <c r="U468" s="14"/>
      <c r="V468" s="14"/>
      <c r="W468" s="14"/>
    </row>
    <row r="469" ht="35.25" customHeight="1">
      <c r="A469" s="92" t="s">
        <v>7740</v>
      </c>
      <c r="B469" s="93" t="s">
        <v>7741</v>
      </c>
      <c r="C469" s="94" t="s">
        <v>7742</v>
      </c>
      <c r="D469" s="24" t="s">
        <v>7743</v>
      </c>
      <c r="E469" s="96" t="str">
        <f>IFERROR(__xludf.DUMMYFUNCTION("GOOGLETRANSLATE(D469,""zh-CN"",""vi"")"),"Tôi tìm thấy một vài đồng xu trên mặt đất.")</f>
        <v>Tôi tìm thấy một vài đồng xu trên mặt đất.</v>
      </c>
      <c r="F469" s="101" t="s">
        <v>7740</v>
      </c>
      <c r="G469" s="98" t="b">
        <f t="shared" si="1"/>
        <v>1</v>
      </c>
      <c r="H469" s="99" t="b">
        <v>0</v>
      </c>
      <c r="I469" s="99" t="b">
        <v>0</v>
      </c>
      <c r="J469" s="99" t="b">
        <v>0</v>
      </c>
      <c r="K469" s="99" t="b">
        <v>0</v>
      </c>
      <c r="L469" s="99" t="b">
        <v>0</v>
      </c>
      <c r="M469" s="99" t="b">
        <v>0</v>
      </c>
      <c r="N469" s="99" t="b">
        <v>0</v>
      </c>
      <c r="O469" s="99" t="b">
        <v>0</v>
      </c>
      <c r="P469" s="99" t="b">
        <v>0</v>
      </c>
      <c r="Q469" s="99" t="b">
        <v>0</v>
      </c>
      <c r="R469" s="14"/>
      <c r="S469" s="14"/>
      <c r="T469" s="14"/>
      <c r="U469" s="14"/>
      <c r="V469" s="14"/>
      <c r="W469" s="14"/>
    </row>
    <row r="470" ht="35.25" customHeight="1">
      <c r="A470" s="92" t="s">
        <v>7748</v>
      </c>
      <c r="B470" s="93" t="s">
        <v>7749</v>
      </c>
      <c r="C470" s="94" t="s">
        <v>7750</v>
      </c>
      <c r="D470" s="24" t="s">
        <v>7751</v>
      </c>
      <c r="E470" s="96" t="str">
        <f>IFERROR(__xludf.DUMMYFUNCTION("GOOGLETRANSLATE(D470,""zh-CN"",""vi"")"),"Vui lòng dùng kéo để cắt mở gói hàng này.")</f>
        <v>Vui lòng dùng kéo để cắt mở gói hàng này.</v>
      </c>
      <c r="F470" s="101" t="s">
        <v>7748</v>
      </c>
      <c r="G470" s="98" t="b">
        <f t="shared" si="1"/>
        <v>1</v>
      </c>
      <c r="H470" s="99" t="b">
        <v>0</v>
      </c>
      <c r="I470" s="99" t="b">
        <v>0</v>
      </c>
      <c r="J470" s="99" t="b">
        <v>0</v>
      </c>
      <c r="K470" s="99" t="b">
        <v>0</v>
      </c>
      <c r="L470" s="99" t="b">
        <v>0</v>
      </c>
      <c r="M470" s="99" t="b">
        <v>0</v>
      </c>
      <c r="N470" s="99" t="b">
        <v>0</v>
      </c>
      <c r="O470" s="99" t="b">
        <v>0</v>
      </c>
      <c r="P470" s="99" t="b">
        <v>0</v>
      </c>
      <c r="Q470" s="99" t="b">
        <v>0</v>
      </c>
      <c r="R470" s="14"/>
      <c r="S470" s="14"/>
      <c r="T470" s="14"/>
      <c r="U470" s="14"/>
      <c r="V470" s="14"/>
      <c r="W470" s="14"/>
    </row>
    <row r="471" ht="35.25" customHeight="1">
      <c r="A471" s="92" t="s">
        <v>7756</v>
      </c>
      <c r="B471" s="93" t="s">
        <v>7757</v>
      </c>
      <c r="C471" s="94" t="s">
        <v>7758</v>
      </c>
      <c r="D471" s="24" t="s">
        <v>7759</v>
      </c>
      <c r="E471" s="96" t="str">
        <f>IFERROR(__xludf.DUMMYFUNCTION("GOOGLETRANSLATE(D471,""zh-CN"",""vi"")"),"Tôi cần cập nhật sơ yếu lý lịch của mình.")</f>
        <v>Tôi cần cập nhật sơ yếu lý lịch của mình.</v>
      </c>
      <c r="F471" s="101" t="s">
        <v>7756</v>
      </c>
      <c r="G471" s="98" t="b">
        <f t="shared" si="1"/>
        <v>1</v>
      </c>
      <c r="H471" s="99" t="b">
        <v>0</v>
      </c>
      <c r="I471" s="99" t="b">
        <v>0</v>
      </c>
      <c r="J471" s="99" t="b">
        <v>0</v>
      </c>
      <c r="K471" s="99" t="b">
        <v>0</v>
      </c>
      <c r="L471" s="99" t="b">
        <v>0</v>
      </c>
      <c r="M471" s="99" t="b">
        <v>0</v>
      </c>
      <c r="N471" s="99" t="b">
        <v>0</v>
      </c>
      <c r="O471" s="99" t="b">
        <v>0</v>
      </c>
      <c r="P471" s="99" t="b">
        <v>0</v>
      </c>
      <c r="Q471" s="99" t="b">
        <v>0</v>
      </c>
      <c r="R471" s="14"/>
      <c r="S471" s="14"/>
      <c r="T471" s="14"/>
      <c r="U471" s="14"/>
      <c r="V471" s="14"/>
      <c r="W471" s="14"/>
    </row>
    <row r="472" ht="35.25" customHeight="1">
      <c r="A472" s="92" t="s">
        <v>7764</v>
      </c>
      <c r="B472" s="93" t="s">
        <v>7765</v>
      </c>
      <c r="C472" s="94" t="s">
        <v>692</v>
      </c>
      <c r="D472" s="24" t="s">
        <v>7766</v>
      </c>
      <c r="E472" s="96" t="str">
        <f>IFERROR(__xludf.DUMMYFUNCTION("GOOGLETRANSLATE(D472,""zh-CN"",""vi"")"),"Vấn đề này đơn giản là không thể giải quyết được.")</f>
        <v>Vấn đề này đơn giản là không thể giải quyết được.</v>
      </c>
      <c r="F472" s="101" t="s">
        <v>7764</v>
      </c>
      <c r="G472" s="98" t="b">
        <f t="shared" si="1"/>
        <v>1</v>
      </c>
      <c r="H472" s="99" t="b">
        <v>0</v>
      </c>
      <c r="I472" s="99" t="b">
        <v>0</v>
      </c>
      <c r="J472" s="99" t="b">
        <v>0</v>
      </c>
      <c r="K472" s="99" t="b">
        <v>0</v>
      </c>
      <c r="L472" s="99" t="b">
        <v>0</v>
      </c>
      <c r="M472" s="99" t="b">
        <v>0</v>
      </c>
      <c r="N472" s="99" t="b">
        <v>0</v>
      </c>
      <c r="O472" s="99" t="b">
        <v>0</v>
      </c>
      <c r="P472" s="99" t="b">
        <v>0</v>
      </c>
      <c r="Q472" s="99" t="b">
        <v>0</v>
      </c>
      <c r="R472" s="14"/>
      <c r="S472" s="14"/>
      <c r="T472" s="14"/>
      <c r="U472" s="14"/>
      <c r="V472" s="14"/>
      <c r="W472" s="14"/>
    </row>
    <row r="473" ht="35.25" customHeight="1">
      <c r="A473" s="92" t="s">
        <v>7771</v>
      </c>
      <c r="B473" s="93" t="s">
        <v>7772</v>
      </c>
      <c r="C473" s="94" t="s">
        <v>7773</v>
      </c>
      <c r="D473" s="24" t="s">
        <v>7774</v>
      </c>
      <c r="E473" s="96" t="str">
        <f>IFERROR(__xludf.DUMMYFUNCTION("GOOGLETRANSLATE(D473,""zh-CN"",""vi"")"),"Chúng ta cần xây dựng một đội ngũ mới.")</f>
        <v>Chúng ta cần xây dựng một đội ngũ mới.</v>
      </c>
      <c r="F473" s="101" t="s">
        <v>7771</v>
      </c>
      <c r="G473" s="98" t="b">
        <f t="shared" si="1"/>
        <v>1</v>
      </c>
      <c r="H473" s="99" t="b">
        <v>0</v>
      </c>
      <c r="I473" s="99" t="b">
        <v>0</v>
      </c>
      <c r="J473" s="99" t="b">
        <v>0</v>
      </c>
      <c r="K473" s="99" t="b">
        <v>0</v>
      </c>
      <c r="L473" s="99" t="b">
        <v>0</v>
      </c>
      <c r="M473" s="99" t="b">
        <v>0</v>
      </c>
      <c r="N473" s="99" t="b">
        <v>0</v>
      </c>
      <c r="O473" s="99" t="b">
        <v>0</v>
      </c>
      <c r="P473" s="99" t="b">
        <v>0</v>
      </c>
      <c r="Q473" s="99" t="b">
        <v>0</v>
      </c>
      <c r="R473" s="14"/>
      <c r="S473" s="14"/>
      <c r="T473" s="14"/>
      <c r="U473" s="14"/>
      <c r="V473" s="14"/>
      <c r="W473" s="14"/>
    </row>
    <row r="474" ht="35.25" customHeight="1">
      <c r="A474" s="92" t="s">
        <v>7779</v>
      </c>
      <c r="B474" s="93" t="s">
        <v>7780</v>
      </c>
      <c r="C474" s="94" t="s">
        <v>7781</v>
      </c>
      <c r="D474" s="24" t="s">
        <v>7782</v>
      </c>
      <c r="E474" s="96" t="str">
        <f>IFERROR(__xludf.DUMMYFUNCTION("GOOGLETRANSLATE(D474,""zh-CN"",""vi"")"),"Thành phố đang trong quá trình xây dựng.")</f>
        <v>Thành phố đang trong quá trình xây dựng.</v>
      </c>
      <c r="F474" s="101" t="s">
        <v>7779</v>
      </c>
      <c r="G474" s="98" t="b">
        <f t="shared" si="1"/>
        <v>1</v>
      </c>
      <c r="H474" s="99" t="b">
        <v>0</v>
      </c>
      <c r="I474" s="99" t="b">
        <v>0</v>
      </c>
      <c r="J474" s="99" t="b">
        <v>0</v>
      </c>
      <c r="K474" s="99" t="b">
        <v>0</v>
      </c>
      <c r="L474" s="99" t="b">
        <v>0</v>
      </c>
      <c r="M474" s="99" t="b">
        <v>0</v>
      </c>
      <c r="N474" s="99" t="b">
        <v>0</v>
      </c>
      <c r="O474" s="99" t="b">
        <v>0</v>
      </c>
      <c r="P474" s="99" t="b">
        <v>0</v>
      </c>
      <c r="Q474" s="99" t="b">
        <v>0</v>
      </c>
      <c r="R474" s="14"/>
      <c r="S474" s="14"/>
      <c r="T474" s="14"/>
      <c r="U474" s="14"/>
      <c r="V474" s="14"/>
      <c r="W474" s="14"/>
    </row>
    <row r="475" ht="62.25" customHeight="1">
      <c r="A475" s="92" t="s">
        <v>7787</v>
      </c>
      <c r="B475" s="93" t="s">
        <v>7788</v>
      </c>
      <c r="C475" s="102" t="s">
        <v>7789</v>
      </c>
      <c r="D475" s="24" t="s">
        <v>7790</v>
      </c>
      <c r="E475" s="96" t="str">
        <f>IFERROR(__xludf.DUMMYFUNCTION("GOOGLETRANSLATE(D475,""zh-CN"",""vi"")"),"Tòa nhà này rất cũ.")</f>
        <v>Tòa nhà này rất cũ.</v>
      </c>
      <c r="F475" s="101" t="s">
        <v>7787</v>
      </c>
      <c r="G475" s="98" t="b">
        <f t="shared" si="1"/>
        <v>1</v>
      </c>
      <c r="H475" s="99" t="b">
        <v>0</v>
      </c>
      <c r="I475" s="99" t="b">
        <v>0</v>
      </c>
      <c r="J475" s="99" t="b">
        <v>0</v>
      </c>
      <c r="K475" s="99" t="b">
        <v>0</v>
      </c>
      <c r="L475" s="99" t="b">
        <v>0</v>
      </c>
      <c r="M475" s="99" t="b">
        <v>0</v>
      </c>
      <c r="N475" s="99" t="b">
        <v>0</v>
      </c>
      <c r="O475" s="99" t="b">
        <v>0</v>
      </c>
      <c r="P475" s="99" t="b">
        <v>0</v>
      </c>
      <c r="Q475" s="99" t="b">
        <v>0</v>
      </c>
      <c r="R475" s="14"/>
      <c r="S475" s="14"/>
      <c r="T475" s="14"/>
      <c r="U475" s="14"/>
      <c r="V475" s="14"/>
      <c r="W475" s="14"/>
    </row>
    <row r="476" ht="35.25" customHeight="1">
      <c r="A476" s="92" t="s">
        <v>7794</v>
      </c>
      <c r="B476" s="93" t="s">
        <v>7795</v>
      </c>
      <c r="C476" s="94" t="s">
        <v>7797</v>
      </c>
      <c r="D476" s="24" t="s">
        <v>7798</v>
      </c>
      <c r="E476" s="96" t="str">
        <f>IFERROR(__xludf.DUMMYFUNCTION("GOOGLETRANSLATE(D476,""zh-CN"",""vi"")"),"Anh ấy đến phòng tập thể dục để tập luyện mỗi ngày.")</f>
        <v>Anh ấy đến phòng tập thể dục để tập luyện mỗi ngày.</v>
      </c>
      <c r="F476" s="101" t="s">
        <v>7794</v>
      </c>
      <c r="G476" s="98" t="b">
        <f t="shared" si="1"/>
        <v>1</v>
      </c>
      <c r="H476" s="99" t="b">
        <v>0</v>
      </c>
      <c r="I476" s="99" t="b">
        <v>0</v>
      </c>
      <c r="J476" s="99" t="b">
        <v>0</v>
      </c>
      <c r="K476" s="99" t="b">
        <v>0</v>
      </c>
      <c r="L476" s="99" t="b">
        <v>0</v>
      </c>
      <c r="M476" s="99" t="b">
        <v>0</v>
      </c>
      <c r="N476" s="99" t="b">
        <v>0</v>
      </c>
      <c r="O476" s="99" t="b">
        <v>0</v>
      </c>
      <c r="P476" s="99" t="b">
        <v>0</v>
      </c>
      <c r="Q476" s="99" t="b">
        <v>0</v>
      </c>
      <c r="R476" s="14"/>
      <c r="S476" s="14"/>
      <c r="T476" s="14"/>
      <c r="U476" s="14"/>
      <c r="V476" s="14"/>
      <c r="W476" s="14"/>
    </row>
    <row r="477" ht="35.25" customHeight="1">
      <c r="A477" s="92" t="s">
        <v>7799</v>
      </c>
      <c r="B477" s="93" t="s">
        <v>7800</v>
      </c>
      <c r="C477" s="94" t="s">
        <v>7801</v>
      </c>
      <c r="D477" s="24" t="s">
        <v>7802</v>
      </c>
      <c r="E477" s="96" t="str">
        <f>IFERROR(__xludf.DUMMYFUNCTION("GOOGLETRANSLATE(D477,""zh-CN"",""vi"")"),"Tôi vừa mua một chiếc bàn phím mới.")</f>
        <v>Tôi vừa mua một chiếc bàn phím mới.</v>
      </c>
      <c r="F477" s="101" t="s">
        <v>7799</v>
      </c>
      <c r="G477" s="98" t="b">
        <f t="shared" si="1"/>
        <v>1</v>
      </c>
      <c r="H477" s="99" t="b">
        <v>0</v>
      </c>
      <c r="I477" s="99" t="b">
        <v>0</v>
      </c>
      <c r="J477" s="99" t="b">
        <v>0</v>
      </c>
      <c r="K477" s="99" t="b">
        <v>0</v>
      </c>
      <c r="L477" s="99" t="b">
        <v>0</v>
      </c>
      <c r="M477" s="99" t="b">
        <v>0</v>
      </c>
      <c r="N477" s="99" t="b">
        <v>0</v>
      </c>
      <c r="O477" s="99" t="b">
        <v>0</v>
      </c>
      <c r="P477" s="99" t="b">
        <v>0</v>
      </c>
      <c r="Q477" s="99" t="b">
        <v>0</v>
      </c>
      <c r="R477" s="14"/>
      <c r="S477" s="14"/>
      <c r="T477" s="14"/>
      <c r="U477" s="14"/>
      <c r="V477" s="14"/>
      <c r="W477" s="14"/>
    </row>
    <row r="478" ht="35.25" customHeight="1">
      <c r="A478" s="92" t="s">
        <v>7807</v>
      </c>
      <c r="B478" s="93" t="s">
        <v>7808</v>
      </c>
      <c r="C478" s="94" t="s">
        <v>4701</v>
      </c>
      <c r="D478" s="24" t="s">
        <v>7809</v>
      </c>
      <c r="E478" s="96" t="str">
        <f>IFERROR(__xludf.DUMMYFUNCTION("GOOGLETRANSLATE(D478,""zh-CN"",""vi"")"),"Bài viết này chú trọng đến từng chi tiết.")</f>
        <v>Bài viết này chú trọng đến từng chi tiết.</v>
      </c>
      <c r="F478" s="101" t="s">
        <v>7807</v>
      </c>
      <c r="G478" s="98" t="b">
        <f t="shared" si="1"/>
        <v>1</v>
      </c>
      <c r="H478" s="99" t="b">
        <v>0</v>
      </c>
      <c r="I478" s="99" t="b">
        <v>0</v>
      </c>
      <c r="J478" s="99" t="b">
        <v>0</v>
      </c>
      <c r="K478" s="99" t="b">
        <v>0</v>
      </c>
      <c r="L478" s="99" t="b">
        <v>0</v>
      </c>
      <c r="M478" s="99" t="b">
        <v>0</v>
      </c>
      <c r="N478" s="99" t="b">
        <v>0</v>
      </c>
      <c r="O478" s="99" t="b">
        <v>0</v>
      </c>
      <c r="P478" s="99" t="b">
        <v>0</v>
      </c>
      <c r="Q478" s="99" t="b">
        <v>0</v>
      </c>
      <c r="R478" s="14"/>
      <c r="S478" s="14"/>
      <c r="T478" s="14"/>
      <c r="U478" s="14"/>
      <c r="V478" s="14"/>
      <c r="W478" s="14"/>
    </row>
    <row r="479" ht="35.25" customHeight="1">
      <c r="A479" s="92" t="s">
        <v>7814</v>
      </c>
      <c r="B479" s="93" t="s">
        <v>7815</v>
      </c>
      <c r="C479" s="94" t="s">
        <v>7816</v>
      </c>
      <c r="D479" s="24" t="s">
        <v>7817</v>
      </c>
      <c r="E479" s="96" t="str">
        <f>IFERROR(__xludf.DUMMYFUNCTION("GOOGLETRANSLATE(D479,""zh-CN"",""vi"")"),"Anh ấy đã tham dự một buổi diễn thuyết thú vị.")</f>
        <v>Anh ấy đã tham dự một buổi diễn thuyết thú vị.</v>
      </c>
      <c r="F479" s="101" t="s">
        <v>7814</v>
      </c>
      <c r="G479" s="98" t="b">
        <f t="shared" si="1"/>
        <v>1</v>
      </c>
      <c r="H479" s="99" t="b">
        <v>0</v>
      </c>
      <c r="I479" s="99" t="b">
        <v>0</v>
      </c>
      <c r="J479" s="99" t="b">
        <v>0</v>
      </c>
      <c r="K479" s="99" t="b">
        <v>0</v>
      </c>
      <c r="L479" s="99" t="b">
        <v>0</v>
      </c>
      <c r="M479" s="99" t="b">
        <v>0</v>
      </c>
      <c r="N479" s="99" t="b">
        <v>0</v>
      </c>
      <c r="O479" s="99" t="b">
        <v>0</v>
      </c>
      <c r="P479" s="99" t="b">
        <v>0</v>
      </c>
      <c r="Q479" s="99" t="b">
        <v>0</v>
      </c>
      <c r="R479" s="14"/>
      <c r="S479" s="14"/>
      <c r="T479" s="14"/>
      <c r="U479" s="14"/>
      <c r="V479" s="14"/>
      <c r="W479" s="14"/>
    </row>
    <row r="480" ht="35.25" customHeight="1">
      <c r="A480" s="92" t="s">
        <v>7822</v>
      </c>
      <c r="B480" s="93" t="s">
        <v>7823</v>
      </c>
      <c r="C480" s="94" t="s">
        <v>7824</v>
      </c>
      <c r="D480" s="24" t="s">
        <v>7825</v>
      </c>
      <c r="E480" s="96" t="str">
        <f>IFERROR(__xludf.DUMMYFUNCTION("GOOGLETRANSLATE(D480,""zh-CN"",""vi"")"),"Tôi thích dùng nước tương để nêm gia vị.")</f>
        <v>Tôi thích dùng nước tương để nêm gia vị.</v>
      </c>
      <c r="F480" s="101" t="s">
        <v>7822</v>
      </c>
      <c r="G480" s="98" t="b">
        <f t="shared" si="1"/>
        <v>1</v>
      </c>
      <c r="H480" s="99" t="b">
        <v>0</v>
      </c>
      <c r="I480" s="99" t="b">
        <v>0</v>
      </c>
      <c r="J480" s="99" t="b">
        <v>0</v>
      </c>
      <c r="K480" s="99" t="b">
        <v>0</v>
      </c>
      <c r="L480" s="99" t="b">
        <v>0</v>
      </c>
      <c r="M480" s="99" t="b">
        <v>0</v>
      </c>
      <c r="N480" s="99" t="b">
        <v>0</v>
      </c>
      <c r="O480" s="99" t="b">
        <v>0</v>
      </c>
      <c r="P480" s="99" t="b">
        <v>0</v>
      </c>
      <c r="Q480" s="99" t="b">
        <v>0</v>
      </c>
      <c r="R480" s="14"/>
      <c r="S480" s="14"/>
      <c r="T480" s="14"/>
      <c r="U480" s="14"/>
      <c r="V480" s="14"/>
      <c r="W480" s="14"/>
    </row>
    <row r="481" ht="35.25" customHeight="1">
      <c r="A481" s="92" t="s">
        <v>7827</v>
      </c>
      <c r="B481" s="93" t="s">
        <v>7828</v>
      </c>
      <c r="C481" s="94" t="s">
        <v>7829</v>
      </c>
      <c r="D481" s="24" t="s">
        <v>7830</v>
      </c>
      <c r="E481" s="96" t="str">
        <f>IFERROR(__xludf.DUMMYFUNCTION("GOOGLETRANSLATE(D481,""zh-CN"",""vi"")"),"Chúng ta có thể trao đổi ý kiến.")</f>
        <v>Chúng ta có thể trao đổi ý kiến.</v>
      </c>
      <c r="F481" s="101" t="s">
        <v>7827</v>
      </c>
      <c r="G481" s="98" t="b">
        <f t="shared" si="1"/>
        <v>1</v>
      </c>
      <c r="H481" s="99" t="b">
        <v>0</v>
      </c>
      <c r="I481" s="99" t="b">
        <v>0</v>
      </c>
      <c r="J481" s="99" t="b">
        <v>0</v>
      </c>
      <c r="K481" s="99" t="b">
        <v>0</v>
      </c>
      <c r="L481" s="99" t="b">
        <v>0</v>
      </c>
      <c r="M481" s="99" t="b">
        <v>0</v>
      </c>
      <c r="N481" s="99" t="b">
        <v>0</v>
      </c>
      <c r="O481" s="99" t="b">
        <v>0</v>
      </c>
      <c r="P481" s="99" t="b">
        <v>0</v>
      </c>
      <c r="Q481" s="99" t="b">
        <v>0</v>
      </c>
      <c r="R481" s="14"/>
      <c r="S481" s="14"/>
      <c r="T481" s="14"/>
      <c r="U481" s="14"/>
      <c r="V481" s="14"/>
      <c r="W481" s="14"/>
    </row>
    <row r="482" ht="35.25" customHeight="1">
      <c r="A482" s="92" t="s">
        <v>7835</v>
      </c>
      <c r="B482" s="93" t="s">
        <v>7836</v>
      </c>
      <c r="C482" s="94" t="s">
        <v>7837</v>
      </c>
      <c r="D482" s="24" t="s">
        <v>7838</v>
      </c>
      <c r="E482" s="96" t="str">
        <f>IFERROR(__xludf.DUMMYFUNCTION("GOOGLETRANSLATE(D482,""zh-CN"",""vi"")"),"Anh ấy giỏi giao tiếp.")</f>
        <v>Anh ấy giỏi giao tiếp.</v>
      </c>
      <c r="F482" s="101" t="s">
        <v>7835</v>
      </c>
      <c r="G482" s="98" t="b">
        <f t="shared" si="1"/>
        <v>1</v>
      </c>
      <c r="H482" s="99" t="b">
        <v>0</v>
      </c>
      <c r="I482" s="99" t="b">
        <v>0</v>
      </c>
      <c r="J482" s="99" t="b">
        <v>0</v>
      </c>
      <c r="K482" s="99" t="b">
        <v>0</v>
      </c>
      <c r="L482" s="99" t="b">
        <v>0</v>
      </c>
      <c r="M482" s="99" t="b">
        <v>0</v>
      </c>
      <c r="N482" s="99" t="b">
        <v>0</v>
      </c>
      <c r="O482" s="99" t="b">
        <v>0</v>
      </c>
      <c r="P482" s="99" t="b">
        <v>0</v>
      </c>
      <c r="Q482" s="99" t="b">
        <v>0</v>
      </c>
      <c r="R482" s="14"/>
      <c r="S482" s="14"/>
      <c r="T482" s="14"/>
      <c r="U482" s="14"/>
      <c r="V482" s="14"/>
      <c r="W482" s="14"/>
    </row>
    <row r="483" ht="35.25" customHeight="1">
      <c r="A483" s="92" t="s">
        <v>7843</v>
      </c>
      <c r="B483" s="93" t="s">
        <v>7844</v>
      </c>
      <c r="C483" s="94" t="s">
        <v>7845</v>
      </c>
      <c r="D483" s="24" t="s">
        <v>7847</v>
      </c>
      <c r="E483" s="96" t="str">
        <f>IFERROR(__xludf.DUMMYFUNCTION("GOOGLETRANSLATE(D483,""zh-CN"",""vi"")"),"Chúng ta đã quen biết nhau ở đây nhiều năm rồi.")</f>
        <v>Chúng ta đã quen biết nhau ở đây nhiều năm rồi.</v>
      </c>
      <c r="F483" s="101" t="s">
        <v>7843</v>
      </c>
      <c r="G483" s="98" t="b">
        <f t="shared" si="1"/>
        <v>1</v>
      </c>
      <c r="H483" s="99" t="b">
        <v>0</v>
      </c>
      <c r="I483" s="99" t="b">
        <v>0</v>
      </c>
      <c r="J483" s="99" t="b">
        <v>0</v>
      </c>
      <c r="K483" s="99" t="b">
        <v>0</v>
      </c>
      <c r="L483" s="99" t="b">
        <v>0</v>
      </c>
      <c r="M483" s="99" t="b">
        <v>0</v>
      </c>
      <c r="N483" s="99" t="b">
        <v>0</v>
      </c>
      <c r="O483" s="99" t="b">
        <v>0</v>
      </c>
      <c r="P483" s="99" t="b">
        <v>0</v>
      </c>
      <c r="Q483" s="99" t="b">
        <v>0</v>
      </c>
      <c r="R483" s="14"/>
      <c r="S483" s="14"/>
      <c r="T483" s="14"/>
      <c r="U483" s="14"/>
      <c r="V483" s="14"/>
      <c r="W483" s="14"/>
    </row>
    <row r="484" ht="35.25" customHeight="1">
      <c r="A484" s="92" t="s">
        <v>7850</v>
      </c>
      <c r="B484" s="93" t="s">
        <v>1869</v>
      </c>
      <c r="C484" s="94" t="s">
        <v>7851</v>
      </c>
      <c r="D484" s="24" t="s">
        <v>7852</v>
      </c>
      <c r="E484" s="96" t="str">
        <f>IFERROR(__xludf.DUMMYFUNCTION("GOOGLETRANSLATE(D484,""zh-CN"",""vi"")"),"Hãy tưới nước cho những cây này.")</f>
        <v>Hãy tưới nước cho những cây này.</v>
      </c>
      <c r="F484" s="101" t="s">
        <v>7850</v>
      </c>
      <c r="G484" s="98" t="b">
        <f t="shared" si="1"/>
        <v>1</v>
      </c>
      <c r="H484" s="99" t="b">
        <v>0</v>
      </c>
      <c r="I484" s="99" t="b">
        <v>0</v>
      </c>
      <c r="J484" s="99" t="b">
        <v>0</v>
      </c>
      <c r="K484" s="99" t="b">
        <v>0</v>
      </c>
      <c r="L484" s="99" t="b">
        <v>0</v>
      </c>
      <c r="M484" s="99" t="b">
        <v>0</v>
      </c>
      <c r="N484" s="99" t="b">
        <v>0</v>
      </c>
      <c r="O484" s="99" t="b">
        <v>0</v>
      </c>
      <c r="P484" s="99" t="b">
        <v>0</v>
      </c>
      <c r="Q484" s="99" t="b">
        <v>0</v>
      </c>
      <c r="R484" s="14"/>
      <c r="S484" s="14"/>
      <c r="T484" s="14"/>
      <c r="U484" s="14"/>
      <c r="V484" s="14"/>
      <c r="W484" s="14"/>
    </row>
    <row r="485" ht="35.25" customHeight="1">
      <c r="A485" s="92" t="s">
        <v>7857</v>
      </c>
      <c r="B485" s="93" t="s">
        <v>7858</v>
      </c>
      <c r="C485" s="94" t="s">
        <v>7859</v>
      </c>
      <c r="D485" s="24" t="s">
        <v>7860</v>
      </c>
      <c r="E485" s="96" t="str">
        <f>IFERROR(__xludf.DUMMYFUNCTION("GOOGLETRANSLATE(D485,""zh-CN"",""vi"")"),"Anh ấy đã dùng keo để sửa lại chiếc chai bị vỡ.")</f>
        <v>Anh ấy đã dùng keo để sửa lại chiếc chai bị vỡ.</v>
      </c>
      <c r="F485" s="101" t="s">
        <v>7857</v>
      </c>
      <c r="G485" s="98" t="b">
        <f t="shared" si="1"/>
        <v>1</v>
      </c>
      <c r="H485" s="99"/>
      <c r="I485" s="99" t="b">
        <v>0</v>
      </c>
      <c r="J485" s="99" t="b">
        <v>0</v>
      </c>
      <c r="K485" s="99" t="b">
        <v>0</v>
      </c>
      <c r="L485" s="99" t="b">
        <v>0</v>
      </c>
      <c r="M485" s="99" t="b">
        <v>0</v>
      </c>
      <c r="N485" s="99" t="b">
        <v>0</v>
      </c>
      <c r="O485" s="99" t="b">
        <v>0</v>
      </c>
      <c r="P485" s="99" t="b">
        <v>0</v>
      </c>
      <c r="Q485" s="99" t="b">
        <v>0</v>
      </c>
      <c r="R485" s="14"/>
      <c r="S485" s="14"/>
      <c r="T485" s="14"/>
      <c r="U485" s="14"/>
      <c r="V485" s="14"/>
      <c r="W485" s="14"/>
    </row>
    <row r="486" ht="35.25" customHeight="1">
      <c r="A486" s="92" t="s">
        <v>7865</v>
      </c>
      <c r="B486" s="93" t="s">
        <v>7866</v>
      </c>
      <c r="C486" s="94" t="s">
        <v>7867</v>
      </c>
      <c r="D486" s="24" t="s">
        <v>7868</v>
      </c>
      <c r="E486" s="96" t="str">
        <f>IFERROR(__xludf.DUMMYFUNCTION("GOOGLETRANSLATE(D486,""zh-CN"",""vi"")"),"Chúng ta xem xét vấn đề từ nhiều góc độ khác nhau.")</f>
        <v>Chúng ta xem xét vấn đề từ nhiều góc độ khác nhau.</v>
      </c>
      <c r="F486" s="101" t="s">
        <v>7865</v>
      </c>
      <c r="G486" s="98" t="b">
        <f t="shared" si="1"/>
        <v>1</v>
      </c>
      <c r="H486" s="99" t="b">
        <v>0</v>
      </c>
      <c r="I486" s="99" t="b">
        <v>0</v>
      </c>
      <c r="J486" s="99" t="b">
        <v>0</v>
      </c>
      <c r="K486" s="99" t="b">
        <v>0</v>
      </c>
      <c r="L486" s="99" t="b">
        <v>0</v>
      </c>
      <c r="M486" s="99" t="b">
        <v>0</v>
      </c>
      <c r="N486" s="99" t="b">
        <v>0</v>
      </c>
      <c r="O486" s="99" t="b">
        <v>0</v>
      </c>
      <c r="P486" s="99" t="b">
        <v>0</v>
      </c>
      <c r="Q486" s="99" t="b">
        <v>0</v>
      </c>
      <c r="R486" s="14"/>
      <c r="S486" s="14"/>
      <c r="T486" s="14"/>
      <c r="U486" s="14"/>
      <c r="V486" s="14"/>
      <c r="W486" s="14"/>
    </row>
    <row r="487" ht="35.25" customHeight="1">
      <c r="A487" s="92" t="s">
        <v>7872</v>
      </c>
      <c r="B487" s="93" t="s">
        <v>7873</v>
      </c>
      <c r="C487" s="94" t="s">
        <v>7874</v>
      </c>
      <c r="D487" s="24" t="s">
        <v>7875</v>
      </c>
      <c r="E487" s="96" t="str">
        <f>IFERROR(__xludf.DUMMYFUNCTION("GOOGLETRANSLATE(D487,""zh-CN"",""vi"")"),"Ông ta là một doanh nhân rất xảo quyệt.")</f>
        <v>Ông ta là một doanh nhân rất xảo quyệt.</v>
      </c>
      <c r="F487" s="101" t="s">
        <v>7872</v>
      </c>
      <c r="G487" s="98" t="b">
        <f t="shared" si="1"/>
        <v>1</v>
      </c>
      <c r="H487" s="99" t="b">
        <v>0</v>
      </c>
      <c r="I487" s="99" t="b">
        <v>0</v>
      </c>
      <c r="J487" s="99" t="b">
        <v>0</v>
      </c>
      <c r="K487" s="99" t="b">
        <v>0</v>
      </c>
      <c r="L487" s="99" t="b">
        <v>0</v>
      </c>
      <c r="M487" s="99" t="b">
        <v>0</v>
      </c>
      <c r="N487" s="99" t="b">
        <v>0</v>
      </c>
      <c r="O487" s="99" t="b">
        <v>0</v>
      </c>
      <c r="P487" s="99" t="b">
        <v>0</v>
      </c>
      <c r="Q487" s="99" t="b">
        <v>0</v>
      </c>
      <c r="R487" s="14"/>
      <c r="S487" s="14"/>
      <c r="T487" s="14"/>
      <c r="U487" s="14"/>
      <c r="V487" s="14"/>
      <c r="W487" s="14"/>
    </row>
    <row r="488" ht="35.25" customHeight="1">
      <c r="A488" s="92" t="s">
        <v>7879</v>
      </c>
      <c r="B488" s="93" t="s">
        <v>7880</v>
      </c>
      <c r="C488" s="94" t="s">
        <v>7881</v>
      </c>
      <c r="D488" s="24" t="s">
        <v>7883</v>
      </c>
      <c r="E488" s="96" t="str">
        <f>IFERROR(__xludf.DUMMYFUNCTION("GOOGLETRANSLATE(D488,""zh-CN"",""vi"")"),"Cuốn sách này là một trong những sách giáo khoa.")</f>
        <v>Cuốn sách này là một trong những sách giáo khoa.</v>
      </c>
      <c r="F488" s="101" t="s">
        <v>7879</v>
      </c>
      <c r="G488" s="98" t="b">
        <f t="shared" si="1"/>
        <v>1</v>
      </c>
      <c r="H488" s="99" t="b">
        <v>0</v>
      </c>
      <c r="I488" s="99" t="b">
        <v>0</v>
      </c>
      <c r="J488" s="99" t="b">
        <v>0</v>
      </c>
      <c r="K488" s="99" t="b">
        <v>0</v>
      </c>
      <c r="L488" s="99" t="b">
        <v>0</v>
      </c>
      <c r="M488" s="99" t="b">
        <v>0</v>
      </c>
      <c r="N488" s="99" t="b">
        <v>0</v>
      </c>
      <c r="O488" s="99" t="b">
        <v>0</v>
      </c>
      <c r="P488" s="99" t="b">
        <v>0</v>
      </c>
      <c r="Q488" s="99" t="b">
        <v>0</v>
      </c>
      <c r="R488" s="14"/>
      <c r="S488" s="14"/>
      <c r="T488" s="14"/>
      <c r="U488" s="14"/>
      <c r="V488" s="14"/>
      <c r="W488" s="14"/>
    </row>
    <row r="489" ht="35.25" customHeight="1">
      <c r="A489" s="92" t="s">
        <v>7887</v>
      </c>
      <c r="B489" s="93" t="s">
        <v>7892</v>
      </c>
      <c r="C489" s="94" t="s">
        <v>7893</v>
      </c>
      <c r="D489" s="24" t="s">
        <v>7894</v>
      </c>
      <c r="E489" s="96" t="str">
        <f>IFERROR(__xludf.DUMMYFUNCTION("GOOGLETRANSLATE(D489,""zh-CN"",""vi"")"),"Huấn luyện viên đã cho chúng tôi rất nhiều lời khuyên.")</f>
        <v>Huấn luyện viên đã cho chúng tôi rất nhiều lời khuyên.</v>
      </c>
      <c r="F489" s="101" t="s">
        <v>7887</v>
      </c>
      <c r="G489" s="98" t="b">
        <f t="shared" si="1"/>
        <v>1</v>
      </c>
      <c r="H489" s="99" t="b">
        <v>0</v>
      </c>
      <c r="I489" s="99" t="b">
        <v>0</v>
      </c>
      <c r="J489" s="99" t="b">
        <v>0</v>
      </c>
      <c r="K489" s="99" t="b">
        <v>0</v>
      </c>
      <c r="L489" s="99" t="b">
        <v>0</v>
      </c>
      <c r="M489" s="99" t="b">
        <v>0</v>
      </c>
      <c r="N489" s="99" t="b">
        <v>0</v>
      </c>
      <c r="O489" s="99" t="b">
        <v>0</v>
      </c>
      <c r="P489" s="99" t="b">
        <v>0</v>
      </c>
      <c r="Q489" s="99" t="b">
        <v>0</v>
      </c>
      <c r="R489" s="14"/>
      <c r="S489" s="14"/>
      <c r="T489" s="14"/>
      <c r="U489" s="14"/>
      <c r="V489" s="14"/>
      <c r="W489" s="14"/>
    </row>
    <row r="490" ht="35.25" customHeight="1">
      <c r="A490" s="92" t="s">
        <v>7899</v>
      </c>
      <c r="B490" s="93" t="s">
        <v>7900</v>
      </c>
      <c r="C490" s="94" t="s">
        <v>7901</v>
      </c>
      <c r="D490" s="24" t="s">
        <v>7902</v>
      </c>
      <c r="E490" s="96" t="str">
        <f>IFERROR(__xludf.DUMMYFUNCTION("GOOGLETRANSLATE(D490,""zh-CN"",""vi"")"),"Bài học này rất quan trọng đối với tôi.")</f>
        <v>Bài học này rất quan trọng đối với tôi.</v>
      </c>
      <c r="F490" s="101" t="s">
        <v>7899</v>
      </c>
      <c r="G490" s="98" t="b">
        <f t="shared" si="1"/>
        <v>1</v>
      </c>
      <c r="H490" s="99" t="b">
        <v>0</v>
      </c>
      <c r="I490" s="99" t="b">
        <v>0</v>
      </c>
      <c r="J490" s="99" t="b">
        <v>0</v>
      </c>
      <c r="K490" s="99" t="b">
        <v>0</v>
      </c>
      <c r="L490" s="99" t="b">
        <v>0</v>
      </c>
      <c r="M490" s="99" t="b">
        <v>0</v>
      </c>
      <c r="N490" s="99" t="b">
        <v>0</v>
      </c>
      <c r="O490" s="99" t="b">
        <v>0</v>
      </c>
      <c r="P490" s="99" t="b">
        <v>0</v>
      </c>
      <c r="Q490" s="99" t="b">
        <v>0</v>
      </c>
      <c r="R490" s="14"/>
      <c r="S490" s="14"/>
      <c r="T490" s="14"/>
      <c r="U490" s="14"/>
      <c r="V490" s="14"/>
      <c r="W490" s="14"/>
    </row>
    <row r="491" ht="35.25" customHeight="1">
      <c r="A491" s="92" t="s">
        <v>7907</v>
      </c>
      <c r="B491" s="93" t="s">
        <v>7908</v>
      </c>
      <c r="C491" s="94" t="s">
        <v>7909</v>
      </c>
      <c r="D491" s="24" t="s">
        <v>7910</v>
      </c>
      <c r="E491" s="96" t="str">
        <f>IFERROR(__xludf.DUMMYFUNCTION("GOOGLETRANSLATE(D491,""zh-CN"",""vi"")"),"Chúng ta đang ở những giai đoạn khác nhau.")</f>
        <v>Chúng ta đang ở những giai đoạn khác nhau.</v>
      </c>
      <c r="F491" s="101" t="s">
        <v>7907</v>
      </c>
      <c r="G491" s="98" t="b">
        <f t="shared" si="1"/>
        <v>1</v>
      </c>
      <c r="H491" s="99" t="b">
        <v>0</v>
      </c>
      <c r="I491" s="99" t="b">
        <v>0</v>
      </c>
      <c r="J491" s="99" t="b">
        <v>0</v>
      </c>
      <c r="K491" s="99" t="b">
        <v>0</v>
      </c>
      <c r="L491" s="99" t="b">
        <v>0</v>
      </c>
      <c r="M491" s="99" t="b">
        <v>0</v>
      </c>
      <c r="N491" s="99" t="b">
        <v>0</v>
      </c>
      <c r="O491" s="99" t="b">
        <v>0</v>
      </c>
      <c r="P491" s="99" t="b">
        <v>0</v>
      </c>
      <c r="Q491" s="99" t="b">
        <v>0</v>
      </c>
      <c r="R491" s="14"/>
      <c r="S491" s="14"/>
      <c r="T491" s="14"/>
      <c r="U491" s="14"/>
      <c r="V491" s="14"/>
      <c r="W491" s="14"/>
    </row>
    <row r="492" ht="35.25" customHeight="1">
      <c r="A492" s="92" t="s">
        <v>7915</v>
      </c>
      <c r="B492" s="93" t="s">
        <v>7916</v>
      </c>
      <c r="C492" s="94" t="s">
        <v>7917</v>
      </c>
      <c r="D492" s="24" t="s">
        <v>7918</v>
      </c>
      <c r="E492" s="96" t="str">
        <f>IFERROR(__xludf.DUMMYFUNCTION("GOOGLETRANSLATE(D492,""zh-CN"",""vi"")"),"Ngôi nhà này rất kiên cố.")</f>
        <v>Ngôi nhà này rất kiên cố.</v>
      </c>
      <c r="F492" s="101" t="s">
        <v>7915</v>
      </c>
      <c r="G492" s="98" t="b">
        <f t="shared" si="1"/>
        <v>1</v>
      </c>
      <c r="H492" s="99" t="b">
        <v>0</v>
      </c>
      <c r="I492" s="99" t="b">
        <v>0</v>
      </c>
      <c r="J492" s="99" t="b">
        <v>0</v>
      </c>
      <c r="K492" s="99" t="b">
        <v>0</v>
      </c>
      <c r="L492" s="99" t="b">
        <v>0</v>
      </c>
      <c r="M492" s="99" t="b">
        <v>0</v>
      </c>
      <c r="N492" s="99" t="b">
        <v>0</v>
      </c>
      <c r="O492" s="99" t="b">
        <v>0</v>
      </c>
      <c r="P492" s="99" t="b">
        <v>0</v>
      </c>
      <c r="Q492" s="99" t="b">
        <v>0</v>
      </c>
      <c r="R492" s="14"/>
      <c r="S492" s="14"/>
      <c r="T492" s="14"/>
      <c r="U492" s="14"/>
      <c r="V492" s="14"/>
      <c r="W492" s="14"/>
    </row>
    <row r="493" ht="35.25" customHeight="1">
      <c r="A493" s="92" t="s">
        <v>7923</v>
      </c>
      <c r="B493" s="93" t="s">
        <v>7924</v>
      </c>
      <c r="C493" s="94" t="s">
        <v>7925</v>
      </c>
      <c r="D493" s="24" t="s">
        <v>7926</v>
      </c>
      <c r="E493" s="96" t="str">
        <f>IFERROR(__xludf.DUMMYFUNCTION("GOOGLETRANSLATE(D493,""zh-CN"",""vi"")"),"Chúng ta cần tiếp cận nhiều hơn với những tài liệu này.")</f>
        <v>Chúng ta cần tiếp cận nhiều hơn với những tài liệu này.</v>
      </c>
      <c r="F493" s="101" t="s">
        <v>7923</v>
      </c>
      <c r="G493" s="98" t="b">
        <f t="shared" si="1"/>
        <v>1</v>
      </c>
      <c r="H493" s="99" t="b">
        <v>0</v>
      </c>
      <c r="I493" s="99" t="b">
        <v>0</v>
      </c>
      <c r="J493" s="99" t="b">
        <v>0</v>
      </c>
      <c r="K493" s="99" t="b">
        <v>0</v>
      </c>
      <c r="L493" s="99" t="b">
        <v>0</v>
      </c>
      <c r="M493" s="99" t="b">
        <v>0</v>
      </c>
      <c r="N493" s="99" t="b">
        <v>0</v>
      </c>
      <c r="O493" s="99" t="b">
        <v>0</v>
      </c>
      <c r="P493" s="99" t="b">
        <v>0</v>
      </c>
      <c r="Q493" s="99" t="b">
        <v>0</v>
      </c>
      <c r="R493" s="14"/>
      <c r="S493" s="14"/>
      <c r="T493" s="14"/>
      <c r="U493" s="14"/>
      <c r="V493" s="14"/>
      <c r="W493" s="14"/>
    </row>
    <row r="494" ht="35.25" customHeight="1">
      <c r="A494" s="92" t="s">
        <v>7927</v>
      </c>
      <c r="B494" s="93" t="s">
        <v>7928</v>
      </c>
      <c r="C494" s="94" t="s">
        <v>7929</v>
      </c>
      <c r="D494" s="24" t="s">
        <v>7930</v>
      </c>
      <c r="E494" s="96" t="str">
        <f>IFERROR(__xludf.DUMMYFUNCTION("GOOGLETRANSLATE(D494,""zh-CN"",""vi"")"),"Ông ấy phụ trách việc tiếp đón khách đến thăm.")</f>
        <v>Ông ấy phụ trách việc tiếp đón khách đến thăm.</v>
      </c>
      <c r="F494" s="101" t="s">
        <v>7927</v>
      </c>
      <c r="G494" s="98" t="b">
        <f t="shared" si="1"/>
        <v>1</v>
      </c>
      <c r="H494" s="99" t="b">
        <v>1</v>
      </c>
      <c r="I494" s="99" t="b">
        <v>0</v>
      </c>
      <c r="J494" s="99" t="b">
        <v>0</v>
      </c>
      <c r="K494" s="99" t="b">
        <v>0</v>
      </c>
      <c r="L494" s="99" t="b">
        <v>0</v>
      </c>
      <c r="M494" s="99" t="b">
        <v>0</v>
      </c>
      <c r="N494" s="99" t="b">
        <v>0</v>
      </c>
      <c r="O494" s="99" t="b">
        <v>0</v>
      </c>
      <c r="P494" s="99" t="b">
        <v>0</v>
      </c>
      <c r="Q494" s="99" t="b">
        <v>0</v>
      </c>
      <c r="R494" s="14"/>
      <c r="S494" s="14"/>
      <c r="T494" s="14"/>
      <c r="U494" s="14"/>
      <c r="V494" s="14"/>
      <c r="W494" s="14"/>
    </row>
    <row r="495" ht="35.25" customHeight="1">
      <c r="A495" s="92" t="s">
        <v>7935</v>
      </c>
      <c r="B495" s="93" t="s">
        <v>7936</v>
      </c>
      <c r="C495" s="94" t="s">
        <v>7937</v>
      </c>
      <c r="D495" s="24" t="s">
        <v>7938</v>
      </c>
      <c r="E495" s="96" t="str">
        <f>IFERROR(__xludf.DUMMYFUNCTION("GOOGLETRANSLATE(D495,""zh-CN"",""vi"")"),"Cô ấy cố tình tiến lại gần tôi.")</f>
        <v>Cô ấy cố tình tiến lại gần tôi.</v>
      </c>
      <c r="F495" s="101" t="s">
        <v>7935</v>
      </c>
      <c r="G495" s="98" t="b">
        <f t="shared" si="1"/>
        <v>1</v>
      </c>
      <c r="H495" s="99" t="b">
        <v>1</v>
      </c>
      <c r="I495" s="99" t="b">
        <v>0</v>
      </c>
      <c r="J495" s="99" t="b">
        <v>0</v>
      </c>
      <c r="K495" s="99" t="b">
        <v>0</v>
      </c>
      <c r="L495" s="99" t="b">
        <v>0</v>
      </c>
      <c r="M495" s="99" t="b">
        <v>0</v>
      </c>
      <c r="N495" s="99" t="b">
        <v>0</v>
      </c>
      <c r="O495" s="99" t="b">
        <v>0</v>
      </c>
      <c r="P495" s="99" t="b">
        <v>0</v>
      </c>
      <c r="Q495" s="99" t="b">
        <v>0</v>
      </c>
      <c r="R495" s="14"/>
      <c r="S495" s="14"/>
      <c r="T495" s="14"/>
      <c r="U495" s="14"/>
      <c r="V495" s="14"/>
      <c r="W495" s="14"/>
    </row>
    <row r="496" ht="35.25" customHeight="1">
      <c r="A496" s="92" t="s">
        <v>7943</v>
      </c>
      <c r="B496" s="93" t="s">
        <v>7944</v>
      </c>
      <c r="C496" s="94" t="s">
        <v>2717</v>
      </c>
      <c r="D496" s="24" t="s">
        <v>7945</v>
      </c>
      <c r="E496" s="96" t="str">
        <f>IFERROR(__xludf.DUMMYFUNCTION("GOOGLETRANSLATE(D496,""zh-CN"",""vi"")"),"Chúng ta cần tiết kiệm tiền.")</f>
        <v>Chúng ta cần tiết kiệm tiền.</v>
      </c>
      <c r="F496" s="101" t="s">
        <v>7943</v>
      </c>
      <c r="G496" s="98" t="b">
        <f t="shared" si="1"/>
        <v>1</v>
      </c>
      <c r="H496" s="99" t="b">
        <v>1</v>
      </c>
      <c r="I496" s="99" t="b">
        <v>0</v>
      </c>
      <c r="J496" s="99" t="b">
        <v>0</v>
      </c>
      <c r="K496" s="99" t="b">
        <v>0</v>
      </c>
      <c r="L496" s="99" t="b">
        <v>0</v>
      </c>
      <c r="M496" s="99" t="b">
        <v>0</v>
      </c>
      <c r="N496" s="99" t="b">
        <v>0</v>
      </c>
      <c r="O496" s="99" t="b">
        <v>0</v>
      </c>
      <c r="P496" s="99" t="b">
        <v>0</v>
      </c>
      <c r="Q496" s="99" t="b">
        <v>0</v>
      </c>
      <c r="R496" s="14"/>
      <c r="S496" s="14"/>
      <c r="T496" s="14"/>
      <c r="U496" s="14"/>
      <c r="V496" s="14"/>
      <c r="W496" s="14"/>
    </row>
    <row r="497" ht="35.25" customHeight="1">
      <c r="A497" s="92" t="s">
        <v>7950</v>
      </c>
      <c r="B497" s="93" t="s">
        <v>7951</v>
      </c>
      <c r="C497" s="94" t="s">
        <v>7952</v>
      </c>
      <c r="D497" s="24" t="s">
        <v>7953</v>
      </c>
      <c r="E497" s="96" t="str">
        <f>IFERROR(__xludf.DUMMYFUNCTION("GOOGLETRANSLATE(D497,""zh-CN"",""vi"")"),"Cấu trúc của tòa nhà này rất phức tạp.")</f>
        <v>Cấu trúc của tòa nhà này rất phức tạp.</v>
      </c>
      <c r="F497" s="101" t="s">
        <v>7950</v>
      </c>
      <c r="G497" s="98" t="b">
        <f t="shared" si="1"/>
        <v>1</v>
      </c>
      <c r="H497" s="99" t="b">
        <v>1</v>
      </c>
      <c r="I497" s="99" t="b">
        <v>0</v>
      </c>
      <c r="J497" s="99" t="b">
        <v>0</v>
      </c>
      <c r="K497" s="99" t="b">
        <v>0</v>
      </c>
      <c r="L497" s="99" t="b">
        <v>0</v>
      </c>
      <c r="M497" s="99" t="b">
        <v>0</v>
      </c>
      <c r="N497" s="99" t="b">
        <v>0</v>
      </c>
      <c r="O497" s="99" t="b">
        <v>0</v>
      </c>
      <c r="P497" s="99" t="b">
        <v>0</v>
      </c>
      <c r="Q497" s="99" t="b">
        <v>0</v>
      </c>
      <c r="R497" s="14"/>
      <c r="S497" s="14"/>
      <c r="T497" s="14"/>
      <c r="U497" s="14"/>
      <c r="V497" s="14"/>
      <c r="W497" s="14"/>
    </row>
    <row r="498" ht="35.25" customHeight="1">
      <c r="A498" s="92" t="s">
        <v>7958</v>
      </c>
      <c r="B498" s="93" t="s">
        <v>7959</v>
      </c>
      <c r="C498" s="94" t="s">
        <v>7960</v>
      </c>
      <c r="D498" s="24" t="s">
        <v>7961</v>
      </c>
      <c r="E498" s="96" t="str">
        <f>IFERROR(__xludf.DUMMYFUNCTION("GOOGLETRANSLATE(D498,""zh-CN"",""vi"")"),"Quan điểm của họ được kết hợp lại.")</f>
        <v>Quan điểm của họ được kết hợp lại.</v>
      </c>
      <c r="F498" s="101" t="s">
        <v>7958</v>
      </c>
      <c r="G498" s="98" t="b">
        <f t="shared" si="1"/>
        <v>1</v>
      </c>
      <c r="H498" s="99" t="b">
        <v>1</v>
      </c>
      <c r="I498" s="99" t="b">
        <v>0</v>
      </c>
      <c r="J498" s="99" t="b">
        <v>0</v>
      </c>
      <c r="K498" s="99" t="b">
        <v>0</v>
      </c>
      <c r="L498" s="99" t="b">
        <v>0</v>
      </c>
      <c r="M498" s="99" t="b">
        <v>0</v>
      </c>
      <c r="N498" s="99" t="b">
        <v>0</v>
      </c>
      <c r="O498" s="99" t="b">
        <v>0</v>
      </c>
      <c r="P498" s="99" t="b">
        <v>0</v>
      </c>
      <c r="Q498" s="99" t="b">
        <v>0</v>
      </c>
      <c r="R498" s="14"/>
      <c r="S498" s="14"/>
      <c r="T498" s="14"/>
      <c r="U498" s="14"/>
      <c r="V498" s="14"/>
      <c r="W498" s="14"/>
    </row>
    <row r="499" ht="35.25" customHeight="1">
      <c r="A499" s="92" t="s">
        <v>7966</v>
      </c>
      <c r="B499" s="93" t="s">
        <v>7967</v>
      </c>
      <c r="C499" s="94" t="s">
        <v>7968</v>
      </c>
      <c r="D499" s="24" t="s">
        <v>7969</v>
      </c>
      <c r="E499" s="96" t="str">
        <f>IFERROR(__xludf.DUMMYFUNCTION("GOOGLETRANSLATE(D499,""zh-CN"",""vi"")"),"Kết luận này là chính xác.")</f>
        <v>Kết luận này là chính xác.</v>
      </c>
      <c r="F499" s="101" t="s">
        <v>7966</v>
      </c>
      <c r="G499" s="98" t="b">
        <f t="shared" si="1"/>
        <v>1</v>
      </c>
      <c r="H499" s="99" t="b">
        <v>1</v>
      </c>
      <c r="I499" s="99" t="b">
        <v>0</v>
      </c>
      <c r="J499" s="99" t="b">
        <v>0</v>
      </c>
      <c r="K499" s="99" t="b">
        <v>0</v>
      </c>
      <c r="L499" s="99" t="b">
        <v>0</v>
      </c>
      <c r="M499" s="99" t="b">
        <v>0</v>
      </c>
      <c r="N499" s="99" t="b">
        <v>0</v>
      </c>
      <c r="O499" s="99" t="b">
        <v>0</v>
      </c>
      <c r="P499" s="99" t="b">
        <v>0</v>
      </c>
      <c r="Q499" s="99" t="b">
        <v>0</v>
      </c>
      <c r="R499" s="14"/>
      <c r="S499" s="14"/>
      <c r="T499" s="14"/>
      <c r="U499" s="14"/>
      <c r="V499" s="14"/>
      <c r="W499" s="14"/>
    </row>
    <row r="500" ht="35.25" customHeight="1">
      <c r="A500" s="92" t="s">
        <v>7986</v>
      </c>
      <c r="B500" s="93" t="s">
        <v>7988</v>
      </c>
      <c r="C500" s="94" t="s">
        <v>1556</v>
      </c>
      <c r="D500" s="24" t="s">
        <v>7991</v>
      </c>
      <c r="E500" s="96" t="str">
        <f>IFERROR(__xludf.DUMMYFUNCTION("GOOGLETRANSLATE(D500,""zh-CN"",""vi"")"),"Chúng tôi gặp sự cố khi thanh toán.")</f>
        <v>Chúng tôi gặp sự cố khi thanh toán.</v>
      </c>
      <c r="F500" s="101" t="s">
        <v>7986</v>
      </c>
      <c r="G500" s="98" t="b">
        <f t="shared" si="1"/>
        <v>1</v>
      </c>
      <c r="H500" s="99" t="b">
        <v>1</v>
      </c>
      <c r="I500" s="99" t="b">
        <v>0</v>
      </c>
      <c r="J500" s="99" t="b">
        <v>0</v>
      </c>
      <c r="K500" s="99" t="b">
        <v>0</v>
      </c>
      <c r="L500" s="99" t="b">
        <v>0</v>
      </c>
      <c r="M500" s="99" t="b">
        <v>0</v>
      </c>
      <c r="N500" s="99" t="b">
        <v>0</v>
      </c>
      <c r="O500" s="99" t="b">
        <v>0</v>
      </c>
      <c r="P500" s="99" t="b">
        <v>0</v>
      </c>
      <c r="Q500" s="99" t="b">
        <v>0</v>
      </c>
      <c r="R500" s="14"/>
      <c r="S500" s="14"/>
      <c r="T500" s="14"/>
      <c r="U500" s="14"/>
      <c r="V500" s="14"/>
      <c r="W500" s="14"/>
    </row>
    <row r="501" ht="35.25" customHeight="1">
      <c r="A501" s="92" t="s">
        <v>7997</v>
      </c>
      <c r="B501" s="93" t="s">
        <v>2004</v>
      </c>
      <c r="C501" s="94" t="s">
        <v>7998</v>
      </c>
      <c r="D501" s="24" t="s">
        <v>7999</v>
      </c>
      <c r="E501" s="96" t="str">
        <f>IFERROR(__xludf.DUMMYFUNCTION("GOOGLETRANSLATE(D501,""zh-CN"",""vi"")"),"Anh ấy đã bỏ thuốc lá được sáu tháng.")</f>
        <v>Anh ấy đã bỏ thuốc lá được sáu tháng.</v>
      </c>
      <c r="F501" s="101" t="s">
        <v>7997</v>
      </c>
      <c r="G501" s="98" t="b">
        <f t="shared" si="1"/>
        <v>1</v>
      </c>
      <c r="H501" s="99" t="b">
        <v>1</v>
      </c>
      <c r="I501" s="99" t="b">
        <v>0</v>
      </c>
      <c r="J501" s="99" t="b">
        <v>0</v>
      </c>
      <c r="K501" s="99" t="b">
        <v>0</v>
      </c>
      <c r="L501" s="99" t="b">
        <v>0</v>
      </c>
      <c r="M501" s="99" t="b">
        <v>0</v>
      </c>
      <c r="N501" s="99" t="b">
        <v>0</v>
      </c>
      <c r="O501" s="99" t="b">
        <v>0</v>
      </c>
      <c r="P501" s="99" t="b">
        <v>0</v>
      </c>
      <c r="Q501" s="99" t="b">
        <v>0</v>
      </c>
      <c r="R501" s="14"/>
      <c r="S501" s="14"/>
      <c r="T501" s="14"/>
      <c r="U501" s="14"/>
      <c r="V501" s="14"/>
      <c r="W501" s="14"/>
    </row>
    <row r="502" ht="35.25" customHeight="1">
      <c r="A502" s="92" t="s">
        <v>8004</v>
      </c>
      <c r="B502" s="93" t="s">
        <v>8005</v>
      </c>
      <c r="C502" s="94" t="s">
        <v>8006</v>
      </c>
      <c r="D502" s="24" t="s">
        <v>8007</v>
      </c>
      <c r="E502" s="96" t="str">
        <f>IFERROR(__xludf.DUMMYFUNCTION("GOOGLETRANSLATE(D502,""zh-CN"",""vi"")"),"Chiếc nhẫn của cô ấy rất đẹp.")</f>
        <v>Chiếc nhẫn của cô ấy rất đẹp.</v>
      </c>
      <c r="F502" s="101" t="s">
        <v>8004</v>
      </c>
      <c r="G502" s="98" t="b">
        <f t="shared" si="1"/>
        <v>1</v>
      </c>
      <c r="H502" s="99" t="b">
        <v>1</v>
      </c>
      <c r="I502" s="99" t="b">
        <v>0</v>
      </c>
      <c r="J502" s="99" t="b">
        <v>0</v>
      </c>
      <c r="K502" s="99" t="b">
        <v>0</v>
      </c>
      <c r="L502" s="99" t="b">
        <v>0</v>
      </c>
      <c r="M502" s="99" t="b">
        <v>0</v>
      </c>
      <c r="N502" s="99" t="b">
        <v>0</v>
      </c>
      <c r="O502" s="99" t="b">
        <v>0</v>
      </c>
      <c r="P502" s="99" t="b">
        <v>0</v>
      </c>
      <c r="Q502" s="99" t="b">
        <v>0</v>
      </c>
      <c r="R502" s="14"/>
      <c r="S502" s="14"/>
      <c r="T502" s="14"/>
      <c r="U502" s="14"/>
      <c r="V502" s="14"/>
      <c r="W502" s="14"/>
    </row>
    <row r="503" ht="35.25" customHeight="1">
      <c r="A503" s="92" t="s">
        <v>8012</v>
      </c>
      <c r="B503" s="93" t="s">
        <v>2004</v>
      </c>
      <c r="C503" s="94" t="s">
        <v>8013</v>
      </c>
      <c r="D503" s="24" t="s">
        <v>8014</v>
      </c>
      <c r="E503" s="96" t="str">
        <f>IFERROR(__xludf.DUMMYFUNCTION("GOOGLETRANSLATE(D503,""zh-CN"",""vi"")"),"Cuộc thi này rất thú vị.")</f>
        <v>Cuộc thi này rất thú vị.</v>
      </c>
      <c r="F503" s="101" t="s">
        <v>8012</v>
      </c>
      <c r="G503" s="98" t="b">
        <f t="shared" si="1"/>
        <v>1</v>
      </c>
      <c r="H503" s="99" t="b">
        <v>1</v>
      </c>
      <c r="I503" s="99" t="b">
        <v>0</v>
      </c>
      <c r="J503" s="99" t="b">
        <v>0</v>
      </c>
      <c r="K503" s="99" t="b">
        <v>0</v>
      </c>
      <c r="L503" s="99" t="b">
        <v>0</v>
      </c>
      <c r="M503" s="99" t="b">
        <v>0</v>
      </c>
      <c r="N503" s="99" t="b">
        <v>0</v>
      </c>
      <c r="O503" s="99" t="b">
        <v>0</v>
      </c>
      <c r="P503" s="99" t="b">
        <v>0</v>
      </c>
      <c r="Q503" s="99" t="b">
        <v>0</v>
      </c>
      <c r="R503" s="14"/>
      <c r="S503" s="14"/>
      <c r="T503" s="14"/>
      <c r="U503" s="14"/>
      <c r="V503" s="14"/>
      <c r="W503" s="14"/>
    </row>
    <row r="504" ht="35.25" customHeight="1">
      <c r="A504" s="92" t="s">
        <v>8019</v>
      </c>
      <c r="B504" s="93" t="s">
        <v>8020</v>
      </c>
      <c r="C504" s="94" t="s">
        <v>8021</v>
      </c>
      <c r="D504" s="24" t="s">
        <v>8022</v>
      </c>
      <c r="E504" s="96" t="str">
        <f>IFERROR(__xludf.DUMMYFUNCTION("GOOGLETRANSLATE(D504,""zh-CN"",""vi"")"),"Anh ta bịa ra một cái cớ để giải thích cho việc mình đến muộn.")</f>
        <v>Anh ta bịa ra một cái cớ để giải thích cho việc mình đến muộn.</v>
      </c>
      <c r="F504" s="101" t="s">
        <v>8019</v>
      </c>
      <c r="G504" s="98" t="b">
        <f t="shared" si="1"/>
        <v>1</v>
      </c>
      <c r="H504" s="99" t="b">
        <v>1</v>
      </c>
      <c r="I504" s="99" t="b">
        <v>0</v>
      </c>
      <c r="J504" s="99" t="b">
        <v>0</v>
      </c>
      <c r="K504" s="99" t="b">
        <v>0</v>
      </c>
      <c r="L504" s="99" t="b">
        <v>0</v>
      </c>
      <c r="M504" s="99" t="b">
        <v>0</v>
      </c>
      <c r="N504" s="99" t="b">
        <v>0</v>
      </c>
      <c r="O504" s="99" t="b">
        <v>0</v>
      </c>
      <c r="P504" s="99" t="b">
        <v>0</v>
      </c>
      <c r="Q504" s="99" t="b">
        <v>0</v>
      </c>
      <c r="R504" s="14"/>
      <c r="S504" s="14"/>
      <c r="T504" s="14"/>
      <c r="U504" s="14"/>
      <c r="V504" s="14"/>
      <c r="W504" s="14"/>
    </row>
    <row r="505" ht="35.25" customHeight="1">
      <c r="A505" s="92" t="s">
        <v>8027</v>
      </c>
      <c r="B505" s="93" t="s">
        <v>8028</v>
      </c>
      <c r="C505" s="94" t="s">
        <v>8029</v>
      </c>
      <c r="D505" s="24" t="s">
        <v>8030</v>
      </c>
      <c r="E505" s="96" t="str">
        <f>IFERROR(__xludf.DUMMYFUNCTION("GOOGLETRANSLATE(D505,""zh-CN"",""vi"")"),"Kim loại này rất cứng.")</f>
        <v>Kim loại này rất cứng.</v>
      </c>
      <c r="F505" s="101" t="s">
        <v>8027</v>
      </c>
      <c r="G505" s="98" t="b">
        <f t="shared" si="1"/>
        <v>1</v>
      </c>
      <c r="H505" s="99" t="b">
        <v>1</v>
      </c>
      <c r="I505" s="99" t="b">
        <v>0</v>
      </c>
      <c r="J505" s="99" t="b">
        <v>0</v>
      </c>
      <c r="K505" s="99" t="b">
        <v>0</v>
      </c>
      <c r="L505" s="99" t="b">
        <v>0</v>
      </c>
      <c r="M505" s="99" t="b">
        <v>0</v>
      </c>
      <c r="N505" s="99" t="b">
        <v>0</v>
      </c>
      <c r="O505" s="99" t="b">
        <v>0</v>
      </c>
      <c r="P505" s="99" t="b">
        <v>0</v>
      </c>
      <c r="Q505" s="99" t="b">
        <v>0</v>
      </c>
      <c r="R505" s="14"/>
      <c r="S505" s="14"/>
      <c r="T505" s="14"/>
      <c r="U505" s="14"/>
      <c r="V505" s="14"/>
      <c r="W505" s="14"/>
    </row>
    <row r="506" ht="35.25" customHeight="1">
      <c r="A506" s="92" t="s">
        <v>8035</v>
      </c>
      <c r="B506" s="93" t="s">
        <v>8036</v>
      </c>
      <c r="C506" s="94" t="s">
        <v>6427</v>
      </c>
      <c r="D506" s="24" t="s">
        <v>8037</v>
      </c>
      <c r="E506" s="96" t="str">
        <f>IFERROR(__xludf.DUMMYFUNCTION("GOOGLETRANSLATE(D506,""zh-CN"",""vi"")"),"Vui lòng hoàn thành nhiệm vụ này càng sớm càng tốt.")</f>
        <v>Vui lòng hoàn thành nhiệm vụ này càng sớm càng tốt.</v>
      </c>
      <c r="F506" s="101" t="s">
        <v>8035</v>
      </c>
      <c r="G506" s="98" t="b">
        <f t="shared" si="1"/>
        <v>1</v>
      </c>
      <c r="H506" s="99" t="b">
        <v>1</v>
      </c>
      <c r="I506" s="99" t="b">
        <v>0</v>
      </c>
      <c r="J506" s="99" t="b">
        <v>0</v>
      </c>
      <c r="K506" s="99" t="b">
        <v>0</v>
      </c>
      <c r="L506" s="99" t="b">
        <v>0</v>
      </c>
      <c r="M506" s="99" t="b">
        <v>0</v>
      </c>
      <c r="N506" s="99" t="b">
        <v>0</v>
      </c>
      <c r="O506" s="99" t="b">
        <v>0</v>
      </c>
      <c r="P506" s="99" t="b">
        <v>0</v>
      </c>
      <c r="Q506" s="99" t="b">
        <v>0</v>
      </c>
      <c r="R506" s="14"/>
      <c r="S506" s="14"/>
      <c r="T506" s="14"/>
      <c r="U506" s="14"/>
      <c r="V506" s="14"/>
      <c r="W506" s="14"/>
    </row>
    <row r="507" ht="35.25" customHeight="1">
      <c r="A507" s="92" t="s">
        <v>8042</v>
      </c>
      <c r="B507" s="93" t="s">
        <v>8043</v>
      </c>
      <c r="C507" s="94" t="s">
        <v>8044</v>
      </c>
      <c r="D507" s="24" t="s">
        <v>8045</v>
      </c>
      <c r="E507" s="96" t="str">
        <f>IFERROR(__xludf.DUMMYFUNCTION("GOOGLETRANSLATE(D507,""zh-CN"",""vi"")"),"Chúng tôi sẽ cố gắng hết sức để giúp bạn.")</f>
        <v>Chúng tôi sẽ cố gắng hết sức để giúp bạn.</v>
      </c>
      <c r="F507" s="101" t="s">
        <v>8042</v>
      </c>
      <c r="G507" s="98" t="b">
        <f t="shared" si="1"/>
        <v>1</v>
      </c>
      <c r="H507" s="99" t="b">
        <v>1</v>
      </c>
      <c r="I507" s="99" t="b">
        <v>0</v>
      </c>
      <c r="J507" s="99" t="b">
        <v>0</v>
      </c>
      <c r="K507" s="99" t="b">
        <v>0</v>
      </c>
      <c r="L507" s="99" t="b">
        <v>0</v>
      </c>
      <c r="M507" s="99" t="b">
        <v>0</v>
      </c>
      <c r="N507" s="99" t="b">
        <v>0</v>
      </c>
      <c r="O507" s="99" t="b">
        <v>0</v>
      </c>
      <c r="P507" s="99" t="b">
        <v>0</v>
      </c>
      <c r="Q507" s="99" t="b">
        <v>0</v>
      </c>
      <c r="R507" s="14"/>
      <c r="S507" s="14"/>
      <c r="T507" s="14"/>
      <c r="U507" s="14"/>
      <c r="V507" s="14"/>
      <c r="W507" s="14"/>
    </row>
    <row r="508" ht="35.25" customHeight="1">
      <c r="A508" s="92" t="s">
        <v>8050</v>
      </c>
      <c r="B508" s="93" t="s">
        <v>8051</v>
      </c>
      <c r="C508" s="94" t="s">
        <v>8052</v>
      </c>
      <c r="D508" s="24" t="s">
        <v>8053</v>
      </c>
      <c r="E508" s="96" t="str">
        <f>IFERROR(__xludf.DUMMYFUNCTION("GOOGLETRANSLATE(D508,""zh-CN"",""vi"")"),"Đây là một nhiệm vụ cấp bách.")</f>
        <v>Đây là một nhiệm vụ cấp bách.</v>
      </c>
      <c r="F508" s="101" t="s">
        <v>8050</v>
      </c>
      <c r="G508" s="98" t="b">
        <f t="shared" si="1"/>
        <v>1</v>
      </c>
      <c r="H508" s="99" t="b">
        <v>1</v>
      </c>
      <c r="I508" s="99" t="b">
        <v>0</v>
      </c>
      <c r="J508" s="99" t="b">
        <v>0</v>
      </c>
      <c r="K508" s="99" t="b">
        <v>0</v>
      </c>
      <c r="L508" s="99" t="b">
        <v>0</v>
      </c>
      <c r="M508" s="99" t="b">
        <v>0</v>
      </c>
      <c r="N508" s="99" t="b">
        <v>0</v>
      </c>
      <c r="O508" s="99" t="b">
        <v>0</v>
      </c>
      <c r="P508" s="99" t="b">
        <v>0</v>
      </c>
      <c r="Q508" s="99" t="b">
        <v>0</v>
      </c>
      <c r="R508" s="14"/>
      <c r="S508" s="14"/>
      <c r="T508" s="14"/>
      <c r="U508" s="14"/>
      <c r="V508" s="14"/>
      <c r="W508" s="14"/>
    </row>
    <row r="509" ht="35.25" customHeight="1">
      <c r="A509" s="92" t="s">
        <v>8058</v>
      </c>
      <c r="B509" s="93" t="s">
        <v>8059</v>
      </c>
      <c r="C509" s="94" t="s">
        <v>8060</v>
      </c>
      <c r="D509" s="24" t="s">
        <v>8061</v>
      </c>
      <c r="E509" s="96" t="str">
        <f>IFERROR(__xludf.DUMMYFUNCTION("GOOGLETRANSLATE(D509,""zh-CN"",""vi"")"),"Quyết định của họ cần được cân nhắc kỹ lưỡng.")</f>
        <v>Quyết định của họ cần được cân nhắc kỹ lưỡng.</v>
      </c>
      <c r="F509" s="101" t="s">
        <v>8058</v>
      </c>
      <c r="G509" s="98" t="b">
        <f t="shared" si="1"/>
        <v>1</v>
      </c>
      <c r="H509" s="99" t="b">
        <v>1</v>
      </c>
      <c r="I509" s="99" t="b">
        <v>0</v>
      </c>
      <c r="J509" s="99" t="b">
        <v>0</v>
      </c>
      <c r="K509" s="99" t="b">
        <v>0</v>
      </c>
      <c r="L509" s="99" t="b">
        <v>0</v>
      </c>
      <c r="M509" s="99" t="b">
        <v>0</v>
      </c>
      <c r="N509" s="99" t="b">
        <v>0</v>
      </c>
      <c r="O509" s="99" t="b">
        <v>0</v>
      </c>
      <c r="P509" s="99" t="b">
        <v>0</v>
      </c>
      <c r="Q509" s="99" t="b">
        <v>0</v>
      </c>
      <c r="R509" s="14"/>
      <c r="S509" s="14"/>
      <c r="T509" s="14"/>
      <c r="U509" s="14"/>
      <c r="V509" s="14"/>
      <c r="W509" s="14"/>
    </row>
    <row r="510" ht="35.25" customHeight="1">
      <c r="A510" s="92" t="s">
        <v>8064</v>
      </c>
      <c r="B510" s="93" t="s">
        <v>8065</v>
      </c>
      <c r="C510" s="94" t="s">
        <v>8066</v>
      </c>
      <c r="D510" s="24" t="s">
        <v>8067</v>
      </c>
      <c r="E510" s="96" t="str">
        <f>IFERROR(__xludf.DUMMYFUNCTION("GOOGLETRANSLATE(D510,""zh-CN"",""vi"")"),"Chúng tôi sẽ cố gắng hết sức để hoàn thành công việc này một cách tốt nhất.")</f>
        <v>Chúng tôi sẽ cố gắng hết sức để hoàn thành công việc này một cách tốt nhất.</v>
      </c>
      <c r="F510" s="101" t="s">
        <v>8064</v>
      </c>
      <c r="G510" s="98" t="b">
        <f t="shared" si="1"/>
        <v>1</v>
      </c>
      <c r="H510" s="99" t="b">
        <v>1</v>
      </c>
      <c r="I510" s="99" t="b">
        <v>0</v>
      </c>
      <c r="J510" s="99" t="b">
        <v>0</v>
      </c>
      <c r="K510" s="99" t="b">
        <v>0</v>
      </c>
      <c r="L510" s="99" t="b">
        <v>0</v>
      </c>
      <c r="M510" s="99" t="b">
        <v>0</v>
      </c>
      <c r="N510" s="99" t="b">
        <v>0</v>
      </c>
      <c r="O510" s="99" t="b">
        <v>0</v>
      </c>
      <c r="P510" s="99" t="b">
        <v>0</v>
      </c>
      <c r="Q510" s="99" t="b">
        <v>0</v>
      </c>
      <c r="R510" s="14"/>
      <c r="S510" s="14"/>
      <c r="T510" s="14"/>
      <c r="U510" s="14"/>
      <c r="V510" s="14"/>
      <c r="W510" s="14"/>
    </row>
    <row r="511" ht="35.25" customHeight="1">
      <c r="A511" s="92" t="s">
        <v>8068</v>
      </c>
      <c r="B511" s="93" t="s">
        <v>8069</v>
      </c>
      <c r="C511" s="94" t="s">
        <v>8070</v>
      </c>
      <c r="D511" s="24" t="s">
        <v>8071</v>
      </c>
      <c r="E511" s="96" t="str">
        <f>IFERROR(__xludf.DUMMYFUNCTION("GOOGLETRANSLATE(D511,""zh-CN"",""vi"")"),"Cô ấy đã đạt được những tiến bộ vượt bậc trong học tập.")</f>
        <v>Cô ấy đã đạt được những tiến bộ vượt bậc trong học tập.</v>
      </c>
      <c r="F511" s="101" t="s">
        <v>8068</v>
      </c>
      <c r="G511" s="98" t="b">
        <f t="shared" si="1"/>
        <v>1</v>
      </c>
      <c r="H511" s="99" t="b">
        <v>1</v>
      </c>
      <c r="I511" s="99" t="b">
        <v>0</v>
      </c>
      <c r="J511" s="99" t="b">
        <v>0</v>
      </c>
      <c r="K511" s="99" t="b">
        <v>0</v>
      </c>
      <c r="L511" s="99" t="b">
        <v>0</v>
      </c>
      <c r="M511" s="99" t="b">
        <v>0</v>
      </c>
      <c r="N511" s="99" t="b">
        <v>0</v>
      </c>
      <c r="O511" s="99" t="b">
        <v>0</v>
      </c>
      <c r="P511" s="99" t="b">
        <v>0</v>
      </c>
      <c r="Q511" s="99" t="b">
        <v>0</v>
      </c>
      <c r="R511" s="14"/>
      <c r="S511" s="14"/>
      <c r="T511" s="14"/>
      <c r="U511" s="14"/>
      <c r="V511" s="14"/>
      <c r="W511" s="14"/>
    </row>
    <row r="512" ht="35.25" customHeight="1">
      <c r="A512" s="92" t="s">
        <v>8076</v>
      </c>
      <c r="B512" s="93" t="s">
        <v>8077</v>
      </c>
      <c r="C512" s="94" t="s">
        <v>8078</v>
      </c>
      <c r="D512" s="24" t="s">
        <v>8079</v>
      </c>
      <c r="E512" s="96" t="str">
        <f>IFERROR(__xludf.DUMMYFUNCTION("GOOGLETRANSLATE(D512,""zh-CN"",""vi"")"),"Công ty của họ đã nhập khẩu nhiều sản phẩm mới.")</f>
        <v>Công ty của họ đã nhập khẩu nhiều sản phẩm mới.</v>
      </c>
      <c r="F512" s="101" t="s">
        <v>8076</v>
      </c>
      <c r="G512" s="98" t="b">
        <f t="shared" si="1"/>
        <v>1</v>
      </c>
      <c r="H512" s="99" t="b">
        <v>1</v>
      </c>
      <c r="I512" s="99" t="b">
        <v>0</v>
      </c>
      <c r="J512" s="99" t="b">
        <v>0</v>
      </c>
      <c r="K512" s="99" t="b">
        <v>0</v>
      </c>
      <c r="L512" s="99" t="b">
        <v>0</v>
      </c>
      <c r="M512" s="99" t="b">
        <v>0</v>
      </c>
      <c r="N512" s="99" t="b">
        <v>0</v>
      </c>
      <c r="O512" s="99" t="b">
        <v>0</v>
      </c>
      <c r="P512" s="99" t="b">
        <v>0</v>
      </c>
      <c r="Q512" s="99" t="b">
        <v>0</v>
      </c>
      <c r="R512" s="14"/>
      <c r="S512" s="14"/>
      <c r="T512" s="14"/>
      <c r="U512" s="14"/>
      <c r="V512" s="14"/>
      <c r="W512" s="14"/>
    </row>
    <row r="513" ht="35.25" customHeight="1">
      <c r="A513" s="92" t="s">
        <v>8084</v>
      </c>
      <c r="B513" s="93" t="s">
        <v>8085</v>
      </c>
      <c r="C513" s="94" t="s">
        <v>8086</v>
      </c>
      <c r="D513" s="24" t="s">
        <v>8087</v>
      </c>
      <c r="E513" s="96" t="str">
        <f>IFERROR(__xludf.DUMMYFUNCTION("GOOGLETRANSLATE(D513,""zh-CN"",""vi"")"),"Thời kỳ này được gọi là thời đại hiện đại.")</f>
        <v>Thời kỳ này được gọi là thời đại hiện đại.</v>
      </c>
      <c r="F513" s="101" t="s">
        <v>8084</v>
      </c>
      <c r="G513" s="98" t="b">
        <f t="shared" si="1"/>
        <v>1</v>
      </c>
      <c r="H513" s="99" t="b">
        <v>1</v>
      </c>
      <c r="I513" s="99" t="b">
        <v>0</v>
      </c>
      <c r="J513" s="99" t="b">
        <v>0</v>
      </c>
      <c r="K513" s="99" t="b">
        <v>0</v>
      </c>
      <c r="L513" s="99" t="b">
        <v>0</v>
      </c>
      <c r="M513" s="99" t="b">
        <v>0</v>
      </c>
      <c r="N513" s="99" t="b">
        <v>0</v>
      </c>
      <c r="O513" s="99" t="b">
        <v>0</v>
      </c>
      <c r="P513" s="99" t="b">
        <v>0</v>
      </c>
      <c r="Q513" s="99" t="b">
        <v>0</v>
      </c>
      <c r="R513" s="14"/>
      <c r="S513" s="14"/>
      <c r="T513" s="14"/>
      <c r="U513" s="14"/>
      <c r="V513" s="14"/>
      <c r="W513" s="14"/>
    </row>
    <row r="514" ht="35.25" customHeight="1">
      <c r="A514" s="92" t="s">
        <v>8092</v>
      </c>
      <c r="B514" s="93" t="s">
        <v>8094</v>
      </c>
      <c r="C514" s="94" t="s">
        <v>8096</v>
      </c>
      <c r="D514" s="24" t="s">
        <v>8098</v>
      </c>
      <c r="E514" s="96" t="str">
        <f>IFERROR(__xludf.DUMMYFUNCTION("GOOGLETRANSLATE(D514,""zh-CN"",""vi"")"),"Bộ phim này là một tác phẩm kinh điển.")</f>
        <v>Bộ phim này là một tác phẩm kinh điển.</v>
      </c>
      <c r="F514" s="101" t="s">
        <v>8092</v>
      </c>
      <c r="G514" s="98" t="b">
        <f t="shared" si="1"/>
        <v>1</v>
      </c>
      <c r="H514" s="99" t="b">
        <v>1</v>
      </c>
      <c r="I514" s="99" t="b">
        <v>0</v>
      </c>
      <c r="J514" s="99" t="b">
        <v>0</v>
      </c>
      <c r="K514" s="99" t="b">
        <v>0</v>
      </c>
      <c r="L514" s="99" t="b">
        <v>0</v>
      </c>
      <c r="M514" s="99" t="b">
        <v>0</v>
      </c>
      <c r="N514" s="99" t="b">
        <v>0</v>
      </c>
      <c r="O514" s="99" t="b">
        <v>0</v>
      </c>
      <c r="P514" s="99" t="b">
        <v>0</v>
      </c>
      <c r="Q514" s="99" t="b">
        <v>0</v>
      </c>
      <c r="R514" s="14"/>
      <c r="S514" s="14"/>
      <c r="T514" s="14"/>
      <c r="U514" s="14"/>
      <c r="V514" s="14"/>
      <c r="W514" s="14"/>
    </row>
    <row r="515" ht="35.25" customHeight="1">
      <c r="A515" s="92" t="s">
        <v>8102</v>
      </c>
      <c r="B515" s="93" t="s">
        <v>8104</v>
      </c>
      <c r="C515" s="94" t="s">
        <v>3790</v>
      </c>
      <c r="D515" s="24" t="s">
        <v>8106</v>
      </c>
      <c r="E515" s="96" t="str">
        <f>IFERROR(__xludf.DUMMYFUNCTION("GOOGLETRANSLATE(D515,""zh-CN"",""vi"")"),"Ông ấy đã tham gia vào các hoạt động kinh doanh trong nhiều năm.")</f>
        <v>Ông ấy đã tham gia vào các hoạt động kinh doanh trong nhiều năm.</v>
      </c>
      <c r="F515" s="101" t="s">
        <v>8102</v>
      </c>
      <c r="G515" s="98" t="b">
        <f t="shared" si="1"/>
        <v>1</v>
      </c>
      <c r="H515" s="99" t="b">
        <v>1</v>
      </c>
      <c r="I515" s="99" t="b">
        <v>0</v>
      </c>
      <c r="J515" s="99" t="b">
        <v>0</v>
      </c>
      <c r="K515" s="99" t="b">
        <v>0</v>
      </c>
      <c r="L515" s="99" t="b">
        <v>0</v>
      </c>
      <c r="M515" s="99" t="b">
        <v>0</v>
      </c>
      <c r="N515" s="99" t="b">
        <v>0</v>
      </c>
      <c r="O515" s="99" t="b">
        <v>0</v>
      </c>
      <c r="P515" s="99" t="b">
        <v>0</v>
      </c>
      <c r="Q515" s="99" t="b">
        <v>0</v>
      </c>
      <c r="R515" s="14"/>
      <c r="S515" s="14"/>
      <c r="T515" s="14"/>
      <c r="U515" s="14"/>
      <c r="V515" s="14"/>
      <c r="W515" s="14"/>
    </row>
    <row r="516" ht="35.25" customHeight="1">
      <c r="A516" s="92" t="s">
        <v>8110</v>
      </c>
      <c r="B516" s="93" t="s">
        <v>8112</v>
      </c>
      <c r="C516" s="94" t="s">
        <v>8113</v>
      </c>
      <c r="D516" s="24" t="s">
        <v>8114</v>
      </c>
      <c r="E516" s="96" t="str">
        <f>IFERROR(__xludf.DUMMYFUNCTION("GOOGLETRANSLATE(D516,""zh-CN"",""vi"")"),"Họ điều hành một quán cà phê nhỏ.")</f>
        <v>Họ điều hành một quán cà phê nhỏ.</v>
      </c>
      <c r="F516" s="101" t="s">
        <v>8110</v>
      </c>
      <c r="G516" s="98" t="b">
        <f t="shared" si="1"/>
        <v>1</v>
      </c>
      <c r="H516" s="99" t="b">
        <v>1</v>
      </c>
      <c r="I516" s="99" t="b">
        <v>0</v>
      </c>
      <c r="J516" s="99" t="b">
        <v>0</v>
      </c>
      <c r="K516" s="99" t="b">
        <v>0</v>
      </c>
      <c r="L516" s="99" t="b">
        <v>0</v>
      </c>
      <c r="M516" s="99" t="b">
        <v>0</v>
      </c>
      <c r="N516" s="99" t="b">
        <v>0</v>
      </c>
      <c r="O516" s="99" t="b">
        <v>0</v>
      </c>
      <c r="P516" s="99" t="b">
        <v>0</v>
      </c>
      <c r="Q516" s="99" t="b">
        <v>0</v>
      </c>
      <c r="R516" s="14"/>
      <c r="S516" s="14"/>
      <c r="T516" s="14"/>
      <c r="U516" s="14"/>
      <c r="V516" s="14"/>
      <c r="W516" s="14"/>
    </row>
    <row r="517" ht="35.25" customHeight="1">
      <c r="A517" s="92" t="s">
        <v>8118</v>
      </c>
      <c r="B517" s="93" t="s">
        <v>2801</v>
      </c>
      <c r="C517" s="94" t="s">
        <v>8120</v>
      </c>
      <c r="D517" s="24" t="s">
        <v>8121</v>
      </c>
      <c r="E517" s="96" t="str">
        <f>IFERROR(__xludf.DUMMYFUNCTION("GOOGLETRANSLATE(D517,""zh-CN"",""vi"")"),"Anh ấy lúc nào cũng tràn đầy năng lượng.")</f>
        <v>Anh ấy lúc nào cũng tràn đầy năng lượng.</v>
      </c>
      <c r="F517" s="101" t="s">
        <v>8118</v>
      </c>
      <c r="G517" s="98" t="b">
        <f t="shared" si="1"/>
        <v>1</v>
      </c>
      <c r="H517" s="99" t="b">
        <v>1</v>
      </c>
      <c r="I517" s="99" t="b">
        <v>0</v>
      </c>
      <c r="J517" s="99" t="b">
        <v>0</v>
      </c>
      <c r="K517" s="99" t="b">
        <v>0</v>
      </c>
      <c r="L517" s="99" t="b">
        <v>0</v>
      </c>
      <c r="M517" s="99" t="b">
        <v>0</v>
      </c>
      <c r="N517" s="99" t="b">
        <v>0</v>
      </c>
      <c r="O517" s="99" t="b">
        <v>0</v>
      </c>
      <c r="P517" s="99" t="b">
        <v>0</v>
      </c>
      <c r="Q517" s="99" t="b">
        <v>0</v>
      </c>
      <c r="R517" s="14"/>
      <c r="S517" s="14"/>
      <c r="T517" s="14"/>
      <c r="U517" s="14"/>
      <c r="V517" s="14"/>
      <c r="W517" s="14"/>
    </row>
    <row r="518" ht="35.25" customHeight="1">
      <c r="A518" s="92" t="s">
        <v>8126</v>
      </c>
      <c r="B518" s="93" t="s">
        <v>8127</v>
      </c>
      <c r="C518" s="94" t="s">
        <v>8128</v>
      </c>
      <c r="D518" s="24" t="s">
        <v>8129</v>
      </c>
      <c r="E518" s="96" t="str">
        <f>IFERROR(__xludf.DUMMYFUNCTION("GOOGLETRANSLATE(D518,""zh-CN"",""vi"")"),"Cô ấy đang rất vui vẻ.")</f>
        <v>Cô ấy đang rất vui vẻ.</v>
      </c>
      <c r="F518" s="101" t="s">
        <v>8126</v>
      </c>
      <c r="G518" s="98" t="b">
        <f t="shared" si="1"/>
        <v>1</v>
      </c>
      <c r="H518" s="99" t="b">
        <v>1</v>
      </c>
      <c r="I518" s="99" t="b">
        <v>0</v>
      </c>
      <c r="J518" s="99" t="b">
        <v>0</v>
      </c>
      <c r="K518" s="99" t="b">
        <v>0</v>
      </c>
      <c r="L518" s="99" t="b">
        <v>0</v>
      </c>
      <c r="M518" s="99" t="b">
        <v>0</v>
      </c>
      <c r="N518" s="99" t="b">
        <v>0</v>
      </c>
      <c r="O518" s="99" t="b">
        <v>0</v>
      </c>
      <c r="P518" s="99" t="b">
        <v>0</v>
      </c>
      <c r="Q518" s="99" t="b">
        <v>0</v>
      </c>
      <c r="R518" s="14"/>
      <c r="S518" s="14"/>
      <c r="T518" s="14"/>
      <c r="U518" s="14"/>
      <c r="V518" s="14"/>
      <c r="W518" s="14"/>
    </row>
    <row r="519" ht="35.25" customHeight="1">
      <c r="A519" s="92" t="s">
        <v>8134</v>
      </c>
      <c r="B519" s="93" t="s">
        <v>8135</v>
      </c>
      <c r="C519" s="94" t="s">
        <v>8136</v>
      </c>
      <c r="D519" s="24" t="s">
        <v>8137</v>
      </c>
      <c r="E519" s="96" t="str">
        <f>IFERROR(__xludf.DUMMYFUNCTION("GOOGLETRANSLATE(D519,""zh-CN"",""vi"")"),"Chúng tôi đến một quán bar để uống nước.")</f>
        <v>Chúng tôi đến một quán bar để uống nước.</v>
      </c>
      <c r="F519" s="101" t="s">
        <v>8134</v>
      </c>
      <c r="G519" s="98" t="b">
        <f t="shared" si="1"/>
        <v>1</v>
      </c>
      <c r="H519" s="99" t="b">
        <v>1</v>
      </c>
      <c r="I519" s="99" t="b">
        <v>0</v>
      </c>
      <c r="J519" s="99" t="b">
        <v>0</v>
      </c>
      <c r="K519" s="99" t="b">
        <v>0</v>
      </c>
      <c r="L519" s="99" t="b">
        <v>0</v>
      </c>
      <c r="M519" s="99" t="b">
        <v>0</v>
      </c>
      <c r="N519" s="99" t="b">
        <v>0</v>
      </c>
      <c r="O519" s="99" t="b">
        <v>0</v>
      </c>
      <c r="P519" s="99" t="b">
        <v>0</v>
      </c>
      <c r="Q519" s="99" t="b">
        <v>0</v>
      </c>
      <c r="R519" s="14"/>
      <c r="S519" s="14"/>
      <c r="T519" s="14"/>
      <c r="U519" s="14"/>
      <c r="V519" s="14"/>
      <c r="W519" s="14"/>
    </row>
    <row r="520" ht="35.25" customHeight="1">
      <c r="A520" s="92" t="s">
        <v>8142</v>
      </c>
      <c r="B520" s="93" t="s">
        <v>1173</v>
      </c>
      <c r="C520" s="94" t="s">
        <v>8143</v>
      </c>
      <c r="D520" s="24" t="s">
        <v>8144</v>
      </c>
      <c r="E520" s="96" t="str">
        <f>IFERROR(__xludf.DUMMYFUNCTION("GOOGLETRANSLATE(D520,""zh-CN"",""vi"")"),"Họ đang hỗ trợ những cư dân bị ảnh hưởng.")</f>
        <v>Họ đang hỗ trợ những cư dân bị ảnh hưởng.</v>
      </c>
      <c r="F520" s="101" t="s">
        <v>8142</v>
      </c>
      <c r="G520" s="98" t="b">
        <f t="shared" si="1"/>
        <v>1</v>
      </c>
      <c r="H520" s="99" t="b">
        <v>1</v>
      </c>
      <c r="I520" s="99" t="b">
        <v>0</v>
      </c>
      <c r="J520" s="99" t="b">
        <v>0</v>
      </c>
      <c r="K520" s="99" t="b">
        <v>0</v>
      </c>
      <c r="L520" s="99" t="b">
        <v>0</v>
      </c>
      <c r="M520" s="99" t="b">
        <v>0</v>
      </c>
      <c r="N520" s="99" t="b">
        <v>0</v>
      </c>
      <c r="O520" s="99" t="b">
        <v>0</v>
      </c>
      <c r="P520" s="99" t="b">
        <v>0</v>
      </c>
      <c r="Q520" s="99" t="b">
        <v>0</v>
      </c>
      <c r="R520" s="14"/>
      <c r="S520" s="14"/>
      <c r="T520" s="14"/>
      <c r="U520" s="14"/>
      <c r="V520" s="14"/>
      <c r="W520" s="14"/>
    </row>
    <row r="521" ht="35.25" customHeight="1">
      <c r="A521" s="92" t="s">
        <v>8149</v>
      </c>
      <c r="B521" s="93" t="s">
        <v>8150</v>
      </c>
      <c r="C521" s="94" t="s">
        <v>8151</v>
      </c>
      <c r="D521" s="24" t="s">
        <v>8152</v>
      </c>
      <c r="E521" s="96" t="str">
        <f>IFERROR(__xludf.DUMMYFUNCTION("GOOGLETRANSLATE(D521,""zh-CN"",""vi"")"),"Xe cứu thương đã đến.")</f>
        <v>Xe cứu thương đã đến.</v>
      </c>
      <c r="F521" s="101" t="s">
        <v>8149</v>
      </c>
      <c r="G521" s="98" t="b">
        <f t="shared" si="1"/>
        <v>1</v>
      </c>
      <c r="H521" s="99" t="b">
        <v>1</v>
      </c>
      <c r="I521" s="99" t="b">
        <v>0</v>
      </c>
      <c r="J521" s="99" t="b">
        <v>0</v>
      </c>
      <c r="K521" s="99" t="b">
        <v>0</v>
      </c>
      <c r="L521" s="99" t="b">
        <v>0</v>
      </c>
      <c r="M521" s="99" t="b">
        <v>0</v>
      </c>
      <c r="N521" s="99" t="b">
        <v>0</v>
      </c>
      <c r="O521" s="99" t="b">
        <v>0</v>
      </c>
      <c r="P521" s="99" t="b">
        <v>0</v>
      </c>
      <c r="Q521" s="99" t="b">
        <v>0</v>
      </c>
      <c r="R521" s="14"/>
      <c r="S521" s="14"/>
      <c r="T521" s="14"/>
      <c r="U521" s="14"/>
      <c r="V521" s="14"/>
      <c r="W521" s="14"/>
    </row>
    <row r="522" ht="35.25" customHeight="1">
      <c r="A522" s="92" t="s">
        <v>8157</v>
      </c>
      <c r="B522" s="93" t="s">
        <v>8158</v>
      </c>
      <c r="C522" s="94" t="s">
        <v>8159</v>
      </c>
      <c r="D522" s="24" t="s">
        <v>8160</v>
      </c>
      <c r="E522" s="96" t="str">
        <f>IFERROR(__xludf.DUMMYFUNCTION("GOOGLETRANSLATE(D522,""zh-CN"",""vi"")"),"Chú tôi là một người rất thông minh.")</f>
        <v>Chú tôi là một người rất thông minh.</v>
      </c>
      <c r="F522" s="101" t="s">
        <v>8157</v>
      </c>
      <c r="G522" s="98" t="b">
        <f t="shared" si="1"/>
        <v>1</v>
      </c>
      <c r="H522" s="99" t="b">
        <v>1</v>
      </c>
      <c r="I522" s="99" t="b">
        <v>0</v>
      </c>
      <c r="J522" s="99" t="b">
        <v>0</v>
      </c>
      <c r="K522" s="99" t="b">
        <v>0</v>
      </c>
      <c r="L522" s="99" t="b">
        <v>0</v>
      </c>
      <c r="M522" s="99" t="b">
        <v>0</v>
      </c>
      <c r="N522" s="99" t="b">
        <v>0</v>
      </c>
      <c r="O522" s="99" t="b">
        <v>0</v>
      </c>
      <c r="P522" s="99" t="b">
        <v>0</v>
      </c>
      <c r="Q522" s="99" t="b">
        <v>0</v>
      </c>
      <c r="R522" s="14"/>
      <c r="S522" s="14"/>
      <c r="T522" s="14"/>
      <c r="U522" s="14"/>
      <c r="V522" s="14"/>
      <c r="W522" s="14"/>
    </row>
    <row r="523" ht="35.25" customHeight="1">
      <c r="A523" s="92" t="s">
        <v>8165</v>
      </c>
      <c r="B523" s="93" t="s">
        <v>8166</v>
      </c>
      <c r="C523" s="94" t="s">
        <v>8167</v>
      </c>
      <c r="D523" s="24" t="s">
        <v>8168</v>
      </c>
      <c r="E523" s="96" t="str">
        <f>IFERROR(__xludf.DUMMYFUNCTION("GOOGLETRANSLATE(D523,""zh-CN"",""vi"")"),"Cô ấy thực sự đã thắng cuộc thi.")</f>
        <v>Cô ấy thực sự đã thắng cuộc thi.</v>
      </c>
      <c r="F523" s="101" t="s">
        <v>8165</v>
      </c>
      <c r="G523" s="98" t="b">
        <f t="shared" si="1"/>
        <v>1</v>
      </c>
      <c r="H523" s="99" t="b">
        <v>1</v>
      </c>
      <c r="I523" s="99" t="b">
        <v>0</v>
      </c>
      <c r="J523" s="99" t="b">
        <v>0</v>
      </c>
      <c r="K523" s="99" t="b">
        <v>0</v>
      </c>
      <c r="L523" s="99" t="b">
        <v>0</v>
      </c>
      <c r="M523" s="99" t="b">
        <v>0</v>
      </c>
      <c r="N523" s="99" t="b">
        <v>0</v>
      </c>
      <c r="O523" s="99" t="b">
        <v>0</v>
      </c>
      <c r="P523" s="99" t="b">
        <v>0</v>
      </c>
      <c r="Q523" s="99" t="b">
        <v>0</v>
      </c>
      <c r="R523" s="14"/>
      <c r="S523" s="14"/>
      <c r="T523" s="14"/>
      <c r="U523" s="14"/>
      <c r="V523" s="14"/>
      <c r="W523" s="14"/>
    </row>
    <row r="524" ht="35.25" customHeight="1">
      <c r="A524" s="92" t="s">
        <v>8172</v>
      </c>
      <c r="B524" s="93" t="s">
        <v>8173</v>
      </c>
      <c r="C524" s="94" t="s">
        <v>8174</v>
      </c>
      <c r="D524" s="24" t="s">
        <v>8175</v>
      </c>
      <c r="E524" s="96" t="str">
        <f>IFERROR(__xludf.DUMMYFUNCTION("GOOGLETRANSLATE(D524,""zh-CN"",""vi"")"),"Tôi thích ăn cam.")</f>
        <v>Tôi thích ăn cam.</v>
      </c>
      <c r="F524" s="101" t="s">
        <v>8172</v>
      </c>
      <c r="G524" s="98" t="b">
        <f t="shared" si="1"/>
        <v>1</v>
      </c>
      <c r="H524" s="99" t="b">
        <v>1</v>
      </c>
      <c r="I524" s="99" t="b">
        <v>0</v>
      </c>
      <c r="J524" s="99" t="b">
        <v>0</v>
      </c>
      <c r="K524" s="99" t="b">
        <v>0</v>
      </c>
      <c r="L524" s="99" t="b">
        <v>0</v>
      </c>
      <c r="M524" s="99" t="b">
        <v>0</v>
      </c>
      <c r="N524" s="99" t="b">
        <v>0</v>
      </c>
      <c r="O524" s="99" t="b">
        <v>0</v>
      </c>
      <c r="P524" s="99" t="b">
        <v>0</v>
      </c>
      <c r="Q524" s="99" t="b">
        <v>0</v>
      </c>
      <c r="R524" s="14"/>
      <c r="S524" s="14"/>
      <c r="T524" s="14"/>
      <c r="U524" s="14"/>
      <c r="V524" s="14"/>
      <c r="W524" s="14"/>
    </row>
    <row r="525" ht="35.25" customHeight="1">
      <c r="A525" s="92" t="s">
        <v>8180</v>
      </c>
      <c r="B525" s="93" t="s">
        <v>8181</v>
      </c>
      <c r="C525" s="94" t="s">
        <v>8182</v>
      </c>
      <c r="D525" s="24" t="s">
        <v>8183</v>
      </c>
      <c r="E525" s="96" t="str">
        <f>IFERROR(__xludf.DUMMYFUNCTION("GOOGLETRANSLATE(D525,""zh-CN"",""vi"")"),"Con chó này to lớn quá.")</f>
        <v>Con chó này to lớn quá.</v>
      </c>
      <c r="F525" s="101" t="s">
        <v>8180</v>
      </c>
      <c r="G525" s="98" t="b">
        <f t="shared" si="1"/>
        <v>1</v>
      </c>
      <c r="H525" s="99" t="b">
        <v>1</v>
      </c>
      <c r="I525" s="99" t="b">
        <v>0</v>
      </c>
      <c r="J525" s="99" t="b">
        <v>0</v>
      </c>
      <c r="K525" s="99" t="b">
        <v>0</v>
      </c>
      <c r="L525" s="99" t="b">
        <v>0</v>
      </c>
      <c r="M525" s="99" t="b">
        <v>0</v>
      </c>
      <c r="N525" s="99" t="b">
        <v>0</v>
      </c>
      <c r="O525" s="99" t="b">
        <v>0</v>
      </c>
      <c r="P525" s="99" t="b">
        <v>0</v>
      </c>
      <c r="Q525" s="99" t="b">
        <v>0</v>
      </c>
      <c r="R525" s="14"/>
      <c r="S525" s="14"/>
      <c r="T525" s="14"/>
      <c r="U525" s="14"/>
      <c r="V525" s="14"/>
      <c r="W525" s="14"/>
    </row>
    <row r="526" ht="35.25" customHeight="1">
      <c r="A526" s="92" t="s">
        <v>8188</v>
      </c>
      <c r="B526" s="93" t="s">
        <v>8189</v>
      </c>
      <c r="C526" s="94" t="s">
        <v>8190</v>
      </c>
      <c r="D526" s="24" t="s">
        <v>8191</v>
      </c>
      <c r="E526" s="96" t="str">
        <f>IFERROR(__xludf.DUMMYFUNCTION("GOOGLETRANSLATE(D526,""zh-CN"",""vi"")"),"Anh ta sở hữu đầy đủ các kỹ năng cần thiết.")</f>
        <v>Anh ta sở hữu đầy đủ các kỹ năng cần thiết.</v>
      </c>
      <c r="F526" s="101" t="s">
        <v>8188</v>
      </c>
      <c r="G526" s="98" t="b">
        <f t="shared" si="1"/>
        <v>1</v>
      </c>
      <c r="H526" s="99" t="b">
        <v>1</v>
      </c>
      <c r="I526" s="99" t="b">
        <v>0</v>
      </c>
      <c r="J526" s="99" t="b">
        <v>0</v>
      </c>
      <c r="K526" s="99" t="b">
        <v>0</v>
      </c>
      <c r="L526" s="99" t="b">
        <v>0</v>
      </c>
      <c r="M526" s="99" t="b">
        <v>0</v>
      </c>
      <c r="N526" s="99" t="b">
        <v>0</v>
      </c>
      <c r="O526" s="99" t="b">
        <v>0</v>
      </c>
      <c r="P526" s="99" t="b">
        <v>0</v>
      </c>
      <c r="Q526" s="99" t="b">
        <v>0</v>
      </c>
      <c r="R526" s="14"/>
      <c r="S526" s="14"/>
      <c r="T526" s="14"/>
      <c r="U526" s="14"/>
      <c r="V526" s="14"/>
      <c r="W526" s="14"/>
    </row>
    <row r="527" ht="35.25" customHeight="1">
      <c r="A527" s="92" t="s">
        <v>8196</v>
      </c>
      <c r="B527" s="93" t="s">
        <v>8197</v>
      </c>
      <c r="C527" s="94" t="s">
        <v>8198</v>
      </c>
      <c r="D527" s="24" t="s">
        <v>8200</v>
      </c>
      <c r="E527" s="96" t="str">
        <f>IFERROR(__xludf.DUMMYFUNCTION("GOOGLETRANSLATE(D527,""zh-CN"",""vi"")"),"Kế hoạch này rất cụ thể.")</f>
        <v>Kế hoạch này rất cụ thể.</v>
      </c>
      <c r="F527" s="101" t="s">
        <v>8196</v>
      </c>
      <c r="G527" s="98" t="b">
        <f t="shared" si="1"/>
        <v>1</v>
      </c>
      <c r="H527" s="99" t="b">
        <v>1</v>
      </c>
      <c r="I527" s="99" t="b">
        <v>0</v>
      </c>
      <c r="J527" s="99" t="b">
        <v>0</v>
      </c>
      <c r="K527" s="99" t="b">
        <v>0</v>
      </c>
      <c r="L527" s="99" t="b">
        <v>0</v>
      </c>
      <c r="M527" s="99" t="b">
        <v>0</v>
      </c>
      <c r="N527" s="99" t="b">
        <v>0</v>
      </c>
      <c r="O527" s="99" t="b">
        <v>0</v>
      </c>
      <c r="P527" s="99" t="b">
        <v>0</v>
      </c>
      <c r="Q527" s="99" t="b">
        <v>0</v>
      </c>
      <c r="R527" s="14"/>
      <c r="S527" s="14"/>
      <c r="T527" s="14"/>
      <c r="U527" s="14"/>
      <c r="V527" s="14"/>
      <c r="W527" s="14"/>
    </row>
    <row r="528" ht="35.25" customHeight="1">
      <c r="A528" s="92" t="s">
        <v>8208</v>
      </c>
      <c r="B528" s="93" t="s">
        <v>8209</v>
      </c>
      <c r="C528" s="94" t="s">
        <v>8210</v>
      </c>
      <c r="D528" s="24" t="s">
        <v>8211</v>
      </c>
      <c r="E528" s="96" t="str">
        <f>IFERROR(__xludf.DUMMYFUNCTION("GOOGLETRANSLATE(D528,""zh-CN"",""vi"")"),"Chúng tôi đã có rất nhiều niềm vui ở câu lạc bộ.")</f>
        <v>Chúng tôi đã có rất nhiều niềm vui ở câu lạc bộ.</v>
      </c>
      <c r="F528" s="101" t="s">
        <v>8208</v>
      </c>
      <c r="G528" s="98" t="b">
        <f t="shared" si="1"/>
        <v>1</v>
      </c>
      <c r="H528" s="99" t="b">
        <v>1</v>
      </c>
      <c r="I528" s="99" t="b">
        <v>0</v>
      </c>
      <c r="J528" s="99" t="b">
        <v>0</v>
      </c>
      <c r="K528" s="99" t="b">
        <v>0</v>
      </c>
      <c r="L528" s="99" t="b">
        <v>0</v>
      </c>
      <c r="M528" s="99" t="b">
        <v>0</v>
      </c>
      <c r="N528" s="99" t="b">
        <v>0</v>
      </c>
      <c r="O528" s="99" t="b">
        <v>0</v>
      </c>
      <c r="P528" s="99" t="b">
        <v>0</v>
      </c>
      <c r="Q528" s="99" t="b">
        <v>0</v>
      </c>
      <c r="R528" s="14"/>
      <c r="S528" s="14"/>
      <c r="T528" s="14"/>
      <c r="U528" s="14"/>
      <c r="V528" s="14"/>
      <c r="W528" s="14"/>
    </row>
    <row r="529" ht="35.25" customHeight="1">
      <c r="A529" s="92" t="s">
        <v>8216</v>
      </c>
      <c r="B529" s="93" t="s">
        <v>8217</v>
      </c>
      <c r="C529" s="94" t="s">
        <v>8218</v>
      </c>
      <c r="D529" s="24" t="s">
        <v>8220</v>
      </c>
      <c r="E529" s="96" t="str">
        <f>IFERROR(__xludf.DUMMYFUNCTION("GOOGLETRANSLATE(D529,""zh-CN"",""vi"")"),"Tôi nghe nói nhà hàng này có dịch vụ tuyệt vời.")</f>
        <v>Tôi nghe nói nhà hàng này có dịch vụ tuyệt vời.</v>
      </c>
      <c r="F529" s="101" t="s">
        <v>8216</v>
      </c>
      <c r="G529" s="98" t="b">
        <f t="shared" si="1"/>
        <v>1</v>
      </c>
      <c r="H529" s="99" t="b">
        <v>1</v>
      </c>
      <c r="I529" s="99" t="b">
        <v>0</v>
      </c>
      <c r="J529" s="99" t="b">
        <v>0</v>
      </c>
      <c r="K529" s="99" t="b">
        <v>0</v>
      </c>
      <c r="L529" s="99" t="b">
        <v>0</v>
      </c>
      <c r="M529" s="99" t="b">
        <v>0</v>
      </c>
      <c r="N529" s="99" t="b">
        <v>0</v>
      </c>
      <c r="O529" s="99" t="b">
        <v>0</v>
      </c>
      <c r="P529" s="99" t="b">
        <v>0</v>
      </c>
      <c r="Q529" s="99" t="b">
        <v>0</v>
      </c>
      <c r="R529" s="14"/>
      <c r="S529" s="14"/>
      <c r="T529" s="14"/>
      <c r="U529" s="14"/>
      <c r="V529" s="14"/>
      <c r="W529" s="14"/>
    </row>
    <row r="530" ht="35.25" customHeight="1">
      <c r="A530" s="92" t="s">
        <v>8224</v>
      </c>
      <c r="B530" s="93" t="s">
        <v>8225</v>
      </c>
      <c r="C530" s="94" t="s">
        <v>8227</v>
      </c>
      <c r="D530" s="24" t="s">
        <v>8229</v>
      </c>
      <c r="E530" s="96" t="str">
        <f>IFERROR(__xludf.DUMMYFUNCTION("GOOGLETRANSLATE(D530,""zh-CN"",""vi"")"),"Ông đã quyên góp rất nhiều tiền cho các tổ chức từ thiện.")</f>
        <v>Ông đã quyên góp rất nhiều tiền cho các tổ chức từ thiện.</v>
      </c>
      <c r="F530" s="101" t="s">
        <v>8224</v>
      </c>
      <c r="G530" s="98" t="b">
        <f t="shared" si="1"/>
        <v>1</v>
      </c>
      <c r="H530" s="99" t="b">
        <v>1</v>
      </c>
      <c r="I530" s="99" t="b">
        <v>0</v>
      </c>
      <c r="J530" s="99" t="b">
        <v>0</v>
      </c>
      <c r="K530" s="99" t="b">
        <v>0</v>
      </c>
      <c r="L530" s="99" t="b">
        <v>0</v>
      </c>
      <c r="M530" s="99" t="b">
        <v>0</v>
      </c>
      <c r="N530" s="99" t="b">
        <v>0</v>
      </c>
      <c r="O530" s="99" t="b">
        <v>0</v>
      </c>
      <c r="P530" s="99" t="b">
        <v>0</v>
      </c>
      <c r="Q530" s="99" t="b">
        <v>0</v>
      </c>
      <c r="R530" s="14"/>
      <c r="S530" s="14"/>
      <c r="T530" s="14"/>
      <c r="U530" s="14"/>
      <c r="V530" s="14"/>
      <c r="W530" s="14"/>
    </row>
    <row r="531" ht="35.25" customHeight="1">
      <c r="A531" s="92" t="s">
        <v>8233</v>
      </c>
      <c r="B531" s="93" t="s">
        <v>8235</v>
      </c>
      <c r="C531" s="94" t="s">
        <v>8237</v>
      </c>
      <c r="D531" s="24" t="s">
        <v>8239</v>
      </c>
      <c r="E531" s="96" t="str">
        <f>IFERROR(__xludf.DUMMYFUNCTION("GOOGLETRANSLATE(D531,""zh-CN"",""vi"")"),"Trận chung kết sẽ được tổ chức vào tuần tới.")</f>
        <v>Trận chung kết sẽ được tổ chức vào tuần tới.</v>
      </c>
      <c r="F531" s="101" t="s">
        <v>8233</v>
      </c>
      <c r="G531" s="98" t="b">
        <f t="shared" si="1"/>
        <v>1</v>
      </c>
      <c r="H531" s="99" t="b">
        <v>1</v>
      </c>
      <c r="I531" s="99" t="b">
        <v>0</v>
      </c>
      <c r="J531" s="99" t="b">
        <v>0</v>
      </c>
      <c r="K531" s="99" t="b">
        <v>0</v>
      </c>
      <c r="L531" s="99" t="b">
        <v>0</v>
      </c>
      <c r="M531" s="99" t="b">
        <v>0</v>
      </c>
      <c r="N531" s="99" t="b">
        <v>0</v>
      </c>
      <c r="O531" s="99" t="b">
        <v>0</v>
      </c>
      <c r="P531" s="99" t="b">
        <v>0</v>
      </c>
      <c r="Q531" s="99" t="b">
        <v>0</v>
      </c>
      <c r="R531" s="14"/>
      <c r="S531" s="14"/>
      <c r="T531" s="14"/>
      <c r="U531" s="14"/>
      <c r="V531" s="14"/>
      <c r="W531" s="14"/>
    </row>
    <row r="532" ht="35.25" customHeight="1">
      <c r="A532" s="92" t="s">
        <v>8242</v>
      </c>
      <c r="B532" s="93" t="s">
        <v>8243</v>
      </c>
      <c r="C532" s="94" t="s">
        <v>8244</v>
      </c>
      <c r="D532" s="24" t="s">
        <v>8245</v>
      </c>
      <c r="E532" s="96" t="str">
        <f>IFERROR(__xludf.DUMMYFUNCTION("GOOGLETRANSLATE(D532,""zh-CN"",""vi"")"),"Anh ấy quyết tâm hoàn thành dự án.")</f>
        <v>Anh ấy quyết tâm hoàn thành dự án.</v>
      </c>
      <c r="F532" s="101" t="s">
        <v>8242</v>
      </c>
      <c r="G532" s="98" t="b">
        <f t="shared" si="1"/>
        <v>1</v>
      </c>
      <c r="H532" s="99" t="b">
        <v>1</v>
      </c>
      <c r="I532" s="99" t="b">
        <v>0</v>
      </c>
      <c r="J532" s="99" t="b">
        <v>0</v>
      </c>
      <c r="K532" s="99" t="b">
        <v>0</v>
      </c>
      <c r="L532" s="99" t="b">
        <v>0</v>
      </c>
      <c r="M532" s="99" t="b">
        <v>0</v>
      </c>
      <c r="N532" s="99" t="b">
        <v>0</v>
      </c>
      <c r="O532" s="99" t="b">
        <v>0</v>
      </c>
      <c r="P532" s="99" t="b">
        <v>0</v>
      </c>
      <c r="Q532" s="99" t="b">
        <v>0</v>
      </c>
      <c r="R532" s="14"/>
      <c r="S532" s="14"/>
      <c r="T532" s="14"/>
      <c r="U532" s="14"/>
      <c r="V532" s="14"/>
      <c r="W532" s="14"/>
    </row>
    <row r="533" ht="35.25" customHeight="1">
      <c r="A533" s="92" t="s">
        <v>8249</v>
      </c>
      <c r="B533" s="93" t="s">
        <v>8251</v>
      </c>
      <c r="C533" s="94" t="s">
        <v>8252</v>
      </c>
      <c r="D533" s="24" t="s">
        <v>8253</v>
      </c>
      <c r="E533" s="96" t="str">
        <f>IFERROR(__xludf.DUMMYFUNCTION("GOOGLETRANSLATE(D533,""zh-CN"",""vi"")"),"Cô ấy đóng một vai trò quan trọng trong bộ phim.")</f>
        <v>Cô ấy đóng một vai trò quan trọng trong bộ phim.</v>
      </c>
      <c r="F533" s="101" t="s">
        <v>8249</v>
      </c>
      <c r="G533" s="98" t="b">
        <f t="shared" si="1"/>
        <v>1</v>
      </c>
      <c r="H533" s="99" t="b">
        <v>1</v>
      </c>
      <c r="I533" s="99" t="b">
        <v>0</v>
      </c>
      <c r="J533" s="99" t="b">
        <v>0</v>
      </c>
      <c r="K533" s="99" t="b">
        <v>0</v>
      </c>
      <c r="L533" s="99" t="b">
        <v>0</v>
      </c>
      <c r="M533" s="99" t="b">
        <v>0</v>
      </c>
      <c r="N533" s="99" t="b">
        <v>0</v>
      </c>
      <c r="O533" s="99" t="b">
        <v>0</v>
      </c>
      <c r="P533" s="99" t="b">
        <v>0</v>
      </c>
      <c r="Q533" s="99" t="b">
        <v>0</v>
      </c>
      <c r="R533" s="14"/>
      <c r="S533" s="14"/>
      <c r="T533" s="14"/>
      <c r="U533" s="14"/>
      <c r="V533" s="14"/>
      <c r="W533" s="14"/>
    </row>
    <row r="534" ht="35.25" customHeight="1">
      <c r="A534" s="92" t="s">
        <v>8257</v>
      </c>
      <c r="B534" s="93" t="s">
        <v>8258</v>
      </c>
      <c r="C534" s="94" t="s">
        <v>8259</v>
      </c>
      <c r="D534" s="24" t="s">
        <v>8260</v>
      </c>
      <c r="E534" s="96" t="str">
        <f>IFERROR(__xludf.DUMMYFUNCTION("GOOGLETRANSLATE(D534,""zh-CN"",""vi"")"),"Điều này hoàn toàn không thể.")</f>
        <v>Điều này hoàn toàn không thể.</v>
      </c>
      <c r="F534" s="101" t="s">
        <v>8257</v>
      </c>
      <c r="G534" s="98" t="b">
        <f t="shared" si="1"/>
        <v>1</v>
      </c>
      <c r="H534" s="99" t="b">
        <v>1</v>
      </c>
      <c r="I534" s="99" t="b">
        <v>0</v>
      </c>
      <c r="J534" s="99" t="b">
        <v>0</v>
      </c>
      <c r="K534" s="99" t="b">
        <v>0</v>
      </c>
      <c r="L534" s="99" t="b">
        <v>0</v>
      </c>
      <c r="M534" s="99" t="b">
        <v>0</v>
      </c>
      <c r="N534" s="99" t="b">
        <v>0</v>
      </c>
      <c r="O534" s="99" t="b">
        <v>0</v>
      </c>
      <c r="P534" s="99" t="b">
        <v>0</v>
      </c>
      <c r="Q534" s="99" t="b">
        <v>0</v>
      </c>
      <c r="R534" s="14"/>
      <c r="S534" s="14"/>
      <c r="T534" s="14"/>
      <c r="U534" s="14"/>
      <c r="V534" s="14"/>
      <c r="W534" s="14"/>
    </row>
    <row r="535" ht="35.25" customHeight="1">
      <c r="A535" s="92" t="s">
        <v>8265</v>
      </c>
      <c r="B535" s="93" t="s">
        <v>8266</v>
      </c>
      <c r="C535" s="94" t="s">
        <v>8267</v>
      </c>
      <c r="D535" s="24" t="s">
        <v>8268</v>
      </c>
      <c r="E535" s="96" t="str">
        <f>IFERROR(__xludf.DUMMYFUNCTION("GOOGLETRANSLATE(D535,""zh-CN"",""vi"")"),"Ông ấy rất quan tâm đến các vấn đề quân sự.")</f>
        <v>Ông ấy rất quan tâm đến các vấn đề quân sự.</v>
      </c>
      <c r="F535" s="101" t="s">
        <v>8265</v>
      </c>
      <c r="G535" s="98" t="b">
        <f t="shared" si="1"/>
        <v>1</v>
      </c>
      <c r="H535" s="99" t="b">
        <v>1</v>
      </c>
      <c r="I535" s="99" t="b">
        <v>0</v>
      </c>
      <c r="J535" s="99" t="b">
        <v>0</v>
      </c>
      <c r="K535" s="99" t="b">
        <v>0</v>
      </c>
      <c r="L535" s="99" t="b">
        <v>0</v>
      </c>
      <c r="M535" s="99" t="b">
        <v>0</v>
      </c>
      <c r="N535" s="99" t="b">
        <v>0</v>
      </c>
      <c r="O535" s="99" t="b">
        <v>0</v>
      </c>
      <c r="P535" s="99" t="b">
        <v>0</v>
      </c>
      <c r="Q535" s="99" t="b">
        <v>0</v>
      </c>
      <c r="R535" s="14"/>
      <c r="S535" s="14"/>
      <c r="T535" s="14"/>
      <c r="U535" s="14"/>
      <c r="V535" s="14"/>
      <c r="W535" s="14"/>
    </row>
    <row r="536" ht="35.25" customHeight="1">
      <c r="A536" s="92" t="s">
        <v>8273</v>
      </c>
      <c r="B536" s="93" t="s">
        <v>8274</v>
      </c>
      <c r="C536" s="94" t="s">
        <v>8275</v>
      </c>
      <c r="D536" s="24" t="s">
        <v>8276</v>
      </c>
      <c r="E536" s="96" t="str">
        <f>IFERROR(__xludf.DUMMYFUNCTION("GOOGLETRANSLATE(D536,""zh-CN"",""vi"")"),"Đất ở khu vực này rất đồng nhất.")</f>
        <v>Đất ở khu vực này rất đồng nhất.</v>
      </c>
      <c r="F536" s="101" t="s">
        <v>8273</v>
      </c>
      <c r="G536" s="98" t="b">
        <f t="shared" si="1"/>
        <v>1</v>
      </c>
      <c r="H536" s="99" t="b">
        <v>1</v>
      </c>
      <c r="I536" s="99" t="b">
        <v>0</v>
      </c>
      <c r="J536" s="99" t="b">
        <v>0</v>
      </c>
      <c r="K536" s="99" t="b">
        <v>0</v>
      </c>
      <c r="L536" s="99" t="b">
        <v>0</v>
      </c>
      <c r="M536" s="99" t="b">
        <v>0</v>
      </c>
      <c r="N536" s="99" t="b">
        <v>0</v>
      </c>
      <c r="O536" s="99" t="b">
        <v>0</v>
      </c>
      <c r="P536" s="99" t="b">
        <v>0</v>
      </c>
      <c r="Q536" s="99" t="b">
        <v>0</v>
      </c>
      <c r="R536" s="14"/>
      <c r="S536" s="14"/>
      <c r="T536" s="14"/>
      <c r="U536" s="14"/>
      <c r="V536" s="14"/>
      <c r="W536" s="14"/>
    </row>
    <row r="537" ht="35.25" customHeight="1">
      <c r="A537" s="92" t="s">
        <v>8281</v>
      </c>
      <c r="B537" s="93" t="s">
        <v>8282</v>
      </c>
      <c r="C537" s="94" t="s">
        <v>8283</v>
      </c>
      <c r="D537" s="24" t="s">
        <v>8285</v>
      </c>
      <c r="E537" s="96" t="str">
        <f>IFERROR(__xludf.DUMMYFUNCTION("GOOGLETRANSLATE(D537,""zh-CN"",""vi"")"),"Anh ấy đã mang xe tải đến để vận chuyển đồ đạc.")</f>
        <v>Anh ấy đã mang xe tải đến để vận chuyển đồ đạc.</v>
      </c>
      <c r="F537" s="101" t="s">
        <v>8281</v>
      </c>
      <c r="G537" s="98" t="b">
        <f t="shared" si="1"/>
        <v>1</v>
      </c>
      <c r="H537" s="99" t="b">
        <v>1</v>
      </c>
      <c r="I537" s="99" t="b">
        <v>0</v>
      </c>
      <c r="J537" s="99" t="b">
        <v>0</v>
      </c>
      <c r="K537" s="99" t="b">
        <v>0</v>
      </c>
      <c r="L537" s="99" t="b">
        <v>0</v>
      </c>
      <c r="M537" s="99" t="b">
        <v>0</v>
      </c>
      <c r="N537" s="99" t="b">
        <v>0</v>
      </c>
      <c r="O537" s="99" t="b">
        <v>0</v>
      </c>
      <c r="P537" s="99" t="b">
        <v>0</v>
      </c>
      <c r="Q537" s="99" t="b">
        <v>0</v>
      </c>
      <c r="R537" s="14"/>
      <c r="S537" s="14"/>
      <c r="T537" s="14"/>
      <c r="U537" s="14"/>
      <c r="V537" s="14"/>
      <c r="W537" s="14"/>
    </row>
    <row r="538" ht="35.25" customHeight="1">
      <c r="A538" s="92" t="s">
        <v>8289</v>
      </c>
      <c r="B538" s="93" t="s">
        <v>8290</v>
      </c>
      <c r="C538" s="94" t="s">
        <v>8291</v>
      </c>
      <c r="D538" s="24" t="s">
        <v>8293</v>
      </c>
      <c r="E538" s="96" t="str">
        <f>IFERROR(__xludf.DUMMYFUNCTION("GOOGLETRANSLATE(D538,""zh-CN"",""vi"")"),"Họ đang phát triển phần mềm mới.")</f>
        <v>Họ đang phát triển phần mềm mới.</v>
      </c>
      <c r="F538" s="101" t="s">
        <v>8289</v>
      </c>
      <c r="G538" s="98" t="b">
        <f t="shared" si="1"/>
        <v>1</v>
      </c>
      <c r="H538" s="99" t="b">
        <v>1</v>
      </c>
      <c r="I538" s="99" t="b">
        <v>0</v>
      </c>
      <c r="J538" s="99" t="b">
        <v>0</v>
      </c>
      <c r="K538" s="99" t="b">
        <v>0</v>
      </c>
      <c r="L538" s="99" t="b">
        <v>0</v>
      </c>
      <c r="M538" s="99" t="b">
        <v>0</v>
      </c>
      <c r="N538" s="99" t="b">
        <v>0</v>
      </c>
      <c r="O538" s="99" t="b">
        <v>0</v>
      </c>
      <c r="P538" s="99" t="b">
        <v>0</v>
      </c>
      <c r="Q538" s="99" t="b">
        <v>0</v>
      </c>
      <c r="R538" s="14"/>
      <c r="S538" s="14"/>
      <c r="T538" s="14"/>
      <c r="U538" s="14"/>
      <c r="V538" s="14"/>
      <c r="W538" s="14"/>
    </row>
    <row r="539" ht="35.25" customHeight="1">
      <c r="A539" s="92" t="s">
        <v>8301</v>
      </c>
      <c r="B539" s="93" t="s">
        <v>8302</v>
      </c>
      <c r="C539" s="94" t="s">
        <v>8303</v>
      </c>
      <c r="D539" s="24" t="s">
        <v>8305</v>
      </c>
      <c r="E539" s="96" t="str">
        <f>IFERROR(__xludf.DUMMYFUNCTION("GOOGLETRANSLATE(D539,""zh-CN"",""vi"")"),"Bảo tàng này mở cửa vào các ngày cuối tuần.")</f>
        <v>Bảo tàng này mở cửa vào các ngày cuối tuần.</v>
      </c>
      <c r="F539" s="101" t="s">
        <v>8301</v>
      </c>
      <c r="G539" s="98" t="b">
        <f t="shared" si="1"/>
        <v>1</v>
      </c>
      <c r="H539" s="99" t="b">
        <v>1</v>
      </c>
      <c r="I539" s="99" t="b">
        <v>0</v>
      </c>
      <c r="J539" s="99" t="b">
        <v>0</v>
      </c>
      <c r="K539" s="99" t="b">
        <v>0</v>
      </c>
      <c r="L539" s="99" t="b">
        <v>0</v>
      </c>
      <c r="M539" s="99" t="b">
        <v>0</v>
      </c>
      <c r="N539" s="99" t="b">
        <v>0</v>
      </c>
      <c r="O539" s="99" t="b">
        <v>0</v>
      </c>
      <c r="P539" s="99" t="b">
        <v>0</v>
      </c>
      <c r="Q539" s="99" t="b">
        <v>0</v>
      </c>
      <c r="R539" s="14"/>
      <c r="S539" s="14"/>
      <c r="T539" s="14"/>
      <c r="U539" s="14"/>
      <c r="V539" s="14"/>
      <c r="W539" s="14"/>
    </row>
    <row r="540" ht="35.25" customHeight="1">
      <c r="A540" s="92" t="s">
        <v>8315</v>
      </c>
      <c r="B540" s="93" t="s">
        <v>8316</v>
      </c>
      <c r="C540" s="94" t="s">
        <v>8317</v>
      </c>
      <c r="D540" s="24" t="s">
        <v>8318</v>
      </c>
      <c r="E540" s="96" t="str">
        <f>IFERROR(__xludf.DUMMYFUNCTION("GOOGLETRANSLATE(D540,""zh-CN"",""vi"")"),"Lễ khai mạc sẽ được tổ chức vào lúc 7 giờ tối.")</f>
        <v>Lễ khai mạc sẽ được tổ chức vào lúc 7 giờ tối.</v>
      </c>
      <c r="F540" s="101" t="s">
        <v>8315</v>
      </c>
      <c r="G540" s="98" t="b">
        <f t="shared" si="1"/>
        <v>1</v>
      </c>
      <c r="H540" s="99" t="b">
        <v>1</v>
      </c>
      <c r="I540" s="99" t="b">
        <v>0</v>
      </c>
      <c r="J540" s="99" t="b">
        <v>0</v>
      </c>
      <c r="K540" s="99" t="b">
        <v>0</v>
      </c>
      <c r="L540" s="99" t="b">
        <v>0</v>
      </c>
      <c r="M540" s="99" t="b">
        <v>0</v>
      </c>
      <c r="N540" s="99" t="b">
        <v>0</v>
      </c>
      <c r="O540" s="99" t="b">
        <v>0</v>
      </c>
      <c r="P540" s="99" t="b">
        <v>0</v>
      </c>
      <c r="Q540" s="99" t="b">
        <v>0</v>
      </c>
      <c r="R540" s="14"/>
      <c r="S540" s="14"/>
      <c r="T540" s="14"/>
      <c r="U540" s="14"/>
      <c r="V540" s="14"/>
      <c r="W540" s="14"/>
    </row>
    <row r="541" ht="35.25" customHeight="1">
      <c r="A541" s="92" t="s">
        <v>8323</v>
      </c>
      <c r="B541" s="93" t="s">
        <v>8324</v>
      </c>
      <c r="C541" s="94" t="s">
        <v>8325</v>
      </c>
      <c r="D541" s="24" t="s">
        <v>8326</v>
      </c>
      <c r="E541" s="96" t="str">
        <f>IFERROR(__xludf.DUMMYFUNCTION("GOOGLETRANSLATE(D541,""zh-CN"",""vi"")"),"Làm ơn rót cho tôi một ít nước nóng.")</f>
        <v>Làm ơn rót cho tôi một ít nước nóng.</v>
      </c>
      <c r="F541" s="101" t="s">
        <v>8323</v>
      </c>
      <c r="G541" s="98" t="b">
        <f t="shared" si="1"/>
        <v>1</v>
      </c>
      <c r="H541" s="99" t="b">
        <v>1</v>
      </c>
      <c r="I541" s="99" t="b">
        <v>0</v>
      </c>
      <c r="J541" s="99" t="b">
        <v>0</v>
      </c>
      <c r="K541" s="99" t="b">
        <v>0</v>
      </c>
      <c r="L541" s="99" t="b">
        <v>0</v>
      </c>
      <c r="M541" s="99" t="b">
        <v>0</v>
      </c>
      <c r="N541" s="99" t="b">
        <v>0</v>
      </c>
      <c r="O541" s="99" t="b">
        <v>0</v>
      </c>
      <c r="P541" s="99" t="b">
        <v>0</v>
      </c>
      <c r="Q541" s="99" t="b">
        <v>0</v>
      </c>
      <c r="R541" s="14"/>
      <c r="S541" s="14"/>
      <c r="T541" s="14"/>
      <c r="U541" s="14"/>
      <c r="V541" s="14"/>
      <c r="W541" s="14"/>
    </row>
    <row r="542" ht="35.25" customHeight="1">
      <c r="A542" s="92" t="s">
        <v>8331</v>
      </c>
      <c r="B542" s="93" t="s">
        <v>8332</v>
      </c>
      <c r="C542" s="94" t="s">
        <v>8333</v>
      </c>
      <c r="D542" s="24" t="s">
        <v>8334</v>
      </c>
      <c r="E542" s="96" t="str">
        <f>IFERROR(__xludf.DUMMYFUNCTION("GOOGLETRANSLATE(D542,""zh-CN"",""vi"")"),"Anh ta dùng dao chặt củi.")</f>
        <v>Anh ta dùng dao chặt củi.</v>
      </c>
      <c r="F542" s="101" t="s">
        <v>8331</v>
      </c>
      <c r="G542" s="98" t="b">
        <f t="shared" si="1"/>
        <v>1</v>
      </c>
      <c r="H542" s="99" t="b">
        <v>1</v>
      </c>
      <c r="I542" s="99" t="b">
        <v>0</v>
      </c>
      <c r="J542" s="99" t="b">
        <v>0</v>
      </c>
      <c r="K542" s="99" t="b">
        <v>0</v>
      </c>
      <c r="L542" s="99" t="b">
        <v>0</v>
      </c>
      <c r="M542" s="99" t="b">
        <v>0</v>
      </c>
      <c r="N542" s="99" t="b">
        <v>0</v>
      </c>
      <c r="O542" s="99" t="b">
        <v>0</v>
      </c>
      <c r="P542" s="99" t="b">
        <v>0</v>
      </c>
      <c r="Q542" s="99" t="b">
        <v>0</v>
      </c>
      <c r="R542" s="14"/>
      <c r="S542" s="14"/>
      <c r="T542" s="14"/>
      <c r="U542" s="14"/>
      <c r="V542" s="14"/>
      <c r="W542" s="14"/>
    </row>
    <row r="543" ht="35.25" customHeight="1">
      <c r="A543" s="92" t="s">
        <v>8339</v>
      </c>
      <c r="B543" s="93" t="s">
        <v>8340</v>
      </c>
      <c r="C543" s="94" t="s">
        <v>8341</v>
      </c>
      <c r="D543" s="24" t="s">
        <v>8342</v>
      </c>
      <c r="E543" s="96" t="str">
        <f>IFERROR(__xludf.DUMMYFUNCTION("GOOGLETRANSLATE(D543,""zh-CN"",""vi"")"),"Chúng ta không nên coi thường bất cứ ai.")</f>
        <v>Chúng ta không nên coi thường bất cứ ai.</v>
      </c>
      <c r="F543" s="101" t="s">
        <v>8339</v>
      </c>
      <c r="G543" s="98" t="b">
        <f t="shared" si="1"/>
        <v>1</v>
      </c>
      <c r="H543" s="99" t="b">
        <v>1</v>
      </c>
      <c r="I543" s="99" t="b">
        <v>0</v>
      </c>
      <c r="J543" s="99" t="b">
        <v>0</v>
      </c>
      <c r="K543" s="99" t="b">
        <v>0</v>
      </c>
      <c r="L543" s="99" t="b">
        <v>0</v>
      </c>
      <c r="M543" s="99" t="b">
        <v>0</v>
      </c>
      <c r="N543" s="99" t="b">
        <v>0</v>
      </c>
      <c r="O543" s="99" t="b">
        <v>0</v>
      </c>
      <c r="P543" s="99" t="b">
        <v>0</v>
      </c>
      <c r="Q543" s="99" t="b">
        <v>0</v>
      </c>
      <c r="R543" s="14"/>
      <c r="S543" s="14"/>
      <c r="T543" s="14"/>
      <c r="U543" s="14"/>
      <c r="V543" s="14"/>
      <c r="W543" s="14"/>
    </row>
    <row r="544" ht="35.25" customHeight="1">
      <c r="A544" s="92" t="s">
        <v>8347</v>
      </c>
      <c r="B544" s="93" t="s">
        <v>8348</v>
      </c>
      <c r="C544" s="94" t="s">
        <v>8349</v>
      </c>
      <c r="D544" s="24" t="s">
        <v>8350</v>
      </c>
      <c r="E544" s="96" t="str">
        <f>IFERROR(__xludf.DUMMYFUNCTION("GOOGLETRANSLATE(D544,""zh-CN"",""vi"")"),"Chúng tôi đến thăm một người bạn cũ.")</f>
        <v>Chúng tôi đến thăm một người bạn cũ.</v>
      </c>
      <c r="F544" s="101" t="s">
        <v>8347</v>
      </c>
      <c r="G544" s="98" t="b">
        <f t="shared" si="1"/>
        <v>1</v>
      </c>
      <c r="H544" s="99" t="b">
        <v>1</v>
      </c>
      <c r="I544" s="99" t="b">
        <v>0</v>
      </c>
      <c r="J544" s="99" t="b">
        <v>0</v>
      </c>
      <c r="K544" s="99" t="b">
        <v>0</v>
      </c>
      <c r="L544" s="99" t="b">
        <v>0</v>
      </c>
      <c r="M544" s="99" t="b">
        <v>0</v>
      </c>
      <c r="N544" s="99" t="b">
        <v>0</v>
      </c>
      <c r="O544" s="99" t="b">
        <v>0</v>
      </c>
      <c r="P544" s="99" t="b">
        <v>0</v>
      </c>
      <c r="Q544" s="99" t="b">
        <v>0</v>
      </c>
      <c r="R544" s="14"/>
      <c r="S544" s="14"/>
      <c r="T544" s="14"/>
      <c r="U544" s="14"/>
      <c r="V544" s="14"/>
      <c r="W544" s="14"/>
    </row>
    <row r="545" ht="35.25" customHeight="1">
      <c r="A545" s="92" t="s">
        <v>8355</v>
      </c>
      <c r="B545" s="93" t="s">
        <v>8356</v>
      </c>
      <c r="C545" s="94" t="s">
        <v>8357</v>
      </c>
      <c r="D545" s="24" t="s">
        <v>8358</v>
      </c>
      <c r="E545" s="96" t="str">
        <f>IFERROR(__xludf.DUMMYFUNCTION("GOOGLETRANSLATE(D545,""zh-CN"",""vi"")"),"Anh ấy luôn hoàn thành mọi nhiệm vụ một cách độc lập.")</f>
        <v>Anh ấy luôn hoàn thành mọi nhiệm vụ một cách độc lập.</v>
      </c>
      <c r="F545" s="101" t="s">
        <v>8355</v>
      </c>
      <c r="G545" s="98" t="b">
        <f t="shared" si="1"/>
        <v>1</v>
      </c>
      <c r="H545" s="99" t="b">
        <v>1</v>
      </c>
      <c r="I545" s="99" t="b">
        <v>0</v>
      </c>
      <c r="J545" s="99" t="b">
        <v>0</v>
      </c>
      <c r="K545" s="99" t="b">
        <v>0</v>
      </c>
      <c r="L545" s="99" t="b">
        <v>0</v>
      </c>
      <c r="M545" s="99" t="b">
        <v>0</v>
      </c>
      <c r="N545" s="99" t="b">
        <v>0</v>
      </c>
      <c r="O545" s="99" t="b">
        <v>0</v>
      </c>
      <c r="P545" s="99" t="b">
        <v>0</v>
      </c>
      <c r="Q545" s="99" t="b">
        <v>0</v>
      </c>
      <c r="R545" s="14"/>
      <c r="S545" s="14"/>
      <c r="T545" s="14"/>
      <c r="U545" s="14"/>
      <c r="V545" s="14"/>
      <c r="W545" s="14"/>
    </row>
    <row r="546" ht="35.25" customHeight="1">
      <c r="A546" s="92" t="s">
        <v>8362</v>
      </c>
      <c r="B546" s="93" t="s">
        <v>3009</v>
      </c>
      <c r="C546" s="94" t="s">
        <v>8363</v>
      </c>
      <c r="D546" s="24" t="s">
        <v>8364</v>
      </c>
      <c r="E546" s="96" t="str">
        <f>IFERROR(__xludf.DUMMYFUNCTION("GOOGLETRANSLATE(D546,""zh-CN"",""vi"")"),"Chúng tôi đã trồng một cái cây.")</f>
        <v>Chúng tôi đã trồng một cái cây.</v>
      </c>
      <c r="F546" s="101" t="s">
        <v>8362</v>
      </c>
      <c r="G546" s="98" t="b">
        <f t="shared" si="1"/>
        <v>1</v>
      </c>
      <c r="H546" s="99" t="b">
        <v>1</v>
      </c>
      <c r="I546" s="99" t="b">
        <v>0</v>
      </c>
      <c r="J546" s="99" t="b">
        <v>0</v>
      </c>
      <c r="K546" s="99" t="b">
        <v>0</v>
      </c>
      <c r="L546" s="99" t="b">
        <v>0</v>
      </c>
      <c r="M546" s="99" t="b">
        <v>0</v>
      </c>
      <c r="N546" s="99" t="b">
        <v>0</v>
      </c>
      <c r="O546" s="99" t="b">
        <v>0</v>
      </c>
      <c r="P546" s="99" t="b">
        <v>0</v>
      </c>
      <c r="Q546" s="99" t="b">
        <v>0</v>
      </c>
      <c r="R546" s="14"/>
      <c r="S546" s="14"/>
      <c r="T546" s="14"/>
      <c r="U546" s="14"/>
      <c r="V546" s="14"/>
      <c r="W546" s="14"/>
    </row>
    <row r="547" ht="35.25" customHeight="1">
      <c r="A547" s="92" t="s">
        <v>8369</v>
      </c>
      <c r="B547" s="93" t="s">
        <v>8370</v>
      </c>
      <c r="C547" s="94" t="s">
        <v>8371</v>
      </c>
      <c r="D547" s="117" t="s">
        <v>8372</v>
      </c>
      <c r="E547" s="96" t="str">
        <f>IFERROR(__xludf.DUMMYFUNCTION("GOOGLETRANSLATE(D547,""zh-CN"",""vi"")"),"Chữ viết của Xiaohong thực sự rất đẹp; rõ ràng là cô ấy luyện tập rất thường xuyên.")</f>
        <v>Chữ viết của Xiaohong thực sự rất đẹp; rõ ràng là cô ấy luyện tập rất thường xuyên.</v>
      </c>
      <c r="F547" s="101" t="s">
        <v>8369</v>
      </c>
      <c r="G547" s="98" t="b">
        <f t="shared" si="1"/>
        <v>1</v>
      </c>
      <c r="H547" s="99" t="b">
        <v>1</v>
      </c>
      <c r="I547" s="99" t="b">
        <v>0</v>
      </c>
      <c r="J547" s="99" t="b">
        <v>0</v>
      </c>
      <c r="K547" s="99" t="b">
        <v>0</v>
      </c>
      <c r="L547" s="99" t="b">
        <v>0</v>
      </c>
      <c r="M547" s="99" t="b">
        <v>0</v>
      </c>
      <c r="N547" s="99" t="b">
        <v>0</v>
      </c>
      <c r="O547" s="99" t="b">
        <v>0</v>
      </c>
      <c r="P547" s="99" t="b">
        <v>0</v>
      </c>
      <c r="Q547" s="99" t="b">
        <v>0</v>
      </c>
      <c r="R547" s="14"/>
      <c r="S547" s="14"/>
      <c r="T547" s="14"/>
      <c r="U547" s="14"/>
      <c r="V547" s="14"/>
      <c r="W547" s="14"/>
    </row>
    <row r="548" ht="35.25" customHeight="1">
      <c r="A548" s="92" t="s">
        <v>8377</v>
      </c>
      <c r="B548" s="93" t="s">
        <v>8378</v>
      </c>
      <c r="C548" s="94" t="s">
        <v>8379</v>
      </c>
      <c r="D548" s="24" t="s">
        <v>8380</v>
      </c>
      <c r="E548" s="96" t="str">
        <f>IFERROR(__xludf.DUMMYFUNCTION("GOOGLETRANSLATE(D548,""zh-CN"",""vi"")"),"Đây là một công ty đáng tin cậy.")</f>
        <v>Đây là một công ty đáng tin cậy.</v>
      </c>
      <c r="F548" s="101" t="s">
        <v>8377</v>
      </c>
      <c r="G548" s="98" t="b">
        <f t="shared" si="1"/>
        <v>1</v>
      </c>
      <c r="H548" s="99" t="b">
        <v>1</v>
      </c>
      <c r="I548" s="99" t="b">
        <v>0</v>
      </c>
      <c r="J548" s="99" t="b">
        <v>0</v>
      </c>
      <c r="K548" s="99" t="b">
        <v>0</v>
      </c>
      <c r="L548" s="99" t="b">
        <v>0</v>
      </c>
      <c r="M548" s="99" t="b">
        <v>0</v>
      </c>
      <c r="N548" s="99" t="b">
        <v>0</v>
      </c>
      <c r="O548" s="99" t="b">
        <v>0</v>
      </c>
      <c r="P548" s="99" t="b">
        <v>0</v>
      </c>
      <c r="Q548" s="99" t="b">
        <v>0</v>
      </c>
      <c r="R548" s="14"/>
      <c r="S548" s="14"/>
      <c r="T548" s="14"/>
      <c r="U548" s="14"/>
      <c r="V548" s="14"/>
      <c r="W548" s="14"/>
    </row>
    <row r="549" ht="35.25" customHeight="1">
      <c r="A549" s="92" t="s">
        <v>8384</v>
      </c>
      <c r="B549" s="93" t="s">
        <v>8385</v>
      </c>
      <c r="C549" s="94" t="s">
        <v>8386</v>
      </c>
      <c r="D549" s="24" t="s">
        <v>8387</v>
      </c>
      <c r="E549" s="96" t="str">
        <f>IFERROR(__xludf.DUMMYFUNCTION("GOOGLETRANSLATE(D549,""zh-CN"",""vi"")"),"Tình hình này có thể trở nên rất nghiêm trọng.")</f>
        <v>Tình hình này có thể trở nên rất nghiêm trọng.</v>
      </c>
      <c r="F549" s="101" t="s">
        <v>8384</v>
      </c>
      <c r="G549" s="98" t="b">
        <f t="shared" si="1"/>
        <v>1</v>
      </c>
      <c r="H549" s="99" t="b">
        <v>1</v>
      </c>
      <c r="I549" s="99" t="b">
        <v>0</v>
      </c>
      <c r="J549" s="99" t="b">
        <v>0</v>
      </c>
      <c r="K549" s="99" t="b">
        <v>0</v>
      </c>
      <c r="L549" s="99" t="b">
        <v>0</v>
      </c>
      <c r="M549" s="99" t="b">
        <v>0</v>
      </c>
      <c r="N549" s="99" t="b">
        <v>0</v>
      </c>
      <c r="O549" s="99" t="b">
        <v>0</v>
      </c>
      <c r="P549" s="99" t="b">
        <v>0</v>
      </c>
      <c r="Q549" s="99" t="b">
        <v>0</v>
      </c>
      <c r="R549" s="14"/>
      <c r="S549" s="14"/>
      <c r="T549" s="14"/>
      <c r="U549" s="14"/>
      <c r="V549" s="14"/>
      <c r="W549" s="14"/>
    </row>
    <row r="550" ht="35.25" customHeight="1">
      <c r="A550" s="92" t="s">
        <v>8392</v>
      </c>
      <c r="B550" s="93" t="s">
        <v>1314</v>
      </c>
      <c r="C550" s="94" t="s">
        <v>8393</v>
      </c>
      <c r="D550" s="24" t="s">
        <v>8394</v>
      </c>
      <c r="E550" s="96" t="str">
        <f>IFERROR(__xludf.DUMMYFUNCTION("GOOGLETRANSLATE(D550,""zh-CN"",""vi"")"),"Tôi đã mua 300 gram ức gà.")</f>
        <v>Tôi đã mua 300 gram ức gà.</v>
      </c>
      <c r="F550" s="101" t="s">
        <v>8392</v>
      </c>
      <c r="G550" s="98" t="b">
        <f t="shared" si="1"/>
        <v>1</v>
      </c>
      <c r="H550" s="99" t="b">
        <v>1</v>
      </c>
      <c r="I550" s="99" t="b">
        <v>0</v>
      </c>
      <c r="J550" s="99" t="b">
        <v>0</v>
      </c>
      <c r="K550" s="99" t="b">
        <v>0</v>
      </c>
      <c r="L550" s="99" t="b">
        <v>0</v>
      </c>
      <c r="M550" s="99" t="b">
        <v>0</v>
      </c>
      <c r="N550" s="99" t="b">
        <v>0</v>
      </c>
      <c r="O550" s="99" t="b">
        <v>0</v>
      </c>
      <c r="P550" s="99" t="b">
        <v>0</v>
      </c>
      <c r="Q550" s="99" t="b">
        <v>0</v>
      </c>
      <c r="R550" s="14"/>
      <c r="S550" s="14"/>
      <c r="T550" s="14"/>
      <c r="U550" s="14"/>
      <c r="V550" s="14"/>
      <c r="W550" s="14"/>
    </row>
    <row r="551" ht="35.25" customHeight="1">
      <c r="A551" s="92" t="s">
        <v>8399</v>
      </c>
      <c r="B551" s="93" t="s">
        <v>8400</v>
      </c>
      <c r="C551" s="94" t="s">
        <v>8401</v>
      </c>
      <c r="D551" s="24" t="s">
        <v>8402</v>
      </c>
      <c r="E551" s="96" t="str">
        <f>IFERROR(__xludf.DUMMYFUNCTION("GOOGLETRANSLATE(D551,""zh-CN"",""vi"")"),"Ông đã vượt qua nhiều thử thách.")</f>
        <v>Ông đã vượt qua nhiều thử thách.</v>
      </c>
      <c r="F551" s="101" t="s">
        <v>8399</v>
      </c>
      <c r="G551" s="98" t="b">
        <f t="shared" si="1"/>
        <v>1</v>
      </c>
      <c r="H551" s="99" t="b">
        <v>1</v>
      </c>
      <c r="I551" s="99" t="b">
        <v>0</v>
      </c>
      <c r="J551" s="99" t="b">
        <v>0</v>
      </c>
      <c r="K551" s="99" t="b">
        <v>0</v>
      </c>
      <c r="L551" s="99" t="b">
        <v>0</v>
      </c>
      <c r="M551" s="99" t="b">
        <v>0</v>
      </c>
      <c r="N551" s="99" t="b">
        <v>0</v>
      </c>
      <c r="O551" s="99" t="b">
        <v>0</v>
      </c>
      <c r="P551" s="99" t="b">
        <v>0</v>
      </c>
      <c r="Q551" s="99" t="b">
        <v>0</v>
      </c>
      <c r="R551" s="14"/>
      <c r="S551" s="14"/>
      <c r="T551" s="14"/>
      <c r="U551" s="14"/>
      <c r="V551" s="14"/>
      <c r="W551" s="14"/>
    </row>
    <row r="552" ht="35.25" customHeight="1">
      <c r="A552" s="92" t="s">
        <v>8407</v>
      </c>
      <c r="B552" s="93" t="s">
        <v>8408</v>
      </c>
      <c r="C552" s="94" t="s">
        <v>8409</v>
      </c>
      <c r="D552" s="24" t="s">
        <v>8410</v>
      </c>
      <c r="E552" s="96" t="str">
        <f>IFERROR(__xludf.DUMMYFUNCTION("GOOGLETRANSLATE(D552,""zh-CN"",""vi"")"),"Chỉ bằng cách học tập chăm chỉ, người ta mới có thể đạt được kết quả tốt.")</f>
        <v>Chỉ bằng cách học tập chăm chỉ, người ta mới có thể đạt được kết quả tốt.</v>
      </c>
      <c r="F552" s="101" t="s">
        <v>8407</v>
      </c>
      <c r="G552" s="98" t="b">
        <f t="shared" si="1"/>
        <v>1</v>
      </c>
      <c r="H552" s="99" t="b">
        <v>1</v>
      </c>
      <c r="I552" s="99" t="b">
        <v>0</v>
      </c>
      <c r="J552" s="99" t="b">
        <v>0</v>
      </c>
      <c r="K552" s="99" t="b">
        <v>0</v>
      </c>
      <c r="L552" s="99" t="b">
        <v>0</v>
      </c>
      <c r="M552" s="99" t="b">
        <v>0</v>
      </c>
      <c r="N552" s="99" t="b">
        <v>0</v>
      </c>
      <c r="O552" s="99" t="b">
        <v>0</v>
      </c>
      <c r="P552" s="99" t="b">
        <v>0</v>
      </c>
      <c r="Q552" s="99" t="b">
        <v>0</v>
      </c>
      <c r="R552" s="14"/>
      <c r="S552" s="14"/>
      <c r="T552" s="14"/>
      <c r="U552" s="14"/>
      <c r="V552" s="14"/>
      <c r="W552" s="14"/>
    </row>
    <row r="553" ht="35.25" customHeight="1">
      <c r="A553" s="92" t="s">
        <v>8415</v>
      </c>
      <c r="B553" s="93" t="s">
        <v>8416</v>
      </c>
      <c r="C553" s="94" t="s">
        <v>8417</v>
      </c>
      <c r="D553" s="117" t="s">
        <v>8418</v>
      </c>
      <c r="E553" s="96" t="str">
        <f>IFERROR(__xludf.DUMMYFUNCTION("GOOGLETRANSLATE(D553,""zh-CN"",""vi"")"),"Chúng ta cần một đánh giá khách quan.")</f>
        <v>Chúng ta cần một đánh giá khách quan.</v>
      </c>
      <c r="F553" s="101" t="s">
        <v>8415</v>
      </c>
      <c r="G553" s="98" t="b">
        <f t="shared" si="1"/>
        <v>1</v>
      </c>
      <c r="H553" s="99" t="b">
        <v>1</v>
      </c>
      <c r="I553" s="99" t="b">
        <v>0</v>
      </c>
      <c r="J553" s="99" t="b">
        <v>0</v>
      </c>
      <c r="K553" s="99" t="b">
        <v>0</v>
      </c>
      <c r="L553" s="99" t="b">
        <v>0</v>
      </c>
      <c r="M553" s="99" t="b">
        <v>0</v>
      </c>
      <c r="N553" s="99" t="b">
        <v>0</v>
      </c>
      <c r="O553" s="99" t="b">
        <v>0</v>
      </c>
      <c r="P553" s="99" t="b">
        <v>0</v>
      </c>
      <c r="Q553" s="99" t="b">
        <v>0</v>
      </c>
      <c r="R553" s="14"/>
      <c r="S553" s="14"/>
      <c r="T553" s="14"/>
      <c r="U553" s="14"/>
      <c r="V553" s="14"/>
      <c r="W553" s="14"/>
    </row>
    <row r="554" ht="35.25" customHeight="1">
      <c r="A554" s="92" t="s">
        <v>8423</v>
      </c>
      <c r="B554" s="93" t="s">
        <v>8424</v>
      </c>
      <c r="C554" s="94" t="s">
        <v>8425</v>
      </c>
      <c r="D554" s="24" t="s">
        <v>8426</v>
      </c>
      <c r="E554" s="96" t="str">
        <f>IFERROR(__xludf.DUMMYFUNCTION("GOOGLETRANSLATE(D554,""zh-CN"",""vi"")"),"Khóa học này rất thú vị.")</f>
        <v>Khóa học này rất thú vị.</v>
      </c>
      <c r="F554" s="101" t="s">
        <v>8423</v>
      </c>
      <c r="G554" s="98" t="b">
        <f t="shared" si="1"/>
        <v>1</v>
      </c>
      <c r="H554" s="99" t="b">
        <v>1</v>
      </c>
      <c r="I554" s="99" t="b">
        <v>0</v>
      </c>
      <c r="J554" s="99" t="b">
        <v>0</v>
      </c>
      <c r="K554" s="99" t="b">
        <v>0</v>
      </c>
      <c r="L554" s="99" t="b">
        <v>0</v>
      </c>
      <c r="M554" s="99" t="b">
        <v>0</v>
      </c>
      <c r="N554" s="99" t="b">
        <v>0</v>
      </c>
      <c r="O554" s="99" t="b">
        <v>0</v>
      </c>
      <c r="P554" s="99" t="b">
        <v>0</v>
      </c>
      <c r="Q554" s="99" t="b">
        <v>0</v>
      </c>
      <c r="R554" s="14"/>
      <c r="S554" s="14"/>
      <c r="T554" s="14"/>
      <c r="U554" s="14"/>
      <c r="V554" s="14"/>
      <c r="W554" s="14"/>
    </row>
    <row r="555" ht="35.25" customHeight="1">
      <c r="A555" s="92" t="s">
        <v>8431</v>
      </c>
      <c r="B555" s="93" t="s">
        <v>8432</v>
      </c>
      <c r="C555" s="94" t="s">
        <v>8433</v>
      </c>
      <c r="D555" s="24" t="s">
        <v>8434</v>
      </c>
      <c r="E555" s="96" t="str">
        <f>IFERROR(__xludf.DUMMYFUNCTION("GOOGLETRANSLATE(D555,""zh-CN"",""vi"")"),"Căn phòng này rất rộng rãi.")</f>
        <v>Căn phòng này rất rộng rãi.</v>
      </c>
      <c r="F555" s="101" t="s">
        <v>8431</v>
      </c>
      <c r="G555" s="98" t="b">
        <f t="shared" si="1"/>
        <v>1</v>
      </c>
      <c r="H555" s="99" t="b">
        <v>1</v>
      </c>
      <c r="I555" s="99" t="b">
        <v>0</v>
      </c>
      <c r="J555" s="99" t="b">
        <v>0</v>
      </c>
      <c r="K555" s="99" t="b">
        <v>0</v>
      </c>
      <c r="L555" s="99" t="b">
        <v>0</v>
      </c>
      <c r="M555" s="99" t="b">
        <v>0</v>
      </c>
      <c r="N555" s="99" t="b">
        <v>0</v>
      </c>
      <c r="O555" s="99" t="b">
        <v>0</v>
      </c>
      <c r="P555" s="99" t="b">
        <v>0</v>
      </c>
      <c r="Q555" s="99" t="b">
        <v>0</v>
      </c>
      <c r="R555" s="14"/>
      <c r="S555" s="14"/>
      <c r="T555" s="14"/>
      <c r="U555" s="14"/>
      <c r="V555" s="14"/>
      <c r="W555" s="14"/>
    </row>
    <row r="556" ht="35.25" customHeight="1">
      <c r="A556" s="92" t="s">
        <v>8439</v>
      </c>
      <c r="B556" s="93" t="s">
        <v>8440</v>
      </c>
      <c r="C556" s="94" t="s">
        <v>8441</v>
      </c>
      <c r="D556" s="24" t="s">
        <v>8442</v>
      </c>
      <c r="E556" s="96" t="str">
        <f>IFERROR(__xludf.DUMMYFUNCTION("GOOGLETRANSLATE(D556,""zh-CN"",""vi"")"),"Tôi có rất nhiều thời gian rảnh.")</f>
        <v>Tôi có rất nhiều thời gian rảnh.</v>
      </c>
      <c r="F556" s="101" t="s">
        <v>8439</v>
      </c>
      <c r="G556" s="98" t="b">
        <f t="shared" si="1"/>
        <v>1</v>
      </c>
      <c r="H556" s="99" t="b">
        <v>1</v>
      </c>
      <c r="I556" s="99" t="b">
        <v>0</v>
      </c>
      <c r="J556" s="99" t="b">
        <v>0</v>
      </c>
      <c r="K556" s="99" t="b">
        <v>0</v>
      </c>
      <c r="L556" s="99" t="b">
        <v>0</v>
      </c>
      <c r="M556" s="99" t="b">
        <v>0</v>
      </c>
      <c r="N556" s="99" t="b">
        <v>0</v>
      </c>
      <c r="O556" s="99" t="b">
        <v>0</v>
      </c>
      <c r="P556" s="99" t="b">
        <v>0</v>
      </c>
      <c r="Q556" s="99" t="b">
        <v>0</v>
      </c>
      <c r="R556" s="14"/>
      <c r="S556" s="14"/>
      <c r="T556" s="14"/>
      <c r="U556" s="14"/>
      <c r="V556" s="14"/>
      <c r="W556" s="14"/>
    </row>
    <row r="557" ht="35.25" customHeight="1">
      <c r="A557" s="92" t="s">
        <v>8447</v>
      </c>
      <c r="B557" s="93" t="s">
        <v>8448</v>
      </c>
      <c r="C557" s="94" t="s">
        <v>8449</v>
      </c>
      <c r="D557" s="24" t="s">
        <v>8450</v>
      </c>
      <c r="E557" s="96" t="str">
        <f>IFERROR(__xludf.DUMMYFUNCTION("GOOGLETRANSLATE(D557,""zh-CN"",""vi"")"),"Ông ta đã nắm quyền kiểm soát hệ thống.")</f>
        <v>Ông ta đã nắm quyền kiểm soát hệ thống.</v>
      </c>
      <c r="F557" s="101" t="s">
        <v>8447</v>
      </c>
      <c r="G557" s="98" t="b">
        <f t="shared" si="1"/>
        <v>1</v>
      </c>
      <c r="H557" s="99" t="b">
        <v>1</v>
      </c>
      <c r="I557" s="99" t="b">
        <v>0</v>
      </c>
      <c r="J557" s="99" t="b">
        <v>0</v>
      </c>
      <c r="K557" s="99" t="b">
        <v>0</v>
      </c>
      <c r="L557" s="99" t="b">
        <v>0</v>
      </c>
      <c r="M557" s="99" t="b">
        <v>0</v>
      </c>
      <c r="N557" s="99" t="b">
        <v>0</v>
      </c>
      <c r="O557" s="99" t="b">
        <v>0</v>
      </c>
      <c r="P557" s="99" t="b">
        <v>0</v>
      </c>
      <c r="Q557" s="99" t="b">
        <v>0</v>
      </c>
      <c r="R557" s="14"/>
      <c r="S557" s="14"/>
      <c r="T557" s="14"/>
      <c r="U557" s="14"/>
      <c r="V557" s="14"/>
      <c r="W557" s="14"/>
    </row>
    <row r="558" ht="35.25" customHeight="1">
      <c r="A558" s="92" t="s">
        <v>8454</v>
      </c>
      <c r="B558" s="93" t="s">
        <v>8455</v>
      </c>
      <c r="C558" s="94" t="s">
        <v>8456</v>
      </c>
      <c r="D558" s="24" t="s">
        <v>8457</v>
      </c>
      <c r="E558" s="96" t="str">
        <f>IFERROR(__xludf.DUMMYFUNCTION("GOOGLETRANSLATE(D558,""zh-CN"",""vi"")"),"Tôi thích hương vị kem này.")</f>
        <v>Tôi thích hương vị kem này.</v>
      </c>
      <c r="F558" s="101" t="s">
        <v>8454</v>
      </c>
      <c r="G558" s="98" t="b">
        <f t="shared" si="1"/>
        <v>1</v>
      </c>
      <c r="H558" s="99" t="b">
        <v>1</v>
      </c>
      <c r="I558" s="99" t="b">
        <v>0</v>
      </c>
      <c r="J558" s="99" t="b">
        <v>0</v>
      </c>
      <c r="K558" s="99" t="b">
        <v>0</v>
      </c>
      <c r="L558" s="99" t="b">
        <v>0</v>
      </c>
      <c r="M558" s="99" t="b">
        <v>0</v>
      </c>
      <c r="N558" s="99" t="b">
        <v>0</v>
      </c>
      <c r="O558" s="99" t="b">
        <v>0</v>
      </c>
      <c r="P558" s="99" t="b">
        <v>0</v>
      </c>
      <c r="Q558" s="99" t="b">
        <v>0</v>
      </c>
      <c r="R558" s="14"/>
      <c r="S558" s="14"/>
      <c r="T558" s="14"/>
      <c r="U558" s="14"/>
      <c r="V558" s="14"/>
      <c r="W558" s="14"/>
    </row>
    <row r="559" ht="35.25" customHeight="1">
      <c r="A559" s="92" t="s">
        <v>8462</v>
      </c>
      <c r="B559" s="93" t="s">
        <v>8463</v>
      </c>
      <c r="C559" s="94" t="s">
        <v>8464</v>
      </c>
      <c r="D559" s="24" t="s">
        <v>8465</v>
      </c>
      <c r="E559" s="96" t="str">
        <f>IFERROR(__xludf.DUMMYFUNCTION("GOOGLETRANSLATE(D559,""zh-CN"",""vi"")"),"Anh ấy luôn khen ngợi những nỗ lực của người khác.")</f>
        <v>Anh ấy luôn khen ngợi những nỗ lực của người khác.</v>
      </c>
      <c r="F559" s="101" t="s">
        <v>8462</v>
      </c>
      <c r="G559" s="98" t="b">
        <f t="shared" si="1"/>
        <v>1</v>
      </c>
      <c r="H559" s="99" t="b">
        <v>1</v>
      </c>
      <c r="I559" s="99" t="b">
        <v>0</v>
      </c>
      <c r="J559" s="99" t="b">
        <v>0</v>
      </c>
      <c r="K559" s="99" t="b">
        <v>0</v>
      </c>
      <c r="L559" s="99" t="b">
        <v>0</v>
      </c>
      <c r="M559" s="99" t="b">
        <v>0</v>
      </c>
      <c r="N559" s="99" t="b">
        <v>0</v>
      </c>
      <c r="O559" s="99" t="b">
        <v>0</v>
      </c>
      <c r="P559" s="99" t="b">
        <v>0</v>
      </c>
      <c r="Q559" s="99" t="b">
        <v>0</v>
      </c>
      <c r="R559" s="14"/>
      <c r="S559" s="14"/>
      <c r="T559" s="14"/>
      <c r="U559" s="14"/>
      <c r="V559" s="14"/>
      <c r="W559" s="14"/>
    </row>
    <row r="560" ht="35.25" customHeight="1">
      <c r="A560" s="92" t="s">
        <v>8470</v>
      </c>
      <c r="B560" s="93" t="s">
        <v>8471</v>
      </c>
      <c r="C560" s="94" t="s">
        <v>8472</v>
      </c>
      <c r="D560" s="24" t="s">
        <v>8473</v>
      </c>
      <c r="E560" s="96" t="str">
        <f>IFERROR(__xludf.DUMMYFUNCTION("GOOGLETRANSLATE(D560,""zh-CN"",""vi"")"),"Cô ấy đã phóng đại trải nghiệm của mình.")</f>
        <v>Cô ấy đã phóng đại trải nghiệm của mình.</v>
      </c>
      <c r="F560" s="101" t="s">
        <v>8470</v>
      </c>
      <c r="G560" s="98" t="b">
        <f t="shared" si="1"/>
        <v>1</v>
      </c>
      <c r="H560" s="99" t="b">
        <v>1</v>
      </c>
      <c r="I560" s="99" t="b">
        <v>0</v>
      </c>
      <c r="J560" s="99" t="b">
        <v>0</v>
      </c>
      <c r="K560" s="99" t="b">
        <v>0</v>
      </c>
      <c r="L560" s="99" t="b">
        <v>0</v>
      </c>
      <c r="M560" s="99" t="b">
        <v>0</v>
      </c>
      <c r="N560" s="99" t="b">
        <v>0</v>
      </c>
      <c r="O560" s="99" t="b">
        <v>0</v>
      </c>
      <c r="P560" s="99" t="b">
        <v>0</v>
      </c>
      <c r="Q560" s="99" t="b">
        <v>0</v>
      </c>
      <c r="R560" s="14"/>
      <c r="S560" s="14"/>
      <c r="T560" s="14"/>
      <c r="U560" s="14"/>
      <c r="V560" s="14"/>
      <c r="W560" s="14"/>
    </row>
    <row r="561" ht="35.25" customHeight="1">
      <c r="A561" s="92" t="s">
        <v>8478</v>
      </c>
      <c r="B561" s="93" t="s">
        <v>8479</v>
      </c>
      <c r="C561" s="94" t="s">
        <v>8480</v>
      </c>
      <c r="D561" s="24" t="s">
        <v>8481</v>
      </c>
      <c r="E561" s="96" t="str">
        <f>IFERROR(__xludf.DUMMYFUNCTION("GOOGLETRANSLATE(D561,""zh-CN"",""vi"")"),"Anh ấy là một kế toán.")</f>
        <v>Anh ấy là một kế toán.</v>
      </c>
      <c r="F561" s="101" t="s">
        <v>8478</v>
      </c>
      <c r="G561" s="98" t="b">
        <f t="shared" si="1"/>
        <v>1</v>
      </c>
      <c r="H561" s="99" t="b">
        <v>1</v>
      </c>
      <c r="I561" s="99" t="b">
        <v>0</v>
      </c>
      <c r="J561" s="99" t="b">
        <v>0</v>
      </c>
      <c r="K561" s="99" t="b">
        <v>0</v>
      </c>
      <c r="L561" s="99" t="b">
        <v>0</v>
      </c>
      <c r="M561" s="99" t="b">
        <v>0</v>
      </c>
      <c r="N561" s="99" t="b">
        <v>0</v>
      </c>
      <c r="O561" s="99" t="b">
        <v>0</v>
      </c>
      <c r="P561" s="99" t="b">
        <v>0</v>
      </c>
      <c r="Q561" s="99" t="b">
        <v>0</v>
      </c>
      <c r="R561" s="14"/>
      <c r="S561" s="14"/>
      <c r="T561" s="14"/>
      <c r="U561" s="14"/>
      <c r="V561" s="14"/>
      <c r="W561" s="14"/>
    </row>
    <row r="562" ht="35.25" customHeight="1">
      <c r="A562" s="92" t="s">
        <v>8486</v>
      </c>
      <c r="B562" s="93" t="s">
        <v>8487</v>
      </c>
      <c r="C562" s="94" t="s">
        <v>8488</v>
      </c>
      <c r="D562" s="24" t="s">
        <v>8489</v>
      </c>
      <c r="E562" s="96" t="str">
        <f>IFERROR(__xludf.DUMMYFUNCTION("GOOGLETRANSLATE(D562,""zh-CN"",""vi"")"),"Chiếc váy này rất rộng.")</f>
        <v>Chiếc váy này rất rộng.</v>
      </c>
      <c r="F562" s="101" t="s">
        <v>8486</v>
      </c>
      <c r="G562" s="98" t="b">
        <f t="shared" si="1"/>
        <v>1</v>
      </c>
      <c r="H562" s="99" t="b">
        <v>1</v>
      </c>
      <c r="I562" s="99" t="b">
        <v>0</v>
      </c>
      <c r="J562" s="99" t="b">
        <v>0</v>
      </c>
      <c r="K562" s="99" t="b">
        <v>0</v>
      </c>
      <c r="L562" s="99" t="b">
        <v>0</v>
      </c>
      <c r="M562" s="99" t="b">
        <v>0</v>
      </c>
      <c r="N562" s="99" t="b">
        <v>0</v>
      </c>
      <c r="O562" s="99" t="b">
        <v>0</v>
      </c>
      <c r="P562" s="99" t="b">
        <v>0</v>
      </c>
      <c r="Q562" s="99" t="b">
        <v>0</v>
      </c>
      <c r="R562" s="14"/>
      <c r="S562" s="14"/>
      <c r="T562" s="14"/>
      <c r="U562" s="14"/>
      <c r="V562" s="14"/>
      <c r="W562" s="14"/>
    </row>
    <row r="563" ht="35.25" customHeight="1">
      <c r="A563" s="92" t="s">
        <v>8494</v>
      </c>
      <c r="B563" s="93" t="s">
        <v>8495</v>
      </c>
      <c r="C563" s="94" t="s">
        <v>8496</v>
      </c>
      <c r="D563" s="24" t="s">
        <v>8497</v>
      </c>
      <c r="E563" s="96" t="str">
        <f>IFERROR(__xludf.DUMMYFUNCTION("GOOGLETRANSLATE(D563,""zh-CN"",""vi"")"),"Côn trùng đóng vai trò quan trọng trong tự nhiên.")</f>
        <v>Côn trùng đóng vai trò quan trọng trong tự nhiên.</v>
      </c>
      <c r="F563" s="101" t="s">
        <v>8494</v>
      </c>
      <c r="G563" s="98" t="b">
        <f t="shared" si="1"/>
        <v>1</v>
      </c>
      <c r="H563" s="99" t="b">
        <v>1</v>
      </c>
      <c r="I563" s="99" t="b">
        <v>0</v>
      </c>
      <c r="J563" s="99" t="b">
        <v>0</v>
      </c>
      <c r="K563" s="99" t="b">
        <v>0</v>
      </c>
      <c r="L563" s="99" t="b">
        <v>0</v>
      </c>
      <c r="M563" s="99" t="b">
        <v>0</v>
      </c>
      <c r="N563" s="99" t="b">
        <v>0</v>
      </c>
      <c r="O563" s="99" t="b">
        <v>0</v>
      </c>
      <c r="P563" s="99" t="b">
        <v>0</v>
      </c>
      <c r="Q563" s="99" t="b">
        <v>0</v>
      </c>
      <c r="R563" s="14"/>
      <c r="S563" s="14"/>
      <c r="T563" s="14"/>
      <c r="U563" s="14"/>
      <c r="V563" s="14"/>
      <c r="W563" s="14"/>
    </row>
    <row r="564" ht="35.25" customHeight="1">
      <c r="A564" s="92" t="s">
        <v>8502</v>
      </c>
      <c r="B564" s="93" t="s">
        <v>8503</v>
      </c>
      <c r="C564" s="94" t="s">
        <v>8504</v>
      </c>
      <c r="D564" s="24" t="s">
        <v>8505</v>
      </c>
      <c r="E564" s="96" t="str">
        <f>IFERROR(__xludf.DUMMYFUNCTION("GOOGLETRANSLATE(D564,""zh-CN"",""vi"")"),"Chúng tôi có kế hoạch mở rộng thị trường.")</f>
        <v>Chúng tôi có kế hoạch mở rộng thị trường.</v>
      </c>
      <c r="F564" s="101" t="s">
        <v>8502</v>
      </c>
      <c r="G564" s="98" t="b">
        <f t="shared" si="1"/>
        <v>1</v>
      </c>
      <c r="H564" s="99" t="b">
        <v>1</v>
      </c>
      <c r="I564" s="99" t="b">
        <v>0</v>
      </c>
      <c r="J564" s="99" t="b">
        <v>0</v>
      </c>
      <c r="K564" s="99" t="b">
        <v>0</v>
      </c>
      <c r="L564" s="99" t="b">
        <v>0</v>
      </c>
      <c r="M564" s="99" t="b">
        <v>0</v>
      </c>
      <c r="N564" s="99" t="b">
        <v>0</v>
      </c>
      <c r="O564" s="99" t="b">
        <v>0</v>
      </c>
      <c r="P564" s="99" t="b">
        <v>0</v>
      </c>
      <c r="Q564" s="99" t="b">
        <v>0</v>
      </c>
      <c r="R564" s="14"/>
      <c r="S564" s="14"/>
      <c r="T564" s="14"/>
      <c r="U564" s="14"/>
      <c r="V564" s="14"/>
      <c r="W564" s="14"/>
    </row>
    <row r="565" ht="35.25" customHeight="1">
      <c r="A565" s="92" t="s">
        <v>8510</v>
      </c>
      <c r="B565" s="93" t="s">
        <v>8511</v>
      </c>
      <c r="C565" s="94" t="s">
        <v>8512</v>
      </c>
      <c r="D565" s="24" t="s">
        <v>8514</v>
      </c>
      <c r="E565" s="96" t="str">
        <f>IFERROR(__xludf.DUMMYFUNCTION("GOOGLETRANSLATE(D565,""zh-CN"",""vi"")"),"Tôi thích ăn ớt.")</f>
        <v>Tôi thích ăn ớt.</v>
      </c>
      <c r="F565" s="101" t="s">
        <v>8510</v>
      </c>
      <c r="G565" s="98" t="b">
        <f t="shared" si="1"/>
        <v>1</v>
      </c>
      <c r="H565" s="99" t="b">
        <v>1</v>
      </c>
      <c r="I565" s="99" t="b">
        <v>0</v>
      </c>
      <c r="J565" s="99" t="b">
        <v>0</v>
      </c>
      <c r="K565" s="99" t="b">
        <v>0</v>
      </c>
      <c r="L565" s="99" t="b">
        <v>0</v>
      </c>
      <c r="M565" s="99" t="b">
        <v>0</v>
      </c>
      <c r="N565" s="99" t="b">
        <v>0</v>
      </c>
      <c r="O565" s="99" t="b">
        <v>0</v>
      </c>
      <c r="P565" s="99" t="b">
        <v>0</v>
      </c>
      <c r="Q565" s="99" t="b">
        <v>0</v>
      </c>
      <c r="R565" s="14"/>
      <c r="S565" s="14"/>
      <c r="T565" s="14"/>
      <c r="U565" s="14"/>
      <c r="V565" s="14"/>
      <c r="W565" s="14"/>
    </row>
    <row r="566" ht="35.25" customHeight="1">
      <c r="A566" s="92" t="s">
        <v>8518</v>
      </c>
      <c r="B566" s="93" t="s">
        <v>2234</v>
      </c>
      <c r="C566" s="94" t="s">
        <v>8519</v>
      </c>
      <c r="D566" s="24" t="s">
        <v>8521</v>
      </c>
      <c r="E566" s="96" t="str">
        <f>IFERROR(__xludf.DUMMYFUNCTION("GOOGLETRANSLATE(D566,""zh-CN"",""vi"")"),"Anh ấy đã chặn đối thủ của mình trong trận đấu.")</f>
        <v>Anh ấy đã chặn đối thủ của mình trong trận đấu.</v>
      </c>
      <c r="F566" s="101" t="s">
        <v>8518</v>
      </c>
      <c r="G566" s="98" t="b">
        <f t="shared" si="1"/>
        <v>1</v>
      </c>
      <c r="H566" s="99" t="b">
        <v>1</v>
      </c>
      <c r="I566" s="99" t="b">
        <v>0</v>
      </c>
      <c r="J566" s="99" t="b">
        <v>0</v>
      </c>
      <c r="K566" s="99" t="b">
        <v>0</v>
      </c>
      <c r="L566" s="99" t="b">
        <v>0</v>
      </c>
      <c r="M566" s="99" t="b">
        <v>0</v>
      </c>
      <c r="N566" s="99" t="b">
        <v>0</v>
      </c>
      <c r="O566" s="99" t="b">
        <v>0</v>
      </c>
      <c r="P566" s="99" t="b">
        <v>0</v>
      </c>
      <c r="Q566" s="99" t="b">
        <v>0</v>
      </c>
      <c r="R566" s="14"/>
      <c r="S566" s="14"/>
      <c r="T566" s="14"/>
      <c r="U566" s="14"/>
      <c r="V566" s="14"/>
      <c r="W566" s="14"/>
    </row>
    <row r="567" ht="35.25" customHeight="1">
      <c r="A567" s="92" t="s">
        <v>8526</v>
      </c>
      <c r="B567" s="93" t="s">
        <v>8528</v>
      </c>
      <c r="C567" s="94" t="s">
        <v>8530</v>
      </c>
      <c r="D567" s="24" t="s">
        <v>8532</v>
      </c>
      <c r="E567" s="96" t="str">
        <f>IFERROR(__xludf.DUMMYFUNCTION("GOOGLETRANSLATE(D567,""zh-CN"",""vi"")"),"Món này bị nấu quá chín rồi.")</f>
        <v>Món này bị nấu quá chín rồi.</v>
      </c>
      <c r="F567" s="101" t="s">
        <v>8526</v>
      </c>
      <c r="G567" s="98" t="b">
        <f t="shared" si="1"/>
        <v>1</v>
      </c>
      <c r="H567" s="99" t="b">
        <v>1</v>
      </c>
      <c r="I567" s="99" t="b">
        <v>0</v>
      </c>
      <c r="J567" s="99" t="b">
        <v>0</v>
      </c>
      <c r="K567" s="99" t="b">
        <v>0</v>
      </c>
      <c r="L567" s="99" t="b">
        <v>0</v>
      </c>
      <c r="M567" s="99" t="b">
        <v>0</v>
      </c>
      <c r="N567" s="99" t="b">
        <v>0</v>
      </c>
      <c r="O567" s="99" t="b">
        <v>0</v>
      </c>
      <c r="P567" s="99" t="b">
        <v>0</v>
      </c>
      <c r="Q567" s="99" t="b">
        <v>0</v>
      </c>
      <c r="R567" s="14"/>
      <c r="S567" s="14"/>
      <c r="T567" s="14"/>
      <c r="U567" s="14"/>
      <c r="V567" s="14"/>
      <c r="W567" s="14"/>
    </row>
    <row r="568" ht="35.25" customHeight="1">
      <c r="A568" s="92" t="s">
        <v>8533</v>
      </c>
      <c r="B568" s="93" t="s">
        <v>8535</v>
      </c>
      <c r="C568" s="94" t="s">
        <v>8537</v>
      </c>
      <c r="D568" s="24" t="s">
        <v>8539</v>
      </c>
      <c r="E568" s="96" t="str">
        <f>IFERROR(__xludf.DUMMYFUNCTION("GOOGLETRANSLATE(D568,""zh-CN"",""vi"")"),"Anh ấy đọc to bài báo.")</f>
        <v>Anh ấy đọc to bài báo.</v>
      </c>
      <c r="F568" s="101" t="s">
        <v>8533</v>
      </c>
      <c r="G568" s="98" t="b">
        <f t="shared" si="1"/>
        <v>1</v>
      </c>
      <c r="H568" s="99" t="b">
        <v>1</v>
      </c>
      <c r="I568" s="99" t="b">
        <v>0</v>
      </c>
      <c r="J568" s="99" t="b">
        <v>0</v>
      </c>
      <c r="K568" s="99" t="b">
        <v>0</v>
      </c>
      <c r="L568" s="99" t="b">
        <v>0</v>
      </c>
      <c r="M568" s="99" t="b">
        <v>0</v>
      </c>
      <c r="N568" s="99" t="b">
        <v>0</v>
      </c>
      <c r="O568" s="99" t="b">
        <v>0</v>
      </c>
      <c r="P568" s="99" t="b">
        <v>0</v>
      </c>
      <c r="Q568" s="99" t="b">
        <v>0</v>
      </c>
      <c r="R568" s="14"/>
      <c r="S568" s="14"/>
      <c r="T568" s="14"/>
      <c r="U568" s="14"/>
      <c r="V568" s="14"/>
      <c r="W568" s="14"/>
    </row>
    <row r="569" ht="35.25" customHeight="1">
      <c r="A569" s="92" t="s">
        <v>8541</v>
      </c>
      <c r="B569" s="93" t="s">
        <v>8542</v>
      </c>
      <c r="C569" s="94" t="s">
        <v>8543</v>
      </c>
      <c r="D569" s="24" t="s">
        <v>8545</v>
      </c>
      <c r="E569" s="96" t="str">
        <f>IFERROR(__xludf.DUMMYFUNCTION("GOOGLETRANSLATE(D569,""zh-CN"",""vi"")"),"Công sức của chúng ta đã được đền đáp xứng đáng.")</f>
        <v>Công sức của chúng ta đã được đền đáp xứng đáng.</v>
      </c>
      <c r="F569" s="101" t="s">
        <v>8541</v>
      </c>
      <c r="G569" s="98" t="b">
        <f t="shared" si="1"/>
        <v>1</v>
      </c>
      <c r="H569" s="99" t="b">
        <v>1</v>
      </c>
      <c r="I569" s="99" t="b">
        <v>0</v>
      </c>
      <c r="J569" s="99" t="b">
        <v>0</v>
      </c>
      <c r="K569" s="99" t="b">
        <v>0</v>
      </c>
      <c r="L569" s="99" t="b">
        <v>0</v>
      </c>
      <c r="M569" s="99" t="b">
        <v>0</v>
      </c>
      <c r="N569" s="99" t="b">
        <v>0</v>
      </c>
      <c r="O569" s="99" t="b">
        <v>0</v>
      </c>
      <c r="P569" s="99" t="b">
        <v>0</v>
      </c>
      <c r="Q569" s="99" t="b">
        <v>0</v>
      </c>
      <c r="R569" s="14"/>
      <c r="S569" s="14"/>
      <c r="T569" s="14"/>
      <c r="U569" s="14"/>
      <c r="V569" s="14"/>
      <c r="W569" s="14"/>
    </row>
    <row r="570" ht="35.25" customHeight="1">
      <c r="A570" s="92" t="s">
        <v>8549</v>
      </c>
      <c r="B570" s="93" t="s">
        <v>8550</v>
      </c>
      <c r="C570" s="94" t="s">
        <v>8552</v>
      </c>
      <c r="D570" s="24" t="s">
        <v>8554</v>
      </c>
      <c r="E570" s="96" t="str">
        <f>IFERROR(__xludf.DUMMYFUNCTION("GOOGLETRANSLATE(D570,""zh-CN"",""vi"")"),"Xin lỗi, bạn có thể giúp tôi xách túi hộ được không?")</f>
        <v>Xin lỗi, bạn có thể giúp tôi xách túi hộ được không?</v>
      </c>
      <c r="F570" s="101" t="s">
        <v>8549</v>
      </c>
      <c r="G570" s="98" t="b">
        <f t="shared" si="1"/>
        <v>1</v>
      </c>
      <c r="H570" s="99" t="b">
        <v>1</v>
      </c>
      <c r="I570" s="99" t="b">
        <v>0</v>
      </c>
      <c r="J570" s="99" t="b">
        <v>0</v>
      </c>
      <c r="K570" s="99" t="b">
        <v>0</v>
      </c>
      <c r="L570" s="99" t="b">
        <v>0</v>
      </c>
      <c r="M570" s="99" t="b">
        <v>0</v>
      </c>
      <c r="N570" s="99" t="b">
        <v>0</v>
      </c>
      <c r="O570" s="99" t="b">
        <v>0</v>
      </c>
      <c r="P570" s="99" t="b">
        <v>0</v>
      </c>
      <c r="Q570" s="99" t="b">
        <v>0</v>
      </c>
      <c r="R570" s="14"/>
      <c r="S570" s="14"/>
      <c r="T570" s="14"/>
      <c r="U570" s="14"/>
      <c r="V570" s="14"/>
      <c r="W570" s="14"/>
    </row>
    <row r="571" ht="35.25" customHeight="1">
      <c r="A571" s="92" t="s">
        <v>8557</v>
      </c>
      <c r="B571" s="93" t="s">
        <v>8559</v>
      </c>
      <c r="C571" s="94" t="s">
        <v>8561</v>
      </c>
      <c r="D571" s="24" t="s">
        <v>8563</v>
      </c>
      <c r="E571" s="96" t="str">
        <f>IFERROR(__xludf.DUMMYFUNCTION("GOOGLETRANSLATE(D571,""zh-CN"",""vi"")"),"Người dân bình thường nào cũng mong ước một cuộc sống tốt đẹp hơn.")</f>
        <v>Người dân bình thường nào cũng mong ước một cuộc sống tốt đẹp hơn.</v>
      </c>
      <c r="F571" s="101" t="s">
        <v>8557</v>
      </c>
      <c r="G571" s="98" t="b">
        <f t="shared" si="1"/>
        <v>1</v>
      </c>
      <c r="H571" s="99" t="b">
        <v>1</v>
      </c>
      <c r="I571" s="99" t="b">
        <v>0</v>
      </c>
      <c r="J571" s="99" t="b">
        <v>0</v>
      </c>
      <c r="K571" s="99" t="b">
        <v>0</v>
      </c>
      <c r="L571" s="99" t="b">
        <v>0</v>
      </c>
      <c r="M571" s="99" t="b">
        <v>0</v>
      </c>
      <c r="N571" s="99" t="b">
        <v>0</v>
      </c>
      <c r="O571" s="99" t="b">
        <v>0</v>
      </c>
      <c r="P571" s="99" t="b">
        <v>0</v>
      </c>
      <c r="Q571" s="99" t="b">
        <v>0</v>
      </c>
      <c r="R571" s="14"/>
      <c r="S571" s="14"/>
      <c r="T571" s="14"/>
      <c r="U571" s="14"/>
      <c r="V571" s="14"/>
      <c r="W571" s="14"/>
    </row>
    <row r="572" ht="35.25" customHeight="1">
      <c r="A572" s="92" t="s">
        <v>8567</v>
      </c>
      <c r="B572" s="93" t="s">
        <v>8569</v>
      </c>
      <c r="C572" s="94" t="s">
        <v>8571</v>
      </c>
      <c r="D572" s="24" t="s">
        <v>8572</v>
      </c>
      <c r="E572" s="96" t="str">
        <f>IFERROR(__xludf.DUMMYFUNCTION("GOOGLETRANSLATE(D572,""zh-CN"",""vi"")"),"Sếp của chúng tôi rất thân thiện.")</f>
        <v>Sếp của chúng tôi rất thân thiện.</v>
      </c>
      <c r="F572" s="101" t="s">
        <v>8567</v>
      </c>
      <c r="G572" s="98" t="b">
        <f t="shared" si="1"/>
        <v>1</v>
      </c>
      <c r="H572" s="99" t="b">
        <v>1</v>
      </c>
      <c r="I572" s="99" t="b">
        <v>0</v>
      </c>
      <c r="J572" s="99" t="b">
        <v>0</v>
      </c>
      <c r="K572" s="99" t="b">
        <v>0</v>
      </c>
      <c r="L572" s="99" t="b">
        <v>0</v>
      </c>
      <c r="M572" s="99" t="b">
        <v>0</v>
      </c>
      <c r="N572" s="99" t="b">
        <v>0</v>
      </c>
      <c r="O572" s="99" t="b">
        <v>0</v>
      </c>
      <c r="P572" s="99" t="b">
        <v>0</v>
      </c>
      <c r="Q572" s="99" t="b">
        <v>0</v>
      </c>
      <c r="R572" s="14"/>
      <c r="S572" s="14"/>
      <c r="T572" s="14"/>
      <c r="U572" s="14"/>
      <c r="V572" s="14"/>
      <c r="W572" s="14"/>
    </row>
    <row r="573" ht="35.25" customHeight="1">
      <c r="A573" s="92" t="s">
        <v>8574</v>
      </c>
      <c r="B573" s="93" t="s">
        <v>8576</v>
      </c>
      <c r="C573" s="94" t="s">
        <v>8578</v>
      </c>
      <c r="D573" s="24" t="s">
        <v>8579</v>
      </c>
      <c r="E573" s="96" t="str">
        <f>IFERROR(__xludf.DUMMYFUNCTION("GOOGLETRANSLATE(D573,""zh-CN"",""vi"")"),"Cô ấy là vợ tôi.")</f>
        <v>Cô ấy là vợ tôi.</v>
      </c>
      <c r="F573" s="101" t="s">
        <v>8574</v>
      </c>
      <c r="G573" s="98" t="b">
        <f t="shared" si="1"/>
        <v>1</v>
      </c>
      <c r="H573" s="99" t="b">
        <v>1</v>
      </c>
      <c r="I573" s="99" t="b">
        <v>0</v>
      </c>
      <c r="J573" s="99" t="b">
        <v>0</v>
      </c>
      <c r="K573" s="99" t="b">
        <v>0</v>
      </c>
      <c r="L573" s="99" t="b">
        <v>0</v>
      </c>
      <c r="M573" s="99" t="b">
        <v>0</v>
      </c>
      <c r="N573" s="99" t="b">
        <v>0</v>
      </c>
      <c r="O573" s="99" t="b">
        <v>0</v>
      </c>
      <c r="P573" s="99" t="b">
        <v>0</v>
      </c>
      <c r="Q573" s="99" t="b">
        <v>0</v>
      </c>
      <c r="R573" s="14"/>
      <c r="S573" s="14"/>
      <c r="T573" s="14"/>
      <c r="U573" s="14"/>
      <c r="V573" s="14"/>
      <c r="W573" s="14"/>
    </row>
    <row r="574" ht="35.25" customHeight="1">
      <c r="A574" s="92" t="s">
        <v>8583</v>
      </c>
      <c r="B574" s="93" t="s">
        <v>8585</v>
      </c>
      <c r="C574" s="94" t="s">
        <v>8586</v>
      </c>
      <c r="D574" s="24" t="s">
        <v>8587</v>
      </c>
      <c r="E574" s="96" t="str">
        <f>IFERROR(__xludf.DUMMYFUNCTION("GOOGLETRANSLATE(D574,""zh-CN"",""vi"")"),"Anh ấy luôn rất trung thực.")</f>
        <v>Anh ấy luôn rất trung thực.</v>
      </c>
      <c r="F574" s="101" t="s">
        <v>8583</v>
      </c>
      <c r="G574" s="98" t="b">
        <f t="shared" si="1"/>
        <v>1</v>
      </c>
      <c r="H574" s="99" t="b">
        <v>1</v>
      </c>
      <c r="I574" s="99" t="b">
        <v>0</v>
      </c>
      <c r="J574" s="99" t="b">
        <v>0</v>
      </c>
      <c r="K574" s="99" t="b">
        <v>0</v>
      </c>
      <c r="L574" s="99" t="b">
        <v>0</v>
      </c>
      <c r="M574" s="99" t="b">
        <v>0</v>
      </c>
      <c r="N574" s="99" t="b">
        <v>0</v>
      </c>
      <c r="O574" s="99" t="b">
        <v>0</v>
      </c>
      <c r="P574" s="99" t="b">
        <v>0</v>
      </c>
      <c r="Q574" s="99" t="b">
        <v>0</v>
      </c>
      <c r="R574" s="14"/>
      <c r="S574" s="14"/>
      <c r="T574" s="14"/>
      <c r="U574" s="14"/>
      <c r="V574" s="14"/>
      <c r="W574" s="14"/>
    </row>
    <row r="575" ht="35.25" customHeight="1">
      <c r="A575" s="92" t="s">
        <v>8592</v>
      </c>
      <c r="B575" s="93" t="s">
        <v>8593</v>
      </c>
      <c r="C575" s="94" t="s">
        <v>8594</v>
      </c>
      <c r="D575" s="24" t="s">
        <v>8595</v>
      </c>
      <c r="E575" s="96" t="str">
        <f>IFERROR(__xludf.DUMMYFUNCTION("GOOGLETRANSLATE(D575,""zh-CN"",""vi"")"),"Chuột đang chạy lung tung khắp nhà.")</f>
        <v>Chuột đang chạy lung tung khắp nhà.</v>
      </c>
      <c r="F575" s="101" t="s">
        <v>8592</v>
      </c>
      <c r="G575" s="98" t="b">
        <f t="shared" si="1"/>
        <v>1</v>
      </c>
      <c r="H575" s="99" t="b">
        <v>1</v>
      </c>
      <c r="I575" s="99" t="b">
        <v>0</v>
      </c>
      <c r="J575" s="99" t="b">
        <v>0</v>
      </c>
      <c r="K575" s="99" t="b">
        <v>0</v>
      </c>
      <c r="L575" s="99" t="b">
        <v>0</v>
      </c>
      <c r="M575" s="99" t="b">
        <v>0</v>
      </c>
      <c r="N575" s="99" t="b">
        <v>0</v>
      </c>
      <c r="O575" s="99" t="b">
        <v>0</v>
      </c>
      <c r="P575" s="99" t="b">
        <v>0</v>
      </c>
      <c r="Q575" s="99" t="b">
        <v>0</v>
      </c>
      <c r="R575" s="14"/>
      <c r="S575" s="14"/>
      <c r="T575" s="14"/>
      <c r="U575" s="14"/>
      <c r="V575" s="14"/>
      <c r="W575" s="14"/>
    </row>
    <row r="576" ht="35.25" customHeight="1">
      <c r="A576" s="92" t="s">
        <v>8600</v>
      </c>
      <c r="B576" s="93" t="s">
        <v>8601</v>
      </c>
      <c r="C576" s="94" t="s">
        <v>8602</v>
      </c>
      <c r="D576" s="24" t="s">
        <v>8603</v>
      </c>
      <c r="E576" s="96" t="str">
        <f>IFERROR(__xludf.DUMMYFUNCTION("GOOGLETRANSLATE(D576,""zh-CN"",""vi"")"),"Tôi đến thăm bà ngoại mỗi tháng.")</f>
        <v>Tôi đến thăm bà ngoại mỗi tháng.</v>
      </c>
      <c r="F576" s="101" t="s">
        <v>8600</v>
      </c>
      <c r="G576" s="98" t="b">
        <f t="shared" si="1"/>
        <v>1</v>
      </c>
      <c r="H576" s="99" t="b">
        <v>1</v>
      </c>
      <c r="I576" s="99" t="b">
        <v>0</v>
      </c>
      <c r="J576" s="99" t="b">
        <v>0</v>
      </c>
      <c r="K576" s="99" t="b">
        <v>0</v>
      </c>
      <c r="L576" s="99" t="b">
        <v>0</v>
      </c>
      <c r="M576" s="99" t="b">
        <v>0</v>
      </c>
      <c r="N576" s="99" t="b">
        <v>0</v>
      </c>
      <c r="O576" s="99" t="b">
        <v>0</v>
      </c>
      <c r="P576" s="99" t="b">
        <v>0</v>
      </c>
      <c r="Q576" s="99" t="b">
        <v>0</v>
      </c>
      <c r="R576" s="14"/>
      <c r="S576" s="14"/>
      <c r="T576" s="14"/>
      <c r="U576" s="14"/>
      <c r="V576" s="14"/>
      <c r="W576" s="14"/>
    </row>
    <row r="577" ht="35.25" customHeight="1">
      <c r="A577" s="92" t="s">
        <v>8608</v>
      </c>
      <c r="B577" s="93" t="s">
        <v>8609</v>
      </c>
      <c r="C577" s="94" t="s">
        <v>8610</v>
      </c>
      <c r="D577" s="24" t="s">
        <v>8611</v>
      </c>
      <c r="E577" s="96" t="str">
        <f>IFERROR(__xludf.DUMMYFUNCTION("GOOGLETRANSLATE(D577,""zh-CN"",""vi"")"),"Những người lạc quan thường có khả năng tận hưởng cuộc sống tốt hơn.")</f>
        <v>Những người lạc quan thường có khả năng tận hưởng cuộc sống tốt hơn.</v>
      </c>
      <c r="F577" s="101" t="s">
        <v>8608</v>
      </c>
      <c r="G577" s="98" t="b">
        <f t="shared" si="1"/>
        <v>1</v>
      </c>
      <c r="H577" s="99" t="b">
        <v>1</v>
      </c>
      <c r="I577" s="99" t="b">
        <v>0</v>
      </c>
      <c r="J577" s="99" t="b">
        <v>0</v>
      </c>
      <c r="K577" s="99" t="b">
        <v>0</v>
      </c>
      <c r="L577" s="99" t="b">
        <v>0</v>
      </c>
      <c r="M577" s="99" t="b">
        <v>0</v>
      </c>
      <c r="N577" s="99" t="b">
        <v>0</v>
      </c>
      <c r="O577" s="99" t="b">
        <v>0</v>
      </c>
      <c r="P577" s="99" t="b">
        <v>0</v>
      </c>
      <c r="Q577" s="99" t="b">
        <v>0</v>
      </c>
      <c r="R577" s="14"/>
      <c r="S577" s="14"/>
      <c r="T577" s="14"/>
      <c r="U577" s="14"/>
      <c r="V577" s="14"/>
      <c r="W577" s="14"/>
    </row>
    <row r="578" ht="35.25" customHeight="1">
      <c r="A578" s="92" t="s">
        <v>8616</v>
      </c>
      <c r="B578" s="93" t="s">
        <v>8617</v>
      </c>
      <c r="C578" s="94" t="s">
        <v>8618</v>
      </c>
      <c r="D578" s="24" t="s">
        <v>8619</v>
      </c>
      <c r="E578" s="96" t="str">
        <f>IFERROR(__xludf.DUMMYFUNCTION("GOOGLETRANSLATE(D578,""zh-CN"",""vi"")"),"Tia chớp lóe lên trên bầu trời.")</f>
        <v>Tia chớp lóe lên trên bầu trời.</v>
      </c>
      <c r="F578" s="101" t="s">
        <v>8616</v>
      </c>
      <c r="G578" s="98" t="b">
        <f t="shared" si="1"/>
        <v>1</v>
      </c>
      <c r="H578" s="99" t="b">
        <v>1</v>
      </c>
      <c r="I578" s="99" t="b">
        <v>0</v>
      </c>
      <c r="J578" s="99" t="b">
        <v>0</v>
      </c>
      <c r="K578" s="99" t="b">
        <v>0</v>
      </c>
      <c r="L578" s="99" t="b">
        <v>0</v>
      </c>
      <c r="M578" s="99" t="b">
        <v>0</v>
      </c>
      <c r="N578" s="99" t="b">
        <v>0</v>
      </c>
      <c r="O578" s="99" t="b">
        <v>0</v>
      </c>
      <c r="P578" s="99" t="b">
        <v>0</v>
      </c>
      <c r="Q578" s="99" t="b">
        <v>0</v>
      </c>
      <c r="R578" s="14"/>
      <c r="S578" s="14"/>
      <c r="T578" s="14"/>
      <c r="U578" s="14"/>
      <c r="V578" s="14"/>
      <c r="W578" s="14"/>
    </row>
    <row r="579" ht="35.25" customHeight="1">
      <c r="A579" s="92" t="s">
        <v>8624</v>
      </c>
      <c r="B579" s="93" t="s">
        <v>8625</v>
      </c>
      <c r="C579" s="94" t="s">
        <v>8626</v>
      </c>
      <c r="D579" s="24" t="s">
        <v>8627</v>
      </c>
      <c r="E579" s="96" t="str">
        <f>IFERROR(__xludf.DUMMYFUNCTION("GOOGLETRANSLATE(D579,""zh-CN"",""vi"")"),"Loại sách này rất được ưa chuộng.")</f>
        <v>Loại sách này rất được ưa chuộng.</v>
      </c>
      <c r="F579" s="101" t="s">
        <v>8624</v>
      </c>
      <c r="G579" s="98" t="b">
        <f t="shared" si="1"/>
        <v>1</v>
      </c>
      <c r="H579" s="99" t="b">
        <v>1</v>
      </c>
      <c r="I579" s="99" t="b">
        <v>0</v>
      </c>
      <c r="J579" s="99" t="b">
        <v>0</v>
      </c>
      <c r="K579" s="99" t="b">
        <v>0</v>
      </c>
      <c r="L579" s="99" t="b">
        <v>0</v>
      </c>
      <c r="M579" s="99" t="b">
        <v>0</v>
      </c>
      <c r="N579" s="99" t="b">
        <v>0</v>
      </c>
      <c r="O579" s="99" t="b">
        <v>0</v>
      </c>
      <c r="P579" s="99" t="b">
        <v>0</v>
      </c>
      <c r="Q579" s="99" t="b">
        <v>0</v>
      </c>
      <c r="R579" s="14"/>
      <c r="S579" s="14"/>
      <c r="T579" s="14"/>
      <c r="U579" s="14"/>
      <c r="V579" s="14"/>
      <c r="W579" s="14"/>
    </row>
    <row r="580" ht="35.25" customHeight="1">
      <c r="A580" s="92" t="s">
        <v>8632</v>
      </c>
      <c r="B580" s="93" t="s">
        <v>8633</v>
      </c>
      <c r="C580" s="94" t="s">
        <v>8634</v>
      </c>
      <c r="D580" s="24" t="s">
        <v>8635</v>
      </c>
      <c r="E580" s="96" t="str">
        <f>IFERROR(__xludf.DUMMYFUNCTION("GOOGLETRANSLATE(D580,""zh-CN"",""vi"")"),"Thái độ của cô ấy rất lạnh lùng.")</f>
        <v>Thái độ của cô ấy rất lạnh lùng.</v>
      </c>
      <c r="F580" s="101" t="s">
        <v>8632</v>
      </c>
      <c r="G580" s="98" t="b">
        <f t="shared" si="1"/>
        <v>1</v>
      </c>
      <c r="H580" s="99" t="b">
        <v>1</v>
      </c>
      <c r="I580" s="99" t="b">
        <v>0</v>
      </c>
      <c r="J580" s="99" t="b">
        <v>0</v>
      </c>
      <c r="K580" s="99" t="b">
        <v>0</v>
      </c>
      <c r="L580" s="99" t="b">
        <v>0</v>
      </c>
      <c r="M580" s="99" t="b">
        <v>0</v>
      </c>
      <c r="N580" s="99" t="b">
        <v>0</v>
      </c>
      <c r="O580" s="99" t="b">
        <v>0</v>
      </c>
      <c r="P580" s="99" t="b">
        <v>0</v>
      </c>
      <c r="Q580" s="99" t="b">
        <v>0</v>
      </c>
      <c r="R580" s="14"/>
      <c r="S580" s="14"/>
      <c r="T580" s="14"/>
      <c r="U580" s="14"/>
      <c r="V580" s="14"/>
      <c r="W580" s="14"/>
    </row>
    <row r="581" ht="35.25" customHeight="1">
      <c r="A581" s="92" t="s">
        <v>8640</v>
      </c>
      <c r="B581" s="93" t="s">
        <v>8641</v>
      </c>
      <c r="C581" s="94" t="s">
        <v>8642</v>
      </c>
      <c r="D581" s="24" t="s">
        <v>8643</v>
      </c>
      <c r="E581" s="96" t="str">
        <f>IFERROR(__xludf.DUMMYFUNCTION("GOOGLETRANSLATE(D581,""zh-CN"",""vi"")"),"Chiều cao của chiếc bàn này là năm mươi centimet.")</f>
        <v>Chiều cao của chiếc bàn này là năm mươi centimet.</v>
      </c>
      <c r="F581" s="101" t="s">
        <v>8640</v>
      </c>
      <c r="G581" s="98" t="b">
        <f t="shared" si="1"/>
        <v>1</v>
      </c>
      <c r="H581" s="99" t="b">
        <v>1</v>
      </c>
      <c r="I581" s="99" t="b">
        <v>0</v>
      </c>
      <c r="J581" s="99" t="b">
        <v>0</v>
      </c>
      <c r="K581" s="99" t="b">
        <v>0</v>
      </c>
      <c r="L581" s="99" t="b">
        <v>0</v>
      </c>
      <c r="M581" s="99" t="b">
        <v>0</v>
      </c>
      <c r="N581" s="99" t="b">
        <v>0</v>
      </c>
      <c r="O581" s="99" t="b">
        <v>0</v>
      </c>
      <c r="P581" s="99" t="b">
        <v>0</v>
      </c>
      <c r="Q581" s="99" t="b">
        <v>0</v>
      </c>
      <c r="R581" s="14"/>
      <c r="S581" s="14"/>
      <c r="T581" s="14"/>
      <c r="U581" s="14"/>
      <c r="V581" s="14"/>
      <c r="W581" s="14"/>
    </row>
    <row r="582" ht="35.25" customHeight="1">
      <c r="A582" s="92" t="s">
        <v>8648</v>
      </c>
      <c r="B582" s="93" t="s">
        <v>8649</v>
      </c>
      <c r="C582" s="94" t="s">
        <v>8650</v>
      </c>
      <c r="D582" s="24" t="s">
        <v>8651</v>
      </c>
      <c r="E582" s="96" t="str">
        <f>IFERROR(__xludf.DUMMYFUNCTION("GOOGLETRANSLATE(D582,""zh-CN"",""vi"")"),"Họ quyết định ly hôn.")</f>
        <v>Họ quyết định ly hôn.</v>
      </c>
      <c r="F582" s="101" t="s">
        <v>8648</v>
      </c>
      <c r="G582" s="98" t="b">
        <f t="shared" si="1"/>
        <v>1</v>
      </c>
      <c r="H582" s="99" t="b">
        <v>1</v>
      </c>
      <c r="I582" s="99" t="b">
        <v>0</v>
      </c>
      <c r="J582" s="99" t="b">
        <v>0</v>
      </c>
      <c r="K582" s="99" t="b">
        <v>0</v>
      </c>
      <c r="L582" s="99" t="b">
        <v>0</v>
      </c>
      <c r="M582" s="99" t="b">
        <v>0</v>
      </c>
      <c r="N582" s="99" t="b">
        <v>0</v>
      </c>
      <c r="O582" s="99" t="b">
        <v>0</v>
      </c>
      <c r="P582" s="99" t="b">
        <v>0</v>
      </c>
      <c r="Q582" s="99" t="b">
        <v>0</v>
      </c>
      <c r="R582" s="14"/>
      <c r="S582" s="14"/>
      <c r="T582" s="14"/>
      <c r="U582" s="14"/>
      <c r="V582" s="14"/>
      <c r="W582" s="14"/>
    </row>
    <row r="583" ht="35.25" customHeight="1">
      <c r="A583" s="92" t="s">
        <v>8656</v>
      </c>
      <c r="B583" s="93" t="s">
        <v>1393</v>
      </c>
      <c r="C583" s="94" t="s">
        <v>8657</v>
      </c>
      <c r="D583" s="24" t="s">
        <v>8658</v>
      </c>
      <c r="E583" s="96" t="str">
        <f>IFERROR(__xludf.DUMMYFUNCTION("GOOGLETRANSLATE(D583,""zh-CN"",""vi"")"),"Tôi thích ăn lê.")</f>
        <v>Tôi thích ăn lê.</v>
      </c>
      <c r="F583" s="101" t="s">
        <v>8656</v>
      </c>
      <c r="G583" s="98" t="b">
        <f t="shared" si="1"/>
        <v>1</v>
      </c>
      <c r="H583" s="99" t="b">
        <v>1</v>
      </c>
      <c r="I583" s="99" t="b">
        <v>0</v>
      </c>
      <c r="J583" s="99" t="b">
        <v>0</v>
      </c>
      <c r="K583" s="99" t="b">
        <v>0</v>
      </c>
      <c r="L583" s="99" t="b">
        <v>0</v>
      </c>
      <c r="M583" s="99" t="b">
        <v>0</v>
      </c>
      <c r="N583" s="99" t="b">
        <v>0</v>
      </c>
      <c r="O583" s="99" t="b">
        <v>0</v>
      </c>
      <c r="P583" s="99" t="b">
        <v>0</v>
      </c>
      <c r="Q583" s="99" t="b">
        <v>0</v>
      </c>
      <c r="R583" s="14"/>
      <c r="S583" s="14"/>
      <c r="T583" s="14"/>
      <c r="U583" s="14"/>
      <c r="V583" s="14"/>
      <c r="W583" s="14"/>
    </row>
    <row r="584" ht="35.25" customHeight="1">
      <c r="A584" s="92" t="s">
        <v>8663</v>
      </c>
      <c r="B584" s="93" t="s">
        <v>8664</v>
      </c>
      <c r="C584" s="94" t="s">
        <v>8665</v>
      </c>
      <c r="D584" s="24" t="s">
        <v>8666</v>
      </c>
      <c r="E584" s="96" t="str">
        <f>IFERROR(__xludf.DUMMYFUNCTION("GOOGLETRANSLATE(D584,""zh-CN"",""vi"")"),"Lý thuyết này rất thú vị.")</f>
        <v>Lý thuyết này rất thú vị.</v>
      </c>
      <c r="F584" s="101" t="s">
        <v>8663</v>
      </c>
      <c r="G584" s="98" t="b">
        <f t="shared" si="1"/>
        <v>1</v>
      </c>
      <c r="H584" s="99" t="b">
        <v>1</v>
      </c>
      <c r="I584" s="99" t="b">
        <v>0</v>
      </c>
      <c r="J584" s="99" t="b">
        <v>0</v>
      </c>
      <c r="K584" s="99" t="b">
        <v>0</v>
      </c>
      <c r="L584" s="99" t="b">
        <v>0</v>
      </c>
      <c r="M584" s="99" t="b">
        <v>0</v>
      </c>
      <c r="N584" s="99" t="b">
        <v>0</v>
      </c>
      <c r="O584" s="99" t="b">
        <v>0</v>
      </c>
      <c r="P584" s="99" t="b">
        <v>0</v>
      </c>
      <c r="Q584" s="99" t="b">
        <v>0</v>
      </c>
      <c r="R584" s="14"/>
      <c r="S584" s="14"/>
      <c r="T584" s="14"/>
      <c r="U584" s="14"/>
      <c r="V584" s="14"/>
      <c r="W584" s="14"/>
    </row>
    <row r="585" ht="35.25" customHeight="1">
      <c r="A585" s="92" t="s">
        <v>8670</v>
      </c>
      <c r="B585" s="93" t="s">
        <v>8671</v>
      </c>
      <c r="C585" s="94" t="s">
        <v>8672</v>
      </c>
      <c r="D585" s="24" t="s">
        <v>8673</v>
      </c>
      <c r="E585" s="96" t="str">
        <f>IFERROR(__xludf.DUMMYFUNCTION("GOOGLETRANSLATE(D585,""zh-CN"",""vi"")"),"Lý lẽ của ông ấy rất hợp lý.")</f>
        <v>Lý lẽ của ông ấy rất hợp lý.</v>
      </c>
      <c r="F585" s="101" t="s">
        <v>8670</v>
      </c>
      <c r="G585" s="98" t="b">
        <f t="shared" si="1"/>
        <v>1</v>
      </c>
      <c r="H585" s="99" t="b">
        <v>1</v>
      </c>
      <c r="I585" s="99" t="b">
        <v>0</v>
      </c>
      <c r="J585" s="99" t="b">
        <v>0</v>
      </c>
      <c r="K585" s="99" t="b">
        <v>0</v>
      </c>
      <c r="L585" s="99" t="b">
        <v>0</v>
      </c>
      <c r="M585" s="99" t="b">
        <v>0</v>
      </c>
      <c r="N585" s="99" t="b">
        <v>0</v>
      </c>
      <c r="O585" s="99" t="b">
        <v>0</v>
      </c>
      <c r="P585" s="99" t="b">
        <v>0</v>
      </c>
      <c r="Q585" s="99" t="b">
        <v>0</v>
      </c>
      <c r="R585" s="14"/>
      <c r="S585" s="14"/>
      <c r="T585" s="14"/>
      <c r="U585" s="14"/>
      <c r="V585" s="14"/>
      <c r="W585" s="14"/>
    </row>
    <row r="586" ht="35.25" customHeight="1">
      <c r="A586" s="92" t="s">
        <v>8678</v>
      </c>
      <c r="B586" s="93" t="s">
        <v>8679</v>
      </c>
      <c r="C586" s="94" t="s">
        <v>8680</v>
      </c>
      <c r="D586" s="24" t="s">
        <v>8681</v>
      </c>
      <c r="E586" s="96" t="str">
        <f>IFERROR(__xludf.DUMMYFUNCTION("GOOGLETRANSLATE(D586,""zh-CN"",""vi"")"),"Chúng ta cần thêm sức mạnh.")</f>
        <v>Chúng ta cần thêm sức mạnh.</v>
      </c>
      <c r="F586" s="101" t="s">
        <v>8678</v>
      </c>
      <c r="G586" s="98" t="b">
        <f t="shared" si="1"/>
        <v>1</v>
      </c>
      <c r="H586" s="99" t="b">
        <v>1</v>
      </c>
      <c r="I586" s="99" t="b">
        <v>0</v>
      </c>
      <c r="J586" s="99" t="b">
        <v>0</v>
      </c>
      <c r="K586" s="99" t="b">
        <v>0</v>
      </c>
      <c r="L586" s="99" t="b">
        <v>0</v>
      </c>
      <c r="M586" s="99" t="b">
        <v>0</v>
      </c>
      <c r="N586" s="99" t="b">
        <v>0</v>
      </c>
      <c r="O586" s="99" t="b">
        <v>0</v>
      </c>
      <c r="P586" s="99" t="b">
        <v>0</v>
      </c>
      <c r="Q586" s="99" t="b">
        <v>0</v>
      </c>
      <c r="R586" s="14"/>
      <c r="S586" s="14"/>
      <c r="T586" s="14"/>
      <c r="U586" s="14"/>
      <c r="V586" s="14"/>
      <c r="W586" s="14"/>
    </row>
    <row r="587" ht="35.25" customHeight="1">
      <c r="A587" s="92" t="s">
        <v>8686</v>
      </c>
      <c r="B587" s="93" t="s">
        <v>8687</v>
      </c>
      <c r="C587" s="94" t="s">
        <v>8688</v>
      </c>
      <c r="D587" s="24" t="s">
        <v>8689</v>
      </c>
      <c r="E587" s="96" t="str">
        <f>IFERROR(__xludf.DUMMYFUNCTION("GOOGLETRANSLATE(D587,""zh-CN"",""vi"")"),"Hãy giải quyết vấn đề này ngay lập tức.")</f>
        <v>Hãy giải quyết vấn đề này ngay lập tức.</v>
      </c>
      <c r="F587" s="101" t="s">
        <v>8686</v>
      </c>
      <c r="G587" s="98" t="b">
        <f t="shared" si="1"/>
        <v>1</v>
      </c>
      <c r="H587" s="99" t="b">
        <v>1</v>
      </c>
      <c r="I587" s="99" t="b">
        <v>0</v>
      </c>
      <c r="J587" s="99" t="b">
        <v>0</v>
      </c>
      <c r="K587" s="99" t="b">
        <v>0</v>
      </c>
      <c r="L587" s="99" t="b">
        <v>0</v>
      </c>
      <c r="M587" s="99" t="b">
        <v>0</v>
      </c>
      <c r="N587" s="99" t="b">
        <v>0</v>
      </c>
      <c r="O587" s="99" t="b">
        <v>0</v>
      </c>
      <c r="P587" s="99" t="b">
        <v>0</v>
      </c>
      <c r="Q587" s="99" t="b">
        <v>0</v>
      </c>
      <c r="R587" s="14"/>
      <c r="S587" s="14"/>
      <c r="T587" s="14"/>
      <c r="U587" s="14"/>
      <c r="V587" s="14"/>
      <c r="W587" s="14"/>
    </row>
    <row r="588" ht="35.25" customHeight="1">
      <c r="A588" s="92" t="s">
        <v>8694</v>
      </c>
      <c r="B588" s="93" t="s">
        <v>8695</v>
      </c>
      <c r="C588" s="94" t="s">
        <v>8688</v>
      </c>
      <c r="D588" s="24" t="s">
        <v>8696</v>
      </c>
      <c r="E588" s="96" t="str">
        <f>IFERROR(__xludf.DUMMYFUNCTION("GOOGLETRANSLATE(D588,""zh-CN"",""vi"")"),"Anh ấy đã lập tức đến giúp.")</f>
        <v>Anh ấy đã lập tức đến giúp.</v>
      </c>
      <c r="F588" s="101" t="s">
        <v>8694</v>
      </c>
      <c r="G588" s="98" t="b">
        <f t="shared" si="1"/>
        <v>1</v>
      </c>
      <c r="H588" s="99" t="b">
        <v>1</v>
      </c>
      <c r="I588" s="99" t="b">
        <v>0</v>
      </c>
      <c r="J588" s="99" t="b">
        <v>0</v>
      </c>
      <c r="K588" s="99" t="b">
        <v>0</v>
      </c>
      <c r="L588" s="99" t="b">
        <v>0</v>
      </c>
      <c r="M588" s="99" t="b">
        <v>0</v>
      </c>
      <c r="N588" s="99" t="b">
        <v>0</v>
      </c>
      <c r="O588" s="99" t="b">
        <v>0</v>
      </c>
      <c r="P588" s="99" t="b">
        <v>0</v>
      </c>
      <c r="Q588" s="99" t="b">
        <v>0</v>
      </c>
      <c r="R588" s="14"/>
      <c r="S588" s="14"/>
      <c r="T588" s="14"/>
      <c r="U588" s="14"/>
      <c r="V588" s="14"/>
      <c r="W588" s="14"/>
    </row>
    <row r="589" ht="35.25" customHeight="1">
      <c r="A589" s="92" t="s">
        <v>8701</v>
      </c>
      <c r="B589" s="93" t="s">
        <v>8702</v>
      </c>
      <c r="C589" s="94" t="s">
        <v>8703</v>
      </c>
      <c r="D589" s="24" t="s">
        <v>8704</v>
      </c>
      <c r="E589" s="96" t="str">
        <f>IFERROR(__xludf.DUMMYFUNCTION("GOOGLETRANSLATE(D589,""zh-CN"",""vi"")"),"Lợi nhuận của công ty đã tăng lên.")</f>
        <v>Lợi nhuận của công ty đã tăng lên.</v>
      </c>
      <c r="F589" s="101" t="s">
        <v>8701</v>
      </c>
      <c r="G589" s="98" t="b">
        <f t="shared" si="1"/>
        <v>1</v>
      </c>
      <c r="H589" s="99" t="b">
        <v>1</v>
      </c>
      <c r="I589" s="99" t="b">
        <v>0</v>
      </c>
      <c r="J589" s="99" t="b">
        <v>0</v>
      </c>
      <c r="K589" s="99" t="b">
        <v>0</v>
      </c>
      <c r="L589" s="99" t="b">
        <v>0</v>
      </c>
      <c r="M589" s="99" t="b">
        <v>0</v>
      </c>
      <c r="N589" s="99" t="b">
        <v>0</v>
      </c>
      <c r="O589" s="99" t="b">
        <v>0</v>
      </c>
      <c r="P589" s="99" t="b">
        <v>0</v>
      </c>
      <c r="Q589" s="99" t="b">
        <v>0</v>
      </c>
      <c r="R589" s="14"/>
      <c r="S589" s="14"/>
      <c r="T589" s="14"/>
      <c r="U589" s="14"/>
      <c r="V589" s="14"/>
      <c r="W589" s="14"/>
    </row>
    <row r="590" ht="35.25" customHeight="1">
      <c r="A590" s="92" t="s">
        <v>8709</v>
      </c>
      <c r="B590" s="93" t="s">
        <v>8710</v>
      </c>
      <c r="C590" s="94" t="s">
        <v>8711</v>
      </c>
      <c r="D590" s="24" t="s">
        <v>8712</v>
      </c>
      <c r="E590" s="96" t="str">
        <f>IFERROR(__xludf.DUMMYFUNCTION("GOOGLETRANSLATE(D590,""zh-CN"",""vi"")"),"Lãi suất cho vay rất cao.")</f>
        <v>Lãi suất cho vay rất cao.</v>
      </c>
      <c r="F590" s="101" t="s">
        <v>8709</v>
      </c>
      <c r="G590" s="98" t="b">
        <f t="shared" si="1"/>
        <v>1</v>
      </c>
      <c r="H590" s="99" t="b">
        <v>1</v>
      </c>
      <c r="I590" s="99" t="b">
        <v>0</v>
      </c>
      <c r="J590" s="99" t="b">
        <v>0</v>
      </c>
      <c r="K590" s="99" t="b">
        <v>0</v>
      </c>
      <c r="L590" s="99" t="b">
        <v>0</v>
      </c>
      <c r="M590" s="99" t="b">
        <v>0</v>
      </c>
      <c r="N590" s="99" t="b">
        <v>0</v>
      </c>
      <c r="O590" s="99" t="b">
        <v>0</v>
      </c>
      <c r="P590" s="99" t="b">
        <v>0</v>
      </c>
      <c r="Q590" s="99" t="b">
        <v>0</v>
      </c>
      <c r="R590" s="14"/>
      <c r="S590" s="14"/>
      <c r="T590" s="14"/>
      <c r="U590" s="14"/>
      <c r="V590" s="14"/>
      <c r="W590" s="14"/>
    </row>
    <row r="591" ht="35.25" customHeight="1">
      <c r="A591" s="92" t="s">
        <v>8717</v>
      </c>
      <c r="B591" s="93" t="s">
        <v>8718</v>
      </c>
      <c r="C591" s="94" t="s">
        <v>8719</v>
      </c>
      <c r="D591" s="24" t="s">
        <v>8720</v>
      </c>
      <c r="E591" s="96" t="str">
        <f>IFERROR(__xludf.DUMMYFUNCTION("GOOGLETRANSLATE(D591,""zh-CN"",""vi"")"),"Lợi ích của họ không trùng khớp.")</f>
        <v>Lợi ích của họ không trùng khớp.</v>
      </c>
      <c r="F591" s="101" t="s">
        <v>8717</v>
      </c>
      <c r="G591" s="98" t="b">
        <f t="shared" si="1"/>
        <v>1</v>
      </c>
      <c r="H591" s="99" t="b">
        <v>1</v>
      </c>
      <c r="I591" s="99" t="b">
        <v>0</v>
      </c>
      <c r="J591" s="99" t="b">
        <v>0</v>
      </c>
      <c r="K591" s="99" t="b">
        <v>0</v>
      </c>
      <c r="L591" s="99" t="b">
        <v>0</v>
      </c>
      <c r="M591" s="99" t="b">
        <v>0</v>
      </c>
      <c r="N591" s="99" t="b">
        <v>0</v>
      </c>
      <c r="O591" s="99" t="b">
        <v>0</v>
      </c>
      <c r="P591" s="99" t="b">
        <v>0</v>
      </c>
      <c r="Q591" s="99" t="b">
        <v>0</v>
      </c>
      <c r="R591" s="14"/>
      <c r="S591" s="14"/>
      <c r="T591" s="14"/>
      <c r="U591" s="14"/>
      <c r="V591" s="14"/>
      <c r="W591" s="14"/>
    </row>
    <row r="592" ht="35.25" customHeight="1">
      <c r="A592" s="92" t="s">
        <v>8725</v>
      </c>
      <c r="B592" s="93" t="s">
        <v>8726</v>
      </c>
      <c r="C592" s="94" t="s">
        <v>8727</v>
      </c>
      <c r="D592" s="24" t="s">
        <v>8728</v>
      </c>
      <c r="E592" s="96" t="str">
        <f>IFERROR(__xludf.DUMMYFUNCTION("GOOGLETRANSLATE(D592,""zh-CN"",""vi"")"),"Anh ấy sử dụng nguồn lực của mình để giúp đỡ người khác.")</f>
        <v>Anh ấy sử dụng nguồn lực của mình để giúp đỡ người khác.</v>
      </c>
      <c r="F592" s="101" t="s">
        <v>8725</v>
      </c>
      <c r="G592" s="98" t="b">
        <f t="shared" si="1"/>
        <v>1</v>
      </c>
      <c r="H592" s="99" t="b">
        <v>1</v>
      </c>
      <c r="I592" s="99" t="b">
        <v>0</v>
      </c>
      <c r="J592" s="99" t="b">
        <v>0</v>
      </c>
      <c r="K592" s="99" t="b">
        <v>0</v>
      </c>
      <c r="L592" s="99" t="b">
        <v>0</v>
      </c>
      <c r="M592" s="99" t="b">
        <v>0</v>
      </c>
      <c r="N592" s="99" t="b">
        <v>0</v>
      </c>
      <c r="O592" s="99" t="b">
        <v>0</v>
      </c>
      <c r="P592" s="99" t="b">
        <v>0</v>
      </c>
      <c r="Q592" s="99" t="b">
        <v>0</v>
      </c>
      <c r="R592" s="14"/>
      <c r="S592" s="14"/>
      <c r="T592" s="14"/>
      <c r="U592" s="14"/>
      <c r="V592" s="14"/>
      <c r="W592" s="14"/>
    </row>
    <row r="593" ht="35.25" customHeight="1">
      <c r="A593" s="92" t="s">
        <v>8733</v>
      </c>
      <c r="B593" s="93" t="s">
        <v>8734</v>
      </c>
      <c r="C593" s="94" t="s">
        <v>8735</v>
      </c>
      <c r="D593" s="24" t="s">
        <v>8736</v>
      </c>
      <c r="E593" s="96" t="str">
        <f>IFERROR(__xludf.DUMMYFUNCTION("GOOGLETRANSLATE(D593,""zh-CN"",""vi"")"),"Anh ấy nhanh chóng nhấc máy.")</f>
        <v>Anh ấy nhanh chóng nhấc máy.</v>
      </c>
      <c r="F593" s="101" t="s">
        <v>8733</v>
      </c>
      <c r="G593" s="98" t="b">
        <f t="shared" si="1"/>
        <v>1</v>
      </c>
      <c r="H593" s="99" t="b">
        <v>1</v>
      </c>
      <c r="I593" s="99" t="b">
        <v>0</v>
      </c>
      <c r="J593" s="99" t="b">
        <v>0</v>
      </c>
      <c r="K593" s="99" t="b">
        <v>0</v>
      </c>
      <c r="L593" s="99" t="b">
        <v>0</v>
      </c>
      <c r="M593" s="99" t="b">
        <v>0</v>
      </c>
      <c r="N593" s="99" t="b">
        <v>0</v>
      </c>
      <c r="O593" s="99" t="b">
        <v>0</v>
      </c>
      <c r="P593" s="99" t="b">
        <v>0</v>
      </c>
      <c r="Q593" s="99" t="b">
        <v>0</v>
      </c>
      <c r="R593" s="14"/>
      <c r="S593" s="14"/>
      <c r="T593" s="14"/>
      <c r="U593" s="14"/>
      <c r="V593" s="14"/>
      <c r="W593" s="14"/>
    </row>
    <row r="594" ht="35.25" customHeight="1">
      <c r="A594" s="92" t="s">
        <v>8741</v>
      </c>
      <c r="B594" s="93" t="s">
        <v>8742</v>
      </c>
      <c r="C594" s="94" t="s">
        <v>8743</v>
      </c>
      <c r="D594" s="24" t="s">
        <v>8744</v>
      </c>
      <c r="E594" s="96" t="str">
        <f>IFERROR(__xludf.DUMMYFUNCTION("GOOGLETRANSLATE(D594,""zh-CN"",""vi"")"),"Các máy móc này hoạt động liên tục.")</f>
        <v>Các máy móc này hoạt động liên tục.</v>
      </c>
      <c r="F594" s="101" t="s">
        <v>8741</v>
      </c>
      <c r="G594" s="98" t="b">
        <f t="shared" si="1"/>
        <v>1</v>
      </c>
      <c r="H594" s="99" t="b">
        <v>1</v>
      </c>
      <c r="I594" s="99" t="b">
        <v>0</v>
      </c>
      <c r="J594" s="99" t="b">
        <v>0</v>
      </c>
      <c r="K594" s="99" t="b">
        <v>0</v>
      </c>
      <c r="L594" s="99" t="b">
        <v>0</v>
      </c>
      <c r="M594" s="99" t="b">
        <v>0</v>
      </c>
      <c r="N594" s="99" t="b">
        <v>0</v>
      </c>
      <c r="O594" s="99" t="b">
        <v>0</v>
      </c>
      <c r="P594" s="99" t="b">
        <v>0</v>
      </c>
      <c r="Q594" s="99" t="b">
        <v>0</v>
      </c>
      <c r="R594" s="14"/>
      <c r="S594" s="14"/>
      <c r="T594" s="14"/>
      <c r="U594" s="14"/>
      <c r="V594" s="14"/>
      <c r="W594" s="14"/>
    </row>
    <row r="595" ht="35.25" customHeight="1">
      <c r="A595" s="92" t="s">
        <v>8748</v>
      </c>
      <c r="B595" s="93" t="s">
        <v>8749</v>
      </c>
      <c r="C595" s="94" t="s">
        <v>8750</v>
      </c>
      <c r="D595" s="24" t="s">
        <v>8751</v>
      </c>
      <c r="E595" s="96" t="str">
        <f>IFERROR(__xludf.DUMMYFUNCTION("GOOGLETRANSLATE(D595,""zh-CN"",""vi"")"),"Nhóm của chúng tôi là một liên doanh.")</f>
        <v>Nhóm của chúng tôi là một liên doanh.</v>
      </c>
      <c r="F595" s="101" t="s">
        <v>8748</v>
      </c>
      <c r="G595" s="98" t="b">
        <f t="shared" si="1"/>
        <v>1</v>
      </c>
      <c r="H595" s="99" t="b">
        <v>1</v>
      </c>
      <c r="I595" s="99" t="b">
        <v>0</v>
      </c>
      <c r="J595" s="99" t="b">
        <v>0</v>
      </c>
      <c r="K595" s="99" t="b">
        <v>0</v>
      </c>
      <c r="L595" s="99" t="b">
        <v>0</v>
      </c>
      <c r="M595" s="99" t="b">
        <v>0</v>
      </c>
      <c r="N595" s="99" t="b">
        <v>0</v>
      </c>
      <c r="O595" s="99" t="b">
        <v>0</v>
      </c>
      <c r="P595" s="99" t="b">
        <v>0</v>
      </c>
      <c r="Q595" s="99" t="b">
        <v>0</v>
      </c>
      <c r="R595" s="14"/>
      <c r="S595" s="14"/>
      <c r="T595" s="14"/>
      <c r="U595" s="14"/>
      <c r="V595" s="14"/>
      <c r="W595" s="14"/>
    </row>
    <row r="596" ht="35.25" customHeight="1">
      <c r="A596" s="92" t="s">
        <v>8756</v>
      </c>
      <c r="B596" s="93" t="s">
        <v>8757</v>
      </c>
      <c r="C596" s="94" t="s">
        <v>8758</v>
      </c>
      <c r="D596" s="24" t="s">
        <v>8759</v>
      </c>
      <c r="E596" s="96" t="str">
        <f>IFERROR(__xludf.DUMMYFUNCTION("GOOGLETRANSLATE(D596,""zh-CN"",""vi"")"),"Chúng tôi đang yêu nhau.")</f>
        <v>Chúng tôi đang yêu nhau.</v>
      </c>
      <c r="F596" s="101" t="s">
        <v>8756</v>
      </c>
      <c r="G596" s="98" t="b">
        <f t="shared" si="1"/>
        <v>1</v>
      </c>
      <c r="H596" s="99" t="b">
        <v>1</v>
      </c>
      <c r="I596" s="99" t="b">
        <v>0</v>
      </c>
      <c r="J596" s="99" t="b">
        <v>0</v>
      </c>
      <c r="K596" s="99" t="b">
        <v>0</v>
      </c>
      <c r="L596" s="99" t="b">
        <v>0</v>
      </c>
      <c r="M596" s="99" t="b">
        <v>0</v>
      </c>
      <c r="N596" s="99" t="b">
        <v>0</v>
      </c>
      <c r="O596" s="99" t="b">
        <v>0</v>
      </c>
      <c r="P596" s="99" t="b">
        <v>0</v>
      </c>
      <c r="Q596" s="99" t="b">
        <v>0</v>
      </c>
      <c r="R596" s="14"/>
      <c r="S596" s="14"/>
      <c r="T596" s="14"/>
      <c r="U596" s="14"/>
      <c r="V596" s="14"/>
      <c r="W596" s="14"/>
    </row>
    <row r="597" ht="35.25" customHeight="1">
      <c r="A597" s="92" t="s">
        <v>8762</v>
      </c>
      <c r="B597" s="93" t="s">
        <v>8763</v>
      </c>
      <c r="C597" s="94" t="s">
        <v>8764</v>
      </c>
      <c r="D597" s="24" t="s">
        <v>8765</v>
      </c>
      <c r="E597" s="96" t="str">
        <f>IFERROR(__xludf.DUMMYFUNCTION("GOOGLETRANSLATE(D597,""zh-CN"",""vi"")"),"Đây là một thói quen tốt.")</f>
        <v>Đây là một thói quen tốt.</v>
      </c>
      <c r="F597" s="101" t="s">
        <v>8762</v>
      </c>
      <c r="G597" s="98" t="b">
        <f t="shared" si="1"/>
        <v>1</v>
      </c>
      <c r="H597" s="99" t="b">
        <v>1</v>
      </c>
      <c r="I597" s="99" t="b">
        <v>0</v>
      </c>
      <c r="J597" s="99" t="b">
        <v>0</v>
      </c>
      <c r="K597" s="99" t="b">
        <v>0</v>
      </c>
      <c r="L597" s="99" t="b">
        <v>0</v>
      </c>
      <c r="M597" s="99" t="b">
        <v>0</v>
      </c>
      <c r="N597" s="99" t="b">
        <v>0</v>
      </c>
      <c r="O597" s="99" t="b">
        <v>0</v>
      </c>
      <c r="P597" s="99" t="b">
        <v>0</v>
      </c>
      <c r="Q597" s="99" t="b">
        <v>0</v>
      </c>
      <c r="R597" s="14"/>
      <c r="S597" s="14"/>
      <c r="T597" s="14"/>
      <c r="U597" s="14"/>
      <c r="V597" s="14"/>
      <c r="W597" s="14"/>
    </row>
    <row r="598" ht="35.25" customHeight="1">
      <c r="A598" s="92" t="s">
        <v>8770</v>
      </c>
      <c r="B598" s="93" t="s">
        <v>8771</v>
      </c>
      <c r="C598" s="94" t="s">
        <v>8772</v>
      </c>
      <c r="D598" s="24" t="s">
        <v>8773</v>
      </c>
      <c r="E598" s="96" t="str">
        <f>IFERROR(__xludf.DUMMYFUNCTION("GOOGLETRANSLATE(D598,""zh-CN"",""vi"")"),"Cửa hàng này bán nhiều loại ngũ cốc khác nhau.")</f>
        <v>Cửa hàng này bán nhiều loại ngũ cốc khác nhau.</v>
      </c>
      <c r="F598" s="101" t="s">
        <v>8770</v>
      </c>
      <c r="G598" s="98" t="b">
        <f t="shared" si="1"/>
        <v>1</v>
      </c>
      <c r="H598" s="99" t="b">
        <v>1</v>
      </c>
      <c r="I598" s="99" t="b">
        <v>0</v>
      </c>
      <c r="J598" s="99" t="b">
        <v>0</v>
      </c>
      <c r="K598" s="99" t="b">
        <v>0</v>
      </c>
      <c r="L598" s="99" t="b">
        <v>0</v>
      </c>
      <c r="M598" s="99" t="b">
        <v>0</v>
      </c>
      <c r="N598" s="99" t="b">
        <v>0</v>
      </c>
      <c r="O598" s="99" t="b">
        <v>0</v>
      </c>
      <c r="P598" s="99" t="b">
        <v>0</v>
      </c>
      <c r="Q598" s="99" t="b">
        <v>0</v>
      </c>
      <c r="R598" s="14"/>
      <c r="S598" s="14"/>
      <c r="T598" s="14"/>
      <c r="U598" s="14"/>
      <c r="V598" s="14"/>
      <c r="W598" s="14"/>
    </row>
    <row r="599" ht="35.25" customHeight="1">
      <c r="A599" s="92" t="s">
        <v>8778</v>
      </c>
      <c r="B599" s="93" t="s">
        <v>2318</v>
      </c>
      <c r="C599" s="94" t="s">
        <v>8779</v>
      </c>
      <c r="D599" s="24" t="s">
        <v>8780</v>
      </c>
      <c r="E599" s="96" t="str">
        <f>IFERROR(__xludf.DUMMYFUNCTION("GOOGLETRANSLATE(D599,""zh-CN"",""vi"")"),"Trời đã sáng.")</f>
        <v>Trời đã sáng.</v>
      </c>
      <c r="F599" s="101" t="s">
        <v>8778</v>
      </c>
      <c r="G599" s="98" t="b">
        <f t="shared" si="1"/>
        <v>1</v>
      </c>
      <c r="H599" s="99" t="b">
        <v>1</v>
      </c>
      <c r="I599" s="99" t="b">
        <v>0</v>
      </c>
      <c r="J599" s="99" t="b">
        <v>0</v>
      </c>
      <c r="K599" s="99" t="b">
        <v>0</v>
      </c>
      <c r="L599" s="99" t="b">
        <v>0</v>
      </c>
      <c r="M599" s="99" t="b">
        <v>0</v>
      </c>
      <c r="N599" s="99" t="b">
        <v>0</v>
      </c>
      <c r="O599" s="99" t="b">
        <v>0</v>
      </c>
      <c r="P599" s="99" t="b">
        <v>0</v>
      </c>
      <c r="Q599" s="99" t="b">
        <v>0</v>
      </c>
      <c r="R599" s="14"/>
      <c r="S599" s="14"/>
      <c r="T599" s="14"/>
      <c r="U599" s="14"/>
      <c r="V599" s="14"/>
      <c r="W599" s="14"/>
    </row>
    <row r="600" ht="35.25" customHeight="1">
      <c r="A600" s="92" t="s">
        <v>8785</v>
      </c>
      <c r="B600" s="93" t="s">
        <v>8786</v>
      </c>
      <c r="C600" s="94" t="s">
        <v>8787</v>
      </c>
      <c r="D600" s="24" t="s">
        <v>8788</v>
      </c>
      <c r="E600" s="96" t="str">
        <f>IFERROR(__xludf.DUMMYFUNCTION("GOOGLETRANSLATE(D600,""zh-CN"",""vi"")"),"Những việc anh ấy làm thực sự rất đáng chú ý.")</f>
        <v>Những việc anh ấy làm thực sự rất đáng chú ý.</v>
      </c>
      <c r="F600" s="101" t="s">
        <v>8785</v>
      </c>
      <c r="G600" s="98" t="b">
        <f t="shared" si="1"/>
        <v>1</v>
      </c>
      <c r="H600" s="99" t="b">
        <v>1</v>
      </c>
      <c r="I600" s="99" t="b">
        <v>0</v>
      </c>
      <c r="J600" s="99" t="b">
        <v>0</v>
      </c>
      <c r="K600" s="99" t="b">
        <v>0</v>
      </c>
      <c r="L600" s="99" t="b">
        <v>0</v>
      </c>
      <c r="M600" s="99" t="b">
        <v>0</v>
      </c>
      <c r="N600" s="99" t="b">
        <v>0</v>
      </c>
      <c r="O600" s="99" t="b">
        <v>0</v>
      </c>
      <c r="P600" s="99" t="b">
        <v>0</v>
      </c>
      <c r="Q600" s="99" t="b">
        <v>0</v>
      </c>
      <c r="R600" s="14"/>
      <c r="S600" s="14"/>
      <c r="T600" s="14"/>
      <c r="U600" s="14"/>
      <c r="V600" s="14"/>
      <c r="W600" s="14"/>
    </row>
    <row r="601" ht="35.25" customHeight="1">
      <c r="A601" s="92" t="s">
        <v>8793</v>
      </c>
      <c r="B601" s="93" t="s">
        <v>8794</v>
      </c>
      <c r="C601" s="94" t="s">
        <v>8795</v>
      </c>
      <c r="D601" s="24" t="s">
        <v>8796</v>
      </c>
      <c r="E601" s="96" t="str">
        <f>IFERROR(__xludf.DUMMYFUNCTION("GOOGLETRANSLATE(D601,""zh-CN"",""vi"")"),"Chuyến tàu sẽ khởi hành vào sáng mai.")</f>
        <v>Chuyến tàu sẽ khởi hành vào sáng mai.</v>
      </c>
      <c r="F601" s="101" t="s">
        <v>8793</v>
      </c>
      <c r="G601" s="98" t="b">
        <f t="shared" si="1"/>
        <v>1</v>
      </c>
      <c r="H601" s="99" t="b">
        <v>1</v>
      </c>
      <c r="I601" s="99" t="b">
        <v>0</v>
      </c>
      <c r="J601" s="99" t="b">
        <v>0</v>
      </c>
      <c r="K601" s="99" t="b">
        <v>0</v>
      </c>
      <c r="L601" s="99" t="b">
        <v>0</v>
      </c>
      <c r="M601" s="99" t="b">
        <v>0</v>
      </c>
      <c r="N601" s="99" t="b">
        <v>0</v>
      </c>
      <c r="O601" s="99" t="b">
        <v>0</v>
      </c>
      <c r="P601" s="99" t="b">
        <v>0</v>
      </c>
      <c r="Q601" s="99" t="b">
        <v>0</v>
      </c>
      <c r="R601" s="14"/>
      <c r="S601" s="14"/>
      <c r="T601" s="14"/>
      <c r="U601" s="14"/>
      <c r="V601" s="14"/>
      <c r="W601" s="14"/>
    </row>
    <row r="602" ht="35.25" customHeight="1">
      <c r="A602" s="92" t="s">
        <v>8801</v>
      </c>
      <c r="B602" s="93" t="s">
        <v>8802</v>
      </c>
      <c r="C602" s="94" t="s">
        <v>8803</v>
      </c>
      <c r="D602" s="24" t="s">
        <v>8804</v>
      </c>
      <c r="E602" s="96" t="str">
        <f>IFERROR(__xludf.DUMMYFUNCTION("GOOGLETRANSLATE(D602,""zh-CN"",""vi"")"),"Chúng ta cần một giải pháp tạm thời.")</f>
        <v>Chúng ta cần một giải pháp tạm thời.</v>
      </c>
      <c r="F602" s="101" t="s">
        <v>8801</v>
      </c>
      <c r="G602" s="98" t="b">
        <f t="shared" si="1"/>
        <v>1</v>
      </c>
      <c r="H602" s="99" t="b">
        <v>1</v>
      </c>
      <c r="I602" s="99" t="b">
        <v>0</v>
      </c>
      <c r="J602" s="99" t="b">
        <v>0</v>
      </c>
      <c r="K602" s="99" t="b">
        <v>0</v>
      </c>
      <c r="L602" s="99" t="b">
        <v>0</v>
      </c>
      <c r="M602" s="99" t="b">
        <v>0</v>
      </c>
      <c r="N602" s="99" t="b">
        <v>0</v>
      </c>
      <c r="O602" s="99" t="b">
        <v>0</v>
      </c>
      <c r="P602" s="99" t="b">
        <v>0</v>
      </c>
      <c r="Q602" s="99" t="b">
        <v>0</v>
      </c>
      <c r="R602" s="14"/>
      <c r="S602" s="14"/>
      <c r="T602" s="14"/>
      <c r="U602" s="14"/>
      <c r="V602" s="14"/>
      <c r="W602" s="14"/>
    </row>
    <row r="603" ht="35.25" customHeight="1">
      <c r="A603" s="92" t="s">
        <v>8809</v>
      </c>
      <c r="B603" s="93" t="s">
        <v>8810</v>
      </c>
      <c r="C603" s="94" t="s">
        <v>8811</v>
      </c>
      <c r="D603" s="24" t="s">
        <v>8812</v>
      </c>
      <c r="E603" s="96" t="str">
        <f>IFERROR(__xludf.DUMMYFUNCTION("GOOGLETRANSLATE(D603,""zh-CN"",""vi"")"),"Cô ấy có một tư duy rất linh hoạt.")</f>
        <v>Cô ấy có một tư duy rất linh hoạt.</v>
      </c>
      <c r="F603" s="101" t="s">
        <v>8809</v>
      </c>
      <c r="G603" s="98" t="b">
        <f t="shared" si="1"/>
        <v>1</v>
      </c>
      <c r="H603" s="99" t="b">
        <v>0</v>
      </c>
      <c r="I603" s="99" t="b">
        <v>0</v>
      </c>
      <c r="J603" s="99" t="b">
        <v>0</v>
      </c>
      <c r="K603" s="99" t="b">
        <v>0</v>
      </c>
      <c r="L603" s="99" t="b">
        <v>0</v>
      </c>
      <c r="M603" s="99" t="b">
        <v>0</v>
      </c>
      <c r="N603" s="99" t="b">
        <v>0</v>
      </c>
      <c r="O603" s="99" t="b">
        <v>0</v>
      </c>
      <c r="P603" s="99" t="b">
        <v>0</v>
      </c>
      <c r="Q603" s="99" t="b">
        <v>0</v>
      </c>
      <c r="R603" s="14"/>
      <c r="S603" s="14"/>
      <c r="T603" s="14"/>
      <c r="U603" s="14"/>
      <c r="V603" s="14"/>
      <c r="W603" s="14"/>
    </row>
    <row r="604" ht="35.25" customHeight="1">
      <c r="A604" s="92" t="s">
        <v>8817</v>
      </c>
      <c r="B604" s="93" t="s">
        <v>747</v>
      </c>
      <c r="C604" s="94" t="s">
        <v>8818</v>
      </c>
      <c r="D604" s="24" t="s">
        <v>8819</v>
      </c>
      <c r="E604" s="96" t="str">
        <f>IFERROR(__xludf.DUMMYFUNCTION("GOOGLETRANSLATE(D604,""zh-CN"",""vi"")"),"Anh ấy đánh thức tôi bằng tiếng chuông.")</f>
        <v>Anh ấy đánh thức tôi bằng tiếng chuông.</v>
      </c>
      <c r="F604" s="101" t="s">
        <v>8817</v>
      </c>
      <c r="G604" s="98" t="b">
        <f t="shared" si="1"/>
        <v>1</v>
      </c>
      <c r="H604" s="99" t="b">
        <v>0</v>
      </c>
      <c r="I604" s="99" t="b">
        <v>0</v>
      </c>
      <c r="J604" s="99" t="b">
        <v>0</v>
      </c>
      <c r="K604" s="99" t="b">
        <v>0</v>
      </c>
      <c r="L604" s="99" t="b">
        <v>0</v>
      </c>
      <c r="M604" s="99" t="b">
        <v>0</v>
      </c>
      <c r="N604" s="99" t="b">
        <v>0</v>
      </c>
      <c r="O604" s="99" t="b">
        <v>0</v>
      </c>
      <c r="P604" s="99" t="b">
        <v>0</v>
      </c>
      <c r="Q604" s="99" t="b">
        <v>0</v>
      </c>
      <c r="R604" s="14"/>
      <c r="S604" s="14"/>
      <c r="T604" s="14"/>
      <c r="U604" s="14"/>
      <c r="V604" s="14"/>
      <c r="W604" s="14"/>
    </row>
    <row r="605" ht="35.25" customHeight="1">
      <c r="A605" s="92" t="s">
        <v>8824</v>
      </c>
      <c r="B605" s="93" t="s">
        <v>8825</v>
      </c>
      <c r="C605" s="94" t="s">
        <v>8826</v>
      </c>
      <c r="D605" s="24" t="s">
        <v>8827</v>
      </c>
      <c r="E605" s="96" t="str">
        <f>IFERROR(__xludf.DUMMYFUNCTION("GOOGLETRANSLATE(D605,""zh-CN"",""vi"")"),"Cỗ máy này có các bộ phận rất phức tạp.")</f>
        <v>Cỗ máy này có các bộ phận rất phức tạp.</v>
      </c>
      <c r="F605" s="101" t="s">
        <v>8824</v>
      </c>
      <c r="G605" s="98" t="b">
        <f t="shared" si="1"/>
        <v>1</v>
      </c>
      <c r="H605" s="99" t="b">
        <v>0</v>
      </c>
      <c r="I605" s="99" t="b">
        <v>0</v>
      </c>
      <c r="J605" s="99" t="b">
        <v>0</v>
      </c>
      <c r="K605" s="99" t="b">
        <v>0</v>
      </c>
      <c r="L605" s="99" t="b">
        <v>0</v>
      </c>
      <c r="M605" s="99" t="b">
        <v>0</v>
      </c>
      <c r="N605" s="99" t="b">
        <v>0</v>
      </c>
      <c r="O605" s="99" t="b">
        <v>0</v>
      </c>
      <c r="P605" s="99" t="b">
        <v>0</v>
      </c>
      <c r="Q605" s="99" t="b">
        <v>0</v>
      </c>
      <c r="R605" s="14"/>
      <c r="S605" s="14"/>
      <c r="T605" s="14"/>
      <c r="U605" s="14"/>
      <c r="V605" s="14"/>
      <c r="W605" s="14"/>
    </row>
    <row r="606" ht="35.25" customHeight="1">
      <c r="A606" s="92" t="s">
        <v>8832</v>
      </c>
      <c r="B606" s="93" t="s">
        <v>8833</v>
      </c>
      <c r="C606" s="94" t="s">
        <v>4150</v>
      </c>
      <c r="D606" s="24" t="s">
        <v>8837</v>
      </c>
      <c r="E606" s="96" t="str">
        <f>IFERROR(__xludf.DUMMYFUNCTION("GOOGLETRANSLATE(D606,""zh-CN"",""vi"")"),"Tôi mang theo một ít đồ ăn nhẹ đến bữa tiệc.")</f>
        <v>Tôi mang theo một ít đồ ăn nhẹ đến bữa tiệc.</v>
      </c>
      <c r="F606" s="101" t="s">
        <v>8832</v>
      </c>
      <c r="G606" s="98" t="b">
        <f t="shared" si="1"/>
        <v>1</v>
      </c>
      <c r="H606" s="99" t="b">
        <v>0</v>
      </c>
      <c r="I606" s="99" t="b">
        <v>0</v>
      </c>
      <c r="J606" s="99" t="b">
        <v>0</v>
      </c>
      <c r="K606" s="99" t="b">
        <v>0</v>
      </c>
      <c r="L606" s="99" t="b">
        <v>0</v>
      </c>
      <c r="M606" s="99" t="b">
        <v>0</v>
      </c>
      <c r="N606" s="99" t="b">
        <v>0</v>
      </c>
      <c r="O606" s="99" t="b">
        <v>0</v>
      </c>
      <c r="P606" s="99" t="b">
        <v>0</v>
      </c>
      <c r="Q606" s="99" t="b">
        <v>0</v>
      </c>
      <c r="R606" s="14"/>
      <c r="S606" s="14"/>
      <c r="T606" s="14"/>
      <c r="U606" s="14"/>
      <c r="V606" s="14"/>
      <c r="W606" s="14"/>
    </row>
    <row r="607" ht="35.25" customHeight="1">
      <c r="A607" s="92" t="s">
        <v>8840</v>
      </c>
      <c r="B607" s="93" t="s">
        <v>8842</v>
      </c>
      <c r="C607" s="94" t="s">
        <v>8844</v>
      </c>
      <c r="D607" s="24" t="s">
        <v>8846</v>
      </c>
      <c r="E607" s="96" t="str">
        <f>IFERROR(__xludf.DUMMYFUNCTION("GOOGLETRANSLATE(D607,""zh-CN"",""vi"")"),"Ông ấy là một nhà lãnh đạo rất tài giỏi.")</f>
        <v>Ông ấy là một nhà lãnh đạo rất tài giỏi.</v>
      </c>
      <c r="F607" s="101" t="s">
        <v>8840</v>
      </c>
      <c r="G607" s="98" t="b">
        <f t="shared" si="1"/>
        <v>1</v>
      </c>
      <c r="H607" s="99" t="b">
        <v>0</v>
      </c>
      <c r="I607" s="99" t="b">
        <v>0</v>
      </c>
      <c r="J607" s="99" t="b">
        <v>0</v>
      </c>
      <c r="K607" s="99" t="b">
        <v>0</v>
      </c>
      <c r="L607" s="99" t="b">
        <v>0</v>
      </c>
      <c r="M607" s="99" t="b">
        <v>0</v>
      </c>
      <c r="N607" s="99" t="b">
        <v>0</v>
      </c>
      <c r="O607" s="99" t="b">
        <v>0</v>
      </c>
      <c r="P607" s="99" t="b">
        <v>0</v>
      </c>
      <c r="Q607" s="99" t="b">
        <v>0</v>
      </c>
      <c r="R607" s="14"/>
      <c r="S607" s="14"/>
      <c r="T607" s="14"/>
      <c r="U607" s="14"/>
      <c r="V607" s="14"/>
      <c r="W607" s="14"/>
    </row>
    <row r="608" ht="35.25" customHeight="1">
      <c r="A608" s="92" t="s">
        <v>8848</v>
      </c>
      <c r="B608" s="93" t="s">
        <v>8850</v>
      </c>
      <c r="C608" s="94" t="s">
        <v>8852</v>
      </c>
      <c r="D608" s="24" t="s">
        <v>8854</v>
      </c>
      <c r="E608" s="96" t="str">
        <f>IFERROR(__xludf.DUMMYFUNCTION("GOOGLETRANSLATE(D608,""zh-CN"",""vi"")"),"Đây là một lĩnh vực mới.")</f>
        <v>Đây là một lĩnh vực mới.</v>
      </c>
      <c r="F608" s="101" t="s">
        <v>8848</v>
      </c>
      <c r="G608" s="98" t="b">
        <f t="shared" si="1"/>
        <v>1</v>
      </c>
      <c r="H608" s="99" t="b">
        <v>0</v>
      </c>
      <c r="I608" s="99" t="b">
        <v>0</v>
      </c>
      <c r="J608" s="99" t="b">
        <v>0</v>
      </c>
      <c r="K608" s="99" t="b">
        <v>0</v>
      </c>
      <c r="L608" s="99" t="b">
        <v>0</v>
      </c>
      <c r="M608" s="99" t="b">
        <v>0</v>
      </c>
      <c r="N608" s="99" t="b">
        <v>0</v>
      </c>
      <c r="O608" s="99" t="b">
        <v>0</v>
      </c>
      <c r="P608" s="99" t="b">
        <v>0</v>
      </c>
      <c r="Q608" s="99" t="b">
        <v>0</v>
      </c>
      <c r="R608" s="14"/>
      <c r="S608" s="14"/>
      <c r="T608" s="14"/>
      <c r="U608" s="14"/>
      <c r="V608" s="14"/>
      <c r="W608" s="14"/>
    </row>
    <row r="609" ht="35.25" customHeight="1">
      <c r="A609" s="92" t="s">
        <v>8858</v>
      </c>
      <c r="B609" s="93" t="s">
        <v>8860</v>
      </c>
      <c r="C609" s="94" t="s">
        <v>8861</v>
      </c>
      <c r="D609" s="24" t="s">
        <v>8862</v>
      </c>
      <c r="E609" s="96" t="str">
        <f>IFERROR(__xludf.DUMMYFUNCTION("GOOGLETRANSLATE(D609,""zh-CN"",""vi"")"),"Chúng tôi đang duyệt web.")</f>
        <v>Chúng tôi đang duyệt web.</v>
      </c>
      <c r="F609" s="101" t="s">
        <v>8858</v>
      </c>
      <c r="G609" s="98" t="b">
        <f t="shared" si="1"/>
        <v>1</v>
      </c>
      <c r="H609" s="99" t="b">
        <v>0</v>
      </c>
      <c r="I609" s="99" t="b">
        <v>0</v>
      </c>
      <c r="J609" s="99" t="b">
        <v>0</v>
      </c>
      <c r="K609" s="99" t="b">
        <v>0</v>
      </c>
      <c r="L609" s="99" t="b">
        <v>0</v>
      </c>
      <c r="M609" s="99" t="b">
        <v>0</v>
      </c>
      <c r="N609" s="99" t="b">
        <v>0</v>
      </c>
      <c r="O609" s="99" t="b">
        <v>0</v>
      </c>
      <c r="P609" s="99" t="b">
        <v>0</v>
      </c>
      <c r="Q609" s="99" t="b">
        <v>0</v>
      </c>
      <c r="R609" s="14"/>
      <c r="S609" s="14"/>
      <c r="T609" s="14"/>
      <c r="U609" s="14"/>
      <c r="V609" s="14"/>
      <c r="W609" s="14"/>
    </row>
    <row r="610" ht="35.25" customHeight="1">
      <c r="A610" s="92" t="s">
        <v>8867</v>
      </c>
      <c r="B610" s="93" t="s">
        <v>8868</v>
      </c>
      <c r="C610" s="94" t="s">
        <v>8869</v>
      </c>
      <c r="D610" s="24" t="s">
        <v>8870</v>
      </c>
      <c r="E610" s="96" t="str">
        <f>IFERROR(__xludf.DUMMYFUNCTION("GOOGLETRANSLATE(D610,""zh-CN"",""vi"")"),"Câu chuyện này đã được lưu truyền qua nhiều thế hệ.")</f>
        <v>Câu chuyện này đã được lưu truyền qua nhiều thế hệ.</v>
      </c>
      <c r="F610" s="101" t="s">
        <v>8867</v>
      </c>
      <c r="G610" s="98" t="b">
        <f t="shared" si="1"/>
        <v>1</v>
      </c>
      <c r="H610" s="99" t="b">
        <v>0</v>
      </c>
      <c r="I610" s="99" t="b">
        <v>0</v>
      </c>
      <c r="J610" s="99" t="b">
        <v>0</v>
      </c>
      <c r="K610" s="99" t="b">
        <v>0</v>
      </c>
      <c r="L610" s="99" t="b">
        <v>0</v>
      </c>
      <c r="M610" s="99" t="b">
        <v>0</v>
      </c>
      <c r="N610" s="99" t="b">
        <v>0</v>
      </c>
      <c r="O610" s="99" t="b">
        <v>0</v>
      </c>
      <c r="P610" s="99" t="b">
        <v>0</v>
      </c>
      <c r="Q610" s="99" t="b">
        <v>0</v>
      </c>
      <c r="R610" s="14"/>
      <c r="S610" s="14"/>
      <c r="T610" s="14"/>
      <c r="U610" s="14"/>
      <c r="V610" s="14"/>
      <c r="W610" s="14"/>
    </row>
    <row r="611" ht="35.25" customHeight="1">
      <c r="A611" s="92" t="s">
        <v>8875</v>
      </c>
      <c r="B611" s="93" t="s">
        <v>8876</v>
      </c>
      <c r="C611" s="94" t="s">
        <v>8877</v>
      </c>
      <c r="D611" s="24" t="s">
        <v>8878</v>
      </c>
      <c r="E611" s="96" t="str">
        <f>IFERROR(__xludf.DUMMYFUNCTION("GOOGLETRANSLATE(D611,""zh-CN"",""vi"")"),"Cô ấy khóc vì xúc động.")</f>
        <v>Cô ấy khóc vì xúc động.</v>
      </c>
      <c r="F611" s="101" t="s">
        <v>8875</v>
      </c>
      <c r="G611" s="98" t="b">
        <f t="shared" si="1"/>
        <v>1</v>
      </c>
      <c r="H611" s="99" t="b">
        <v>0</v>
      </c>
      <c r="I611" s="99" t="b">
        <v>0</v>
      </c>
      <c r="J611" s="99" t="b">
        <v>0</v>
      </c>
      <c r="K611" s="99" t="b">
        <v>0</v>
      </c>
      <c r="L611" s="99" t="b">
        <v>0</v>
      </c>
      <c r="M611" s="99" t="b">
        <v>0</v>
      </c>
      <c r="N611" s="99" t="b">
        <v>0</v>
      </c>
      <c r="O611" s="99" t="b">
        <v>0</v>
      </c>
      <c r="P611" s="99" t="b">
        <v>0</v>
      </c>
      <c r="Q611" s="99" t="b">
        <v>0</v>
      </c>
      <c r="R611" s="14"/>
      <c r="S611" s="14"/>
      <c r="T611" s="14"/>
      <c r="U611" s="14"/>
      <c r="V611" s="14"/>
      <c r="W611" s="14"/>
    </row>
    <row r="612" ht="35.25" customHeight="1">
      <c r="A612" s="92" t="s">
        <v>8882</v>
      </c>
      <c r="B612" s="93" t="s">
        <v>8883</v>
      </c>
      <c r="C612" s="94" t="s">
        <v>8884</v>
      </c>
      <c r="D612" s="24" t="s">
        <v>8885</v>
      </c>
      <c r="E612" s="96" t="str">
        <f>IFERROR(__xludf.DUMMYFUNCTION("GOOGLETRANSLATE(D612,""zh-CN"",""vi"")"),"Con rồng này rất dài.")</f>
        <v>Con rồng này rất dài.</v>
      </c>
      <c r="F612" s="101" t="s">
        <v>8882</v>
      </c>
      <c r="G612" s="98" t="b">
        <f t="shared" si="1"/>
        <v>1</v>
      </c>
      <c r="H612" s="99" t="b">
        <v>0</v>
      </c>
      <c r="I612" s="99" t="b">
        <v>0</v>
      </c>
      <c r="J612" s="99" t="b">
        <v>0</v>
      </c>
      <c r="K612" s="99" t="b">
        <v>0</v>
      </c>
      <c r="L612" s="99" t="b">
        <v>0</v>
      </c>
      <c r="M612" s="99" t="b">
        <v>0</v>
      </c>
      <c r="N612" s="99" t="b">
        <v>0</v>
      </c>
      <c r="O612" s="99" t="b">
        <v>0</v>
      </c>
      <c r="P612" s="99" t="b">
        <v>0</v>
      </c>
      <c r="Q612" s="99" t="b">
        <v>0</v>
      </c>
      <c r="R612" s="14"/>
      <c r="S612" s="14"/>
      <c r="T612" s="14"/>
      <c r="U612" s="14"/>
      <c r="V612" s="14"/>
      <c r="W612" s="14"/>
    </row>
    <row r="613" ht="35.25" customHeight="1">
      <c r="A613" s="92" t="s">
        <v>8887</v>
      </c>
      <c r="B613" s="93" t="s">
        <v>8888</v>
      </c>
      <c r="C613" s="94" t="s">
        <v>8889</v>
      </c>
      <c r="D613" s="24" t="s">
        <v>8890</v>
      </c>
      <c r="E613" s="96" t="str">
        <f>IFERROR(__xludf.DUMMYFUNCTION("GOOGLETRANSLATE(D613,""zh-CN"",""vi"")"),"Ngôi nhà bị dột.")</f>
        <v>Ngôi nhà bị dột.</v>
      </c>
      <c r="F613" s="101" t="s">
        <v>8887</v>
      </c>
      <c r="G613" s="98" t="b">
        <f t="shared" si="1"/>
        <v>1</v>
      </c>
      <c r="H613" s="99" t="b">
        <v>0</v>
      </c>
      <c r="I613" s="99" t="b">
        <v>0</v>
      </c>
      <c r="J613" s="99" t="b">
        <v>0</v>
      </c>
      <c r="K613" s="99" t="b">
        <v>0</v>
      </c>
      <c r="L613" s="99" t="b">
        <v>0</v>
      </c>
      <c r="M613" s="99" t="b">
        <v>0</v>
      </c>
      <c r="N613" s="99" t="b">
        <v>0</v>
      </c>
      <c r="O613" s="99" t="b">
        <v>0</v>
      </c>
      <c r="P613" s="99" t="b">
        <v>0</v>
      </c>
      <c r="Q613" s="99" t="b">
        <v>0</v>
      </c>
      <c r="R613" s="14"/>
      <c r="S613" s="14"/>
      <c r="T613" s="14"/>
      <c r="U613" s="14"/>
      <c r="V613" s="14"/>
      <c r="W613" s="14"/>
    </row>
    <row r="614" ht="35.25" customHeight="1">
      <c r="A614" s="92" t="s">
        <v>8895</v>
      </c>
      <c r="B614" s="93" t="s">
        <v>8896</v>
      </c>
      <c r="C614" s="94" t="s">
        <v>8897</v>
      </c>
      <c r="D614" s="24" t="s">
        <v>8898</v>
      </c>
      <c r="E614" s="96" t="str">
        <f>IFERROR(__xludf.DUMMYFUNCTION("GOOGLETRANSLATE(D614,""zh-CN"",""vi"")"),"Trung Quốc là một vùng đất rộng lớn.")</f>
        <v>Trung Quốc là một vùng đất rộng lớn.</v>
      </c>
      <c r="F614" s="101" t="s">
        <v>8895</v>
      </c>
      <c r="G614" s="98" t="b">
        <f t="shared" si="1"/>
        <v>1</v>
      </c>
      <c r="H614" s="99" t="b">
        <v>0</v>
      </c>
      <c r="I614" s="99" t="b">
        <v>0</v>
      </c>
      <c r="J614" s="99" t="b">
        <v>0</v>
      </c>
      <c r="K614" s="99" t="b">
        <v>0</v>
      </c>
      <c r="L614" s="99" t="b">
        <v>0</v>
      </c>
      <c r="M614" s="99" t="b">
        <v>0</v>
      </c>
      <c r="N614" s="99" t="b">
        <v>0</v>
      </c>
      <c r="O614" s="99" t="b">
        <v>0</v>
      </c>
      <c r="P614" s="99" t="b">
        <v>0</v>
      </c>
      <c r="Q614" s="99" t="b">
        <v>0</v>
      </c>
      <c r="R614" s="14"/>
      <c r="S614" s="14"/>
      <c r="T614" s="14"/>
      <c r="U614" s="14"/>
      <c r="V614" s="14"/>
      <c r="W614" s="14"/>
    </row>
    <row r="615" ht="35.25" customHeight="1">
      <c r="A615" s="92" t="s">
        <v>8904</v>
      </c>
      <c r="B615" s="93" t="s">
        <v>8906</v>
      </c>
      <c r="C615" s="94" t="s">
        <v>8908</v>
      </c>
      <c r="D615" s="24" t="s">
        <v>8910</v>
      </c>
      <c r="E615" s="96" t="str">
        <f>IFERROR(__xludf.DUMMYFUNCTION("GOOGLETRANSLATE(D615,""zh-CN"",""vi"")"),"Ông ta lần lượt đến.")</f>
        <v>Ông ta lần lượt đến.</v>
      </c>
      <c r="F615" s="101" t="s">
        <v>8904</v>
      </c>
      <c r="G615" s="98" t="b">
        <f t="shared" si="1"/>
        <v>1</v>
      </c>
      <c r="H615" s="99" t="b">
        <v>0</v>
      </c>
      <c r="I615" s="99" t="b">
        <v>0</v>
      </c>
      <c r="J615" s="99" t="b">
        <v>0</v>
      </c>
      <c r="K615" s="99" t="b">
        <v>0</v>
      </c>
      <c r="L615" s="99" t="b">
        <v>0</v>
      </c>
      <c r="M615" s="99" t="b">
        <v>0</v>
      </c>
      <c r="N615" s="99" t="b">
        <v>0</v>
      </c>
      <c r="O615" s="99" t="b">
        <v>0</v>
      </c>
      <c r="P615" s="99" t="b">
        <v>0</v>
      </c>
      <c r="Q615" s="99" t="b">
        <v>0</v>
      </c>
      <c r="R615" s="14"/>
      <c r="S615" s="14"/>
      <c r="T615" s="14"/>
      <c r="U615" s="14"/>
      <c r="V615" s="14"/>
      <c r="W615" s="14"/>
    </row>
    <row r="616" ht="35.25" customHeight="1">
      <c r="A616" s="92" t="s">
        <v>8914</v>
      </c>
      <c r="B616" s="93" t="s">
        <v>8916</v>
      </c>
      <c r="C616" s="94" t="s">
        <v>8917</v>
      </c>
      <c r="D616" s="24" t="s">
        <v>8918</v>
      </c>
      <c r="E616" s="96" t="str">
        <f>IFERROR(__xludf.DUMMYFUNCTION("GOOGLETRANSLATE(D616,""zh-CN"",""vi"")"),"Cô ấy đã được chấp nhận.")</f>
        <v>Cô ấy đã được chấp nhận.</v>
      </c>
      <c r="F616" s="101" t="s">
        <v>8914</v>
      </c>
      <c r="G616" s="98" t="b">
        <f t="shared" si="1"/>
        <v>1</v>
      </c>
      <c r="H616" s="99" t="b">
        <v>0</v>
      </c>
      <c r="I616" s="99" t="b">
        <v>0</v>
      </c>
      <c r="J616" s="99" t="b">
        <v>0</v>
      </c>
      <c r="K616" s="99" t="b">
        <v>0</v>
      </c>
      <c r="L616" s="99" t="b">
        <v>0</v>
      </c>
      <c r="M616" s="99" t="b">
        <v>0</v>
      </c>
      <c r="N616" s="99" t="b">
        <v>0</v>
      </c>
      <c r="O616" s="99" t="b">
        <v>0</v>
      </c>
      <c r="P616" s="99" t="b">
        <v>0</v>
      </c>
      <c r="Q616" s="99" t="b">
        <v>0</v>
      </c>
      <c r="R616" s="14"/>
      <c r="S616" s="14"/>
      <c r="T616" s="14"/>
      <c r="U616" s="14"/>
      <c r="V616" s="14"/>
      <c r="W616" s="14"/>
    </row>
    <row r="617" ht="35.25" customHeight="1">
      <c r="A617" s="92" t="s">
        <v>8919</v>
      </c>
      <c r="B617" s="93" t="s">
        <v>8920</v>
      </c>
      <c r="C617" s="94" t="s">
        <v>8922</v>
      </c>
      <c r="D617" s="24" t="s">
        <v>8924</v>
      </c>
      <c r="E617" s="96" t="str">
        <f>IFERROR(__xludf.DUMMYFUNCTION("GOOGLETRANSLATE(D617,""zh-CN"",""vi"")"),"Chúng ta cần ghi âm cuộc họp này.")</f>
        <v>Chúng ta cần ghi âm cuộc họp này.</v>
      </c>
      <c r="F617" s="101" t="s">
        <v>8919</v>
      </c>
      <c r="G617" s="98" t="b">
        <f t="shared" si="1"/>
        <v>1</v>
      </c>
      <c r="H617" s="99" t="b">
        <v>0</v>
      </c>
      <c r="I617" s="99" t="b">
        <v>0</v>
      </c>
      <c r="J617" s="99" t="b">
        <v>0</v>
      </c>
      <c r="K617" s="99" t="b">
        <v>0</v>
      </c>
      <c r="L617" s="99" t="b">
        <v>0</v>
      </c>
      <c r="M617" s="99" t="b">
        <v>0</v>
      </c>
      <c r="N617" s="99" t="b">
        <v>0</v>
      </c>
      <c r="O617" s="99" t="b">
        <v>0</v>
      </c>
      <c r="P617" s="99" t="b">
        <v>0</v>
      </c>
      <c r="Q617" s="99" t="b">
        <v>0</v>
      </c>
      <c r="R617" s="14"/>
      <c r="S617" s="14"/>
      <c r="T617" s="14"/>
      <c r="U617" s="14"/>
      <c r="V617" s="14"/>
      <c r="W617" s="14"/>
    </row>
    <row r="618" ht="35.25" customHeight="1">
      <c r="A618" s="92" t="s">
        <v>8926</v>
      </c>
      <c r="B618" s="93" t="s">
        <v>8928</v>
      </c>
      <c r="C618" s="94" t="s">
        <v>8930</v>
      </c>
      <c r="D618" s="24" t="s">
        <v>8932</v>
      </c>
      <c r="E618" s="96" t="str">
        <f>IFERROR(__xludf.DUMMYFUNCTION("GOOGLETRANSLATE(D618,""zh-CN"",""vi"")"),"Mọi người lần lượt phát biểu.")</f>
        <v>Mọi người lần lượt phát biểu.</v>
      </c>
      <c r="F618" s="101" t="s">
        <v>8926</v>
      </c>
      <c r="G618" s="98" t="b">
        <f t="shared" si="1"/>
        <v>1</v>
      </c>
      <c r="H618" s="99" t="b">
        <v>0</v>
      </c>
      <c r="I618" s="99" t="b">
        <v>0</v>
      </c>
      <c r="J618" s="99" t="b">
        <v>0</v>
      </c>
      <c r="K618" s="99" t="b">
        <v>0</v>
      </c>
      <c r="L618" s="99" t="b">
        <v>0</v>
      </c>
      <c r="M618" s="99" t="b">
        <v>0</v>
      </c>
      <c r="N618" s="99" t="b">
        <v>0</v>
      </c>
      <c r="O618" s="99" t="b">
        <v>0</v>
      </c>
      <c r="P618" s="99" t="b">
        <v>0</v>
      </c>
      <c r="Q618" s="99" t="b">
        <v>0</v>
      </c>
      <c r="R618" s="14"/>
      <c r="S618" s="14"/>
      <c r="T618" s="14"/>
      <c r="U618" s="14"/>
      <c r="V618" s="14"/>
      <c r="W618" s="14"/>
    </row>
    <row r="619" ht="35.25" customHeight="1">
      <c r="A619" s="92" t="s">
        <v>8936</v>
      </c>
      <c r="B619" s="93" t="s">
        <v>8938</v>
      </c>
      <c r="C619" s="94" t="s">
        <v>8939</v>
      </c>
      <c r="D619" s="24" t="s">
        <v>8940</v>
      </c>
      <c r="E619" s="96" t="str">
        <f>IFERROR(__xludf.DUMMYFUNCTION("GOOGLETRANSLATE(D619,""zh-CN"",""vi"")"),"Bài báo này rất sâu sắc.")</f>
        <v>Bài báo này rất sâu sắc.</v>
      </c>
      <c r="F619" s="101" t="s">
        <v>8936</v>
      </c>
      <c r="G619" s="98" t="b">
        <f t="shared" si="1"/>
        <v>1</v>
      </c>
      <c r="H619" s="99" t="b">
        <v>0</v>
      </c>
      <c r="I619" s="99" t="b">
        <v>0</v>
      </c>
      <c r="J619" s="99" t="b">
        <v>0</v>
      </c>
      <c r="K619" s="99" t="b">
        <v>0</v>
      </c>
      <c r="L619" s="99" t="b">
        <v>0</v>
      </c>
      <c r="M619" s="99" t="b">
        <v>0</v>
      </c>
      <c r="N619" s="99" t="b">
        <v>0</v>
      </c>
      <c r="O619" s="99" t="b">
        <v>0</v>
      </c>
      <c r="P619" s="99" t="b">
        <v>0</v>
      </c>
      <c r="Q619" s="99" t="b">
        <v>0</v>
      </c>
      <c r="R619" s="14"/>
      <c r="S619" s="14"/>
      <c r="T619" s="14"/>
      <c r="U619" s="14"/>
      <c r="V619" s="14"/>
      <c r="W619" s="14"/>
    </row>
    <row r="620" ht="35.25" customHeight="1">
      <c r="A620" s="92" t="s">
        <v>8945</v>
      </c>
      <c r="B620" s="93" t="s">
        <v>8946</v>
      </c>
      <c r="C620" s="94" t="s">
        <v>8947</v>
      </c>
      <c r="D620" s="24" t="s">
        <v>8948</v>
      </c>
      <c r="E620" s="96" t="str">
        <f>IFERROR(__xludf.DUMMYFUNCTION("GOOGLETRANSLATE(D620,""zh-CN"",""vi"")"),"Lập luận của ông ấy rất chặt chẽ.")</f>
        <v>Lập luận của ông ấy rất chặt chẽ.</v>
      </c>
      <c r="F620" s="101" t="s">
        <v>8945</v>
      </c>
      <c r="G620" s="98" t="b">
        <f t="shared" si="1"/>
        <v>1</v>
      </c>
      <c r="H620" s="99" t="b">
        <v>0</v>
      </c>
      <c r="I620" s="99" t="b">
        <v>0</v>
      </c>
      <c r="J620" s="99" t="b">
        <v>0</v>
      </c>
      <c r="K620" s="99" t="b">
        <v>0</v>
      </c>
      <c r="L620" s="99" t="b">
        <v>0</v>
      </c>
      <c r="M620" s="99" t="b">
        <v>0</v>
      </c>
      <c r="N620" s="99" t="b">
        <v>0</v>
      </c>
      <c r="O620" s="99" t="b">
        <v>0</v>
      </c>
      <c r="P620" s="99" t="b">
        <v>0</v>
      </c>
      <c r="Q620" s="99" t="b">
        <v>0</v>
      </c>
      <c r="R620" s="14"/>
      <c r="S620" s="14"/>
      <c r="T620" s="14"/>
      <c r="U620" s="14"/>
      <c r="V620" s="14"/>
      <c r="W620" s="14"/>
    </row>
    <row r="621" ht="35.25" customHeight="1">
      <c r="A621" s="92" t="s">
        <v>8953</v>
      </c>
      <c r="B621" s="93" t="s">
        <v>8954</v>
      </c>
      <c r="C621" s="94" t="s">
        <v>8955</v>
      </c>
      <c r="D621" s="24" t="s">
        <v>8956</v>
      </c>
      <c r="E621" s="96" t="str">
        <f>IFERROR(__xludf.DUMMYFUNCTION("GOOGLETRANSLATE(D621,""zh-CN"",""vi"")"),"Chúng ta đang tụt hậu so với các quốc gia khác.")</f>
        <v>Chúng ta đang tụt hậu so với các quốc gia khác.</v>
      </c>
      <c r="F621" s="101" t="s">
        <v>8953</v>
      </c>
      <c r="G621" s="98" t="b">
        <f t="shared" si="1"/>
        <v>1</v>
      </c>
      <c r="H621" s="99" t="b">
        <v>0</v>
      </c>
      <c r="I621" s="99" t="b">
        <v>0</v>
      </c>
      <c r="J621" s="99" t="b">
        <v>0</v>
      </c>
      <c r="K621" s="99" t="b">
        <v>0</v>
      </c>
      <c r="L621" s="99" t="b">
        <v>0</v>
      </c>
      <c r="M621" s="99" t="b">
        <v>0</v>
      </c>
      <c r="N621" s="99" t="b">
        <v>0</v>
      </c>
      <c r="O621" s="99" t="b">
        <v>0</v>
      </c>
      <c r="P621" s="99" t="b">
        <v>0</v>
      </c>
      <c r="Q621" s="99" t="b">
        <v>0</v>
      </c>
      <c r="R621" s="14"/>
      <c r="S621" s="14"/>
      <c r="T621" s="14"/>
      <c r="U621" s="14"/>
      <c r="V621" s="14"/>
      <c r="W621" s="14"/>
    </row>
    <row r="622" ht="35.25" customHeight="1">
      <c r="A622" s="92" t="s">
        <v>8961</v>
      </c>
      <c r="B622" s="93" t="s">
        <v>8962</v>
      </c>
      <c r="C622" s="94" t="s">
        <v>8963</v>
      </c>
      <c r="D622" s="24" t="s">
        <v>8964</v>
      </c>
      <c r="E622" s="96" t="str">
        <f>IFERROR(__xludf.DUMMYFUNCTION("GOOGLETRANSLATE(D622,""zh-CN"",""vi"")"),"Anh ta đã xúc phạm bạn mình.")</f>
        <v>Anh ta đã xúc phạm bạn mình.</v>
      </c>
      <c r="F622" s="101" t="s">
        <v>8961</v>
      </c>
      <c r="G622" s="98" t="b">
        <f t="shared" si="1"/>
        <v>1</v>
      </c>
      <c r="H622" s="99" t="b">
        <v>0</v>
      </c>
      <c r="I622" s="99" t="b">
        <v>0</v>
      </c>
      <c r="J622" s="99" t="b">
        <v>0</v>
      </c>
      <c r="K622" s="99" t="b">
        <v>0</v>
      </c>
      <c r="L622" s="99" t="b">
        <v>0</v>
      </c>
      <c r="M622" s="99" t="b">
        <v>0</v>
      </c>
      <c r="N622" s="99" t="b">
        <v>0</v>
      </c>
      <c r="O622" s="99" t="b">
        <v>0</v>
      </c>
      <c r="P622" s="99" t="b">
        <v>0</v>
      </c>
      <c r="Q622" s="99" t="b">
        <v>0</v>
      </c>
      <c r="R622" s="14"/>
      <c r="S622" s="14"/>
      <c r="T622" s="14"/>
      <c r="U622" s="14"/>
      <c r="V622" s="14"/>
      <c r="W622" s="14"/>
    </row>
    <row r="623" ht="35.25" customHeight="1">
      <c r="A623" s="92" t="s">
        <v>8969</v>
      </c>
      <c r="B623" s="93" t="s">
        <v>8970</v>
      </c>
      <c r="C623" s="94" t="s">
        <v>8971</v>
      </c>
      <c r="D623" s="24" t="s">
        <v>8972</v>
      </c>
      <c r="E623" s="96" t="str">
        <f>IFERROR(__xludf.DUMMYFUNCTION("GOOGLETRANSLATE(D623,""zh-CN"",""vi"")"),"Micrô bị hỏng, và âm thanh không rõ ràng.")</f>
        <v>Micrô bị hỏng, và âm thanh không rõ ràng.</v>
      </c>
      <c r="F623" s="101" t="s">
        <v>8969</v>
      </c>
      <c r="G623" s="98" t="b">
        <f t="shared" si="1"/>
        <v>1</v>
      </c>
      <c r="H623" s="99" t="b">
        <v>0</v>
      </c>
      <c r="I623" s="99" t="b">
        <v>0</v>
      </c>
      <c r="J623" s="99" t="b">
        <v>0</v>
      </c>
      <c r="K623" s="99" t="b">
        <v>0</v>
      </c>
      <c r="L623" s="99" t="b">
        <v>0</v>
      </c>
      <c r="M623" s="99" t="b">
        <v>0</v>
      </c>
      <c r="N623" s="99" t="b">
        <v>0</v>
      </c>
      <c r="O623" s="99" t="b">
        <v>0</v>
      </c>
      <c r="P623" s="99" t="b">
        <v>0</v>
      </c>
      <c r="Q623" s="99" t="b">
        <v>0</v>
      </c>
      <c r="R623" s="14"/>
      <c r="S623" s="14"/>
      <c r="T623" s="14"/>
      <c r="U623" s="14"/>
      <c r="V623" s="14"/>
      <c r="W623" s="14"/>
    </row>
    <row r="624" ht="35.25" customHeight="1">
      <c r="A624" s="92" t="s">
        <v>8977</v>
      </c>
      <c r="B624" s="93" t="s">
        <v>8978</v>
      </c>
      <c r="C624" s="94" t="s">
        <v>8979</v>
      </c>
      <c r="D624" s="24" t="s">
        <v>8980</v>
      </c>
      <c r="E624" s="96" t="str">
        <f>IFERROR(__xludf.DUMMYFUNCTION("GOOGLETRANSLATE(D624,""zh-CN"",""vi"")"),"Tôi thích ăn bánh bao hấp.")</f>
        <v>Tôi thích ăn bánh bao hấp.</v>
      </c>
      <c r="F624" s="101" t="s">
        <v>8977</v>
      </c>
      <c r="G624" s="98" t="b">
        <f t="shared" si="1"/>
        <v>1</v>
      </c>
      <c r="H624" s="99" t="b">
        <v>0</v>
      </c>
      <c r="I624" s="99" t="b">
        <v>0</v>
      </c>
      <c r="J624" s="99" t="b">
        <v>0</v>
      </c>
      <c r="K624" s="99" t="b">
        <v>0</v>
      </c>
      <c r="L624" s="99" t="b">
        <v>0</v>
      </c>
      <c r="M624" s="99" t="b">
        <v>0</v>
      </c>
      <c r="N624" s="99" t="b">
        <v>0</v>
      </c>
      <c r="O624" s="99" t="b">
        <v>0</v>
      </c>
      <c r="P624" s="99" t="b">
        <v>0</v>
      </c>
      <c r="Q624" s="99" t="b">
        <v>0</v>
      </c>
      <c r="R624" s="14"/>
      <c r="S624" s="14"/>
      <c r="T624" s="14"/>
      <c r="U624" s="14"/>
      <c r="V624" s="14"/>
      <c r="W624" s="14"/>
    </row>
    <row r="625" ht="35.25" customHeight="1">
      <c r="A625" s="92" t="s">
        <v>8984</v>
      </c>
      <c r="B625" s="93" t="s">
        <v>8985</v>
      </c>
      <c r="C625" s="94" t="s">
        <v>8986</v>
      </c>
      <c r="D625" s="24" t="s">
        <v>8987</v>
      </c>
      <c r="E625" s="96" t="str">
        <f>IFERROR(__xludf.DUMMYFUNCTION("GOOGLETRANSLATE(D625,""zh-CN"",""vi"")"),"Cô ấy rất hài lòng với những thành tích của mình.")</f>
        <v>Cô ấy rất hài lòng với những thành tích của mình.</v>
      </c>
      <c r="F625" s="101" t="s">
        <v>8984</v>
      </c>
      <c r="G625" s="98" t="b">
        <f t="shared" si="1"/>
        <v>1</v>
      </c>
      <c r="H625" s="99" t="b">
        <v>0</v>
      </c>
      <c r="I625" s="99" t="b">
        <v>0</v>
      </c>
      <c r="J625" s="99" t="b">
        <v>0</v>
      </c>
      <c r="K625" s="99" t="b">
        <v>0</v>
      </c>
      <c r="L625" s="99" t="b">
        <v>0</v>
      </c>
      <c r="M625" s="99" t="b">
        <v>0</v>
      </c>
      <c r="N625" s="99" t="b">
        <v>0</v>
      </c>
      <c r="O625" s="99" t="b">
        <v>0</v>
      </c>
      <c r="P625" s="99" t="b">
        <v>0</v>
      </c>
      <c r="Q625" s="99" t="b">
        <v>0</v>
      </c>
      <c r="R625" s="14"/>
      <c r="S625" s="14"/>
      <c r="T625" s="14"/>
      <c r="U625" s="14"/>
      <c r="V625" s="14"/>
      <c r="W625" s="14"/>
    </row>
    <row r="626" ht="35.25" customHeight="1">
      <c r="A626" s="92" t="s">
        <v>8992</v>
      </c>
      <c r="B626" s="93" t="s">
        <v>8993</v>
      </c>
      <c r="C626" s="94" t="s">
        <v>8994</v>
      </c>
      <c r="D626" s="24" t="s">
        <v>8995</v>
      </c>
      <c r="E626" s="96" t="str">
        <f>IFERROR(__xludf.DUMMYFUNCTION("GOOGLETRANSLATE(D626,""zh-CN"",""vi"")"),"Vấn đề của anh ấy rất nghiêm trọng.")</f>
        <v>Vấn đề của anh ấy rất nghiêm trọng.</v>
      </c>
      <c r="F626" s="101" t="s">
        <v>8992</v>
      </c>
      <c r="G626" s="98" t="b">
        <f t="shared" si="1"/>
        <v>1</v>
      </c>
      <c r="H626" s="99" t="b">
        <v>0</v>
      </c>
      <c r="I626" s="99" t="b">
        <v>0</v>
      </c>
      <c r="J626" s="99" t="b">
        <v>0</v>
      </c>
      <c r="K626" s="99" t="b">
        <v>0</v>
      </c>
      <c r="L626" s="99" t="b">
        <v>0</v>
      </c>
      <c r="M626" s="99" t="b">
        <v>0</v>
      </c>
      <c r="N626" s="99" t="b">
        <v>0</v>
      </c>
      <c r="O626" s="99" t="b">
        <v>0</v>
      </c>
      <c r="P626" s="99" t="b">
        <v>0</v>
      </c>
      <c r="Q626" s="99" t="b">
        <v>0</v>
      </c>
      <c r="R626" s="14"/>
      <c r="S626" s="14"/>
      <c r="T626" s="14"/>
      <c r="U626" s="14"/>
      <c r="V626" s="14"/>
      <c r="W626" s="14"/>
    </row>
    <row r="627" ht="35.25" customHeight="1">
      <c r="A627" s="92" t="s">
        <v>9000</v>
      </c>
      <c r="B627" s="93" t="s">
        <v>9001</v>
      </c>
      <c r="C627" s="94" t="s">
        <v>9002</v>
      </c>
      <c r="D627" s="24" t="s">
        <v>9003</v>
      </c>
      <c r="E627" s="96" t="str">
        <f>IFERROR(__xludf.DUMMYFUNCTION("GOOGLETRANSLATE(D627,""zh-CN"",""vi"")"),"Giữa họ có rất nhiều mâu thuẫn.")</f>
        <v>Giữa họ có rất nhiều mâu thuẫn.</v>
      </c>
      <c r="F627" s="101" t="s">
        <v>9000</v>
      </c>
      <c r="G627" s="98" t="b">
        <f t="shared" si="1"/>
        <v>1</v>
      </c>
      <c r="H627" s="99" t="b">
        <v>0</v>
      </c>
      <c r="I627" s="99" t="b">
        <v>0</v>
      </c>
      <c r="J627" s="99" t="b">
        <v>0</v>
      </c>
      <c r="K627" s="99" t="b">
        <v>0</v>
      </c>
      <c r="L627" s="99" t="b">
        <v>0</v>
      </c>
      <c r="M627" s="99" t="b">
        <v>0</v>
      </c>
      <c r="N627" s="99" t="b">
        <v>0</v>
      </c>
      <c r="O627" s="99" t="b">
        <v>0</v>
      </c>
      <c r="P627" s="99" t="b">
        <v>0</v>
      </c>
      <c r="Q627" s="99" t="b">
        <v>0</v>
      </c>
      <c r="R627" s="14"/>
      <c r="S627" s="14"/>
      <c r="T627" s="14"/>
      <c r="U627" s="14"/>
      <c r="V627" s="14"/>
      <c r="W627" s="14"/>
    </row>
    <row r="628" ht="35.25" customHeight="1">
      <c r="A628" s="92" t="s">
        <v>9008</v>
      </c>
      <c r="B628" s="93" t="s">
        <v>9009</v>
      </c>
      <c r="C628" s="94" t="s">
        <v>9010</v>
      </c>
      <c r="D628" s="24" t="s">
        <v>9011</v>
      </c>
      <c r="E628" s="96" t="str">
        <f>IFERROR(__xludf.DUMMYFUNCTION("GOOGLETRANSLATE(D628,""zh-CN"",""vi"")"),"Anh ấy thích những chuyến du lịch mạo hiểm.")</f>
        <v>Anh ấy thích những chuyến du lịch mạo hiểm.</v>
      </c>
      <c r="F628" s="101" t="s">
        <v>9008</v>
      </c>
      <c r="G628" s="98" t="b">
        <f t="shared" si="1"/>
        <v>1</v>
      </c>
      <c r="H628" s="99" t="b">
        <v>0</v>
      </c>
      <c r="I628" s="99" t="b">
        <v>0</v>
      </c>
      <c r="J628" s="99" t="b">
        <v>0</v>
      </c>
      <c r="K628" s="99" t="b">
        <v>0</v>
      </c>
      <c r="L628" s="99" t="b">
        <v>0</v>
      </c>
      <c r="M628" s="99" t="b">
        <v>0</v>
      </c>
      <c r="N628" s="99" t="b">
        <v>0</v>
      </c>
      <c r="O628" s="99" t="b">
        <v>0</v>
      </c>
      <c r="P628" s="99" t="b">
        <v>0</v>
      </c>
      <c r="Q628" s="99" t="b">
        <v>0</v>
      </c>
      <c r="R628" s="14"/>
      <c r="S628" s="14"/>
      <c r="T628" s="14"/>
      <c r="U628" s="14"/>
      <c r="V628" s="14"/>
      <c r="W628" s="14"/>
    </row>
    <row r="629" ht="35.25" customHeight="1">
      <c r="A629" s="92" t="s">
        <v>9016</v>
      </c>
      <c r="B629" s="93" t="s">
        <v>9017</v>
      </c>
      <c r="C629" s="94" t="s">
        <v>9018</v>
      </c>
      <c r="D629" s="24" t="s">
        <v>9019</v>
      </c>
      <c r="E629" s="96" t="str">
        <f>IFERROR(__xludf.DUMMYFUNCTION("GOOGLETRANSLATE(D629,""zh-CN"",""vi"")"),"Quốc gia này có một ngành thương mại phát triển cao.")</f>
        <v>Quốc gia này có một ngành thương mại phát triển cao.</v>
      </c>
      <c r="F629" s="101" t="s">
        <v>9016</v>
      </c>
      <c r="G629" s="98" t="b">
        <f t="shared" si="1"/>
        <v>1</v>
      </c>
      <c r="H629" s="99" t="b">
        <v>0</v>
      </c>
      <c r="I629" s="99" t="b">
        <v>0</v>
      </c>
      <c r="J629" s="99" t="b">
        <v>0</v>
      </c>
      <c r="K629" s="99" t="b">
        <v>0</v>
      </c>
      <c r="L629" s="99" t="b">
        <v>0</v>
      </c>
      <c r="M629" s="99" t="b">
        <v>0</v>
      </c>
      <c r="N629" s="99" t="b">
        <v>0</v>
      </c>
      <c r="O629" s="99" t="b">
        <v>0</v>
      </c>
      <c r="P629" s="99" t="b">
        <v>0</v>
      </c>
      <c r="Q629" s="99" t="b">
        <v>0</v>
      </c>
      <c r="R629" s="14"/>
      <c r="S629" s="14"/>
      <c r="T629" s="14"/>
      <c r="U629" s="14"/>
      <c r="V629" s="14"/>
      <c r="W629" s="14"/>
    </row>
    <row r="630" ht="35.25" customHeight="1">
      <c r="A630" s="92" t="s">
        <v>9024</v>
      </c>
      <c r="B630" s="93" t="s">
        <v>9025</v>
      </c>
      <c r="C630" s="94" t="s">
        <v>9026</v>
      </c>
      <c r="D630" s="24" t="s">
        <v>9027</v>
      </c>
      <c r="E630" s="96" t="str">
        <f>IFERROR(__xludf.DUMMYFUNCTION("GOOGLETRANSLATE(D630,""zh-CN"",""vi"")"),"Lông mày của cô ấy rất rậm.")</f>
        <v>Lông mày của cô ấy rất rậm.</v>
      </c>
      <c r="F630" s="101" t="s">
        <v>9024</v>
      </c>
      <c r="G630" s="98" t="b">
        <f t="shared" si="1"/>
        <v>1</v>
      </c>
      <c r="H630" s="99" t="b">
        <v>0</v>
      </c>
      <c r="I630" s="99" t="b">
        <v>0</v>
      </c>
      <c r="J630" s="99" t="b">
        <v>0</v>
      </c>
      <c r="K630" s="99" t="b">
        <v>0</v>
      </c>
      <c r="L630" s="99" t="b">
        <v>0</v>
      </c>
      <c r="M630" s="99" t="b">
        <v>0</v>
      </c>
      <c r="N630" s="99" t="b">
        <v>0</v>
      </c>
      <c r="O630" s="99" t="b">
        <v>0</v>
      </c>
      <c r="P630" s="99" t="b">
        <v>0</v>
      </c>
      <c r="Q630" s="99" t="b">
        <v>0</v>
      </c>
      <c r="R630" s="14"/>
      <c r="S630" s="14"/>
      <c r="T630" s="14"/>
      <c r="U630" s="14"/>
      <c r="V630" s="14"/>
      <c r="W630" s="14"/>
    </row>
    <row r="631" ht="35.25" customHeight="1">
      <c r="A631" s="92" t="s">
        <v>9032</v>
      </c>
      <c r="B631" s="93" t="s">
        <v>9033</v>
      </c>
      <c r="C631" s="94" t="s">
        <v>9034</v>
      </c>
      <c r="D631" s="24" t="s">
        <v>9035</v>
      </c>
      <c r="E631" s="96" t="str">
        <f>IFERROR(__xludf.DUMMYFUNCTION("GOOGLETRANSLATE(D631,""zh-CN"",""vi"")"),"Cơ quan truyền thông này đã đưa tin rất nhiều.")</f>
        <v>Cơ quan truyền thông này đã đưa tin rất nhiều.</v>
      </c>
      <c r="F631" s="101" t="s">
        <v>9032</v>
      </c>
      <c r="G631" s="98" t="b">
        <f t="shared" si="1"/>
        <v>1</v>
      </c>
      <c r="H631" s="99" t="b">
        <v>0</v>
      </c>
      <c r="I631" s="99" t="b">
        <v>0</v>
      </c>
      <c r="J631" s="99" t="b">
        <v>0</v>
      </c>
      <c r="K631" s="99" t="b">
        <v>0</v>
      </c>
      <c r="L631" s="99" t="b">
        <v>0</v>
      </c>
      <c r="M631" s="99" t="b">
        <v>0</v>
      </c>
      <c r="N631" s="99" t="b">
        <v>0</v>
      </c>
      <c r="O631" s="99" t="b">
        <v>0</v>
      </c>
      <c r="P631" s="99" t="b">
        <v>0</v>
      </c>
      <c r="Q631" s="99" t="b">
        <v>0</v>
      </c>
      <c r="R631" s="14"/>
      <c r="S631" s="14"/>
      <c r="T631" s="14"/>
      <c r="U631" s="14"/>
      <c r="V631" s="14"/>
      <c r="W631" s="14"/>
    </row>
    <row r="632" ht="35.25" customHeight="1">
      <c r="A632" s="92" t="s">
        <v>9040</v>
      </c>
      <c r="B632" s="93" t="s">
        <v>9041</v>
      </c>
      <c r="C632" s="94" t="s">
        <v>9042</v>
      </c>
      <c r="D632" s="24" t="s">
        <v>9043</v>
      </c>
      <c r="E632" s="96" t="str">
        <f>IFERROR(__xludf.DUMMYFUNCTION("GOOGLETRANSLATE(D632,""zh-CN"",""vi"")"),"Nhà máy này sử dụng than đá làm nguồn năng lượng.")</f>
        <v>Nhà máy này sử dụng than đá làm nguồn năng lượng.</v>
      </c>
      <c r="F632" s="101" t="s">
        <v>9040</v>
      </c>
      <c r="G632" s="98" t="b">
        <f t="shared" si="1"/>
        <v>1</v>
      </c>
      <c r="H632" s="99" t="b">
        <v>0</v>
      </c>
      <c r="I632" s="99" t="b">
        <v>0</v>
      </c>
      <c r="J632" s="99" t="b">
        <v>0</v>
      </c>
      <c r="K632" s="99" t="b">
        <v>0</v>
      </c>
      <c r="L632" s="99" t="b">
        <v>0</v>
      </c>
      <c r="M632" s="99" t="b">
        <v>0</v>
      </c>
      <c r="N632" s="99" t="b">
        <v>0</v>
      </c>
      <c r="O632" s="99" t="b">
        <v>0</v>
      </c>
      <c r="P632" s="99" t="b">
        <v>0</v>
      </c>
      <c r="Q632" s="99" t="b">
        <v>0</v>
      </c>
      <c r="R632" s="14"/>
      <c r="S632" s="14"/>
      <c r="T632" s="14"/>
      <c r="U632" s="14"/>
      <c r="V632" s="14"/>
      <c r="W632" s="14"/>
    </row>
    <row r="633" ht="35.25" customHeight="1">
      <c r="A633" s="92" t="s">
        <v>9048</v>
      </c>
      <c r="B633" s="93" t="s">
        <v>9049</v>
      </c>
      <c r="C633" s="94" t="s">
        <v>9050</v>
      </c>
      <c r="D633" s="24" t="s">
        <v>9051</v>
      </c>
      <c r="E633" s="96" t="str">
        <f>IFERROR(__xludf.DUMMYFUNCTION("GOOGLETRANSLATE(D633,""zh-CN"",""vi"")"),"Anh ấy rất giỏi hội họa.")</f>
        <v>Anh ấy rất giỏi hội họa.</v>
      </c>
      <c r="F633" s="101" t="s">
        <v>9048</v>
      </c>
      <c r="G633" s="98" t="b">
        <f t="shared" si="1"/>
        <v>1</v>
      </c>
      <c r="H633" s="99" t="b">
        <v>0</v>
      </c>
      <c r="I633" s="99" t="b">
        <v>0</v>
      </c>
      <c r="J633" s="99" t="b">
        <v>0</v>
      </c>
      <c r="K633" s="99" t="b">
        <v>0</v>
      </c>
      <c r="L633" s="99" t="b">
        <v>0</v>
      </c>
      <c r="M633" s="99" t="b">
        <v>0</v>
      </c>
      <c r="N633" s="99" t="b">
        <v>0</v>
      </c>
      <c r="O633" s="99" t="b">
        <v>0</v>
      </c>
      <c r="P633" s="99" t="b">
        <v>0</v>
      </c>
      <c r="Q633" s="99" t="b">
        <v>0</v>
      </c>
      <c r="R633" s="14"/>
      <c r="S633" s="14"/>
      <c r="T633" s="14"/>
      <c r="U633" s="14"/>
      <c r="V633" s="14"/>
      <c r="W633" s="14"/>
    </row>
    <row r="634" ht="35.25" customHeight="1">
      <c r="A634" s="92" t="s">
        <v>9056</v>
      </c>
      <c r="B634" s="93" t="s">
        <v>9057</v>
      </c>
      <c r="C634" s="94" t="s">
        <v>9058</v>
      </c>
      <c r="D634" s="24" t="s">
        <v>9059</v>
      </c>
      <c r="E634" s="96" t="str">
        <f>IFERROR(__xludf.DUMMYFUNCTION("GOOGLETRANSLATE(D634,""zh-CN"",""vi"")"),"Vẻ quyến rũ của cô ấy đã thu hút rất nhiều người.")</f>
        <v>Vẻ quyến rũ của cô ấy đã thu hút rất nhiều người.</v>
      </c>
      <c r="F634" s="101" t="s">
        <v>9056</v>
      </c>
      <c r="G634" s="98" t="b">
        <f t="shared" si="1"/>
        <v>1</v>
      </c>
      <c r="H634" s="99" t="b">
        <v>0</v>
      </c>
      <c r="I634" s="99" t="b">
        <v>0</v>
      </c>
      <c r="J634" s="99" t="b">
        <v>0</v>
      </c>
      <c r="K634" s="99" t="b">
        <v>0</v>
      </c>
      <c r="L634" s="99" t="b">
        <v>0</v>
      </c>
      <c r="M634" s="99" t="b">
        <v>0</v>
      </c>
      <c r="N634" s="99" t="b">
        <v>0</v>
      </c>
      <c r="O634" s="99" t="b">
        <v>0</v>
      </c>
      <c r="P634" s="99" t="b">
        <v>0</v>
      </c>
      <c r="Q634" s="99" t="b">
        <v>0</v>
      </c>
      <c r="R634" s="14"/>
      <c r="S634" s="14"/>
      <c r="T634" s="14"/>
      <c r="U634" s="14"/>
      <c r="V634" s="14"/>
      <c r="W634" s="14"/>
    </row>
    <row r="635" ht="35.25" customHeight="1">
      <c r="A635" s="92" t="s">
        <v>9061</v>
      </c>
      <c r="B635" s="93" t="s">
        <v>9062</v>
      </c>
      <c r="C635" s="94" t="s">
        <v>9063</v>
      </c>
      <c r="D635" s="24" t="s">
        <v>9064</v>
      </c>
      <c r="E635" s="96" t="str">
        <f>IFERROR(__xludf.DUMMYFUNCTION("GOOGLETRANSLATE(D635,""zh-CN"",""vi"")"),"Anh ấy có một giấc mơ tuyệt vời.")</f>
        <v>Anh ấy có một giấc mơ tuyệt vời.</v>
      </c>
      <c r="F635" s="101" t="s">
        <v>9061</v>
      </c>
      <c r="G635" s="98" t="b">
        <f t="shared" si="1"/>
        <v>1</v>
      </c>
      <c r="H635" s="99" t="b">
        <v>0</v>
      </c>
      <c r="I635" s="99" t="b">
        <v>0</v>
      </c>
      <c r="J635" s="99" t="b">
        <v>0</v>
      </c>
      <c r="K635" s="99" t="b">
        <v>0</v>
      </c>
      <c r="L635" s="99" t="b">
        <v>0</v>
      </c>
      <c r="M635" s="99" t="b">
        <v>0</v>
      </c>
      <c r="N635" s="99" t="b">
        <v>0</v>
      </c>
      <c r="O635" s="99" t="b">
        <v>0</v>
      </c>
      <c r="P635" s="99" t="b">
        <v>0</v>
      </c>
      <c r="Q635" s="99" t="b">
        <v>0</v>
      </c>
      <c r="R635" s="14"/>
      <c r="S635" s="14"/>
      <c r="T635" s="14"/>
      <c r="U635" s="14"/>
      <c r="V635" s="14"/>
      <c r="W635" s="14"/>
    </row>
    <row r="636" ht="35.25" customHeight="1">
      <c r="A636" s="92" t="s">
        <v>9069</v>
      </c>
      <c r="B636" s="93" t="s">
        <v>9070</v>
      </c>
      <c r="C636" s="94" t="s">
        <v>9071</v>
      </c>
      <c r="D636" s="24" t="s">
        <v>9072</v>
      </c>
      <c r="E636" s="96" t="str">
        <f>IFERROR(__xludf.DUMMYFUNCTION("GOOGLETRANSLATE(D636,""zh-CN"",""vi"")"),"Đây là một bí mật.")</f>
        <v>Đây là một bí mật.</v>
      </c>
      <c r="F636" s="101" t="s">
        <v>9069</v>
      </c>
      <c r="G636" s="98" t="b">
        <f t="shared" si="1"/>
        <v>1</v>
      </c>
      <c r="H636" s="99" t="b">
        <v>0</v>
      </c>
      <c r="I636" s="99" t="b">
        <v>0</v>
      </c>
      <c r="J636" s="99" t="b">
        <v>0</v>
      </c>
      <c r="K636" s="99" t="b">
        <v>0</v>
      </c>
      <c r="L636" s="99" t="b">
        <v>0</v>
      </c>
      <c r="M636" s="99" t="b">
        <v>0</v>
      </c>
      <c r="N636" s="99" t="b">
        <v>0</v>
      </c>
      <c r="O636" s="99" t="b">
        <v>0</v>
      </c>
      <c r="P636" s="99" t="b">
        <v>0</v>
      </c>
      <c r="Q636" s="99" t="b">
        <v>0</v>
      </c>
      <c r="R636" s="14"/>
      <c r="S636" s="14"/>
      <c r="T636" s="14"/>
      <c r="U636" s="14"/>
      <c r="V636" s="14"/>
      <c r="W636" s="14"/>
    </row>
    <row r="637" ht="35.25" customHeight="1">
      <c r="A637" s="92" t="s">
        <v>9077</v>
      </c>
      <c r="B637" s="93" t="s">
        <v>9078</v>
      </c>
      <c r="C637" s="94" t="s">
        <v>9079</v>
      </c>
      <c r="D637" s="24" t="s">
        <v>9080</v>
      </c>
      <c r="E637" s="96" t="str">
        <f>IFERROR(__xludf.DUMMYFUNCTION("GOOGLETRANSLATE(D637,""zh-CN"",""vi"")"),"Cô ấy là thư ký của công ty.")</f>
        <v>Cô ấy là thư ký của công ty.</v>
      </c>
      <c r="F637" s="101" t="s">
        <v>9077</v>
      </c>
      <c r="G637" s="98" t="b">
        <f t="shared" si="1"/>
        <v>1</v>
      </c>
      <c r="H637" s="99" t="b">
        <v>0</v>
      </c>
      <c r="I637" s="99" t="b">
        <v>0</v>
      </c>
      <c r="J637" s="99" t="b">
        <v>0</v>
      </c>
      <c r="K637" s="99" t="b">
        <v>0</v>
      </c>
      <c r="L637" s="99" t="b">
        <v>0</v>
      </c>
      <c r="M637" s="99" t="b">
        <v>0</v>
      </c>
      <c r="N637" s="99" t="b">
        <v>0</v>
      </c>
      <c r="O637" s="99" t="b">
        <v>0</v>
      </c>
      <c r="P637" s="99" t="b">
        <v>0</v>
      </c>
      <c r="Q637" s="99" t="b">
        <v>0</v>
      </c>
      <c r="R637" s="14"/>
      <c r="S637" s="14"/>
      <c r="T637" s="14"/>
      <c r="U637" s="14"/>
      <c r="V637" s="14"/>
      <c r="W637" s="14"/>
    </row>
    <row r="638" ht="35.25" customHeight="1">
      <c r="A638" s="92" t="s">
        <v>9085</v>
      </c>
      <c r="B638" s="93" t="s">
        <v>9086</v>
      </c>
      <c r="C638" s="94" t="s">
        <v>9087</v>
      </c>
      <c r="D638" s="24" t="s">
        <v>9088</v>
      </c>
      <c r="E638" s="96" t="str">
        <f>IFERROR(__xludf.DUMMYFUNCTION("GOOGLETRANSLATE(D638,""zh-CN"",""vi"")"),"Chúng ta cần phối hợp chặt chẽ với nhau.")</f>
        <v>Chúng ta cần phối hợp chặt chẽ với nhau.</v>
      </c>
      <c r="F638" s="101" t="s">
        <v>9085</v>
      </c>
      <c r="G638" s="98" t="b">
        <f t="shared" si="1"/>
        <v>1</v>
      </c>
      <c r="H638" s="99" t="b">
        <v>0</v>
      </c>
      <c r="I638" s="99" t="b">
        <v>0</v>
      </c>
      <c r="J638" s="99" t="b">
        <v>0</v>
      </c>
      <c r="K638" s="99" t="b">
        <v>0</v>
      </c>
      <c r="L638" s="99" t="b">
        <v>0</v>
      </c>
      <c r="M638" s="99" t="b">
        <v>0</v>
      </c>
      <c r="N638" s="99" t="b">
        <v>0</v>
      </c>
      <c r="O638" s="99" t="b">
        <v>0</v>
      </c>
      <c r="P638" s="99" t="b">
        <v>0</v>
      </c>
      <c r="Q638" s="99" t="b">
        <v>0</v>
      </c>
      <c r="R638" s="14"/>
      <c r="S638" s="14"/>
      <c r="T638" s="14"/>
      <c r="U638" s="14"/>
      <c r="V638" s="14"/>
      <c r="W638" s="14"/>
    </row>
    <row r="639" ht="35.25" customHeight="1">
      <c r="A639" s="92" t="s">
        <v>9093</v>
      </c>
      <c r="B639" s="93" t="s">
        <v>9094</v>
      </c>
      <c r="C639" s="94" t="s">
        <v>9095</v>
      </c>
      <c r="D639" s="24" t="s">
        <v>9096</v>
      </c>
      <c r="E639" s="96" t="str">
        <f>IFERROR(__xludf.DUMMYFUNCTION("GOOGLETRANSLATE(D639,""zh-CN"",""vi"")"),"Những con ong bay qua bay lại giữa những bông hoa.")</f>
        <v>Những con ong bay qua bay lại giữa những bông hoa.</v>
      </c>
      <c r="F639" s="101" t="s">
        <v>9093</v>
      </c>
      <c r="G639" s="98" t="b">
        <f t="shared" si="1"/>
        <v>1</v>
      </c>
      <c r="H639" s="99" t="b">
        <v>0</v>
      </c>
      <c r="I639" s="99" t="b">
        <v>0</v>
      </c>
      <c r="J639" s="99" t="b">
        <v>0</v>
      </c>
      <c r="K639" s="99" t="b">
        <v>0</v>
      </c>
      <c r="L639" s="99" t="b">
        <v>0</v>
      </c>
      <c r="M639" s="99" t="b">
        <v>0</v>
      </c>
      <c r="N639" s="99" t="b">
        <v>0</v>
      </c>
      <c r="O639" s="99" t="b">
        <v>0</v>
      </c>
      <c r="P639" s="99" t="b">
        <v>0</v>
      </c>
      <c r="Q639" s="99" t="b">
        <v>0</v>
      </c>
      <c r="R639" s="14"/>
      <c r="S639" s="14"/>
      <c r="T639" s="14"/>
      <c r="U639" s="14"/>
      <c r="V639" s="14"/>
      <c r="W639" s="14"/>
    </row>
    <row r="640" ht="35.25" customHeight="1">
      <c r="A640" s="92" t="s">
        <v>9101</v>
      </c>
      <c r="B640" s="93" t="s">
        <v>9102</v>
      </c>
      <c r="C640" s="94" t="s">
        <v>9103</v>
      </c>
      <c r="D640" s="24" t="s">
        <v>9104</v>
      </c>
      <c r="E640" s="96" t="str">
        <f>IFERROR(__xludf.DUMMYFUNCTION("GOOGLETRANSLATE(D640,""zh-CN"",""vi"")"),"Anh ấy sẽ phải đối mặt với nhiều thử thách.")</f>
        <v>Anh ấy sẽ phải đối mặt với nhiều thử thách.</v>
      </c>
      <c r="F640" s="101" t="s">
        <v>9101</v>
      </c>
      <c r="G640" s="98" t="b">
        <f t="shared" si="1"/>
        <v>1</v>
      </c>
      <c r="H640" s="99" t="b">
        <v>0</v>
      </c>
      <c r="I640" s="99" t="b">
        <v>0</v>
      </c>
      <c r="J640" s="99" t="b">
        <v>0</v>
      </c>
      <c r="K640" s="99" t="b">
        <v>0</v>
      </c>
      <c r="L640" s="99" t="b">
        <v>0</v>
      </c>
      <c r="M640" s="99" t="b">
        <v>0</v>
      </c>
      <c r="N640" s="99" t="b">
        <v>0</v>
      </c>
      <c r="O640" s="99" t="b">
        <v>0</v>
      </c>
      <c r="P640" s="99" t="b">
        <v>0</v>
      </c>
      <c r="Q640" s="99" t="b">
        <v>0</v>
      </c>
      <c r="R640" s="14"/>
      <c r="S640" s="14"/>
      <c r="T640" s="14"/>
      <c r="U640" s="14"/>
      <c r="V640" s="14"/>
      <c r="W640" s="14"/>
    </row>
    <row r="641" ht="35.25" customHeight="1">
      <c r="A641" s="92" t="s">
        <v>9109</v>
      </c>
      <c r="B641" s="93" t="s">
        <v>9110</v>
      </c>
      <c r="C641" s="94" t="s">
        <v>9111</v>
      </c>
      <c r="D641" s="24" t="s">
        <v>9112</v>
      </c>
      <c r="E641" s="96" t="str">
        <f>IFERROR(__xludf.DUMMYFUNCTION("GOOGLETRANSLATE(D641,""zh-CN"",""vi"")"),"Ngôi nhà này rất lớn.")</f>
        <v>Ngôi nhà này rất lớn.</v>
      </c>
      <c r="F641" s="101" t="s">
        <v>9109</v>
      </c>
      <c r="G641" s="98" t="b">
        <f t="shared" si="1"/>
        <v>1</v>
      </c>
      <c r="H641" s="99" t="b">
        <v>0</v>
      </c>
      <c r="I641" s="99" t="b">
        <v>0</v>
      </c>
      <c r="J641" s="99" t="b">
        <v>0</v>
      </c>
      <c r="K641" s="99" t="b">
        <v>0</v>
      </c>
      <c r="L641" s="99" t="b">
        <v>0</v>
      </c>
      <c r="M641" s="99" t="b">
        <v>0</v>
      </c>
      <c r="N641" s="99" t="b">
        <v>0</v>
      </c>
      <c r="O641" s="99" t="b">
        <v>0</v>
      </c>
      <c r="P641" s="99" t="b">
        <v>0</v>
      </c>
      <c r="Q641" s="99" t="b">
        <v>0</v>
      </c>
      <c r="R641" s="14"/>
      <c r="S641" s="14"/>
      <c r="T641" s="14"/>
      <c r="U641" s="14"/>
      <c r="V641" s="14"/>
      <c r="W641" s="14"/>
    </row>
    <row r="642" ht="35.25" customHeight="1">
      <c r="A642" s="92" t="s">
        <v>9117</v>
      </c>
      <c r="B642" s="93" t="s">
        <v>9118</v>
      </c>
      <c r="C642" s="94" t="s">
        <v>9119</v>
      </c>
      <c r="D642" s="24" t="s">
        <v>9120</v>
      </c>
      <c r="E642" s="96" t="str">
        <f>IFERROR(__xludf.DUMMYFUNCTION("GOOGLETRANSLATE(D642,""zh-CN"",""vi"")"),"Chúng ta phải đối mặt với nhiều thách thức.")</f>
        <v>Chúng ta phải đối mặt với nhiều thách thức.</v>
      </c>
      <c r="F642" s="101" t="s">
        <v>9117</v>
      </c>
      <c r="G642" s="98" t="b">
        <f t="shared" si="1"/>
        <v>1</v>
      </c>
      <c r="H642" s="99" t="b">
        <v>0</v>
      </c>
      <c r="I642" s="99" t="b">
        <v>0</v>
      </c>
      <c r="J642" s="99" t="b">
        <v>0</v>
      </c>
      <c r="K642" s="99" t="b">
        <v>0</v>
      </c>
      <c r="L642" s="99" t="b">
        <v>0</v>
      </c>
      <c r="M642" s="99" t="b">
        <v>0</v>
      </c>
      <c r="N642" s="99" t="b">
        <v>0</v>
      </c>
      <c r="O642" s="99" t="b">
        <v>0</v>
      </c>
      <c r="P642" s="99" t="b">
        <v>0</v>
      </c>
      <c r="Q642" s="99" t="b">
        <v>0</v>
      </c>
      <c r="R642" s="14"/>
      <c r="S642" s="14"/>
      <c r="T642" s="14"/>
      <c r="U642" s="14"/>
      <c r="V642" s="14"/>
      <c r="W642" s="14"/>
    </row>
    <row r="643" ht="35.25" customHeight="1">
      <c r="A643" s="92" t="s">
        <v>9129</v>
      </c>
      <c r="B643" s="93" t="s">
        <v>9131</v>
      </c>
      <c r="C643" s="94" t="s">
        <v>9133</v>
      </c>
      <c r="D643" s="24" t="s">
        <v>9135</v>
      </c>
      <c r="E643" s="96" t="str">
        <f>IFERROR(__xludf.DUMMYFUNCTION("GOOGLETRANSLATE(D643,""zh-CN"",""vi"")"),"Cô ấy có vóc dáng rất mảnh mai.")</f>
        <v>Cô ấy có vóc dáng rất mảnh mai.</v>
      </c>
      <c r="F643" s="101" t="s">
        <v>9129</v>
      </c>
      <c r="G643" s="98" t="b">
        <f t="shared" si="1"/>
        <v>1</v>
      </c>
      <c r="H643" s="99" t="b">
        <v>0</v>
      </c>
      <c r="I643" s="99" t="b">
        <v>0</v>
      </c>
      <c r="J643" s="99" t="b">
        <v>0</v>
      </c>
      <c r="K643" s="99" t="b">
        <v>0</v>
      </c>
      <c r="L643" s="99" t="b">
        <v>0</v>
      </c>
      <c r="M643" s="99" t="b">
        <v>0</v>
      </c>
      <c r="N643" s="99" t="b">
        <v>0</v>
      </c>
      <c r="O643" s="99" t="b">
        <v>0</v>
      </c>
      <c r="P643" s="99" t="b">
        <v>0</v>
      </c>
      <c r="Q643" s="99" t="b">
        <v>0</v>
      </c>
      <c r="R643" s="14"/>
      <c r="S643" s="14"/>
      <c r="T643" s="14"/>
      <c r="U643" s="14"/>
      <c r="V643" s="14"/>
      <c r="W643" s="14"/>
    </row>
    <row r="644" ht="35.25" customHeight="1">
      <c r="A644" s="92" t="s">
        <v>9138</v>
      </c>
      <c r="B644" s="93" t="s">
        <v>9140</v>
      </c>
      <c r="C644" s="94" t="s">
        <v>9142</v>
      </c>
      <c r="D644" s="24" t="s">
        <v>9143</v>
      </c>
      <c r="E644" s="96" t="str">
        <f>IFERROR(__xludf.DUMMYFUNCTION("GOOGLETRANSLATE(D644,""zh-CN"",""vi"")"),"Cuốn sách này mô tả chi tiết cuộc đời ông.")</f>
        <v>Cuốn sách này mô tả chi tiết cuộc đời ông.</v>
      </c>
      <c r="F644" s="101" t="s">
        <v>9138</v>
      </c>
      <c r="G644" s="98" t="b">
        <f t="shared" si="1"/>
        <v>1</v>
      </c>
      <c r="H644" s="99" t="b">
        <v>0</v>
      </c>
      <c r="I644" s="99" t="b">
        <v>0</v>
      </c>
      <c r="J644" s="99" t="b">
        <v>0</v>
      </c>
      <c r="K644" s="99" t="b">
        <v>0</v>
      </c>
      <c r="L644" s="99" t="b">
        <v>0</v>
      </c>
      <c r="M644" s="99" t="b">
        <v>0</v>
      </c>
      <c r="N644" s="99" t="b">
        <v>0</v>
      </c>
      <c r="O644" s="99" t="b">
        <v>0</v>
      </c>
      <c r="P644" s="99" t="b">
        <v>0</v>
      </c>
      <c r="Q644" s="99" t="b">
        <v>0</v>
      </c>
      <c r="R644" s="14"/>
      <c r="S644" s="14"/>
      <c r="T644" s="14"/>
      <c r="U644" s="14"/>
      <c r="V644" s="14"/>
      <c r="W644" s="14"/>
    </row>
    <row r="645" ht="35.25" customHeight="1">
      <c r="A645" s="92" t="s">
        <v>9146</v>
      </c>
      <c r="B645" s="93" t="s">
        <v>9147</v>
      </c>
      <c r="C645" s="94" t="s">
        <v>9148</v>
      </c>
      <c r="D645" s="24" t="s">
        <v>9149</v>
      </c>
      <c r="E645" s="96" t="str">
        <f>IFERROR(__xludf.DUMMYFUNCTION("GOOGLETRANSLATE(D645,""zh-CN"",""vi"")"),"Cô ấy rất nhạy cảm với những vấn đề này.")</f>
        <v>Cô ấy rất nhạy cảm với những vấn đề này.</v>
      </c>
      <c r="F645" s="101" t="s">
        <v>9146</v>
      </c>
      <c r="G645" s="98" t="b">
        <f t="shared" si="1"/>
        <v>1</v>
      </c>
      <c r="H645" s="99" t="b">
        <v>0</v>
      </c>
      <c r="I645" s="99" t="b">
        <v>0</v>
      </c>
      <c r="J645" s="99" t="b">
        <v>0</v>
      </c>
      <c r="K645" s="99" t="b">
        <v>0</v>
      </c>
      <c r="L645" s="99" t="b">
        <v>0</v>
      </c>
      <c r="M645" s="99" t="b">
        <v>0</v>
      </c>
      <c r="N645" s="99" t="b">
        <v>0</v>
      </c>
      <c r="O645" s="99" t="b">
        <v>0</v>
      </c>
      <c r="P645" s="99" t="b">
        <v>0</v>
      </c>
      <c r="Q645" s="99" t="b">
        <v>0</v>
      </c>
      <c r="R645" s="14"/>
      <c r="S645" s="14"/>
      <c r="T645" s="14"/>
      <c r="U645" s="14"/>
      <c r="V645" s="14"/>
      <c r="W645" s="14"/>
    </row>
    <row r="646" ht="35.25" customHeight="1">
      <c r="A646" s="92" t="s">
        <v>9151</v>
      </c>
      <c r="B646" s="93" t="s">
        <v>9152</v>
      </c>
      <c r="C646" s="94" t="s">
        <v>9153</v>
      </c>
      <c r="D646" s="24" t="s">
        <v>9154</v>
      </c>
      <c r="E646" s="96" t="str">
        <f>IFERROR(__xludf.DUMMYFUNCTION("GOOGLETRANSLATE(D646,""zh-CN"",""vi"")"),"Đây là một chiếc đồng hồ thiết kế.")</f>
        <v>Đây là một chiếc đồng hồ thiết kế.</v>
      </c>
      <c r="F646" s="101" t="s">
        <v>9151</v>
      </c>
      <c r="G646" s="98" t="b">
        <f t="shared" si="1"/>
        <v>1</v>
      </c>
      <c r="H646" s="99" t="b">
        <v>0</v>
      </c>
      <c r="I646" s="99" t="b">
        <v>0</v>
      </c>
      <c r="J646" s="99" t="b">
        <v>0</v>
      </c>
      <c r="K646" s="99" t="b">
        <v>0</v>
      </c>
      <c r="L646" s="99" t="b">
        <v>0</v>
      </c>
      <c r="M646" s="99" t="b">
        <v>0</v>
      </c>
      <c r="N646" s="99" t="b">
        <v>0</v>
      </c>
      <c r="O646" s="99" t="b">
        <v>0</v>
      </c>
      <c r="P646" s="99" t="b">
        <v>0</v>
      </c>
      <c r="Q646" s="99" t="b">
        <v>0</v>
      </c>
      <c r="R646" s="14"/>
      <c r="S646" s="14"/>
      <c r="T646" s="14"/>
      <c r="U646" s="14"/>
      <c r="V646" s="14"/>
      <c r="W646" s="14"/>
    </row>
    <row r="647" ht="35.25" customHeight="1">
      <c r="A647" s="92" t="s">
        <v>9159</v>
      </c>
      <c r="B647" s="93" t="s">
        <v>9160</v>
      </c>
      <c r="C647" s="94" t="s">
        <v>9161</v>
      </c>
      <c r="D647" s="24" t="s">
        <v>9162</v>
      </c>
      <c r="E647" s="96" t="str">
        <f>IFERROR(__xludf.DUMMYFUNCTION("GOOGLETRANSLATE(D647,""zh-CN"",""vi"")"),"Đây là danh thiếp của tôi.")</f>
        <v>Đây là danh thiếp của tôi.</v>
      </c>
      <c r="F647" s="101" t="s">
        <v>9159</v>
      </c>
      <c r="G647" s="98" t="b">
        <f t="shared" si="1"/>
        <v>1</v>
      </c>
      <c r="H647" s="99" t="b">
        <v>1</v>
      </c>
      <c r="I647" s="99" t="b">
        <v>0</v>
      </c>
      <c r="J647" s="99" t="b">
        <v>0</v>
      </c>
      <c r="K647" s="99" t="b">
        <v>0</v>
      </c>
      <c r="L647" s="99" t="b">
        <v>0</v>
      </c>
      <c r="M647" s="99" t="b">
        <v>0</v>
      </c>
      <c r="N647" s="99" t="b">
        <v>0</v>
      </c>
      <c r="O647" s="99" t="b">
        <v>0</v>
      </c>
      <c r="P647" s="99" t="b">
        <v>0</v>
      </c>
      <c r="Q647" s="99" t="b">
        <v>0</v>
      </c>
      <c r="R647" s="14"/>
      <c r="S647" s="14"/>
      <c r="T647" s="14"/>
      <c r="U647" s="14"/>
      <c r="V647" s="14"/>
      <c r="W647" s="14"/>
    </row>
    <row r="648" ht="35.25" customHeight="1">
      <c r="A648" s="92" t="s">
        <v>9167</v>
      </c>
      <c r="B648" s="93" t="s">
        <v>9168</v>
      </c>
      <c r="C648" s="94" t="s">
        <v>9169</v>
      </c>
      <c r="D648" s="24" t="s">
        <v>9170</v>
      </c>
      <c r="E648" s="96" t="str">
        <f>IFERROR(__xludf.DUMMYFUNCTION("GOOGLETRANSLATE(D648,""zh-CN"",""vi"")"),"Chúng tôi đã tham quan nhiều di tích lịch sử nổi tiếng.")</f>
        <v>Chúng tôi đã tham quan nhiều di tích lịch sử nổi tiếng.</v>
      </c>
      <c r="F648" s="101" t="s">
        <v>9167</v>
      </c>
      <c r="G648" s="98" t="b">
        <f t="shared" si="1"/>
        <v>1</v>
      </c>
      <c r="H648" s="99" t="b">
        <v>1</v>
      </c>
      <c r="I648" s="99" t="b">
        <v>0</v>
      </c>
      <c r="J648" s="99" t="b">
        <v>0</v>
      </c>
      <c r="K648" s="99" t="b">
        <v>0</v>
      </c>
      <c r="L648" s="99" t="b">
        <v>0</v>
      </c>
      <c r="M648" s="99" t="b">
        <v>0</v>
      </c>
      <c r="N648" s="99" t="b">
        <v>0</v>
      </c>
      <c r="O648" s="99" t="b">
        <v>0</v>
      </c>
      <c r="P648" s="99" t="b">
        <v>0</v>
      </c>
      <c r="Q648" s="99" t="b">
        <v>0</v>
      </c>
      <c r="R648" s="14"/>
      <c r="S648" s="14"/>
      <c r="T648" s="14"/>
      <c r="U648" s="14"/>
      <c r="V648" s="14"/>
      <c r="W648" s="14"/>
    </row>
    <row r="649" ht="35.25" customHeight="1">
      <c r="A649" s="92" t="s">
        <v>9171</v>
      </c>
      <c r="B649" s="93" t="s">
        <v>9172</v>
      </c>
      <c r="C649" s="94" t="s">
        <v>9173</v>
      </c>
      <c r="D649" s="24" t="s">
        <v>9174</v>
      </c>
      <c r="E649" s="96" t="str">
        <f>IFERROR(__xludf.DUMMYFUNCTION("GOOGLETRANSLATE(D649,""zh-CN"",""vi"")"),"Vui lòng nêu rõ yêu cầu của bạn.")</f>
        <v>Vui lòng nêu rõ yêu cầu của bạn.</v>
      </c>
      <c r="F649" s="101" t="s">
        <v>9171</v>
      </c>
      <c r="G649" s="98" t="b">
        <f t="shared" si="1"/>
        <v>1</v>
      </c>
      <c r="H649" s="99" t="b">
        <v>1</v>
      </c>
      <c r="I649" s="99" t="b">
        <v>0</v>
      </c>
      <c r="J649" s="99" t="b">
        <v>0</v>
      </c>
      <c r="K649" s="99" t="b">
        <v>0</v>
      </c>
      <c r="L649" s="99" t="b">
        <v>0</v>
      </c>
      <c r="M649" s="99" t="b">
        <v>0</v>
      </c>
      <c r="N649" s="99" t="b">
        <v>0</v>
      </c>
      <c r="O649" s="99" t="b">
        <v>0</v>
      </c>
      <c r="P649" s="99" t="b">
        <v>0</v>
      </c>
      <c r="Q649" s="99" t="b">
        <v>0</v>
      </c>
      <c r="R649" s="14"/>
      <c r="S649" s="14"/>
      <c r="T649" s="14"/>
      <c r="U649" s="14"/>
      <c r="V649" s="14"/>
      <c r="W649" s="14"/>
    </row>
    <row r="650" ht="35.25" customHeight="1">
      <c r="A650" s="92" t="s">
        <v>9177</v>
      </c>
      <c r="B650" s="93" t="s">
        <v>9179</v>
      </c>
      <c r="C650" s="94" t="s">
        <v>2632</v>
      </c>
      <c r="D650" s="24" t="s">
        <v>9180</v>
      </c>
      <c r="E650" s="96" t="str">
        <f>IFERROR(__xludf.DUMMYFUNCTION("GOOGLETRANSLATE(D650,""zh-CN"",""vi"")"),"Câu trả lời cho câu hỏi này rất rõ ràng.")</f>
        <v>Câu trả lời cho câu hỏi này rất rõ ràng.</v>
      </c>
      <c r="F650" s="101" t="s">
        <v>9177</v>
      </c>
      <c r="G650" s="98" t="b">
        <f t="shared" si="1"/>
        <v>1</v>
      </c>
      <c r="H650" s="99" t="b">
        <v>1</v>
      </c>
      <c r="I650" s="99" t="b">
        <v>0</v>
      </c>
      <c r="J650" s="99" t="b">
        <v>0</v>
      </c>
      <c r="K650" s="99" t="b">
        <v>0</v>
      </c>
      <c r="L650" s="99" t="b">
        <v>0</v>
      </c>
      <c r="M650" s="99" t="b">
        <v>0</v>
      </c>
      <c r="N650" s="99" t="b">
        <v>0</v>
      </c>
      <c r="O650" s="99" t="b">
        <v>0</v>
      </c>
      <c r="P650" s="99" t="b">
        <v>0</v>
      </c>
      <c r="Q650" s="99" t="b">
        <v>0</v>
      </c>
      <c r="R650" s="14"/>
      <c r="S650" s="14"/>
      <c r="T650" s="14"/>
      <c r="U650" s="14"/>
      <c r="V650" s="14"/>
      <c r="W650" s="14"/>
    </row>
    <row r="651" ht="35.25" customHeight="1">
      <c r="A651" s="92" t="s">
        <v>9183</v>
      </c>
      <c r="B651" s="93" t="s">
        <v>9184</v>
      </c>
      <c r="C651" s="94" t="s">
        <v>9185</v>
      </c>
      <c r="D651" s="24" t="s">
        <v>9186</v>
      </c>
      <c r="E651" s="96" t="str">
        <f>IFERROR(__xludf.DUMMYFUNCTION("GOOGLETRANSLATE(D651,""zh-CN"",""vi"")"),"Cô ấy là một ngôi sao nổi tiếng.")</f>
        <v>Cô ấy là một ngôi sao nổi tiếng.</v>
      </c>
      <c r="F651" s="101" t="s">
        <v>9183</v>
      </c>
      <c r="G651" s="98" t="b">
        <f t="shared" si="1"/>
        <v>1</v>
      </c>
      <c r="H651" s="99" t="b">
        <v>1</v>
      </c>
      <c r="I651" s="99" t="b">
        <v>0</v>
      </c>
      <c r="J651" s="99" t="b">
        <v>0</v>
      </c>
      <c r="K651" s="99" t="b">
        <v>0</v>
      </c>
      <c r="L651" s="99" t="b">
        <v>0</v>
      </c>
      <c r="M651" s="99" t="b">
        <v>0</v>
      </c>
      <c r="N651" s="99" t="b">
        <v>0</v>
      </c>
      <c r="O651" s="99" t="b">
        <v>0</v>
      </c>
      <c r="P651" s="99" t="b">
        <v>0</v>
      </c>
      <c r="Q651" s="99" t="b">
        <v>0</v>
      </c>
      <c r="R651" s="14"/>
      <c r="S651" s="14"/>
      <c r="T651" s="14"/>
      <c r="U651" s="14"/>
      <c r="V651" s="14"/>
      <c r="W651" s="14"/>
    </row>
    <row r="652" ht="35.25" customHeight="1">
      <c r="A652" s="92" t="s">
        <v>9191</v>
      </c>
      <c r="B652" s="93" t="s">
        <v>9192</v>
      </c>
      <c r="C652" s="94" t="s">
        <v>9193</v>
      </c>
      <c r="D652" s="24" t="s">
        <v>9194</v>
      </c>
      <c r="E652" s="96" t="str">
        <f>IFERROR(__xludf.DUMMYFUNCTION("GOOGLETRANSLATE(D652,""zh-CN"",""vi"")"),"Anh ấy đã ra lệnh cho tôi.")</f>
        <v>Anh ấy đã ra lệnh cho tôi.</v>
      </c>
      <c r="F652" s="101" t="s">
        <v>9191</v>
      </c>
      <c r="G652" s="98" t="b">
        <f t="shared" si="1"/>
        <v>1</v>
      </c>
      <c r="H652" s="99" t="b">
        <v>1</v>
      </c>
      <c r="I652" s="99" t="b">
        <v>0</v>
      </c>
      <c r="J652" s="99" t="b">
        <v>0</v>
      </c>
      <c r="K652" s="99" t="b">
        <v>0</v>
      </c>
      <c r="L652" s="99" t="b">
        <v>0</v>
      </c>
      <c r="M652" s="99" t="b">
        <v>0</v>
      </c>
      <c r="N652" s="99" t="b">
        <v>0</v>
      </c>
      <c r="O652" s="99" t="b">
        <v>0</v>
      </c>
      <c r="P652" s="99" t="b">
        <v>0</v>
      </c>
      <c r="Q652" s="99" t="b">
        <v>0</v>
      </c>
      <c r="R652" s="14"/>
      <c r="S652" s="14"/>
      <c r="T652" s="14"/>
      <c r="U652" s="14"/>
      <c r="V652" s="14"/>
      <c r="W652" s="14"/>
    </row>
    <row r="653" ht="35.25" customHeight="1">
      <c r="A653" s="92" t="s">
        <v>9199</v>
      </c>
      <c r="B653" s="93" t="s">
        <v>9200</v>
      </c>
      <c r="C653" s="94" t="s">
        <v>9201</v>
      </c>
      <c r="D653" s="24" t="s">
        <v>9202</v>
      </c>
      <c r="E653" s="96" t="str">
        <f>IFERROR(__xludf.DUMMYFUNCTION("GOOGLETRANSLATE(D653,""zh-CN"",""vi"")"),"Tôi tin rằng số phận của bạn sẽ thay đổi.")</f>
        <v>Tôi tin rằng số phận của bạn sẽ thay đổi.</v>
      </c>
      <c r="F653" s="101" t="s">
        <v>9199</v>
      </c>
      <c r="G653" s="98" t="b">
        <f t="shared" si="1"/>
        <v>1</v>
      </c>
      <c r="H653" s="99" t="b">
        <v>1</v>
      </c>
      <c r="I653" s="99" t="b">
        <v>0</v>
      </c>
      <c r="J653" s="99" t="b">
        <v>0</v>
      </c>
      <c r="K653" s="99" t="b">
        <v>0</v>
      </c>
      <c r="L653" s="99" t="b">
        <v>0</v>
      </c>
      <c r="M653" s="99" t="b">
        <v>0</v>
      </c>
      <c r="N653" s="99" t="b">
        <v>0</v>
      </c>
      <c r="O653" s="99" t="b">
        <v>0</v>
      </c>
      <c r="P653" s="99" t="b">
        <v>0</v>
      </c>
      <c r="Q653" s="99" t="b">
        <v>0</v>
      </c>
      <c r="R653" s="14"/>
      <c r="S653" s="14"/>
      <c r="T653" s="14"/>
      <c r="U653" s="14"/>
      <c r="V653" s="14"/>
      <c r="W653" s="14"/>
    </row>
    <row r="654" ht="35.25" customHeight="1">
      <c r="A654" s="92" t="s">
        <v>9207</v>
      </c>
      <c r="B654" s="93" t="s">
        <v>9208</v>
      </c>
      <c r="C654" s="94" t="s">
        <v>9209</v>
      </c>
      <c r="D654" s="24" t="s">
        <v>9210</v>
      </c>
      <c r="E654" s="96" t="str">
        <f>IFERROR(__xludf.DUMMYFUNCTION("GOOGLETRANSLATE(D654,""zh-CN"",""vi"")"),"Cô chạm vào vai anh.")</f>
        <v>Cô chạm vào vai anh.</v>
      </c>
      <c r="F654" s="101" t="s">
        <v>9207</v>
      </c>
      <c r="G654" s="98" t="b">
        <f t="shared" si="1"/>
        <v>1</v>
      </c>
      <c r="H654" s="99" t="b">
        <v>1</v>
      </c>
      <c r="I654" s="99" t="b">
        <v>0</v>
      </c>
      <c r="J654" s="99" t="b">
        <v>0</v>
      </c>
      <c r="K654" s="99" t="b">
        <v>0</v>
      </c>
      <c r="L654" s="99" t="b">
        <v>0</v>
      </c>
      <c r="M654" s="99" t="b">
        <v>0</v>
      </c>
      <c r="N654" s="99" t="b">
        <v>0</v>
      </c>
      <c r="O654" s="99" t="b">
        <v>0</v>
      </c>
      <c r="P654" s="99" t="b">
        <v>0</v>
      </c>
      <c r="Q654" s="99" t="b">
        <v>0</v>
      </c>
      <c r="R654" s="14"/>
      <c r="S654" s="14"/>
      <c r="T654" s="14"/>
      <c r="U654" s="14"/>
      <c r="V654" s="14"/>
      <c r="W654" s="14"/>
    </row>
    <row r="655" ht="35.25" customHeight="1">
      <c r="A655" s="92" t="s">
        <v>9215</v>
      </c>
      <c r="B655" s="93" t="s">
        <v>9216</v>
      </c>
      <c r="C655" s="94" t="s">
        <v>9217</v>
      </c>
      <c r="D655" s="24" t="s">
        <v>9218</v>
      </c>
      <c r="E655" s="96" t="str">
        <f>IFERROR(__xludf.DUMMYFUNCTION("GOOGLETRANSLATE(D655,""zh-CN"",""vi"")"),"Cậu ta bắt chước thầy giáo của mình.")</f>
        <v>Cậu ta bắt chước thầy giáo của mình.</v>
      </c>
      <c r="F655" s="101" t="s">
        <v>9215</v>
      </c>
      <c r="G655" s="98" t="b">
        <f t="shared" si="1"/>
        <v>1</v>
      </c>
      <c r="H655" s="99" t="b">
        <v>1</v>
      </c>
      <c r="I655" s="99" t="b">
        <v>0</v>
      </c>
      <c r="J655" s="99" t="b">
        <v>0</v>
      </c>
      <c r="K655" s="99" t="b">
        <v>0</v>
      </c>
      <c r="L655" s="99" t="b">
        <v>0</v>
      </c>
      <c r="M655" s="99" t="b">
        <v>0</v>
      </c>
      <c r="N655" s="99" t="b">
        <v>0</v>
      </c>
      <c r="O655" s="99" t="b">
        <v>0</v>
      </c>
      <c r="P655" s="99" t="b">
        <v>0</v>
      </c>
      <c r="Q655" s="99" t="b">
        <v>0</v>
      </c>
      <c r="R655" s="14"/>
      <c r="S655" s="14"/>
      <c r="T655" s="14"/>
      <c r="U655" s="14"/>
      <c r="V655" s="14"/>
      <c r="W655" s="14"/>
    </row>
    <row r="656" ht="35.25" customHeight="1">
      <c r="A656" s="92" t="s">
        <v>9223</v>
      </c>
      <c r="B656" s="93" t="s">
        <v>9224</v>
      </c>
      <c r="C656" s="94" t="s">
        <v>9225</v>
      </c>
      <c r="D656" s="24" t="s">
        <v>9226</v>
      </c>
      <c r="E656" s="96" t="str">
        <f>IFERROR(__xludf.DUMMYFUNCTION("GOOGLETRANSLATE(D656,""zh-CN"",""vi"")"),"Câu hỏi này hơi mơ hồ.")</f>
        <v>Câu hỏi này hơi mơ hồ.</v>
      </c>
      <c r="F656" s="101" t="s">
        <v>9223</v>
      </c>
      <c r="G656" s="98" t="b">
        <f t="shared" si="1"/>
        <v>1</v>
      </c>
      <c r="H656" s="99" t="b">
        <v>1</v>
      </c>
      <c r="I656" s="99" t="b">
        <v>0</v>
      </c>
      <c r="J656" s="99" t="b">
        <v>0</v>
      </c>
      <c r="K656" s="99" t="b">
        <v>0</v>
      </c>
      <c r="L656" s="99" t="b">
        <v>0</v>
      </c>
      <c r="M656" s="99" t="b">
        <v>0</v>
      </c>
      <c r="N656" s="99" t="b">
        <v>0</v>
      </c>
      <c r="O656" s="99" t="b">
        <v>0</v>
      </c>
      <c r="P656" s="99" t="b">
        <v>0</v>
      </c>
      <c r="Q656" s="99" t="b">
        <v>0</v>
      </c>
      <c r="R656" s="14"/>
      <c r="S656" s="14"/>
      <c r="T656" s="14"/>
      <c r="U656" s="14"/>
      <c r="V656" s="14"/>
      <c r="W656" s="14"/>
    </row>
    <row r="657" ht="35.25" customHeight="1">
      <c r="A657" s="92" t="s">
        <v>9231</v>
      </c>
      <c r="B657" s="93" t="s">
        <v>9232</v>
      </c>
      <c r="C657" s="94" t="s">
        <v>9233</v>
      </c>
      <c r="D657" s="24" t="s">
        <v>9234</v>
      </c>
      <c r="E657" s="96" t="str">
        <f>IFERROR(__xludf.DUMMYFUNCTION("GOOGLETRANSLATE(D657,""zh-CN"",""vi"")"),"Cô ấy là một người mẫu chuyên nghiệp.")</f>
        <v>Cô ấy là một người mẫu chuyên nghiệp.</v>
      </c>
      <c r="F657" s="101" t="s">
        <v>9231</v>
      </c>
      <c r="G657" s="98" t="b">
        <f t="shared" si="1"/>
        <v>1</v>
      </c>
      <c r="H657" s="99" t="b">
        <v>1</v>
      </c>
      <c r="I657" s="99" t="b">
        <v>0</v>
      </c>
      <c r="J657" s="99" t="b">
        <v>0</v>
      </c>
      <c r="K657" s="99" t="b">
        <v>0</v>
      </c>
      <c r="L657" s="99" t="b">
        <v>0</v>
      </c>
      <c r="M657" s="99" t="b">
        <v>0</v>
      </c>
      <c r="N657" s="99" t="b">
        <v>0</v>
      </c>
      <c r="O657" s="99" t="b">
        <v>0</v>
      </c>
      <c r="P657" s="99" t="b">
        <v>0</v>
      </c>
      <c r="Q657" s="99" t="b">
        <v>0</v>
      </c>
      <c r="R657" s="14"/>
      <c r="S657" s="14"/>
      <c r="T657" s="14"/>
      <c r="U657" s="14"/>
      <c r="V657" s="14"/>
      <c r="W657" s="14"/>
    </row>
    <row r="658" ht="35.25" customHeight="1">
      <c r="A658" s="92" t="s">
        <v>9239</v>
      </c>
      <c r="B658" s="93" t="s">
        <v>9240</v>
      </c>
      <c r="C658" s="94" t="s">
        <v>9241</v>
      </c>
      <c r="D658" s="24" t="s">
        <v>9242</v>
      </c>
      <c r="E658" s="96" t="str">
        <f>IFERROR(__xludf.DUMMYFUNCTION("GOOGLETRANSLATE(D658,""zh-CN"",""vi"")"),"Anh ấy đi xe máy.")</f>
        <v>Anh ấy đi xe máy.</v>
      </c>
      <c r="F658" s="101" t="s">
        <v>9239</v>
      </c>
      <c r="G658" s="98" t="b">
        <f t="shared" si="1"/>
        <v>1</v>
      </c>
      <c r="H658" s="99" t="b">
        <v>1</v>
      </c>
      <c r="I658" s="99" t="b">
        <v>0</v>
      </c>
      <c r="J658" s="99" t="b">
        <v>0</v>
      </c>
      <c r="K658" s="99" t="b">
        <v>0</v>
      </c>
      <c r="L658" s="99" t="b">
        <v>0</v>
      </c>
      <c r="M658" s="99" t="b">
        <v>0</v>
      </c>
      <c r="N658" s="99" t="b">
        <v>0</v>
      </c>
      <c r="O658" s="99" t="b">
        <v>0</v>
      </c>
      <c r="P658" s="99" t="b">
        <v>0</v>
      </c>
      <c r="Q658" s="99" t="b">
        <v>0</v>
      </c>
      <c r="R658" s="14"/>
      <c r="S658" s="14"/>
      <c r="T658" s="14"/>
      <c r="U658" s="14"/>
      <c r="V658" s="14"/>
      <c r="W658" s="14"/>
    </row>
    <row r="659" ht="35.25" customHeight="1">
      <c r="A659" s="92" t="s">
        <v>9247</v>
      </c>
      <c r="B659" s="93" t="s">
        <v>9248</v>
      </c>
      <c r="C659" s="94" t="s">
        <v>9249</v>
      </c>
      <c r="D659" s="24" t="s">
        <v>9250</v>
      </c>
      <c r="E659" s="96" t="str">
        <f>IFERROR(__xludf.DUMMYFUNCTION("GOOGLETRANSLATE(D659,""zh-CN"",""vi"")"),"Tôi cảm thấy nơi này thật xa lạ.")</f>
        <v>Tôi cảm thấy nơi này thật xa lạ.</v>
      </c>
      <c r="F659" s="101" t="s">
        <v>9247</v>
      </c>
      <c r="G659" s="98" t="b">
        <f t="shared" si="1"/>
        <v>1</v>
      </c>
      <c r="H659" s="99" t="b">
        <v>1</v>
      </c>
      <c r="I659" s="99" t="b">
        <v>0</v>
      </c>
      <c r="J659" s="99" t="b">
        <v>0</v>
      </c>
      <c r="K659" s="99" t="b">
        <v>0</v>
      </c>
      <c r="L659" s="99" t="b">
        <v>0</v>
      </c>
      <c r="M659" s="99" t="b">
        <v>0</v>
      </c>
      <c r="N659" s="99" t="b">
        <v>0</v>
      </c>
      <c r="O659" s="99" t="b">
        <v>0</v>
      </c>
      <c r="P659" s="99" t="b">
        <v>0</v>
      </c>
      <c r="Q659" s="99" t="b">
        <v>0</v>
      </c>
      <c r="R659" s="14"/>
      <c r="S659" s="14"/>
      <c r="T659" s="14"/>
      <c r="U659" s="14"/>
      <c r="V659" s="14"/>
      <c r="W659" s="14"/>
    </row>
    <row r="660" ht="35.25" customHeight="1">
      <c r="A660" s="92" t="s">
        <v>9255</v>
      </c>
      <c r="B660" s="93" t="s">
        <v>9256</v>
      </c>
      <c r="C660" s="94" t="s">
        <v>9257</v>
      </c>
      <c r="D660" s="24" t="s">
        <v>9258</v>
      </c>
      <c r="E660" s="96" t="str">
        <f>IFERROR(__xludf.DUMMYFUNCTION("GOOGLETRANSLATE(D660,""zh-CN"",""vi"")"),"Một ngày nào đó chúng ta sẽ thành công.")</f>
        <v>Một ngày nào đó chúng ta sẽ thành công.</v>
      </c>
      <c r="F660" s="101" t="s">
        <v>9255</v>
      </c>
      <c r="G660" s="98" t="b">
        <f t="shared" si="1"/>
        <v>1</v>
      </c>
      <c r="H660" s="99" t="b">
        <v>1</v>
      </c>
      <c r="I660" s="99" t="b">
        <v>0</v>
      </c>
      <c r="J660" s="99" t="b">
        <v>0</v>
      </c>
      <c r="K660" s="99" t="b">
        <v>0</v>
      </c>
      <c r="L660" s="99" t="b">
        <v>0</v>
      </c>
      <c r="M660" s="99" t="b">
        <v>0</v>
      </c>
      <c r="N660" s="99" t="b">
        <v>0</v>
      </c>
      <c r="O660" s="99" t="b">
        <v>0</v>
      </c>
      <c r="P660" s="99" t="b">
        <v>0</v>
      </c>
      <c r="Q660" s="99" t="b">
        <v>0</v>
      </c>
      <c r="R660" s="14"/>
      <c r="S660" s="14"/>
      <c r="T660" s="14"/>
      <c r="U660" s="14"/>
      <c r="V660" s="14"/>
      <c r="W660" s="14"/>
    </row>
    <row r="661" ht="35.25" customHeight="1">
      <c r="A661" s="92" t="s">
        <v>9263</v>
      </c>
      <c r="B661" s="93" t="s">
        <v>9264</v>
      </c>
      <c r="C661" s="94" t="s">
        <v>9265</v>
      </c>
      <c r="D661" s="24" t="s">
        <v>9266</v>
      </c>
      <c r="E661" s="96" t="str">
        <f>IFERROR(__xludf.DUMMYFUNCTION("GOOGLETRANSLATE(D661,""zh-CN"",""vi"")"),"Loại gỗ này rất cứng.")</f>
        <v>Loại gỗ này rất cứng.</v>
      </c>
      <c r="F661" s="101" t="s">
        <v>9263</v>
      </c>
      <c r="G661" s="98" t="b">
        <f t="shared" si="1"/>
        <v>1</v>
      </c>
      <c r="H661" s="99" t="b">
        <v>1</v>
      </c>
      <c r="I661" s="99" t="b">
        <v>0</v>
      </c>
      <c r="J661" s="99" t="b">
        <v>0</v>
      </c>
      <c r="K661" s="99" t="b">
        <v>0</v>
      </c>
      <c r="L661" s="99" t="b">
        <v>0</v>
      </c>
      <c r="M661" s="99" t="b">
        <v>0</v>
      </c>
      <c r="N661" s="99" t="b">
        <v>0</v>
      </c>
      <c r="O661" s="99" t="b">
        <v>0</v>
      </c>
      <c r="P661" s="99" t="b">
        <v>0</v>
      </c>
      <c r="Q661" s="99" t="b">
        <v>0</v>
      </c>
      <c r="R661" s="14"/>
      <c r="S661" s="14"/>
      <c r="T661" s="14"/>
      <c r="U661" s="14"/>
      <c r="V661" s="14"/>
      <c r="W661" s="14"/>
    </row>
    <row r="662" ht="35.25" customHeight="1">
      <c r="A662" s="92" t="s">
        <v>9271</v>
      </c>
      <c r="B662" s="93" t="s">
        <v>9272</v>
      </c>
      <c r="C662" s="94" t="s">
        <v>9273</v>
      </c>
      <c r="D662" s="24" t="s">
        <v>9274</v>
      </c>
      <c r="E662" s="96" t="str">
        <f>IFERROR(__xludf.DUMMYFUNCTION("GOOGLETRANSLATE(D662,""zh-CN"",""vi"")"),"Mục tiêu của cô ấy là trở thành bác sĩ.")</f>
        <v>Mục tiêu của cô ấy là trở thành bác sĩ.</v>
      </c>
      <c r="F662" s="101" t="s">
        <v>9271</v>
      </c>
      <c r="G662" s="98" t="b">
        <f t="shared" si="1"/>
        <v>1</v>
      </c>
      <c r="H662" s="99" t="b">
        <v>1</v>
      </c>
      <c r="I662" s="99" t="b">
        <v>0</v>
      </c>
      <c r="J662" s="99" t="b">
        <v>0</v>
      </c>
      <c r="K662" s="99" t="b">
        <v>0</v>
      </c>
      <c r="L662" s="99" t="b">
        <v>0</v>
      </c>
      <c r="M662" s="99" t="b">
        <v>0</v>
      </c>
      <c r="N662" s="99" t="b">
        <v>0</v>
      </c>
      <c r="O662" s="99" t="b">
        <v>0</v>
      </c>
      <c r="P662" s="99" t="b">
        <v>0</v>
      </c>
      <c r="Q662" s="99" t="b">
        <v>0</v>
      </c>
      <c r="R662" s="14"/>
      <c r="S662" s="14"/>
      <c r="T662" s="14"/>
      <c r="U662" s="14"/>
      <c r="V662" s="14"/>
      <c r="W662" s="14"/>
    </row>
    <row r="663" ht="35.25" customHeight="1">
      <c r="A663" s="92" t="s">
        <v>9279</v>
      </c>
      <c r="B663" s="93" t="s">
        <v>9280</v>
      </c>
      <c r="C663" s="94" t="s">
        <v>9281</v>
      </c>
      <c r="D663" s="24" t="s">
        <v>9282</v>
      </c>
      <c r="E663" s="96" t="str">
        <f>IFERROR(__xludf.DUMMYFUNCTION("GOOGLETRANSLATE(D663,""zh-CN"",""vi"")"),"Tôi đã kiểm tra thư mục.")</f>
        <v>Tôi đã kiểm tra thư mục.</v>
      </c>
      <c r="F663" s="101" t="s">
        <v>9279</v>
      </c>
      <c r="G663" s="98" t="b">
        <f t="shared" si="1"/>
        <v>1</v>
      </c>
      <c r="H663" s="99" t="b">
        <v>1</v>
      </c>
      <c r="I663" s="99" t="b">
        <v>0</v>
      </c>
      <c r="J663" s="99" t="b">
        <v>0</v>
      </c>
      <c r="K663" s="99" t="b">
        <v>0</v>
      </c>
      <c r="L663" s="99" t="b">
        <v>0</v>
      </c>
      <c r="M663" s="99" t="b">
        <v>0</v>
      </c>
      <c r="N663" s="99" t="b">
        <v>0</v>
      </c>
      <c r="O663" s="99" t="b">
        <v>0</v>
      </c>
      <c r="P663" s="99" t="b">
        <v>0</v>
      </c>
      <c r="Q663" s="99" t="b">
        <v>0</v>
      </c>
      <c r="R663" s="14"/>
      <c r="S663" s="14"/>
      <c r="T663" s="14"/>
      <c r="U663" s="14"/>
      <c r="V663" s="14"/>
      <c r="W663" s="14"/>
    </row>
    <row r="664" ht="35.25" customHeight="1">
      <c r="A664" s="92" t="s">
        <v>9287</v>
      </c>
      <c r="B664" s="93" t="s">
        <v>9288</v>
      </c>
      <c r="C664" s="94" t="s">
        <v>9289</v>
      </c>
      <c r="D664" s="24" t="s">
        <v>3671</v>
      </c>
      <c r="E664" s="96" t="str">
        <f>IFERROR(__xludf.DUMMYFUNCTION("GOOGLETRANSLATE(D664,""zh-CN"",""vi"")"),"Tình hình hiện tại rất phức tạp.")</f>
        <v>Tình hình hiện tại rất phức tạp.</v>
      </c>
      <c r="F664" s="101" t="s">
        <v>9287</v>
      </c>
      <c r="G664" s="98" t="b">
        <f t="shared" si="1"/>
        <v>1</v>
      </c>
      <c r="H664" s="99" t="b">
        <v>1</v>
      </c>
      <c r="I664" s="99" t="b">
        <v>0</v>
      </c>
      <c r="J664" s="99" t="b">
        <v>0</v>
      </c>
      <c r="K664" s="99" t="b">
        <v>0</v>
      </c>
      <c r="L664" s="99" t="b">
        <v>0</v>
      </c>
      <c r="M664" s="99" t="b">
        <v>0</v>
      </c>
      <c r="N664" s="99" t="b">
        <v>0</v>
      </c>
      <c r="O664" s="99" t="b">
        <v>0</v>
      </c>
      <c r="P664" s="99" t="b">
        <v>0</v>
      </c>
      <c r="Q664" s="99" t="b">
        <v>0</v>
      </c>
      <c r="R664" s="14"/>
      <c r="S664" s="14"/>
      <c r="T664" s="14"/>
      <c r="U664" s="14"/>
      <c r="V664" s="14"/>
      <c r="W664" s="14"/>
    </row>
    <row r="665" ht="35.25" customHeight="1">
      <c r="A665" s="92" t="s">
        <v>9294</v>
      </c>
      <c r="B665" s="93" t="s">
        <v>9295</v>
      </c>
      <c r="C665" s="94" t="s">
        <v>2311</v>
      </c>
      <c r="D665" s="24" t="s">
        <v>9296</v>
      </c>
      <c r="E665" s="96" t="str">
        <f>IFERROR(__xludf.DUMMYFUNCTION("GOOGLETRANSLATE(D665,""zh-CN"",""vi"")"),"Tôi vẫn sẽ đi dù trời mưa.")</f>
        <v>Tôi vẫn sẽ đi dù trời mưa.</v>
      </c>
      <c r="F665" s="101" t="s">
        <v>9294</v>
      </c>
      <c r="G665" s="98" t="b">
        <f t="shared" si="1"/>
        <v>1</v>
      </c>
      <c r="H665" s="99" t="b">
        <v>1</v>
      </c>
      <c r="I665" s="99" t="b">
        <v>0</v>
      </c>
      <c r="J665" s="99" t="b">
        <v>0</v>
      </c>
      <c r="K665" s="99" t="b">
        <v>0</v>
      </c>
      <c r="L665" s="99" t="b">
        <v>0</v>
      </c>
      <c r="M665" s="99" t="b">
        <v>0</v>
      </c>
      <c r="N665" s="99" t="b">
        <v>0</v>
      </c>
      <c r="O665" s="99" t="b">
        <v>0</v>
      </c>
      <c r="P665" s="99" t="b">
        <v>0</v>
      </c>
      <c r="Q665" s="99" t="b">
        <v>0</v>
      </c>
      <c r="R665" s="14"/>
      <c r="S665" s="14"/>
      <c r="T665" s="14"/>
      <c r="U665" s="14"/>
      <c r="V665" s="14"/>
      <c r="W665" s="14"/>
    </row>
    <row r="666" ht="35.25" customHeight="1">
      <c r="A666" s="92" t="s">
        <v>9301</v>
      </c>
      <c r="B666" s="93" t="s">
        <v>9302</v>
      </c>
      <c r="C666" s="94" t="s">
        <v>6763</v>
      </c>
      <c r="D666" s="24" t="s">
        <v>9303</v>
      </c>
      <c r="E666" s="96" t="str">
        <f>IFERROR(__xludf.DUMMYFUNCTION("GOOGLETRANSLATE(D666,""zh-CN"",""vi"")"),"Chẳng trách cô ấy không đến.")</f>
        <v>Chẳng trách cô ấy không đến.</v>
      </c>
      <c r="F666" s="101" t="s">
        <v>9301</v>
      </c>
      <c r="G666" s="98" t="b">
        <f t="shared" si="1"/>
        <v>1</v>
      </c>
      <c r="H666" s="99" t="b">
        <v>1</v>
      </c>
      <c r="I666" s="99" t="b">
        <v>0</v>
      </c>
      <c r="J666" s="99" t="b">
        <v>0</v>
      </c>
      <c r="K666" s="99" t="b">
        <v>0</v>
      </c>
      <c r="L666" s="99" t="b">
        <v>0</v>
      </c>
      <c r="M666" s="99" t="b">
        <v>0</v>
      </c>
      <c r="N666" s="99" t="b">
        <v>0</v>
      </c>
      <c r="O666" s="99" t="b">
        <v>0</v>
      </c>
      <c r="P666" s="99" t="b">
        <v>0</v>
      </c>
      <c r="Q666" s="99" t="b">
        <v>0</v>
      </c>
      <c r="R666" s="14"/>
      <c r="S666" s="14"/>
      <c r="T666" s="14"/>
      <c r="U666" s="14"/>
      <c r="V666" s="14"/>
      <c r="W666" s="14"/>
    </row>
    <row r="667" ht="35.25" customHeight="1">
      <c r="A667" s="92" t="s">
        <v>9304</v>
      </c>
      <c r="B667" s="93" t="s">
        <v>9305</v>
      </c>
      <c r="C667" s="94" t="s">
        <v>9306</v>
      </c>
      <c r="D667" s="24" t="s">
        <v>9307</v>
      </c>
      <c r="E667" s="96" t="str">
        <f>IFERROR(__xludf.DUMMYFUNCTION("GOOGLETRANSLATE(D667,""zh-CN"",""vi"")"),"Điều này chắc chắn sẽ xảy ra.")</f>
        <v>Điều này chắc chắn sẽ xảy ra.</v>
      </c>
      <c r="F667" s="101" t="s">
        <v>9304</v>
      </c>
      <c r="G667" s="98" t="b">
        <f t="shared" si="1"/>
        <v>1</v>
      </c>
      <c r="H667" s="99" t="b">
        <v>1</v>
      </c>
      <c r="I667" s="99" t="b">
        <v>0</v>
      </c>
      <c r="J667" s="99" t="b">
        <v>0</v>
      </c>
      <c r="K667" s="99" t="b">
        <v>0</v>
      </c>
      <c r="L667" s="99" t="b">
        <v>0</v>
      </c>
      <c r="M667" s="99" t="b">
        <v>0</v>
      </c>
      <c r="N667" s="99" t="b">
        <v>0</v>
      </c>
      <c r="O667" s="99" t="b">
        <v>0</v>
      </c>
      <c r="P667" s="99" t="b">
        <v>0</v>
      </c>
      <c r="Q667" s="99" t="b">
        <v>0</v>
      </c>
      <c r="R667" s="14"/>
      <c r="S667" s="14"/>
      <c r="T667" s="14"/>
      <c r="U667" s="14"/>
      <c r="V667" s="14"/>
      <c r="W667" s="14"/>
    </row>
    <row r="668" ht="35.25" customHeight="1">
      <c r="A668" s="92" t="s">
        <v>9311</v>
      </c>
      <c r="B668" s="93" t="s">
        <v>9312</v>
      </c>
      <c r="C668" s="94" t="s">
        <v>9313</v>
      </c>
      <c r="D668" s="24" t="s">
        <v>9314</v>
      </c>
      <c r="E668" s="96" t="str">
        <f>IFERROR(__xludf.DUMMYFUNCTION("GOOGLETRANSLATE(D668,""zh-CN"",""vi"")"),"Anh ta có cái đầu to.")</f>
        <v>Anh ta có cái đầu to.</v>
      </c>
      <c r="F668" s="101" t="s">
        <v>9311</v>
      </c>
      <c r="G668" s="98" t="b">
        <f t="shared" si="1"/>
        <v>1</v>
      </c>
      <c r="H668" s="99" t="b">
        <v>1</v>
      </c>
      <c r="I668" s="99" t="b">
        <v>0</v>
      </c>
      <c r="J668" s="99" t="b">
        <v>0</v>
      </c>
      <c r="K668" s="99" t="b">
        <v>0</v>
      </c>
      <c r="L668" s="99" t="b">
        <v>0</v>
      </c>
      <c r="M668" s="99" t="b">
        <v>0</v>
      </c>
      <c r="N668" s="99" t="b">
        <v>0</v>
      </c>
      <c r="O668" s="99" t="b">
        <v>0</v>
      </c>
      <c r="P668" s="99" t="b">
        <v>0</v>
      </c>
      <c r="Q668" s="99" t="b">
        <v>0</v>
      </c>
      <c r="R668" s="14"/>
      <c r="S668" s="14"/>
      <c r="T668" s="14"/>
      <c r="U668" s="14"/>
      <c r="V668" s="14"/>
      <c r="W668" s="14"/>
    </row>
    <row r="669" ht="35.25" customHeight="1">
      <c r="A669" s="92" t="s">
        <v>9323</v>
      </c>
      <c r="B669" s="93" t="s">
        <v>9324</v>
      </c>
      <c r="C669" s="94" t="s">
        <v>9325</v>
      </c>
      <c r="D669" s="24" t="s">
        <v>9326</v>
      </c>
      <c r="E669" s="96" t="str">
        <f>IFERROR(__xludf.DUMMYFUNCTION("GOOGLETRANSLATE(D669,""zh-CN"",""vi"")"),"Vấn đề này liên quan đến các vấn đề nội bộ.")</f>
        <v>Vấn đề này liên quan đến các vấn đề nội bộ.</v>
      </c>
      <c r="F669" s="101" t="s">
        <v>9323</v>
      </c>
      <c r="G669" s="98" t="b">
        <f t="shared" si="1"/>
        <v>1</v>
      </c>
      <c r="H669" s="99" t="b">
        <v>1</v>
      </c>
      <c r="I669" s="99" t="b">
        <v>0</v>
      </c>
      <c r="J669" s="99" t="b">
        <v>0</v>
      </c>
      <c r="K669" s="99" t="b">
        <v>0</v>
      </c>
      <c r="L669" s="99" t="b">
        <v>0</v>
      </c>
      <c r="M669" s="99" t="b">
        <v>0</v>
      </c>
      <c r="N669" s="99" t="b">
        <v>0</v>
      </c>
      <c r="O669" s="99" t="b">
        <v>0</v>
      </c>
      <c r="P669" s="99" t="b">
        <v>0</v>
      </c>
      <c r="Q669" s="99" t="b">
        <v>0</v>
      </c>
      <c r="R669" s="14"/>
      <c r="S669" s="14"/>
      <c r="T669" s="14"/>
      <c r="U669" s="14"/>
      <c r="V669" s="14"/>
      <c r="W669" s="14"/>
    </row>
    <row r="670" ht="35.25" customHeight="1">
      <c r="A670" s="92" t="s">
        <v>9331</v>
      </c>
      <c r="B670" s="93" t="s">
        <v>9332</v>
      </c>
      <c r="C670" s="94" t="s">
        <v>9333</v>
      </c>
      <c r="D670" s="24" t="s">
        <v>9334</v>
      </c>
      <c r="E670" s="96" t="str">
        <f>IFERROR(__xludf.DUMMYFUNCTION("GOOGLETRANSLATE(D670,""zh-CN"",""vi"")"),"Tôi đã đọc một số sách về nội khoa.")</f>
        <v>Tôi đã đọc một số sách về nội khoa.</v>
      </c>
      <c r="F670" s="101" t="s">
        <v>9331</v>
      </c>
      <c r="G670" s="98" t="b">
        <f t="shared" si="1"/>
        <v>1</v>
      </c>
      <c r="H670" s="99" t="b">
        <v>1</v>
      </c>
      <c r="I670" s="99" t="b">
        <v>0</v>
      </c>
      <c r="J670" s="99" t="b">
        <v>0</v>
      </c>
      <c r="K670" s="99" t="b">
        <v>0</v>
      </c>
      <c r="L670" s="99" t="b">
        <v>0</v>
      </c>
      <c r="M670" s="99" t="b">
        <v>0</v>
      </c>
      <c r="N670" s="99" t="b">
        <v>0</v>
      </c>
      <c r="O670" s="99" t="b">
        <v>0</v>
      </c>
      <c r="P670" s="99" t="b">
        <v>0</v>
      </c>
      <c r="Q670" s="99" t="b">
        <v>0</v>
      </c>
      <c r="R670" s="14"/>
      <c r="S670" s="14"/>
      <c r="T670" s="14"/>
      <c r="U670" s="14"/>
      <c r="V670" s="14"/>
      <c r="W670" s="14"/>
    </row>
    <row r="671" ht="35.25" customHeight="1">
      <c r="A671" s="92" t="s">
        <v>9339</v>
      </c>
      <c r="B671" s="93" t="s">
        <v>9340</v>
      </c>
      <c r="C671" s="94" t="s">
        <v>9341</v>
      </c>
      <c r="D671" s="24" t="s">
        <v>9342</v>
      </c>
      <c r="E671" s="96" t="str">
        <f>IFERROR(__xludf.DUMMYFUNCTION("GOOGLETRANSLATE(D671,""zh-CN"",""vi"")"),"Miếng thịt này rất mềm.")</f>
        <v>Miếng thịt này rất mềm.</v>
      </c>
      <c r="F671" s="101" t="s">
        <v>9339</v>
      </c>
      <c r="G671" s="98" t="b">
        <f t="shared" si="1"/>
        <v>1</v>
      </c>
      <c r="H671" s="99" t="b">
        <v>1</v>
      </c>
      <c r="I671" s="99" t="b">
        <v>0</v>
      </c>
      <c r="J671" s="99" t="b">
        <v>0</v>
      </c>
      <c r="K671" s="99" t="b">
        <v>0</v>
      </c>
      <c r="L671" s="99" t="b">
        <v>0</v>
      </c>
      <c r="M671" s="99" t="b">
        <v>0</v>
      </c>
      <c r="N671" s="99" t="b">
        <v>0</v>
      </c>
      <c r="O671" s="99" t="b">
        <v>0</v>
      </c>
      <c r="P671" s="99" t="b">
        <v>0</v>
      </c>
      <c r="Q671" s="99" t="b">
        <v>0</v>
      </c>
      <c r="R671" s="14"/>
      <c r="S671" s="14"/>
      <c r="T671" s="14"/>
      <c r="U671" s="14"/>
      <c r="V671" s="14"/>
      <c r="W671" s="14"/>
    </row>
    <row r="672" ht="35.25" customHeight="1">
      <c r="A672" s="92" t="s">
        <v>9347</v>
      </c>
      <c r="B672" s="93" t="s">
        <v>9348</v>
      </c>
      <c r="C672" s="102" t="s">
        <v>9349</v>
      </c>
      <c r="D672" s="24" t="s">
        <v>9351</v>
      </c>
      <c r="E672" s="96" t="str">
        <f>IFERROR(__xludf.DUMMYFUNCTION("GOOGLETRANSLATE(D672,""zh-CN"",""vi"")"),"Anh ấy rất có năng lực.")</f>
        <v>Anh ấy rất có năng lực.</v>
      </c>
      <c r="F672" s="101" t="s">
        <v>9347</v>
      </c>
      <c r="G672" s="98" t="b">
        <f t="shared" si="1"/>
        <v>1</v>
      </c>
      <c r="H672" s="99" t="b">
        <v>1</v>
      </c>
      <c r="I672" s="99" t="b">
        <v>0</v>
      </c>
      <c r="J672" s="99" t="b">
        <v>0</v>
      </c>
      <c r="K672" s="99" t="b">
        <v>0</v>
      </c>
      <c r="L672" s="99" t="b">
        <v>0</v>
      </c>
      <c r="M672" s="99" t="b">
        <v>0</v>
      </c>
      <c r="N672" s="99" t="b">
        <v>0</v>
      </c>
      <c r="O672" s="99" t="b">
        <v>0</v>
      </c>
      <c r="P672" s="99" t="b">
        <v>0</v>
      </c>
      <c r="Q672" s="99" t="b">
        <v>0</v>
      </c>
      <c r="R672" s="14"/>
      <c r="S672" s="14"/>
      <c r="T672" s="14"/>
      <c r="U672" s="14"/>
      <c r="V672" s="14"/>
      <c r="W672" s="14"/>
    </row>
    <row r="673" ht="35.25" customHeight="1">
      <c r="A673" s="92" t="s">
        <v>9355</v>
      </c>
      <c r="B673" s="93" t="s">
        <v>9356</v>
      </c>
      <c r="C673" s="94" t="s">
        <v>9358</v>
      </c>
      <c r="D673" s="24" t="s">
        <v>9360</v>
      </c>
      <c r="E673" s="96" t="str">
        <f>IFERROR(__xludf.DUMMYFUNCTION("GOOGLETRANSLATE(D673,""zh-CN"",""vi"")"),"Đây là nguồn năng lượng tái tạo.")</f>
        <v>Đây là nguồn năng lượng tái tạo.</v>
      </c>
      <c r="F673" s="101" t="s">
        <v>9355</v>
      </c>
      <c r="G673" s="98" t="b">
        <f t="shared" si="1"/>
        <v>1</v>
      </c>
      <c r="H673" s="99" t="b">
        <v>1</v>
      </c>
      <c r="I673" s="99" t="b">
        <v>0</v>
      </c>
      <c r="J673" s="99" t="b">
        <v>0</v>
      </c>
      <c r="K673" s="99" t="b">
        <v>0</v>
      </c>
      <c r="L673" s="99" t="b">
        <v>0</v>
      </c>
      <c r="M673" s="99" t="b">
        <v>0</v>
      </c>
      <c r="N673" s="99" t="b">
        <v>0</v>
      </c>
      <c r="O673" s="99" t="b">
        <v>0</v>
      </c>
      <c r="P673" s="99" t="b">
        <v>0</v>
      </c>
      <c r="Q673" s="99" t="b">
        <v>0</v>
      </c>
      <c r="R673" s="14"/>
      <c r="S673" s="14"/>
      <c r="T673" s="14"/>
      <c r="U673" s="14"/>
      <c r="V673" s="14"/>
      <c r="W673" s="14"/>
    </row>
    <row r="674" ht="35.25" customHeight="1">
      <c r="A674" s="92" t="s">
        <v>9363</v>
      </c>
      <c r="B674" s="93" t="s">
        <v>9364</v>
      </c>
      <c r="C674" s="94" t="s">
        <v>9365</v>
      </c>
      <c r="D674" s="24" t="s">
        <v>9366</v>
      </c>
      <c r="E674" s="96" t="str">
        <f>IFERROR(__xludf.DUMMYFUNCTION("GOOGLETRANSLATE(D674,""zh-CN"",""vi"")"),"Được rồi, tôi hiểu rồi.")</f>
        <v>Được rồi, tôi hiểu rồi.</v>
      </c>
      <c r="F674" s="101" t="s">
        <v>9363</v>
      </c>
      <c r="G674" s="98" t="b">
        <f t="shared" si="1"/>
        <v>1</v>
      </c>
      <c r="H674" s="99" t="b">
        <v>1</v>
      </c>
      <c r="I674" s="99" t="b">
        <v>0</v>
      </c>
      <c r="J674" s="99" t="b">
        <v>0</v>
      </c>
      <c r="K674" s="99" t="b">
        <v>0</v>
      </c>
      <c r="L674" s="99" t="b">
        <v>0</v>
      </c>
      <c r="M674" s="99" t="b">
        <v>0</v>
      </c>
      <c r="N674" s="99" t="b">
        <v>0</v>
      </c>
      <c r="O674" s="99" t="b">
        <v>0</v>
      </c>
      <c r="P674" s="99" t="b">
        <v>0</v>
      </c>
      <c r="Q674" s="99" t="b">
        <v>0</v>
      </c>
      <c r="R674" s="14"/>
      <c r="S674" s="14"/>
      <c r="T674" s="14"/>
      <c r="U674" s="14"/>
      <c r="V674" s="14"/>
      <c r="W674" s="14"/>
    </row>
    <row r="675" ht="35.25" customHeight="1">
      <c r="A675" s="92" t="s">
        <v>9371</v>
      </c>
      <c r="B675" s="93" t="s">
        <v>9372</v>
      </c>
      <c r="C675" s="94" t="s">
        <v>9373</v>
      </c>
      <c r="D675" s="24" t="s">
        <v>9374</v>
      </c>
      <c r="E675" s="96" t="str">
        <f>IFERROR(__xludf.DUMMYFUNCTION("GOOGLETRANSLATE(D675,""zh-CN"",""vi"")"),"Đó là câu chuyện từ một thời đã qua.")</f>
        <v>Đó là câu chuyện từ một thời đã qua.</v>
      </c>
      <c r="F675" s="101" t="s">
        <v>9371</v>
      </c>
      <c r="G675" s="98" t="b">
        <f t="shared" si="1"/>
        <v>1</v>
      </c>
      <c r="H675" s="99" t="b">
        <v>1</v>
      </c>
      <c r="I675" s="99" t="b">
        <v>0</v>
      </c>
      <c r="J675" s="99" t="b">
        <v>0</v>
      </c>
      <c r="K675" s="99" t="b">
        <v>0</v>
      </c>
      <c r="L675" s="99" t="b">
        <v>0</v>
      </c>
      <c r="M675" s="99" t="b">
        <v>0</v>
      </c>
      <c r="N675" s="99" t="b">
        <v>0</v>
      </c>
      <c r="O675" s="99" t="b">
        <v>0</v>
      </c>
      <c r="P675" s="99" t="b">
        <v>0</v>
      </c>
      <c r="Q675" s="99" t="b">
        <v>0</v>
      </c>
      <c r="R675" s="14"/>
      <c r="S675" s="14"/>
      <c r="T675" s="14"/>
      <c r="U675" s="14"/>
      <c r="V675" s="14"/>
      <c r="W675" s="14"/>
    </row>
    <row r="676" ht="35.25" customHeight="1">
      <c r="A676" s="92" t="s">
        <v>9379</v>
      </c>
      <c r="B676" s="93" t="s">
        <v>9380</v>
      </c>
      <c r="C676" s="94" t="s">
        <v>3485</v>
      </c>
      <c r="D676" s="24" t="s">
        <v>9381</v>
      </c>
      <c r="E676" s="96" t="str">
        <f>IFERROR(__xludf.DUMMYFUNCTION("GOOGLETRANSLATE(D676,""zh-CN"",""vi"")"),"Ông ấy không già lắm.")</f>
        <v>Ông ấy không già lắm.</v>
      </c>
      <c r="F676" s="101" t="s">
        <v>9379</v>
      </c>
      <c r="G676" s="98" t="b">
        <f t="shared" si="1"/>
        <v>1</v>
      </c>
      <c r="H676" s="99" t="b">
        <v>1</v>
      </c>
      <c r="I676" s="99" t="b">
        <v>0</v>
      </c>
      <c r="J676" s="99" t="b">
        <v>0</v>
      </c>
      <c r="K676" s="99" t="b">
        <v>0</v>
      </c>
      <c r="L676" s="99" t="b">
        <v>0</v>
      </c>
      <c r="M676" s="99" t="b">
        <v>0</v>
      </c>
      <c r="N676" s="99" t="b">
        <v>0</v>
      </c>
      <c r="O676" s="99" t="b">
        <v>0</v>
      </c>
      <c r="P676" s="99" t="b">
        <v>0</v>
      </c>
      <c r="Q676" s="99" t="b">
        <v>0</v>
      </c>
      <c r="R676" s="14"/>
      <c r="S676" s="14"/>
      <c r="T676" s="14"/>
      <c r="U676" s="14"/>
      <c r="V676" s="14"/>
      <c r="W676" s="14"/>
    </row>
    <row r="677" ht="35.25" customHeight="1">
      <c r="A677" s="92" t="s">
        <v>9386</v>
      </c>
      <c r="B677" s="93" t="s">
        <v>9387</v>
      </c>
      <c r="C677" s="94" t="s">
        <v>223</v>
      </c>
      <c r="D677" s="24" t="s">
        <v>9388</v>
      </c>
      <c r="E677" s="96" t="str">
        <f>IFERROR(__xludf.DUMMYFUNCTION("GOOGLETRANSLATE(D677,""zh-CN"",""vi"")"),"Cô ấy thường xuyên đọc sách.")</f>
        <v>Cô ấy thường xuyên đọc sách.</v>
      </c>
      <c r="F677" s="101" t="s">
        <v>9386</v>
      </c>
      <c r="G677" s="98" t="b">
        <f t="shared" si="1"/>
        <v>1</v>
      </c>
      <c r="H677" s="99" t="b">
        <v>1</v>
      </c>
      <c r="I677" s="99" t="b">
        <v>0</v>
      </c>
      <c r="J677" s="99" t="b">
        <v>0</v>
      </c>
      <c r="K677" s="99" t="b">
        <v>0</v>
      </c>
      <c r="L677" s="99" t="b">
        <v>0</v>
      </c>
      <c r="M677" s="99" t="b">
        <v>0</v>
      </c>
      <c r="N677" s="99" t="b">
        <v>0</v>
      </c>
      <c r="O677" s="99" t="b">
        <v>0</v>
      </c>
      <c r="P677" s="99" t="b">
        <v>0</v>
      </c>
      <c r="Q677" s="99" t="b">
        <v>0</v>
      </c>
      <c r="R677" s="14"/>
      <c r="S677" s="14"/>
      <c r="T677" s="14"/>
      <c r="U677" s="14"/>
      <c r="V677" s="14"/>
      <c r="W677" s="14"/>
    </row>
    <row r="678" ht="35.25" customHeight="1">
      <c r="A678" s="92" t="s">
        <v>9393</v>
      </c>
      <c r="B678" s="93" t="s">
        <v>9395</v>
      </c>
      <c r="C678" s="94" t="s">
        <v>9397</v>
      </c>
      <c r="D678" s="24" t="s">
        <v>9399</v>
      </c>
      <c r="E678" s="96" t="str">
        <f>IFERROR(__xludf.DUMMYFUNCTION("GOOGLETRANSLATE(D678,""zh-CN"",""vi"")"),"Tôi thích ở nhà hơn.")</f>
        <v>Tôi thích ở nhà hơn.</v>
      </c>
      <c r="F678" s="101" t="s">
        <v>9393</v>
      </c>
      <c r="G678" s="98" t="b">
        <f t="shared" si="1"/>
        <v>1</v>
      </c>
      <c r="H678" s="99" t="b">
        <v>1</v>
      </c>
      <c r="I678" s="99" t="b">
        <v>0</v>
      </c>
      <c r="J678" s="99" t="b">
        <v>0</v>
      </c>
      <c r="K678" s="99" t="b">
        <v>0</v>
      </c>
      <c r="L678" s="99" t="b">
        <v>0</v>
      </c>
      <c r="M678" s="99" t="b">
        <v>0</v>
      </c>
      <c r="N678" s="99" t="b">
        <v>0</v>
      </c>
      <c r="O678" s="99" t="b">
        <v>0</v>
      </c>
      <c r="P678" s="99" t="b">
        <v>0</v>
      </c>
      <c r="Q678" s="99" t="b">
        <v>0</v>
      </c>
      <c r="R678" s="14"/>
      <c r="S678" s="14"/>
      <c r="T678" s="14"/>
      <c r="U678" s="14"/>
      <c r="V678" s="14"/>
      <c r="W678" s="14"/>
    </row>
    <row r="679" ht="35.25" customHeight="1">
      <c r="A679" s="92" t="s">
        <v>9401</v>
      </c>
      <c r="B679" s="93" t="s">
        <v>9403</v>
      </c>
      <c r="C679" s="94" t="s">
        <v>9405</v>
      </c>
      <c r="D679" s="24" t="s">
        <v>9407</v>
      </c>
      <c r="E679" s="96" t="str">
        <f>IFERROR(__xludf.DUMMYFUNCTION("GOOGLETRANSLATE(D679,""zh-CN"",""vi"")"),"Cô ấy mặc quần jeans.")</f>
        <v>Cô ấy mặc quần jeans.</v>
      </c>
      <c r="F679" s="101" t="s">
        <v>9401</v>
      </c>
      <c r="G679" s="98" t="b">
        <f t="shared" si="1"/>
        <v>1</v>
      </c>
      <c r="H679" s="99" t="b">
        <v>1</v>
      </c>
      <c r="I679" s="99" t="b">
        <v>0</v>
      </c>
      <c r="J679" s="99" t="b">
        <v>0</v>
      </c>
      <c r="K679" s="99" t="b">
        <v>0</v>
      </c>
      <c r="L679" s="99" t="b">
        <v>0</v>
      </c>
      <c r="M679" s="99" t="b">
        <v>0</v>
      </c>
      <c r="N679" s="99" t="b">
        <v>0</v>
      </c>
      <c r="O679" s="99" t="b">
        <v>0</v>
      </c>
      <c r="P679" s="99" t="b">
        <v>0</v>
      </c>
      <c r="Q679" s="99" t="b">
        <v>0</v>
      </c>
      <c r="R679" s="14"/>
      <c r="S679" s="14"/>
      <c r="T679" s="14"/>
      <c r="U679" s="14"/>
      <c r="V679" s="14"/>
      <c r="W679" s="14"/>
    </row>
    <row r="680" ht="35.25" customHeight="1">
      <c r="A680" s="92" t="s">
        <v>9409</v>
      </c>
      <c r="B680" s="93" t="s">
        <v>9411</v>
      </c>
      <c r="C680" s="94" t="s">
        <v>9413</v>
      </c>
      <c r="D680" s="24" t="s">
        <v>9415</v>
      </c>
      <c r="E680" s="96" t="str">
        <f>IFERROR(__xludf.DUMMYFUNCTION("GOOGLETRANSLATE(D680,""zh-CN"",""vi"")"),"Cuộc sống ở vùng nông thôn rất yên bình.")</f>
        <v>Cuộc sống ở vùng nông thôn rất yên bình.</v>
      </c>
      <c r="F680" s="101" t="s">
        <v>9409</v>
      </c>
      <c r="G680" s="98" t="b">
        <f t="shared" si="1"/>
        <v>1</v>
      </c>
      <c r="H680" s="99" t="b">
        <v>1</v>
      </c>
      <c r="I680" s="99" t="b">
        <v>0</v>
      </c>
      <c r="J680" s="99" t="b">
        <v>0</v>
      </c>
      <c r="K680" s="99" t="b">
        <v>0</v>
      </c>
      <c r="L680" s="99" t="b">
        <v>0</v>
      </c>
      <c r="M680" s="99" t="b">
        <v>0</v>
      </c>
      <c r="N680" s="99" t="b">
        <v>0</v>
      </c>
      <c r="O680" s="99" t="b">
        <v>0</v>
      </c>
      <c r="P680" s="99" t="b">
        <v>0</v>
      </c>
      <c r="Q680" s="99" t="b">
        <v>0</v>
      </c>
      <c r="R680" s="14"/>
      <c r="S680" s="14"/>
      <c r="T680" s="14"/>
      <c r="U680" s="14"/>
      <c r="V680" s="14"/>
      <c r="W680" s="14"/>
    </row>
    <row r="681" ht="35.25" customHeight="1">
      <c r="A681" s="92" t="s">
        <v>9418</v>
      </c>
      <c r="B681" s="93" t="s">
        <v>9420</v>
      </c>
      <c r="C681" s="94" t="s">
        <v>9422</v>
      </c>
      <c r="D681" s="24" t="s">
        <v>9424</v>
      </c>
      <c r="E681" s="96" t="str">
        <f>IFERROR(__xludf.DUMMYFUNCTION("GOOGLETRANSLATE(D681,""zh-CN"",""vi"")"),"Ông ấy là một nông dân.")</f>
        <v>Ông ấy là một nông dân.</v>
      </c>
      <c r="F681" s="101" t="s">
        <v>9418</v>
      </c>
      <c r="G681" s="98" t="b">
        <f t="shared" si="1"/>
        <v>1</v>
      </c>
      <c r="H681" s="99" t="b">
        <v>1</v>
      </c>
      <c r="I681" s="99" t="b">
        <v>0</v>
      </c>
      <c r="J681" s="99" t="b">
        <v>0</v>
      </c>
      <c r="K681" s="99" t="b">
        <v>0</v>
      </c>
      <c r="L681" s="99" t="b">
        <v>0</v>
      </c>
      <c r="M681" s="99" t="b">
        <v>0</v>
      </c>
      <c r="N681" s="99" t="b">
        <v>0</v>
      </c>
      <c r="O681" s="99" t="b">
        <v>0</v>
      </c>
      <c r="P681" s="99" t="b">
        <v>0</v>
      </c>
      <c r="Q681" s="99" t="b">
        <v>0</v>
      </c>
      <c r="R681" s="14"/>
      <c r="S681" s="14"/>
      <c r="T681" s="14"/>
      <c r="U681" s="14"/>
      <c r="V681" s="14"/>
      <c r="W681" s="14"/>
    </row>
    <row r="682" ht="35.25" customHeight="1">
      <c r="A682" s="92" t="s">
        <v>9428</v>
      </c>
      <c r="B682" s="93" t="s">
        <v>9430</v>
      </c>
      <c r="C682" s="94" t="s">
        <v>9431</v>
      </c>
      <c r="D682" s="24" t="s">
        <v>9432</v>
      </c>
      <c r="E682" s="96" t="str">
        <f>IFERROR(__xludf.DUMMYFUNCTION("GOOGLETRANSLATE(D682,""zh-CN"",""vi"")"),"Nông nghiệp rất quan trọng đối với đất nước.")</f>
        <v>Nông nghiệp rất quan trọng đối với đất nước.</v>
      </c>
      <c r="F682" s="101" t="s">
        <v>9428</v>
      </c>
      <c r="G682" s="98" t="b">
        <f t="shared" si="1"/>
        <v>1</v>
      </c>
      <c r="H682" s="99" t="b">
        <v>1</v>
      </c>
      <c r="I682" s="99" t="b">
        <v>0</v>
      </c>
      <c r="J682" s="99" t="b">
        <v>0</v>
      </c>
      <c r="K682" s="99" t="b">
        <v>0</v>
      </c>
      <c r="L682" s="99" t="b">
        <v>0</v>
      </c>
      <c r="M682" s="99" t="b">
        <v>0</v>
      </c>
      <c r="N682" s="99" t="b">
        <v>0</v>
      </c>
      <c r="O682" s="99" t="b">
        <v>0</v>
      </c>
      <c r="P682" s="99" t="b">
        <v>0</v>
      </c>
      <c r="Q682" s="99" t="b">
        <v>0</v>
      </c>
      <c r="R682" s="14"/>
      <c r="S682" s="14"/>
      <c r="T682" s="14"/>
      <c r="U682" s="14"/>
      <c r="V682" s="14"/>
      <c r="W682" s="14"/>
    </row>
    <row r="683" ht="35.25" customHeight="1">
      <c r="A683" s="92" t="s">
        <v>9441</v>
      </c>
      <c r="B683" s="93" t="s">
        <v>1221</v>
      </c>
      <c r="C683" s="94" t="s">
        <v>9442</v>
      </c>
      <c r="D683" s="24" t="s">
        <v>9443</v>
      </c>
      <c r="E683" s="96" t="str">
        <f>IFERROR(__xludf.DUMMYFUNCTION("GOOGLETRANSLATE(D683,""zh-CN"",""vi"")"),"Món ăn này có hương vị rất đậm đà.")</f>
        <v>Món ăn này có hương vị rất đậm đà.</v>
      </c>
      <c r="F683" s="101" t="s">
        <v>9441</v>
      </c>
      <c r="G683" s="98" t="b">
        <f t="shared" si="1"/>
        <v>1</v>
      </c>
      <c r="H683" s="99" t="b">
        <v>1</v>
      </c>
      <c r="I683" s="99" t="b">
        <v>0</v>
      </c>
      <c r="J683" s="99" t="b">
        <v>0</v>
      </c>
      <c r="K683" s="99" t="b">
        <v>0</v>
      </c>
      <c r="L683" s="99" t="b">
        <v>0</v>
      </c>
      <c r="M683" s="99" t="b">
        <v>0</v>
      </c>
      <c r="N683" s="99" t="b">
        <v>0</v>
      </c>
      <c r="O683" s="99" t="b">
        <v>0</v>
      </c>
      <c r="P683" s="99" t="b">
        <v>0</v>
      </c>
      <c r="Q683" s="99" t="b">
        <v>0</v>
      </c>
      <c r="R683" s="14"/>
      <c r="S683" s="14"/>
      <c r="T683" s="14"/>
      <c r="U683" s="14"/>
      <c r="V683" s="14"/>
      <c r="W683" s="14"/>
    </row>
    <row r="684" ht="35.25" customHeight="1">
      <c r="A684" s="92" t="s">
        <v>9448</v>
      </c>
      <c r="B684" s="93" t="s">
        <v>9449</v>
      </c>
      <c r="C684" s="94" t="s">
        <v>9450</v>
      </c>
      <c r="D684" s="24" t="s">
        <v>9451</v>
      </c>
      <c r="E684" s="96" t="str">
        <f>IFERROR(__xludf.DUMMYFUNCTION("GOOGLETRANSLATE(D684,""zh-CN"",""vi"")"),"Cô ấy là một người phụ nữ.")</f>
        <v>Cô ấy là một người phụ nữ.</v>
      </c>
      <c r="F684" s="101" t="s">
        <v>9448</v>
      </c>
      <c r="G684" s="98" t="b">
        <f t="shared" si="1"/>
        <v>1</v>
      </c>
      <c r="H684" s="99" t="b">
        <v>1</v>
      </c>
      <c r="I684" s="99" t="b">
        <v>0</v>
      </c>
      <c r="J684" s="99" t="b">
        <v>0</v>
      </c>
      <c r="K684" s="99" t="b">
        <v>0</v>
      </c>
      <c r="L684" s="99" t="b">
        <v>0</v>
      </c>
      <c r="M684" s="99" t="b">
        <v>0</v>
      </c>
      <c r="N684" s="99" t="b">
        <v>0</v>
      </c>
      <c r="O684" s="99" t="b">
        <v>0</v>
      </c>
      <c r="P684" s="99" t="b">
        <v>0</v>
      </c>
      <c r="Q684" s="99" t="b">
        <v>0</v>
      </c>
      <c r="R684" s="14"/>
      <c r="S684" s="14"/>
      <c r="T684" s="14"/>
      <c r="U684" s="14"/>
      <c r="V684" s="14"/>
      <c r="W684" s="14"/>
    </row>
    <row r="685" ht="35.25" customHeight="1">
      <c r="A685" s="92" t="s">
        <v>9456</v>
      </c>
      <c r="B685" s="93" t="s">
        <v>9457</v>
      </c>
      <c r="C685" s="94" t="s">
        <v>9458</v>
      </c>
      <c r="D685" s="24" t="s">
        <v>9459</v>
      </c>
      <c r="E685" s="96" t="str">
        <f>IFERROR(__xludf.DUMMYFUNCTION("GOOGLETRANSLATE(D685,""zh-CN"",""vi"")"),"Anh ấy đã có một chuyến đi đến châu Âu.")</f>
        <v>Anh ấy đã có một chuyến đi đến châu Âu.</v>
      </c>
      <c r="F685" s="101" t="s">
        <v>9456</v>
      </c>
      <c r="G685" s="98" t="b">
        <f t="shared" si="1"/>
        <v>1</v>
      </c>
      <c r="H685" s="99" t="b">
        <v>1</v>
      </c>
      <c r="I685" s="99" t="b">
        <v>0</v>
      </c>
      <c r="J685" s="99" t="b">
        <v>0</v>
      </c>
      <c r="K685" s="99" t="b">
        <v>0</v>
      </c>
      <c r="L685" s="99" t="b">
        <v>0</v>
      </c>
      <c r="M685" s="99" t="b">
        <v>0</v>
      </c>
      <c r="N685" s="99" t="b">
        <v>0</v>
      </c>
      <c r="O685" s="99" t="b">
        <v>0</v>
      </c>
      <c r="P685" s="99" t="b">
        <v>0</v>
      </c>
      <c r="Q685" s="99" t="b">
        <v>0</v>
      </c>
      <c r="R685" s="14"/>
      <c r="S685" s="14"/>
      <c r="T685" s="14"/>
      <c r="U685" s="14"/>
      <c r="V685" s="14"/>
      <c r="W685" s="14"/>
    </row>
    <row r="686" ht="35.25" customHeight="1">
      <c r="A686" s="92" t="s">
        <v>9464</v>
      </c>
      <c r="B686" s="93" t="s">
        <v>9465</v>
      </c>
      <c r="C686" s="94" t="s">
        <v>9467</v>
      </c>
      <c r="D686" s="24" t="s">
        <v>9469</v>
      </c>
      <c r="E686" s="96" t="str">
        <f>IFERROR(__xludf.DUMMYFUNCTION("GOOGLETRANSLATE(D686,""zh-CN"",""vi"")"),"Chúng tôi tình cờ gặp lại một người bạn cũ.")</f>
        <v>Chúng tôi tình cờ gặp lại một người bạn cũ.</v>
      </c>
      <c r="F686" s="101" t="s">
        <v>9464</v>
      </c>
      <c r="G686" s="98" t="b">
        <f t="shared" si="1"/>
        <v>1</v>
      </c>
      <c r="H686" s="99" t="b">
        <v>1</v>
      </c>
      <c r="I686" s="99" t="b">
        <v>0</v>
      </c>
      <c r="J686" s="99" t="b">
        <v>0</v>
      </c>
      <c r="K686" s="99" t="b">
        <v>0</v>
      </c>
      <c r="L686" s="99" t="b">
        <v>0</v>
      </c>
      <c r="M686" s="99" t="b">
        <v>0</v>
      </c>
      <c r="N686" s="99" t="b">
        <v>0</v>
      </c>
      <c r="O686" s="99" t="b">
        <v>0</v>
      </c>
      <c r="P686" s="99" t="b">
        <v>0</v>
      </c>
      <c r="Q686" s="99" t="b">
        <v>0</v>
      </c>
      <c r="R686" s="14"/>
      <c r="S686" s="14"/>
      <c r="T686" s="14"/>
      <c r="U686" s="14"/>
      <c r="V686" s="14"/>
      <c r="W686" s="14"/>
    </row>
    <row r="687" ht="35.25" customHeight="1">
      <c r="A687" s="92" t="s">
        <v>9480</v>
      </c>
      <c r="B687" s="93" t="s">
        <v>9481</v>
      </c>
      <c r="C687" s="94" t="s">
        <v>9482</v>
      </c>
      <c r="D687" s="24" t="s">
        <v>9483</v>
      </c>
      <c r="E687" s="96" t="str">
        <f>IFERROR(__xludf.DUMMYFUNCTION("GOOGLETRANSLATE(D687,""zh-CN"",""vi"")"),"Anh ấy đã chụp rất nhiều ảnh.")</f>
        <v>Anh ấy đã chụp rất nhiều ảnh.</v>
      </c>
      <c r="F687" s="101" t="s">
        <v>9480</v>
      </c>
      <c r="G687" s="98" t="b">
        <f t="shared" si="1"/>
        <v>1</v>
      </c>
      <c r="H687" s="99" t="b">
        <v>1</v>
      </c>
      <c r="I687" s="99" t="b">
        <v>0</v>
      </c>
      <c r="J687" s="99" t="b">
        <v>0</v>
      </c>
      <c r="K687" s="99" t="b">
        <v>0</v>
      </c>
      <c r="L687" s="99" t="b">
        <v>0</v>
      </c>
      <c r="M687" s="99" t="b">
        <v>0</v>
      </c>
      <c r="N687" s="99" t="b">
        <v>0</v>
      </c>
      <c r="O687" s="99" t="b">
        <v>0</v>
      </c>
      <c r="P687" s="99" t="b">
        <v>0</v>
      </c>
      <c r="Q687" s="99" t="b">
        <v>0</v>
      </c>
      <c r="R687" s="14"/>
      <c r="S687" s="14"/>
      <c r="T687" s="14"/>
      <c r="U687" s="14"/>
      <c r="V687" s="14"/>
      <c r="W687" s="14"/>
    </row>
    <row r="688" ht="35.25" customHeight="1">
      <c r="A688" s="92" t="s">
        <v>9488</v>
      </c>
      <c r="B688" s="93" t="s">
        <v>9489</v>
      </c>
      <c r="C688" s="94" t="s">
        <v>9491</v>
      </c>
      <c r="D688" s="24" t="s">
        <v>9493</v>
      </c>
      <c r="E688" s="96" t="str">
        <f>IFERROR(__xludf.DUMMYFUNCTION("GOOGLETRANSLATE(D688,""zh-CN"",""vi"")"),"Hãy cử một đội lính canh gác lâu đài.")</f>
        <v>Hãy cử một đội lính canh gác lâu đài.</v>
      </c>
      <c r="F688" s="101" t="s">
        <v>9488</v>
      </c>
      <c r="G688" s="98" t="b">
        <f t="shared" si="1"/>
        <v>1</v>
      </c>
      <c r="H688" s="99" t="b">
        <v>1</v>
      </c>
      <c r="I688" s="99" t="b">
        <v>0</v>
      </c>
      <c r="J688" s="99" t="b">
        <v>0</v>
      </c>
      <c r="K688" s="99" t="b">
        <v>0</v>
      </c>
      <c r="L688" s="99" t="b">
        <v>0</v>
      </c>
      <c r="M688" s="99" t="b">
        <v>0</v>
      </c>
      <c r="N688" s="99" t="b">
        <v>0</v>
      </c>
      <c r="O688" s="99" t="b">
        <v>0</v>
      </c>
      <c r="P688" s="99" t="b">
        <v>0</v>
      </c>
      <c r="Q688" s="99" t="b">
        <v>0</v>
      </c>
      <c r="R688" s="14"/>
      <c r="S688" s="14"/>
      <c r="T688" s="14"/>
      <c r="U688" s="14"/>
      <c r="V688" s="14"/>
      <c r="W688" s="14"/>
    </row>
    <row r="689" ht="35.25" customHeight="1">
      <c r="A689" s="92" t="s">
        <v>9498</v>
      </c>
      <c r="B689" s="93" t="s">
        <v>9499</v>
      </c>
      <c r="C689" s="94" t="s">
        <v>9500</v>
      </c>
      <c r="D689" s="24" t="s">
        <v>9501</v>
      </c>
      <c r="E689" s="96" t="str">
        <f>IFERROR(__xludf.DUMMYFUNCTION("GOOGLETRANSLATE(D689,""zh-CN"",""vi"")"),"Chúng tôi rất mong chờ sự có mặt của bạn.")</f>
        <v>Chúng tôi rất mong chờ sự có mặt của bạn.</v>
      </c>
      <c r="F689" s="101" t="s">
        <v>9498</v>
      </c>
      <c r="G689" s="98" t="b">
        <f t="shared" si="1"/>
        <v>1</v>
      </c>
      <c r="H689" s="99" t="b">
        <v>1</v>
      </c>
      <c r="I689" s="99" t="b">
        <v>0</v>
      </c>
      <c r="J689" s="99" t="b">
        <v>0</v>
      </c>
      <c r="K689" s="99" t="b">
        <v>0</v>
      </c>
      <c r="L689" s="99" t="b">
        <v>0</v>
      </c>
      <c r="M689" s="99" t="b">
        <v>0</v>
      </c>
      <c r="N689" s="99" t="b">
        <v>0</v>
      </c>
      <c r="O689" s="99" t="b">
        <v>0</v>
      </c>
      <c r="P689" s="99" t="b">
        <v>0</v>
      </c>
      <c r="Q689" s="99" t="b">
        <v>0</v>
      </c>
      <c r="R689" s="14"/>
      <c r="S689" s="14"/>
      <c r="T689" s="14"/>
      <c r="U689" s="14"/>
      <c r="V689" s="14"/>
      <c r="W689" s="14"/>
    </row>
    <row r="690" ht="35.25" customHeight="1">
      <c r="A690" s="92" t="s">
        <v>9504</v>
      </c>
      <c r="B690" s="93" t="s">
        <v>9505</v>
      </c>
      <c r="C690" s="94" t="s">
        <v>9506</v>
      </c>
      <c r="D690" s="24" t="s">
        <v>9507</v>
      </c>
      <c r="E690" s="96" t="str">
        <f>IFERROR(__xludf.DUMMYFUNCTION("GOOGLETRANSLATE(D690,""zh-CN"",""vi"")"),"Chúng tôi cung cấp các khóa đào tạo chuyên nghiệp.")</f>
        <v>Chúng tôi cung cấp các khóa đào tạo chuyên nghiệp.</v>
      </c>
      <c r="F690" s="101" t="s">
        <v>9504</v>
      </c>
      <c r="G690" s="98" t="b">
        <f t="shared" si="1"/>
        <v>1</v>
      </c>
      <c r="H690" s="99" t="b">
        <v>1</v>
      </c>
      <c r="I690" s="99" t="b">
        <v>0</v>
      </c>
      <c r="J690" s="99" t="b">
        <v>0</v>
      </c>
      <c r="K690" s="99" t="b">
        <v>0</v>
      </c>
      <c r="L690" s="99" t="b">
        <v>0</v>
      </c>
      <c r="M690" s="99" t="b">
        <v>0</v>
      </c>
      <c r="N690" s="99" t="b">
        <v>0</v>
      </c>
      <c r="O690" s="99" t="b">
        <v>0</v>
      </c>
      <c r="P690" s="99" t="b">
        <v>0</v>
      </c>
      <c r="Q690" s="99" t="b">
        <v>0</v>
      </c>
      <c r="R690" s="14"/>
      <c r="S690" s="14"/>
      <c r="T690" s="14"/>
      <c r="U690" s="14"/>
      <c r="V690" s="14"/>
      <c r="W690" s="14"/>
    </row>
    <row r="691" ht="35.25" customHeight="1">
      <c r="A691" s="92" t="s">
        <v>9520</v>
      </c>
      <c r="B691" s="93" t="s">
        <v>9521</v>
      </c>
      <c r="C691" s="94" t="s">
        <v>4274</v>
      </c>
      <c r="D691" s="95" t="s">
        <v>9522</v>
      </c>
      <c r="E691" s="96" t="str">
        <f>IFERROR(__xludf.DUMMYFUNCTION("GOOGLETRANSLATE(D691,""zh-CN"",""vi"")"),"Chúng ta nên nuôi dưỡng sở thích của trẻ em.")</f>
        <v>Chúng ta nên nuôi dưỡng sở thích của trẻ em.</v>
      </c>
      <c r="F691" s="101" t="s">
        <v>9520</v>
      </c>
      <c r="G691" s="98" t="b">
        <f t="shared" si="1"/>
        <v>1</v>
      </c>
      <c r="H691" s="99" t="b">
        <v>1</v>
      </c>
      <c r="I691" s="99" t="b">
        <v>0</v>
      </c>
      <c r="J691" s="99" t="b">
        <v>0</v>
      </c>
      <c r="K691" s="99" t="b">
        <v>0</v>
      </c>
      <c r="L691" s="99" t="b">
        <v>0</v>
      </c>
      <c r="M691" s="99" t="b">
        <v>0</v>
      </c>
      <c r="N691" s="99" t="b">
        <v>0</v>
      </c>
      <c r="O691" s="99" t="b">
        <v>0</v>
      </c>
      <c r="P691" s="99" t="b">
        <v>0</v>
      </c>
      <c r="Q691" s="99" t="b">
        <v>0</v>
      </c>
      <c r="R691" s="14"/>
      <c r="S691" s="14"/>
      <c r="T691" s="14"/>
      <c r="U691" s="14"/>
      <c r="V691" s="14"/>
      <c r="W691" s="14"/>
    </row>
    <row r="692" ht="35.25" customHeight="1">
      <c r="A692" s="92" t="s">
        <v>9527</v>
      </c>
      <c r="B692" s="93" t="s">
        <v>9528</v>
      </c>
      <c r="C692" s="94" t="s">
        <v>9529</v>
      </c>
      <c r="D692" s="95" t="s">
        <v>9530</v>
      </c>
      <c r="E692" s="96" t="str">
        <f>IFERROR(__xludf.DUMMYFUNCTION("GOOGLETRANSLATE(D692,""zh-CN"",""vi"")"),"Ông ta yêu cầu công ty bồi thường cho những thiệt hại mà mình phải gánh chịu.")</f>
        <v>Ông ta yêu cầu công ty bồi thường cho những thiệt hại mà mình phải gánh chịu.</v>
      </c>
      <c r="F692" s="101" t="s">
        <v>9527</v>
      </c>
      <c r="G692" s="98" t="b">
        <f t="shared" si="1"/>
        <v>1</v>
      </c>
      <c r="H692" s="99" t="b">
        <v>1</v>
      </c>
      <c r="I692" s="99" t="b">
        <v>0</v>
      </c>
      <c r="J692" s="99" t="b">
        <v>0</v>
      </c>
      <c r="K692" s="99" t="b">
        <v>0</v>
      </c>
      <c r="L692" s="99" t="b">
        <v>0</v>
      </c>
      <c r="M692" s="99" t="b">
        <v>0</v>
      </c>
      <c r="N692" s="99" t="b">
        <v>0</v>
      </c>
      <c r="O692" s="99" t="b">
        <v>0</v>
      </c>
      <c r="P692" s="99" t="b">
        <v>0</v>
      </c>
      <c r="Q692" s="99" t="b">
        <v>0</v>
      </c>
      <c r="R692" s="14"/>
      <c r="S692" s="14"/>
      <c r="T692" s="14"/>
      <c r="U692" s="14"/>
      <c r="V692" s="14"/>
      <c r="W692" s="14"/>
    </row>
    <row r="693" ht="35.25" customHeight="1">
      <c r="A693" s="92" t="s">
        <v>9535</v>
      </c>
      <c r="B693" s="93" t="s">
        <v>9536</v>
      </c>
      <c r="C693" s="94" t="s">
        <v>9537</v>
      </c>
      <c r="D693" s="95" t="s">
        <v>9538</v>
      </c>
      <c r="E693" s="96" t="str">
        <f>IFERROR(__xludf.DUMMYFUNCTION("GOOGLETRANSLATE(D693,""zh-CN"",""vi"")"),"Tôi vô cùng ngưỡng mộ tài năng của anh ấy.")</f>
        <v>Tôi vô cùng ngưỡng mộ tài năng của anh ấy.</v>
      </c>
      <c r="F693" s="101" t="s">
        <v>9535</v>
      </c>
      <c r="G693" s="98" t="b">
        <f t="shared" si="1"/>
        <v>1</v>
      </c>
      <c r="H693" s="99" t="b">
        <v>1</v>
      </c>
      <c r="I693" s="99" t="b">
        <v>0</v>
      </c>
      <c r="J693" s="99" t="b">
        <v>0</v>
      </c>
      <c r="K693" s="99" t="b">
        <v>0</v>
      </c>
      <c r="L693" s="99" t="b">
        <v>0</v>
      </c>
      <c r="M693" s="99" t="b">
        <v>0</v>
      </c>
      <c r="N693" s="99" t="b">
        <v>0</v>
      </c>
      <c r="O693" s="99" t="b">
        <v>0</v>
      </c>
      <c r="P693" s="99" t="b">
        <v>0</v>
      </c>
      <c r="Q693" s="99" t="b">
        <v>0</v>
      </c>
      <c r="R693" s="14"/>
      <c r="S693" s="14"/>
      <c r="T693" s="14"/>
      <c r="U693" s="14"/>
      <c r="V693" s="14"/>
      <c r="W693" s="14"/>
    </row>
    <row r="694" ht="35.25" customHeight="1">
      <c r="A694" s="92" t="s">
        <v>9543</v>
      </c>
      <c r="B694" s="93" t="s">
        <v>9544</v>
      </c>
      <c r="C694" s="94" t="s">
        <v>9545</v>
      </c>
      <c r="D694" s="95" t="s">
        <v>9546</v>
      </c>
      <c r="E694" s="96" t="str">
        <f>IFERROR(__xludf.DUMMYFUNCTION("GOOGLETRANSLATE(D694,""zh-CN"",""vi"")"),"Chúng ta cần hợp tác để hoàn thành dự án này.")</f>
        <v>Chúng ta cần hợp tác để hoàn thành dự án này.</v>
      </c>
      <c r="F694" s="101" t="s">
        <v>9543</v>
      </c>
      <c r="G694" s="98" t="b">
        <f t="shared" si="1"/>
        <v>1</v>
      </c>
      <c r="H694" s="99" t="b">
        <v>1</v>
      </c>
      <c r="I694" s="99" t="b">
        <v>0</v>
      </c>
      <c r="J694" s="99" t="b">
        <v>0</v>
      </c>
      <c r="K694" s="99" t="b">
        <v>0</v>
      </c>
      <c r="L694" s="99" t="b">
        <v>0</v>
      </c>
      <c r="M694" s="99" t="b">
        <v>0</v>
      </c>
      <c r="N694" s="99" t="b">
        <v>0</v>
      </c>
      <c r="O694" s="99" t="b">
        <v>0</v>
      </c>
      <c r="P694" s="99" t="b">
        <v>0</v>
      </c>
      <c r="Q694" s="99" t="b">
        <v>0</v>
      </c>
      <c r="R694" s="14"/>
      <c r="S694" s="14"/>
      <c r="T694" s="14"/>
      <c r="U694" s="14"/>
      <c r="V694" s="14"/>
      <c r="W694" s="14"/>
    </row>
    <row r="695" ht="35.25" customHeight="1">
      <c r="A695" s="92" t="s">
        <v>9551</v>
      </c>
      <c r="B695" s="93" t="s">
        <v>9552</v>
      </c>
      <c r="C695" s="94" t="s">
        <v>9553</v>
      </c>
      <c r="D695" s="95" t="s">
        <v>9554</v>
      </c>
      <c r="E695" s="96" t="str">
        <f>IFERROR(__xludf.DUMMYFUNCTION("GOOGLETRANSLATE(D695,""zh-CN"",""vi"")"),"Chiếc chậu này rất đẹp.")</f>
        <v>Chiếc chậu này rất đẹp.</v>
      </c>
      <c r="F695" s="101" t="s">
        <v>9551</v>
      </c>
      <c r="G695" s="98" t="b">
        <f t="shared" si="1"/>
        <v>1</v>
      </c>
      <c r="H695" s="99" t="b">
        <v>1</v>
      </c>
      <c r="I695" s="99" t="b">
        <v>0</v>
      </c>
      <c r="J695" s="99" t="b">
        <v>0</v>
      </c>
      <c r="K695" s="99" t="b">
        <v>0</v>
      </c>
      <c r="L695" s="99" t="b">
        <v>0</v>
      </c>
      <c r="M695" s="99" t="b">
        <v>0</v>
      </c>
      <c r="N695" s="99" t="b">
        <v>0</v>
      </c>
      <c r="O695" s="99" t="b">
        <v>0</v>
      </c>
      <c r="P695" s="99" t="b">
        <v>0</v>
      </c>
      <c r="Q695" s="99" t="b">
        <v>0</v>
      </c>
      <c r="R695" s="14"/>
      <c r="S695" s="14"/>
      <c r="T695" s="14"/>
      <c r="U695" s="14"/>
      <c r="V695" s="14"/>
      <c r="W695" s="14"/>
    </row>
    <row r="696" ht="35.25" customHeight="1">
      <c r="A696" s="92" t="s">
        <v>9559</v>
      </c>
      <c r="B696" s="93" t="s">
        <v>9560</v>
      </c>
      <c r="C696" s="94" t="s">
        <v>9561</v>
      </c>
      <c r="D696" s="95" t="s">
        <v>9562</v>
      </c>
      <c r="E696" s="96" t="str">
        <f>IFERROR(__xludf.DUMMYFUNCTION("GOOGLETRANSLATE(D696,""zh-CN"",""vi"")"),"Cô ấy vô tình va vào bàn.")</f>
        <v>Cô ấy vô tình va vào bàn.</v>
      </c>
      <c r="F696" s="101" t="s">
        <v>9559</v>
      </c>
      <c r="G696" s="98" t="b">
        <f t="shared" si="1"/>
        <v>1</v>
      </c>
      <c r="H696" s="99" t="b">
        <v>1</v>
      </c>
      <c r="I696" s="99" t="b">
        <v>0</v>
      </c>
      <c r="J696" s="99" t="b">
        <v>0</v>
      </c>
      <c r="K696" s="99" t="b">
        <v>0</v>
      </c>
      <c r="L696" s="99" t="b">
        <v>0</v>
      </c>
      <c r="M696" s="99" t="b">
        <v>0</v>
      </c>
      <c r="N696" s="99" t="b">
        <v>0</v>
      </c>
      <c r="O696" s="99" t="b">
        <v>0</v>
      </c>
      <c r="P696" s="99" t="b">
        <v>0</v>
      </c>
      <c r="Q696" s="99" t="b">
        <v>0</v>
      </c>
      <c r="R696" s="14"/>
      <c r="S696" s="14"/>
      <c r="T696" s="14"/>
      <c r="U696" s="14"/>
      <c r="V696" s="14"/>
      <c r="W696" s="14"/>
    </row>
    <row r="697" ht="35.25" customHeight="1">
      <c r="A697" s="92" t="s">
        <v>9565</v>
      </c>
      <c r="B697" s="93" t="s">
        <v>9566</v>
      </c>
      <c r="C697" s="94" t="s">
        <v>9567</v>
      </c>
      <c r="D697" s="95" t="s">
        <v>9568</v>
      </c>
      <c r="E697" s="96" t="str">
        <f>IFERROR(__xludf.DUMMYFUNCTION("GOOGLETRANSLATE(D697,""zh-CN"",""vi"")"),"Chúng tôi sẽ giao lô hàng này vào ngày mai.")</f>
        <v>Chúng tôi sẽ giao lô hàng này vào ngày mai.</v>
      </c>
      <c r="F697" s="101" t="s">
        <v>9565</v>
      </c>
      <c r="G697" s="98" t="b">
        <f t="shared" si="1"/>
        <v>1</v>
      </c>
      <c r="H697" s="99" t="b">
        <v>1</v>
      </c>
      <c r="I697" s="99" t="b">
        <v>0</v>
      </c>
      <c r="J697" s="99" t="b">
        <v>0</v>
      </c>
      <c r="K697" s="99" t="b">
        <v>0</v>
      </c>
      <c r="L697" s="99" t="b">
        <v>0</v>
      </c>
      <c r="M697" s="99" t="b">
        <v>0</v>
      </c>
      <c r="N697" s="99" t="b">
        <v>0</v>
      </c>
      <c r="O697" s="99" t="b">
        <v>0</v>
      </c>
      <c r="P697" s="99" t="b">
        <v>0</v>
      </c>
      <c r="Q697" s="99" t="b">
        <v>0</v>
      </c>
      <c r="R697" s="14"/>
      <c r="S697" s="14"/>
      <c r="T697" s="14"/>
      <c r="U697" s="14"/>
      <c r="V697" s="14"/>
      <c r="W697" s="14"/>
    </row>
    <row r="698" ht="35.25" customHeight="1">
      <c r="A698" s="92" t="s">
        <v>9573</v>
      </c>
      <c r="B698" s="93" t="s">
        <v>9574</v>
      </c>
      <c r="C698" s="94" t="s">
        <v>9575</v>
      </c>
      <c r="D698" s="95" t="s">
        <v>9576</v>
      </c>
      <c r="E698" s="96" t="str">
        <f>IFERROR(__xludf.DUMMYFUNCTION("GOOGLETRANSLATE(D698,""zh-CN"",""vi"")"),"Đề xuất của chúng tôi đã được chấp thuận.")</f>
        <v>Đề xuất của chúng tôi đã được chấp thuận.</v>
      </c>
      <c r="F698" s="101" t="s">
        <v>9573</v>
      </c>
      <c r="G698" s="98" t="b">
        <f t="shared" si="1"/>
        <v>1</v>
      </c>
      <c r="H698" s="99" t="b">
        <v>1</v>
      </c>
      <c r="I698" s="99" t="b">
        <v>0</v>
      </c>
      <c r="J698" s="99" t="b">
        <v>0</v>
      </c>
      <c r="K698" s="99" t="b">
        <v>0</v>
      </c>
      <c r="L698" s="99" t="b">
        <v>0</v>
      </c>
      <c r="M698" s="99" t="b">
        <v>0</v>
      </c>
      <c r="N698" s="99" t="b">
        <v>0</v>
      </c>
      <c r="O698" s="99" t="b">
        <v>0</v>
      </c>
      <c r="P698" s="99" t="b">
        <v>0</v>
      </c>
      <c r="Q698" s="99" t="b">
        <v>0</v>
      </c>
      <c r="R698" s="14"/>
      <c r="S698" s="14"/>
      <c r="T698" s="14"/>
      <c r="U698" s="14"/>
      <c r="V698" s="14"/>
      <c r="W698" s="14"/>
    </row>
    <row r="699" ht="35.25" customHeight="1">
      <c r="A699" s="92" t="s">
        <v>9581</v>
      </c>
      <c r="B699" s="93" t="s">
        <v>9566</v>
      </c>
      <c r="C699" s="94" t="s">
        <v>9582</v>
      </c>
      <c r="D699" s="95" t="s">
        <v>9584</v>
      </c>
      <c r="E699" s="96" t="str">
        <f>IFERROR(__xludf.DUMMYFUNCTION("GOOGLETRANSLATE(D699,""zh-CN"",""vi"")"),"Anh ấy khoác áo khoác vào.")</f>
        <v>Anh ấy khoác áo khoác vào.</v>
      </c>
      <c r="F699" s="101" t="s">
        <v>9581</v>
      </c>
      <c r="G699" s="98" t="b">
        <f t="shared" si="1"/>
        <v>1</v>
      </c>
      <c r="H699" s="99" t="b">
        <v>1</v>
      </c>
      <c r="I699" s="99" t="b">
        <v>0</v>
      </c>
      <c r="J699" s="99" t="b">
        <v>0</v>
      </c>
      <c r="K699" s="99" t="b">
        <v>0</v>
      </c>
      <c r="L699" s="99" t="b">
        <v>0</v>
      </c>
      <c r="M699" s="99" t="b">
        <v>0</v>
      </c>
      <c r="N699" s="99" t="b">
        <v>0</v>
      </c>
      <c r="O699" s="99" t="b">
        <v>0</v>
      </c>
      <c r="P699" s="99" t="b">
        <v>0</v>
      </c>
      <c r="Q699" s="99" t="b">
        <v>0</v>
      </c>
      <c r="R699" s="14"/>
      <c r="S699" s="14"/>
      <c r="T699" s="14"/>
      <c r="U699" s="14"/>
      <c r="V699" s="14"/>
      <c r="W699" s="14"/>
    </row>
    <row r="700" ht="35.25" customHeight="1">
      <c r="A700" s="92" t="s">
        <v>9596</v>
      </c>
      <c r="B700" s="93" t="s">
        <v>9597</v>
      </c>
      <c r="C700" s="94" t="s">
        <v>9598</v>
      </c>
      <c r="D700" s="95" t="s">
        <v>9599</v>
      </c>
      <c r="E700" s="96" t="str">
        <f>IFERROR(__xludf.DUMMYFUNCTION("GOOGLETRANSLATE(D700,""zh-CN"",""vi"")"),"Anh ấy cảm thấy vô cùng mệt mỏi.")</f>
        <v>Anh ấy cảm thấy vô cùng mệt mỏi.</v>
      </c>
      <c r="F700" s="101" t="s">
        <v>9596</v>
      </c>
      <c r="G700" s="98" t="b">
        <f t="shared" si="1"/>
        <v>1</v>
      </c>
      <c r="H700" s="99" t="b">
        <v>1</v>
      </c>
      <c r="I700" s="99" t="b">
        <v>0</v>
      </c>
      <c r="J700" s="99" t="b">
        <v>0</v>
      </c>
      <c r="K700" s="99" t="b">
        <v>0</v>
      </c>
      <c r="L700" s="99" t="b">
        <v>0</v>
      </c>
      <c r="M700" s="99" t="b">
        <v>0</v>
      </c>
      <c r="N700" s="99" t="b">
        <v>0</v>
      </c>
      <c r="O700" s="99" t="b">
        <v>0</v>
      </c>
      <c r="P700" s="99" t="b">
        <v>0</v>
      </c>
      <c r="Q700" s="99" t="b">
        <v>0</v>
      </c>
      <c r="R700" s="14"/>
      <c r="S700" s="14"/>
      <c r="T700" s="14"/>
      <c r="U700" s="14"/>
      <c r="V700" s="14"/>
      <c r="W700" s="14"/>
    </row>
    <row r="701" ht="35.25" customHeight="1">
      <c r="A701" s="92" t="s">
        <v>9604</v>
      </c>
      <c r="B701" s="93" t="s">
        <v>9605</v>
      </c>
      <c r="C701" s="94" t="s">
        <v>9606</v>
      </c>
      <c r="D701" s="95" t="s">
        <v>9607</v>
      </c>
      <c r="E701" s="96" t="str">
        <f>IFERROR(__xludf.DUMMYFUNCTION("GOOGLETRANSLATE(D701,""zh-CN"",""vi"")"),"Con ngựa này chạy rất nhanh.")</f>
        <v>Con ngựa này chạy rất nhanh.</v>
      </c>
      <c r="F701" s="101" t="s">
        <v>9604</v>
      </c>
      <c r="G701" s="98" t="b">
        <f t="shared" si="1"/>
        <v>1</v>
      </c>
      <c r="H701" s="99" t="b">
        <v>1</v>
      </c>
      <c r="I701" s="99" t="b">
        <v>0</v>
      </c>
      <c r="J701" s="99" t="b">
        <v>0</v>
      </c>
      <c r="K701" s="99" t="b">
        <v>0</v>
      </c>
      <c r="L701" s="99" t="b">
        <v>0</v>
      </c>
      <c r="M701" s="99" t="b">
        <v>0</v>
      </c>
      <c r="N701" s="99" t="b">
        <v>0</v>
      </c>
      <c r="O701" s="99" t="b">
        <v>0</v>
      </c>
      <c r="P701" s="99" t="b">
        <v>0</v>
      </c>
      <c r="Q701" s="99" t="b">
        <v>0</v>
      </c>
      <c r="R701" s="14"/>
      <c r="S701" s="14"/>
      <c r="T701" s="14"/>
      <c r="U701" s="14"/>
      <c r="V701" s="14"/>
      <c r="W701" s="14"/>
    </row>
    <row r="702" ht="35.25" customHeight="1">
      <c r="A702" s="92" t="s">
        <v>9612</v>
      </c>
      <c r="B702" s="93" t="s">
        <v>3554</v>
      </c>
      <c r="C702" s="94" t="s">
        <v>9613</v>
      </c>
      <c r="D702" s="95" t="s">
        <v>9614</v>
      </c>
      <c r="E702" s="96" t="str">
        <f>IFERROR(__xludf.DUMMYFUNCTION("GOOGLETRANSLATE(D702,""zh-CN"",""vi"")"),"Tôi đã mua một miếng sô cô la.")</f>
        <v>Tôi đã mua một miếng sô cô la.</v>
      </c>
      <c r="F702" s="101" t="s">
        <v>9612</v>
      </c>
      <c r="G702" s="98" t="b">
        <f t="shared" si="1"/>
        <v>1</v>
      </c>
      <c r="H702" s="99" t="b">
        <v>1</v>
      </c>
      <c r="I702" s="99" t="b">
        <v>0</v>
      </c>
      <c r="J702" s="99" t="b">
        <v>0</v>
      </c>
      <c r="K702" s="99" t="b">
        <v>0</v>
      </c>
      <c r="L702" s="99" t="b">
        <v>0</v>
      </c>
      <c r="M702" s="99" t="b">
        <v>0</v>
      </c>
      <c r="N702" s="99" t="b">
        <v>0</v>
      </c>
      <c r="O702" s="99" t="b">
        <v>0</v>
      </c>
      <c r="P702" s="99" t="b">
        <v>0</v>
      </c>
      <c r="Q702" s="99" t="b">
        <v>0</v>
      </c>
      <c r="R702" s="14"/>
      <c r="S702" s="14"/>
      <c r="T702" s="14"/>
      <c r="U702" s="14"/>
      <c r="V702" s="14"/>
      <c r="W702" s="14"/>
    </row>
    <row r="703" ht="35.25" customHeight="1">
      <c r="A703" s="92" t="s">
        <v>9615</v>
      </c>
      <c r="B703" s="93" t="s">
        <v>9616</v>
      </c>
      <c r="C703" s="94" t="s">
        <v>9617</v>
      </c>
      <c r="D703" s="95" t="s">
        <v>9618</v>
      </c>
      <c r="E703" s="96" t="str">
        <f>IFERROR(__xludf.DUMMYFUNCTION("GOOGLETRANSLATE(D703,""zh-CN"",""vi"")"),"Quan điểm của ông ấy có phần phiến diện.")</f>
        <v>Quan điểm của ông ấy có phần phiến diện.</v>
      </c>
      <c r="F703" s="101" t="s">
        <v>9615</v>
      </c>
      <c r="G703" s="98" t="b">
        <f t="shared" si="1"/>
        <v>1</v>
      </c>
      <c r="H703" s="99" t="b">
        <v>1</v>
      </c>
      <c r="I703" s="99" t="b">
        <v>0</v>
      </c>
      <c r="J703" s="99" t="b">
        <v>0</v>
      </c>
      <c r="K703" s="99" t="b">
        <v>0</v>
      </c>
      <c r="L703" s="99" t="b">
        <v>0</v>
      </c>
      <c r="M703" s="99" t="b">
        <v>0</v>
      </c>
      <c r="N703" s="99" t="b">
        <v>0</v>
      </c>
      <c r="O703" s="99" t="b">
        <v>0</v>
      </c>
      <c r="P703" s="99" t="b">
        <v>0</v>
      </c>
      <c r="Q703" s="99" t="b">
        <v>0</v>
      </c>
      <c r="R703" s="14"/>
      <c r="S703" s="14"/>
      <c r="T703" s="14"/>
      <c r="U703" s="14"/>
      <c r="V703" s="14"/>
      <c r="W703" s="14"/>
    </row>
    <row r="704" ht="35.25" customHeight="1">
      <c r="A704" s="92" t="s">
        <v>9619</v>
      </c>
      <c r="B704" s="93" t="s">
        <v>9620</v>
      </c>
      <c r="C704" s="94" t="s">
        <v>9621</v>
      </c>
      <c r="D704" s="95" t="s">
        <v>9622</v>
      </c>
      <c r="E704" s="96" t="str">
        <f>IFERROR(__xludf.DUMMYFUNCTION("GOOGLETRANSLATE(D704,""zh-CN"",""vi"")"),"Chiếc váy bay phấp phới trong gió.")</f>
        <v>Chiếc váy bay phấp phới trong gió.</v>
      </c>
      <c r="F704" s="101" t="s">
        <v>9619</v>
      </c>
      <c r="G704" s="98" t="b">
        <f t="shared" si="1"/>
        <v>1</v>
      </c>
      <c r="H704" s="99" t="b">
        <v>1</v>
      </c>
      <c r="I704" s="99" t="b">
        <v>0</v>
      </c>
      <c r="J704" s="99" t="b">
        <v>0</v>
      </c>
      <c r="K704" s="99" t="b">
        <v>0</v>
      </c>
      <c r="L704" s="99" t="b">
        <v>0</v>
      </c>
      <c r="M704" s="99" t="b">
        <v>0</v>
      </c>
      <c r="N704" s="99" t="b">
        <v>0</v>
      </c>
      <c r="O704" s="99" t="b">
        <v>0</v>
      </c>
      <c r="P704" s="99" t="b">
        <v>0</v>
      </c>
      <c r="Q704" s="99" t="b">
        <v>0</v>
      </c>
      <c r="R704" s="14"/>
      <c r="S704" s="14"/>
      <c r="T704" s="14"/>
      <c r="U704" s="14"/>
      <c r="V704" s="14"/>
      <c r="W704" s="14"/>
    </row>
    <row r="705" ht="35.25" customHeight="1">
      <c r="A705" s="92" t="s">
        <v>9625</v>
      </c>
      <c r="B705" s="93" t="s">
        <v>9627</v>
      </c>
      <c r="C705" s="94" t="s">
        <v>9629</v>
      </c>
      <c r="D705" s="95" t="s">
        <v>9630</v>
      </c>
      <c r="E705" s="96" t="str">
        <f>IFERROR(__xludf.DUMMYFUNCTION("GOOGLETRANSLATE(D705,""zh-CN"",""vi"")"),"Anh ấy đã học được rất nhiều phiên âm pinyin.")</f>
        <v>Anh ấy đã học được rất nhiều phiên âm pinyin.</v>
      </c>
      <c r="F705" s="101" t="s">
        <v>9625</v>
      </c>
      <c r="G705" s="98" t="b">
        <f t="shared" si="1"/>
        <v>1</v>
      </c>
      <c r="H705" s="99" t="b">
        <v>1</v>
      </c>
      <c r="I705" s="99" t="b">
        <v>0</v>
      </c>
      <c r="J705" s="99" t="b">
        <v>0</v>
      </c>
      <c r="K705" s="99" t="b">
        <v>0</v>
      </c>
      <c r="L705" s="99" t="b">
        <v>0</v>
      </c>
      <c r="M705" s="99" t="b">
        <v>0</v>
      </c>
      <c r="N705" s="99" t="b">
        <v>0</v>
      </c>
      <c r="O705" s="99" t="b">
        <v>0</v>
      </c>
      <c r="P705" s="99" t="b">
        <v>0</v>
      </c>
      <c r="Q705" s="99" t="b">
        <v>0</v>
      </c>
      <c r="R705" s="14"/>
      <c r="S705" s="14"/>
      <c r="T705" s="14"/>
      <c r="U705" s="14"/>
      <c r="V705" s="14"/>
      <c r="W705" s="14"/>
    </row>
    <row r="706" ht="35.25" customHeight="1">
      <c r="A706" s="92" t="s">
        <v>9633</v>
      </c>
      <c r="B706" s="93" t="s">
        <v>9635</v>
      </c>
      <c r="C706" s="94" t="s">
        <v>9637</v>
      </c>
      <c r="D706" s="95" t="s">
        <v>9638</v>
      </c>
      <c r="E706" s="96" t="str">
        <f>IFERROR(__xludf.DUMMYFUNCTION("GOOGLETRANSLATE(D706,""zh-CN"",""vi"")"),"Kênh của chúng tôi rất thú vị.")</f>
        <v>Kênh của chúng tôi rất thú vị.</v>
      </c>
      <c r="F706" s="101" t="s">
        <v>9633</v>
      </c>
      <c r="G706" s="98" t="b">
        <f t="shared" si="1"/>
        <v>1</v>
      </c>
      <c r="H706" s="99" t="b">
        <v>1</v>
      </c>
      <c r="I706" s="99" t="b">
        <v>0</v>
      </c>
      <c r="J706" s="99" t="b">
        <v>0</v>
      </c>
      <c r="K706" s="99" t="b">
        <v>0</v>
      </c>
      <c r="L706" s="99" t="b">
        <v>0</v>
      </c>
      <c r="M706" s="99" t="b">
        <v>0</v>
      </c>
      <c r="N706" s="99" t="b">
        <v>0</v>
      </c>
      <c r="O706" s="99" t="b">
        <v>0</v>
      </c>
      <c r="P706" s="99" t="b">
        <v>0</v>
      </c>
      <c r="Q706" s="99" t="b">
        <v>0</v>
      </c>
      <c r="R706" s="14"/>
      <c r="S706" s="14"/>
      <c r="T706" s="14"/>
      <c r="U706" s="14"/>
      <c r="V706" s="14"/>
      <c r="W706" s="14"/>
    </row>
    <row r="707" ht="35.25" customHeight="1">
      <c r="A707" s="92" t="s">
        <v>9641</v>
      </c>
      <c r="B707" s="93" t="s">
        <v>9643</v>
      </c>
      <c r="C707" s="94" t="s">
        <v>9645</v>
      </c>
      <c r="D707" s="95" t="s">
        <v>9646</v>
      </c>
      <c r="E707" s="96" t="str">
        <f>IFERROR(__xludf.DUMMYFUNCTION("GOOGLETRANSLATE(D707,""zh-CN"",""vi"")"),"Biển lặng sóng.")</f>
        <v>Biển lặng sóng.</v>
      </c>
      <c r="F707" s="101" t="s">
        <v>9641</v>
      </c>
      <c r="G707" s="98" t="b">
        <f t="shared" si="1"/>
        <v>1</v>
      </c>
      <c r="H707" s="99" t="b">
        <v>1</v>
      </c>
      <c r="I707" s="99" t="b">
        <v>0</v>
      </c>
      <c r="J707" s="99" t="b">
        <v>0</v>
      </c>
      <c r="K707" s="99" t="b">
        <v>0</v>
      </c>
      <c r="L707" s="99" t="b">
        <v>0</v>
      </c>
      <c r="M707" s="99" t="b">
        <v>0</v>
      </c>
      <c r="N707" s="99" t="b">
        <v>0</v>
      </c>
      <c r="O707" s="99" t="b">
        <v>0</v>
      </c>
      <c r="P707" s="99" t="b">
        <v>0</v>
      </c>
      <c r="Q707" s="99" t="b">
        <v>0</v>
      </c>
      <c r="R707" s="14"/>
      <c r="S707" s="14"/>
      <c r="T707" s="14"/>
      <c r="U707" s="14"/>
      <c r="V707" s="14"/>
      <c r="W707" s="14"/>
    </row>
    <row r="708" ht="35.25" customHeight="1">
      <c r="A708" s="92" t="s">
        <v>9649</v>
      </c>
      <c r="B708" s="93" t="s">
        <v>9651</v>
      </c>
      <c r="C708" s="94" t="s">
        <v>9653</v>
      </c>
      <c r="D708" s="95" t="s">
        <v>9654</v>
      </c>
      <c r="E708" s="96" t="str">
        <f>IFERROR(__xludf.DUMMYFUNCTION("GOOGLETRANSLATE(D708,""zh-CN"",""vi"")"),"Tôi hy vọng bạn về nhà an toàn.")</f>
        <v>Tôi hy vọng bạn về nhà an toàn.</v>
      </c>
      <c r="F708" s="101" t="s">
        <v>9649</v>
      </c>
      <c r="G708" s="98" t="b">
        <f t="shared" si="1"/>
        <v>1</v>
      </c>
      <c r="H708" s="99" t="b">
        <v>1</v>
      </c>
      <c r="I708" s="99" t="b">
        <v>0</v>
      </c>
      <c r="J708" s="99" t="b">
        <v>0</v>
      </c>
      <c r="K708" s="99" t="b">
        <v>0</v>
      </c>
      <c r="L708" s="99" t="b">
        <v>0</v>
      </c>
      <c r="M708" s="99" t="b">
        <v>0</v>
      </c>
      <c r="N708" s="99" t="b">
        <v>0</v>
      </c>
      <c r="O708" s="99" t="b">
        <v>0</v>
      </c>
      <c r="P708" s="99" t="b">
        <v>0</v>
      </c>
      <c r="Q708" s="99" t="b">
        <v>0</v>
      </c>
      <c r="R708" s="14"/>
      <c r="S708" s="14"/>
      <c r="T708" s="14"/>
      <c r="U708" s="14"/>
      <c r="V708" s="14"/>
      <c r="W708" s="14"/>
    </row>
    <row r="709" ht="35.25" customHeight="1">
      <c r="A709" s="92" t="s">
        <v>9658</v>
      </c>
      <c r="B709" s="93" t="s">
        <v>9660</v>
      </c>
      <c r="C709" s="94" t="s">
        <v>3566</v>
      </c>
      <c r="D709" s="95" t="s">
        <v>9661</v>
      </c>
      <c r="E709" s="96" t="str">
        <f>IFERROR(__xludf.DUMMYFUNCTION("GOOGLETRANSLATE(D709,""zh-CN"",""vi"")"),"Anh ấy thường thích chạy bộ.")</f>
        <v>Anh ấy thường thích chạy bộ.</v>
      </c>
      <c r="F709" s="101" t="s">
        <v>9658</v>
      </c>
      <c r="G709" s="98" t="b">
        <f t="shared" si="1"/>
        <v>1</v>
      </c>
      <c r="H709" s="99" t="b">
        <v>1</v>
      </c>
      <c r="I709" s="99" t="b">
        <v>0</v>
      </c>
      <c r="J709" s="99" t="b">
        <v>0</v>
      </c>
      <c r="K709" s="99" t="b">
        <v>0</v>
      </c>
      <c r="L709" s="99" t="b">
        <v>0</v>
      </c>
      <c r="M709" s="99" t="b">
        <v>0</v>
      </c>
      <c r="N709" s="99" t="b">
        <v>0</v>
      </c>
      <c r="O709" s="99" t="b">
        <v>0</v>
      </c>
      <c r="P709" s="99" t="b">
        <v>0</v>
      </c>
      <c r="Q709" s="99" t="b">
        <v>0</v>
      </c>
      <c r="R709" s="14"/>
      <c r="S709" s="14"/>
      <c r="T709" s="14"/>
      <c r="U709" s="14"/>
      <c r="V709" s="14"/>
      <c r="W709" s="14"/>
    </row>
    <row r="710" ht="35.25" customHeight="1">
      <c r="A710" s="92" t="s">
        <v>9665</v>
      </c>
      <c r="B710" s="93" t="s">
        <v>9667</v>
      </c>
      <c r="C710" s="94" t="s">
        <v>9668</v>
      </c>
      <c r="D710" s="95" t="s">
        <v>9669</v>
      </c>
      <c r="E710" s="96" t="str">
        <f>IFERROR(__xludf.DUMMYFUNCTION("GOOGLETRANSLATE(D710,""zh-CN"",""vi"")"),"Hai người đó nên được đối xử bình đẳng.")</f>
        <v>Hai người đó nên được đối xử bình đẳng.</v>
      </c>
      <c r="F710" s="101" t="s">
        <v>9665</v>
      </c>
      <c r="G710" s="98" t="b">
        <f t="shared" si="1"/>
        <v>1</v>
      </c>
      <c r="H710" s="99" t="b">
        <v>1</v>
      </c>
      <c r="I710" s="99" t="b">
        <v>0</v>
      </c>
      <c r="J710" s="99" t="b">
        <v>0</v>
      </c>
      <c r="K710" s="99" t="b">
        <v>0</v>
      </c>
      <c r="L710" s="99" t="b">
        <v>0</v>
      </c>
      <c r="M710" s="99" t="b">
        <v>0</v>
      </c>
      <c r="N710" s="99" t="b">
        <v>0</v>
      </c>
      <c r="O710" s="99" t="b">
        <v>0</v>
      </c>
      <c r="P710" s="99" t="b">
        <v>0</v>
      </c>
      <c r="Q710" s="99" t="b">
        <v>0</v>
      </c>
      <c r="R710" s="14"/>
      <c r="S710" s="14"/>
      <c r="T710" s="14"/>
      <c r="U710" s="14"/>
      <c r="V710" s="14"/>
      <c r="W710" s="14"/>
    </row>
    <row r="711" ht="35.25" customHeight="1">
      <c r="A711" s="92" t="s">
        <v>9673</v>
      </c>
      <c r="B711" s="93" t="s">
        <v>9675</v>
      </c>
      <c r="C711" s="94" t="s">
        <v>9676</v>
      </c>
      <c r="D711" s="95" t="s">
        <v>9677</v>
      </c>
      <c r="E711" s="96" t="str">
        <f>IFERROR(__xludf.DUMMYFUNCTION("GOOGLETRANSLATE(D711,""zh-CN"",""vi"")"),"Căn phòng có diện tích 10 mét vuông.")</f>
        <v>Căn phòng có diện tích 10 mét vuông.</v>
      </c>
      <c r="F711" s="101" t="s">
        <v>9673</v>
      </c>
      <c r="G711" s="98" t="b">
        <f t="shared" si="1"/>
        <v>1</v>
      </c>
      <c r="H711" s="99" t="b">
        <v>1</v>
      </c>
      <c r="I711" s="99" t="b">
        <v>0</v>
      </c>
      <c r="J711" s="99" t="b">
        <v>0</v>
      </c>
      <c r="K711" s="99" t="b">
        <v>0</v>
      </c>
      <c r="L711" s="99" t="b">
        <v>0</v>
      </c>
      <c r="M711" s="99" t="b">
        <v>0</v>
      </c>
      <c r="N711" s="99" t="b">
        <v>0</v>
      </c>
      <c r="O711" s="99" t="b">
        <v>0</v>
      </c>
      <c r="P711" s="99" t="b">
        <v>0</v>
      </c>
      <c r="Q711" s="99" t="b">
        <v>0</v>
      </c>
      <c r="R711" s="14"/>
      <c r="S711" s="14"/>
      <c r="T711" s="14"/>
      <c r="U711" s="14"/>
      <c r="V711" s="14"/>
      <c r="W711" s="14"/>
    </row>
    <row r="712" ht="35.25" customHeight="1">
      <c r="A712" s="92" t="s">
        <v>9679</v>
      </c>
      <c r="B712" s="93" t="s">
        <v>9681</v>
      </c>
      <c r="C712" s="94" t="s">
        <v>9682</v>
      </c>
      <c r="D712" s="95" t="s">
        <v>9684</v>
      </c>
      <c r="E712" s="96" t="str">
        <f>IFERROR(__xludf.DUMMYFUNCTION("GOOGLETRANSLATE(D712,""zh-CN"",""vi"")"),"Anh ta cố gắng giữ thăng bằng.")</f>
        <v>Anh ta cố gắng giữ thăng bằng.</v>
      </c>
      <c r="F712" s="101" t="s">
        <v>9679</v>
      </c>
      <c r="G712" s="98" t="b">
        <f t="shared" si="1"/>
        <v>1</v>
      </c>
      <c r="H712" s="99" t="b">
        <v>1</v>
      </c>
      <c r="I712" s="99" t="b">
        <v>0</v>
      </c>
      <c r="J712" s="99" t="b">
        <v>0</v>
      </c>
      <c r="K712" s="99" t="b">
        <v>0</v>
      </c>
      <c r="L712" s="99" t="b">
        <v>0</v>
      </c>
      <c r="M712" s="99" t="b">
        <v>0</v>
      </c>
      <c r="N712" s="99" t="b">
        <v>0</v>
      </c>
      <c r="O712" s="99" t="b">
        <v>0</v>
      </c>
      <c r="P712" s="99" t="b">
        <v>0</v>
      </c>
      <c r="Q712" s="99" t="b">
        <v>0</v>
      </c>
      <c r="R712" s="14"/>
      <c r="S712" s="14"/>
      <c r="T712" s="14"/>
      <c r="U712" s="14"/>
      <c r="V712" s="14"/>
      <c r="W712" s="14"/>
    </row>
    <row r="713" ht="35.25" customHeight="1">
      <c r="A713" s="92" t="s">
        <v>9687</v>
      </c>
      <c r="B713" s="93" t="s">
        <v>9689</v>
      </c>
      <c r="C713" s="94" t="s">
        <v>9691</v>
      </c>
      <c r="D713" s="95" t="s">
        <v>9693</v>
      </c>
      <c r="E713" s="96" t="str">
        <f>IFERROR(__xludf.DUMMYFUNCTION("GOOGLETRANSLATE(D713,""zh-CN"",""vi"")"),"Mặt hồ rất tĩnh lặng.")</f>
        <v>Mặt hồ rất tĩnh lặng.</v>
      </c>
      <c r="F713" s="101" t="s">
        <v>9687</v>
      </c>
      <c r="G713" s="98" t="b">
        <f t="shared" si="1"/>
        <v>1</v>
      </c>
      <c r="H713" s="99" t="b">
        <v>1</v>
      </c>
      <c r="I713" s="99" t="b">
        <v>0</v>
      </c>
      <c r="J713" s="99" t="b">
        <v>0</v>
      </c>
      <c r="K713" s="99" t="b">
        <v>0</v>
      </c>
      <c r="L713" s="99" t="b">
        <v>0</v>
      </c>
      <c r="M713" s="99" t="b">
        <v>0</v>
      </c>
      <c r="N713" s="99" t="b">
        <v>0</v>
      </c>
      <c r="O713" s="99" t="b">
        <v>0</v>
      </c>
      <c r="P713" s="99" t="b">
        <v>0</v>
      </c>
      <c r="Q713" s="99" t="b">
        <v>0</v>
      </c>
      <c r="R713" s="14"/>
      <c r="S713" s="14"/>
      <c r="T713" s="14"/>
      <c r="U713" s="14"/>
      <c r="V713" s="14"/>
      <c r="W713" s="14"/>
    </row>
    <row r="714" ht="35.25" customHeight="1">
      <c r="A714" s="92" t="s">
        <v>9694</v>
      </c>
      <c r="B714" s="93" t="s">
        <v>9695</v>
      </c>
      <c r="C714" s="94" t="s">
        <v>9696</v>
      </c>
      <c r="D714" s="95" t="s">
        <v>9698</v>
      </c>
      <c r="E714" s="96" t="str">
        <f>IFERROR(__xludf.DUMMYFUNCTION("GOOGLETRANSLATE(D714,""zh-CN"",""vi"")"),"Trung bình mỗi người có ba cuốn sách.")</f>
        <v>Trung bình mỗi người có ba cuốn sách.</v>
      </c>
      <c r="F714" s="101" t="s">
        <v>9694</v>
      </c>
      <c r="G714" s="98" t="b">
        <f t="shared" si="1"/>
        <v>1</v>
      </c>
      <c r="H714" s="99" t="b">
        <v>1</v>
      </c>
      <c r="I714" s="99" t="b">
        <v>0</v>
      </c>
      <c r="J714" s="99" t="b">
        <v>0</v>
      </c>
      <c r="K714" s="99" t="b">
        <v>0</v>
      </c>
      <c r="L714" s="99" t="b">
        <v>0</v>
      </c>
      <c r="M714" s="99" t="b">
        <v>0</v>
      </c>
      <c r="N714" s="99" t="b">
        <v>0</v>
      </c>
      <c r="O714" s="99" t="b">
        <v>0</v>
      </c>
      <c r="P714" s="99" t="b">
        <v>0</v>
      </c>
      <c r="Q714" s="99" t="b">
        <v>0</v>
      </c>
      <c r="R714" s="14"/>
      <c r="S714" s="14"/>
      <c r="T714" s="14"/>
      <c r="U714" s="14"/>
      <c r="V714" s="14"/>
      <c r="W714" s="14"/>
    </row>
    <row r="715" ht="35.25" customHeight="1">
      <c r="A715" s="92" t="s">
        <v>9702</v>
      </c>
      <c r="B715" s="93" t="s">
        <v>9703</v>
      </c>
      <c r="C715" s="94" t="s">
        <v>9704</v>
      </c>
      <c r="D715" s="95" t="s">
        <v>9706</v>
      </c>
      <c r="E715" s="96" t="str">
        <f>IFERROR(__xludf.DUMMYFUNCTION("GOOGLETRANSLATE(D715,""zh-CN"",""vi"")"),"Chúng tôi cần đánh giá công việc của bạn.")</f>
        <v>Chúng tôi cần đánh giá công việc của bạn.</v>
      </c>
      <c r="F715" s="101" t="s">
        <v>9702</v>
      </c>
      <c r="G715" s="98" t="b">
        <f t="shared" si="1"/>
        <v>1</v>
      </c>
      <c r="H715" s="99" t="b">
        <v>1</v>
      </c>
      <c r="I715" s="99" t="b">
        <v>0</v>
      </c>
      <c r="J715" s="99" t="b">
        <v>0</v>
      </c>
      <c r="K715" s="99" t="b">
        <v>0</v>
      </c>
      <c r="L715" s="99" t="b">
        <v>0</v>
      </c>
      <c r="M715" s="99" t="b">
        <v>0</v>
      </c>
      <c r="N715" s="99" t="b">
        <v>0</v>
      </c>
      <c r="O715" s="99" t="b">
        <v>0</v>
      </c>
      <c r="P715" s="99" t="b">
        <v>0</v>
      </c>
      <c r="Q715" s="99" t="b">
        <v>0</v>
      </c>
      <c r="R715" s="14"/>
      <c r="S715" s="14"/>
      <c r="T715" s="14"/>
      <c r="U715" s="14"/>
      <c r="V715" s="14"/>
      <c r="W715" s="14"/>
    </row>
    <row r="716" ht="35.25" customHeight="1">
      <c r="A716" s="92" t="s">
        <v>9710</v>
      </c>
      <c r="B716" s="93" t="s">
        <v>9643</v>
      </c>
      <c r="C716" s="94" t="s">
        <v>9712</v>
      </c>
      <c r="D716" s="95" t="s">
        <v>9714</v>
      </c>
      <c r="E716" s="96" t="str">
        <f>IFERROR(__xludf.DUMMYFUNCTION("GOOGLETRANSLATE(D716,""zh-CN"",""vi"")"),"Điều gì khiến bạn nói như vậy?")</f>
        <v>Điều gì khiến bạn nói như vậy?</v>
      </c>
      <c r="F716" s="101" t="s">
        <v>9710</v>
      </c>
      <c r="G716" s="98" t="b">
        <f t="shared" si="1"/>
        <v>1</v>
      </c>
      <c r="H716" s="99" t="b">
        <v>1</v>
      </c>
      <c r="I716" s="99" t="b">
        <v>0</v>
      </c>
      <c r="J716" s="99" t="b">
        <v>0</v>
      </c>
      <c r="K716" s="99" t="b">
        <v>0</v>
      </c>
      <c r="L716" s="99" t="b">
        <v>0</v>
      </c>
      <c r="M716" s="99" t="b">
        <v>0</v>
      </c>
      <c r="N716" s="99" t="b">
        <v>0</v>
      </c>
      <c r="O716" s="99" t="b">
        <v>0</v>
      </c>
      <c r="P716" s="99" t="b">
        <v>0</v>
      </c>
      <c r="Q716" s="99" t="b">
        <v>0</v>
      </c>
      <c r="R716" s="14"/>
      <c r="S716" s="14"/>
      <c r="T716" s="14"/>
      <c r="U716" s="14"/>
      <c r="V716" s="14"/>
      <c r="W716" s="14"/>
    </row>
    <row r="717" ht="35.25" customHeight="1">
      <c r="A717" s="92" t="s">
        <v>9717</v>
      </c>
      <c r="B717" s="93" t="s">
        <v>9718</v>
      </c>
      <c r="C717" s="94" t="s">
        <v>8052</v>
      </c>
      <c r="D717" s="95" t="s">
        <v>9721</v>
      </c>
      <c r="E717" s="96" t="str">
        <f>IFERROR(__xludf.DUMMYFUNCTION("GOOGLETRANSLATE(D717,""zh-CN"",""vi"")"),"Chúng ta cần giải quyết vấn đề này một cách khẩn cấp.")</f>
        <v>Chúng ta cần giải quyết vấn đề này một cách khẩn cấp.</v>
      </c>
      <c r="F717" s="101" t="s">
        <v>9717</v>
      </c>
      <c r="G717" s="98" t="b">
        <f t="shared" si="1"/>
        <v>1</v>
      </c>
      <c r="H717" s="99" t="b">
        <v>1</v>
      </c>
      <c r="I717" s="99" t="b">
        <v>0</v>
      </c>
      <c r="J717" s="99" t="b">
        <v>0</v>
      </c>
      <c r="K717" s="99" t="b">
        <v>0</v>
      </c>
      <c r="L717" s="99" t="b">
        <v>0</v>
      </c>
      <c r="M717" s="99" t="b">
        <v>0</v>
      </c>
      <c r="N717" s="99" t="b">
        <v>0</v>
      </c>
      <c r="O717" s="99" t="b">
        <v>0</v>
      </c>
      <c r="P717" s="99" t="b">
        <v>0</v>
      </c>
      <c r="Q717" s="99" t="b">
        <v>0</v>
      </c>
      <c r="R717" s="14"/>
      <c r="S717" s="14"/>
      <c r="T717" s="14"/>
      <c r="U717" s="14"/>
      <c r="V717" s="14"/>
      <c r="W717" s="14"/>
    </row>
    <row r="718" ht="35.25" customHeight="1">
      <c r="A718" s="92" t="s">
        <v>9724</v>
      </c>
      <c r="B718" s="93" t="s">
        <v>9725</v>
      </c>
      <c r="C718" s="94" t="s">
        <v>9726</v>
      </c>
      <c r="D718" s="95" t="s">
        <v>9727</v>
      </c>
      <c r="E718" s="96" t="str">
        <f>IFERROR(__xludf.DUMMYFUNCTION("GOOGLETRANSLATE(D718,""zh-CN"",""vi"")"),"Công ty này đã phá sản.")</f>
        <v>Công ty này đã phá sản.</v>
      </c>
      <c r="F718" s="101" t="s">
        <v>9724</v>
      </c>
      <c r="G718" s="98" t="b">
        <f t="shared" si="1"/>
        <v>1</v>
      </c>
      <c r="H718" s="99" t="b">
        <v>1</v>
      </c>
      <c r="I718" s="99" t="b">
        <v>0</v>
      </c>
      <c r="J718" s="99" t="b">
        <v>0</v>
      </c>
      <c r="K718" s="99" t="b">
        <v>0</v>
      </c>
      <c r="L718" s="99" t="b">
        <v>0</v>
      </c>
      <c r="M718" s="99" t="b">
        <v>0</v>
      </c>
      <c r="N718" s="99" t="b">
        <v>0</v>
      </c>
      <c r="O718" s="99" t="b">
        <v>0</v>
      </c>
      <c r="P718" s="99" t="b">
        <v>0</v>
      </c>
      <c r="Q718" s="99" t="b">
        <v>0</v>
      </c>
      <c r="R718" s="14"/>
      <c r="S718" s="14"/>
      <c r="T718" s="14"/>
      <c r="U718" s="14"/>
      <c r="V718" s="14"/>
      <c r="W718" s="14"/>
    </row>
    <row r="719" ht="35.25" customHeight="1">
      <c r="A719" s="92" t="s">
        <v>9732</v>
      </c>
      <c r="B719" s="93" t="s">
        <v>9733</v>
      </c>
      <c r="C719" s="94" t="s">
        <v>9734</v>
      </c>
      <c r="D719" s="95" t="s">
        <v>9735</v>
      </c>
      <c r="E719" s="96" t="str">
        <f>IFERROR(__xludf.DUMMYFUNCTION("GOOGLETRANSLATE(D719,""zh-CN"",""vi"")"),"Hành động của ông ta đã gây ra thiệt hại đáng kể cho môi trường.")</f>
        <v>Hành động của ông ta đã gây ra thiệt hại đáng kể cho môi trường.</v>
      </c>
      <c r="F719" s="101" t="s">
        <v>9732</v>
      </c>
      <c r="G719" s="98" t="b">
        <f t="shared" si="1"/>
        <v>1</v>
      </c>
      <c r="H719" s="99" t="b">
        <v>1</v>
      </c>
      <c r="I719" s="99" t="b">
        <v>0</v>
      </c>
      <c r="J719" s="99" t="b">
        <v>0</v>
      </c>
      <c r="K719" s="99" t="b">
        <v>0</v>
      </c>
      <c r="L719" s="99" t="b">
        <v>0</v>
      </c>
      <c r="M719" s="99" t="b">
        <v>0</v>
      </c>
      <c r="N719" s="99" t="b">
        <v>0</v>
      </c>
      <c r="O719" s="99" t="b">
        <v>0</v>
      </c>
      <c r="P719" s="99" t="b">
        <v>0</v>
      </c>
      <c r="Q719" s="99" t="b">
        <v>0</v>
      </c>
      <c r="R719" s="14"/>
      <c r="S719" s="14"/>
      <c r="T719" s="14"/>
      <c r="U719" s="14"/>
      <c r="V719" s="14"/>
      <c r="W719" s="14"/>
    </row>
    <row r="720" ht="35.25" customHeight="1">
      <c r="A720" s="92" t="s">
        <v>9740</v>
      </c>
      <c r="B720" s="93" t="s">
        <v>9741</v>
      </c>
      <c r="C720" s="94" t="s">
        <v>9742</v>
      </c>
      <c r="D720" s="95" t="s">
        <v>9743</v>
      </c>
      <c r="E720" s="96" t="str">
        <f>IFERROR(__xludf.DUMMYFUNCTION("GOOGLETRANSLATE(D720,""zh-CN"",""vi"")"),"Chúng tôi mong nhận được phản hồi của bạn.")</f>
        <v>Chúng tôi mong nhận được phản hồi của bạn.</v>
      </c>
      <c r="F720" s="101" t="s">
        <v>9740</v>
      </c>
      <c r="G720" s="98" t="b">
        <f t="shared" si="1"/>
        <v>1</v>
      </c>
      <c r="H720" s="99" t="b">
        <v>1</v>
      </c>
      <c r="I720" s="99" t="b">
        <v>0</v>
      </c>
      <c r="J720" s="99" t="b">
        <v>0</v>
      </c>
      <c r="K720" s="99" t="b">
        <v>0</v>
      </c>
      <c r="L720" s="99" t="b">
        <v>0</v>
      </c>
      <c r="M720" s="99" t="b">
        <v>0</v>
      </c>
      <c r="N720" s="99" t="b">
        <v>0</v>
      </c>
      <c r="O720" s="99" t="b">
        <v>0</v>
      </c>
      <c r="P720" s="99" t="b">
        <v>0</v>
      </c>
      <c r="Q720" s="99" t="b">
        <v>0</v>
      </c>
      <c r="R720" s="14"/>
      <c r="S720" s="14"/>
      <c r="T720" s="14"/>
      <c r="U720" s="14"/>
      <c r="V720" s="14"/>
      <c r="W720" s="14"/>
    </row>
    <row r="721" ht="35.25" customHeight="1">
      <c r="A721" s="92" t="s">
        <v>9748</v>
      </c>
      <c r="B721" s="93" t="s">
        <v>9749</v>
      </c>
      <c r="C721" s="94" t="s">
        <v>9750</v>
      </c>
      <c r="D721" s="95" t="s">
        <v>9751</v>
      </c>
      <c r="E721" s="96" t="str">
        <f>IFERROR(__xludf.DUMMYFUNCTION("GOOGLETRANSLATE(D721,""zh-CN"",""vi"")"),"Dự án này sẽ kéo dài ba tháng.")</f>
        <v>Dự án này sẽ kéo dài ba tháng.</v>
      </c>
      <c r="F721" s="101" t="s">
        <v>9748</v>
      </c>
      <c r="G721" s="98" t="b">
        <f t="shared" si="1"/>
        <v>1</v>
      </c>
      <c r="H721" s="99" t="b">
        <v>1</v>
      </c>
      <c r="I721" s="99" t="b">
        <v>0</v>
      </c>
      <c r="J721" s="99" t="b">
        <v>0</v>
      </c>
      <c r="K721" s="99" t="b">
        <v>0</v>
      </c>
      <c r="L721" s="99" t="b">
        <v>0</v>
      </c>
      <c r="M721" s="99" t="b">
        <v>0</v>
      </c>
      <c r="N721" s="99" t="b">
        <v>0</v>
      </c>
      <c r="O721" s="99" t="b">
        <v>0</v>
      </c>
      <c r="P721" s="99" t="b">
        <v>0</v>
      </c>
      <c r="Q721" s="99" t="b">
        <v>0</v>
      </c>
      <c r="R721" s="14"/>
      <c r="S721" s="14"/>
      <c r="T721" s="14"/>
      <c r="U721" s="14"/>
      <c r="V721" s="14"/>
      <c r="W721" s="14"/>
    </row>
    <row r="722" ht="35.25" customHeight="1">
      <c r="A722" s="92" t="s">
        <v>9752</v>
      </c>
      <c r="B722" s="93" t="s">
        <v>9754</v>
      </c>
      <c r="C722" s="94" t="s">
        <v>9756</v>
      </c>
      <c r="D722" s="95" t="s">
        <v>9758</v>
      </c>
      <c r="E722" s="96" t="str">
        <f>IFERROR(__xludf.DUMMYFUNCTION("GOOGLETRANSLATE(D722,""zh-CN"",""vi"")"),"Anh ấy sẽ lo liệu những công việc còn lại.")</f>
        <v>Anh ấy sẽ lo liệu những công việc còn lại.</v>
      </c>
      <c r="F722" s="101" t="s">
        <v>9752</v>
      </c>
      <c r="G722" s="98" t="b">
        <f t="shared" si="1"/>
        <v>1</v>
      </c>
      <c r="H722" s="99" t="b">
        <v>1</v>
      </c>
      <c r="I722" s="99" t="b">
        <v>0</v>
      </c>
      <c r="J722" s="99" t="b">
        <v>0</v>
      </c>
      <c r="K722" s="99" t="b">
        <v>0</v>
      </c>
      <c r="L722" s="99" t="b">
        <v>0</v>
      </c>
      <c r="M722" s="99" t="b">
        <v>0</v>
      </c>
      <c r="N722" s="99" t="b">
        <v>0</v>
      </c>
      <c r="O722" s="99" t="b">
        <v>0</v>
      </c>
      <c r="P722" s="99" t="b">
        <v>0</v>
      </c>
      <c r="Q722" s="99" t="b">
        <v>0</v>
      </c>
      <c r="R722" s="14"/>
      <c r="S722" s="14"/>
      <c r="T722" s="14"/>
      <c r="U722" s="14"/>
      <c r="V722" s="14"/>
      <c r="W722" s="14"/>
    </row>
    <row r="723" ht="35.25" customHeight="1">
      <c r="A723" s="92" t="s">
        <v>9760</v>
      </c>
      <c r="B723" s="93" t="s">
        <v>9762</v>
      </c>
      <c r="C723" s="94" t="s">
        <v>9764</v>
      </c>
      <c r="D723" s="95" t="s">
        <v>9765</v>
      </c>
      <c r="E723" s="96" t="str">
        <f>IFERROR(__xludf.DUMMYFUNCTION("GOOGLETRANSLATE(D723,""zh-CN"",""vi"")"),"Thành công của anh ấy là một điều kỳ diệu.")</f>
        <v>Thành công của anh ấy là một điều kỳ diệu.</v>
      </c>
      <c r="F723" s="101" t="s">
        <v>9760</v>
      </c>
      <c r="G723" s="98" t="b">
        <f t="shared" si="1"/>
        <v>1</v>
      </c>
      <c r="H723" s="99" t="b">
        <v>1</v>
      </c>
      <c r="I723" s="99" t="b">
        <v>0</v>
      </c>
      <c r="J723" s="99" t="b">
        <v>0</v>
      </c>
      <c r="K723" s="99" t="b">
        <v>0</v>
      </c>
      <c r="L723" s="99" t="b">
        <v>0</v>
      </c>
      <c r="M723" s="99" t="b">
        <v>0</v>
      </c>
      <c r="N723" s="99" t="b">
        <v>0</v>
      </c>
      <c r="O723" s="99" t="b">
        <v>0</v>
      </c>
      <c r="P723" s="99" t="b">
        <v>0</v>
      </c>
      <c r="Q723" s="99" t="b">
        <v>0</v>
      </c>
      <c r="R723" s="14"/>
      <c r="S723" s="14"/>
      <c r="T723" s="14"/>
      <c r="U723" s="14"/>
      <c r="V723" s="14"/>
      <c r="W723" s="14"/>
    </row>
    <row r="724" ht="35.25" customHeight="1">
      <c r="A724" s="92" t="s">
        <v>9767</v>
      </c>
      <c r="B724" s="93" t="s">
        <v>9769</v>
      </c>
      <c r="C724" s="94" t="s">
        <v>9771</v>
      </c>
      <c r="D724" s="95" t="s">
        <v>9774</v>
      </c>
      <c r="E724" s="96" t="str">
        <f>IFERROR(__xludf.DUMMYFUNCTION("GOOGLETRANSLATE(D724,""zh-CN"",""vi"")"),"Công ty này đang mở rộng hoạt động kinh doanh.")</f>
        <v>Công ty này đang mở rộng hoạt động kinh doanh.</v>
      </c>
      <c r="F724" s="101" t="s">
        <v>9767</v>
      </c>
      <c r="G724" s="98" t="b">
        <f t="shared" si="1"/>
        <v>1</v>
      </c>
      <c r="H724" s="99" t="b">
        <v>1</v>
      </c>
      <c r="I724" s="99" t="b">
        <v>0</v>
      </c>
      <c r="J724" s="99" t="b">
        <v>0</v>
      </c>
      <c r="K724" s="99" t="b">
        <v>0</v>
      </c>
      <c r="L724" s="99" t="b">
        <v>0</v>
      </c>
      <c r="M724" s="99" t="b">
        <v>0</v>
      </c>
      <c r="N724" s="99" t="b">
        <v>0</v>
      </c>
      <c r="O724" s="99" t="b">
        <v>0</v>
      </c>
      <c r="P724" s="99" t="b">
        <v>0</v>
      </c>
      <c r="Q724" s="99" t="b">
        <v>0</v>
      </c>
      <c r="R724" s="14"/>
      <c r="S724" s="14"/>
      <c r="T724" s="14"/>
      <c r="U724" s="14"/>
      <c r="V724" s="14"/>
      <c r="W724" s="14"/>
    </row>
    <row r="725" ht="35.25" customHeight="1">
      <c r="A725" s="92" t="s">
        <v>9778</v>
      </c>
      <c r="B725" s="93" t="s">
        <v>9779</v>
      </c>
      <c r="C725" s="94" t="s">
        <v>9780</v>
      </c>
      <c r="D725" s="95" t="s">
        <v>9781</v>
      </c>
      <c r="E725" s="96" t="str">
        <f>IFERROR(__xludf.DUMMYFUNCTION("GOOGLETRANSLATE(D725,""zh-CN"",""vi"")"),"Cuốn sách này đã khơi gợi nhiều suy nghĩ trong tôi.")</f>
        <v>Cuốn sách này đã khơi gợi nhiều suy nghĩ trong tôi.</v>
      </c>
      <c r="F725" s="101" t="s">
        <v>9778</v>
      </c>
      <c r="G725" s="98" t="b">
        <f t="shared" si="1"/>
        <v>1</v>
      </c>
      <c r="H725" s="99" t="b">
        <v>1</v>
      </c>
      <c r="I725" s="99" t="b">
        <v>0</v>
      </c>
      <c r="J725" s="99" t="b">
        <v>0</v>
      </c>
      <c r="K725" s="99" t="b">
        <v>0</v>
      </c>
      <c r="L725" s="99" t="b">
        <v>0</v>
      </c>
      <c r="M725" s="99" t="b">
        <v>0</v>
      </c>
      <c r="N725" s="99" t="b">
        <v>0</v>
      </c>
      <c r="O725" s="99" t="b">
        <v>0</v>
      </c>
      <c r="P725" s="99" t="b">
        <v>0</v>
      </c>
      <c r="Q725" s="99" t="b">
        <v>0</v>
      </c>
      <c r="R725" s="14"/>
      <c r="S725" s="14"/>
      <c r="T725" s="14"/>
      <c r="U725" s="14"/>
      <c r="V725" s="14"/>
      <c r="W725" s="14"/>
    </row>
    <row r="726" ht="35.25" customHeight="1">
      <c r="A726" s="92" t="s">
        <v>9786</v>
      </c>
      <c r="B726" s="93" t="s">
        <v>9787</v>
      </c>
      <c r="C726" s="94" t="s">
        <v>9788</v>
      </c>
      <c r="D726" s="95" t="s">
        <v>9789</v>
      </c>
      <c r="E726" s="96" t="str">
        <f>IFERROR(__xludf.DUMMYFUNCTION("GOOGLETRANSLATE(D726,""zh-CN"",""vi"")"),"Không khí ở đây rất thoải mái.")</f>
        <v>Không khí ở đây rất thoải mái.</v>
      </c>
      <c r="F726" s="101" t="s">
        <v>9786</v>
      </c>
      <c r="G726" s="98" t="b">
        <f t="shared" si="1"/>
        <v>1</v>
      </c>
      <c r="H726" s="99" t="b">
        <v>1</v>
      </c>
      <c r="I726" s="99" t="b">
        <v>0</v>
      </c>
      <c r="J726" s="99" t="b">
        <v>0</v>
      </c>
      <c r="K726" s="99" t="b">
        <v>0</v>
      </c>
      <c r="L726" s="99" t="b">
        <v>0</v>
      </c>
      <c r="M726" s="99" t="b">
        <v>0</v>
      </c>
      <c r="N726" s="99" t="b">
        <v>0</v>
      </c>
      <c r="O726" s="99" t="b">
        <v>0</v>
      </c>
      <c r="P726" s="99" t="b">
        <v>0</v>
      </c>
      <c r="Q726" s="99" t="b">
        <v>0</v>
      </c>
      <c r="R726" s="14"/>
      <c r="S726" s="14"/>
      <c r="T726" s="14"/>
      <c r="U726" s="14"/>
      <c r="V726" s="14"/>
      <c r="W726" s="14"/>
    </row>
    <row r="727" ht="35.25" customHeight="1">
      <c r="A727" s="92" t="s">
        <v>9794</v>
      </c>
      <c r="B727" s="93" t="s">
        <v>9795</v>
      </c>
      <c r="C727" s="94" t="s">
        <v>9796</v>
      </c>
      <c r="D727" s="95" t="s">
        <v>9797</v>
      </c>
      <c r="E727" s="96" t="str">
        <f>IFERROR(__xludf.DUMMYFUNCTION("GOOGLETRANSLATE(D727,""zh-CN"",""vi"")"),"Xe này dùng xăng.")</f>
        <v>Xe này dùng xăng.</v>
      </c>
      <c r="F727" s="101" t="s">
        <v>9794</v>
      </c>
      <c r="G727" s="98" t="b">
        <f t="shared" si="1"/>
        <v>1</v>
      </c>
      <c r="H727" s="99" t="b">
        <v>1</v>
      </c>
      <c r="I727" s="99" t="b">
        <v>0</v>
      </c>
      <c r="J727" s="99" t="b">
        <v>0</v>
      </c>
      <c r="K727" s="99" t="b">
        <v>0</v>
      </c>
      <c r="L727" s="99" t="b">
        <v>0</v>
      </c>
      <c r="M727" s="99" t="b">
        <v>0</v>
      </c>
      <c r="N727" s="99" t="b">
        <v>0</v>
      </c>
      <c r="O727" s="99" t="b">
        <v>0</v>
      </c>
      <c r="P727" s="99" t="b">
        <v>0</v>
      </c>
      <c r="Q727" s="99" t="b">
        <v>0</v>
      </c>
      <c r="R727" s="14"/>
      <c r="S727" s="14"/>
      <c r="T727" s="14"/>
      <c r="U727" s="14"/>
      <c r="V727" s="14"/>
      <c r="W727" s="14"/>
    </row>
    <row r="728" ht="35.25" customHeight="1">
      <c r="A728" s="92" t="s">
        <v>9802</v>
      </c>
      <c r="B728" s="93" t="s">
        <v>9803</v>
      </c>
      <c r="C728" s="94" t="s">
        <v>9804</v>
      </c>
      <c r="D728" s="95" t="s">
        <v>9805</v>
      </c>
      <c r="E728" s="96" t="str">
        <f>IFERROR(__xludf.DUMMYFUNCTION("GOOGLETRANSLATE(D728,""zh-CN"",""vi"")"),"Ông ấy luôn luôn khiêm tốn.")</f>
        <v>Ông ấy luôn luôn khiêm tốn.</v>
      </c>
      <c r="F728" s="101" t="s">
        <v>9802</v>
      </c>
      <c r="G728" s="98" t="b">
        <f t="shared" si="1"/>
        <v>1</v>
      </c>
      <c r="H728" s="99" t="b">
        <v>1</v>
      </c>
      <c r="I728" s="99" t="b">
        <v>0</v>
      </c>
      <c r="J728" s="99" t="b">
        <v>0</v>
      </c>
      <c r="K728" s="99" t="b">
        <v>0</v>
      </c>
      <c r="L728" s="99" t="b">
        <v>0</v>
      </c>
      <c r="M728" s="99" t="b">
        <v>0</v>
      </c>
      <c r="N728" s="99" t="b">
        <v>0</v>
      </c>
      <c r="O728" s="99" t="b">
        <v>0</v>
      </c>
      <c r="P728" s="99" t="b">
        <v>0</v>
      </c>
      <c r="Q728" s="99" t="b">
        <v>0</v>
      </c>
      <c r="R728" s="14"/>
      <c r="S728" s="14"/>
      <c r="T728" s="14"/>
      <c r="U728" s="14"/>
      <c r="V728" s="14"/>
      <c r="W728" s="14"/>
    </row>
    <row r="729" ht="35.25" customHeight="1">
      <c r="A729" s="92" t="s">
        <v>9807</v>
      </c>
      <c r="B729" s="93" t="s">
        <v>1820</v>
      </c>
      <c r="C729" s="94" t="s">
        <v>9810</v>
      </c>
      <c r="D729" s="95" t="s">
        <v>9811</v>
      </c>
      <c r="E729" s="96" t="str">
        <f>IFERROR(__xludf.DUMMYFUNCTION("GOOGLETRANSLATE(D729,""zh-CN"",""vi"")"),"Vui lòng ký hợp đồng.")</f>
        <v>Vui lòng ký hợp đồng.</v>
      </c>
      <c r="F729" s="101" t="s">
        <v>9807</v>
      </c>
      <c r="G729" s="98" t="b">
        <f t="shared" si="1"/>
        <v>1</v>
      </c>
      <c r="H729" s="99" t="b">
        <v>1</v>
      </c>
      <c r="I729" s="99" t="b">
        <v>0</v>
      </c>
      <c r="J729" s="99" t="b">
        <v>0</v>
      </c>
      <c r="K729" s="99" t="b">
        <v>0</v>
      </c>
      <c r="L729" s="99" t="b">
        <v>0</v>
      </c>
      <c r="M729" s="99" t="b">
        <v>0</v>
      </c>
      <c r="N729" s="99" t="b">
        <v>0</v>
      </c>
      <c r="O729" s="99" t="b">
        <v>0</v>
      </c>
      <c r="P729" s="99" t="b">
        <v>0</v>
      </c>
      <c r="Q729" s="99" t="b">
        <v>0</v>
      </c>
      <c r="R729" s="14"/>
      <c r="S729" s="14"/>
      <c r="T729" s="14"/>
      <c r="U729" s="14"/>
      <c r="V729" s="14"/>
      <c r="W729" s="14"/>
    </row>
    <row r="730" ht="35.25" customHeight="1">
      <c r="A730" s="92" t="s">
        <v>9816</v>
      </c>
      <c r="B730" s="93" t="s">
        <v>9817</v>
      </c>
      <c r="C730" s="94" t="s">
        <v>9818</v>
      </c>
      <c r="D730" s="95" t="s">
        <v>9819</v>
      </c>
      <c r="E730" s="96" t="str">
        <f>IFERROR(__xludf.DUMMYFUNCTION("GOOGLETRANSLATE(D730,""zh-CN"",""vi"")"),"Giới trẻ nên tự tạo dựng một tương lai tươi sáng cho chính mình.")</f>
        <v>Giới trẻ nên tự tạo dựng một tương lai tươi sáng cho chính mình.</v>
      </c>
      <c r="F730" s="101" t="s">
        <v>9816</v>
      </c>
      <c r="G730" s="98" t="b">
        <f t="shared" si="1"/>
        <v>1</v>
      </c>
      <c r="H730" s="99" t="b">
        <v>1</v>
      </c>
      <c r="I730" s="99" t="b">
        <v>0</v>
      </c>
      <c r="J730" s="99" t="b">
        <v>0</v>
      </c>
      <c r="K730" s="99" t="b">
        <v>0</v>
      </c>
      <c r="L730" s="99" t="b">
        <v>0</v>
      </c>
      <c r="M730" s="99" t="b">
        <v>0</v>
      </c>
      <c r="N730" s="99" t="b">
        <v>0</v>
      </c>
      <c r="O730" s="99" t="b">
        <v>0</v>
      </c>
      <c r="P730" s="99" t="b">
        <v>0</v>
      </c>
      <c r="Q730" s="99" t="b">
        <v>0</v>
      </c>
      <c r="R730" s="14"/>
      <c r="S730" s="14"/>
      <c r="T730" s="14"/>
      <c r="U730" s="14"/>
      <c r="V730" s="14"/>
      <c r="W730" s="14"/>
    </row>
    <row r="731" ht="35.25" customHeight="1">
      <c r="A731" s="92" t="s">
        <v>9824</v>
      </c>
      <c r="B731" s="93" t="s">
        <v>9825</v>
      </c>
      <c r="C731" s="94" t="s">
        <v>9826</v>
      </c>
      <c r="D731" s="95" t="s">
        <v>9827</v>
      </c>
      <c r="E731" s="96" t="str">
        <f>IFERROR(__xludf.DUMMYFUNCTION("GOOGLETRANSLATE(D731,""zh-CN"",""vi"")"),"Nội dung cuốn sách này rất cơ bản.")</f>
        <v>Nội dung cuốn sách này rất cơ bản.</v>
      </c>
      <c r="F731" s="101" t="s">
        <v>9824</v>
      </c>
      <c r="G731" s="98" t="b">
        <f t="shared" si="1"/>
        <v>1</v>
      </c>
      <c r="H731" s="99" t="b">
        <v>1</v>
      </c>
      <c r="I731" s="99" t="b">
        <v>0</v>
      </c>
      <c r="J731" s="99" t="b">
        <v>0</v>
      </c>
      <c r="K731" s="99" t="b">
        <v>0</v>
      </c>
      <c r="L731" s="99" t="b">
        <v>0</v>
      </c>
      <c r="M731" s="99" t="b">
        <v>0</v>
      </c>
      <c r="N731" s="99" t="b">
        <v>0</v>
      </c>
      <c r="O731" s="99" t="b">
        <v>0</v>
      </c>
      <c r="P731" s="99" t="b">
        <v>0</v>
      </c>
      <c r="Q731" s="99" t="b">
        <v>0</v>
      </c>
      <c r="R731" s="14"/>
      <c r="S731" s="14"/>
      <c r="T731" s="14"/>
      <c r="U731" s="14"/>
      <c r="V731" s="14"/>
      <c r="W731" s="14"/>
    </row>
    <row r="732" ht="35.25" customHeight="1">
      <c r="A732" s="92" t="s">
        <v>9832</v>
      </c>
      <c r="B732" s="93" t="s">
        <v>9833</v>
      </c>
      <c r="C732" s="94" t="s">
        <v>9834</v>
      </c>
      <c r="D732" s="95" t="s">
        <v>9835</v>
      </c>
      <c r="E732" s="96" t="str">
        <f>IFERROR(__xludf.DUMMYFUNCTION("GOOGLETRANSLATE(D732,""zh-CN"",""vi"")"),"Tôi nợ rất nhiều tiền.")</f>
        <v>Tôi nợ rất nhiều tiền.</v>
      </c>
      <c r="F732" s="101" t="s">
        <v>9832</v>
      </c>
      <c r="G732" s="98" t="b">
        <f t="shared" si="1"/>
        <v>1</v>
      </c>
      <c r="H732" s="99" t="b">
        <v>1</v>
      </c>
      <c r="I732" s="99" t="b">
        <v>0</v>
      </c>
      <c r="J732" s="99" t="b">
        <v>0</v>
      </c>
      <c r="K732" s="99" t="b">
        <v>0</v>
      </c>
      <c r="L732" s="99" t="b">
        <v>0</v>
      </c>
      <c r="M732" s="99" t="b">
        <v>0</v>
      </c>
      <c r="N732" s="99" t="b">
        <v>0</v>
      </c>
      <c r="O732" s="99" t="b">
        <v>0</v>
      </c>
      <c r="P732" s="99" t="b">
        <v>0</v>
      </c>
      <c r="Q732" s="99" t="b">
        <v>0</v>
      </c>
      <c r="R732" s="14"/>
      <c r="S732" s="14"/>
      <c r="T732" s="14"/>
      <c r="U732" s="14"/>
      <c r="V732" s="14"/>
      <c r="W732" s="14"/>
    </row>
    <row r="733" ht="35.25" customHeight="1">
      <c r="A733" s="92" t="s">
        <v>9840</v>
      </c>
      <c r="B733" s="93" t="s">
        <v>9841</v>
      </c>
      <c r="C733" s="94" t="s">
        <v>9842</v>
      </c>
      <c r="D733" s="95" t="s">
        <v>9843</v>
      </c>
      <c r="E733" s="96" t="str">
        <f>IFERROR(__xludf.DUMMYFUNCTION("GOOGLETRANSLATE(D733,""zh-CN"",""vi"")"),"Anh ta đã bắn trúng mục tiêu bằng khẩu súng của mình.")</f>
        <v>Anh ta đã bắn trúng mục tiêu bằng khẩu súng của mình.</v>
      </c>
      <c r="F733" s="101" t="s">
        <v>9840</v>
      </c>
      <c r="G733" s="98" t="b">
        <f t="shared" si="1"/>
        <v>1</v>
      </c>
      <c r="H733" s="99" t="b">
        <v>1</v>
      </c>
      <c r="I733" s="99" t="b">
        <v>0</v>
      </c>
      <c r="J733" s="99" t="b">
        <v>0</v>
      </c>
      <c r="K733" s="99" t="b">
        <v>0</v>
      </c>
      <c r="L733" s="99" t="b">
        <v>0</v>
      </c>
      <c r="M733" s="99" t="b">
        <v>0</v>
      </c>
      <c r="N733" s="99" t="b">
        <v>0</v>
      </c>
      <c r="O733" s="99" t="b">
        <v>0</v>
      </c>
      <c r="P733" s="99" t="b">
        <v>0</v>
      </c>
      <c r="Q733" s="99" t="b">
        <v>0</v>
      </c>
      <c r="R733" s="14"/>
      <c r="S733" s="14"/>
      <c r="T733" s="14"/>
      <c r="U733" s="14"/>
      <c r="V733" s="14"/>
      <c r="W733" s="14"/>
    </row>
    <row r="734" ht="35.25" customHeight="1">
      <c r="A734" s="92" t="s">
        <v>9848</v>
      </c>
      <c r="B734" s="93" t="s">
        <v>9849</v>
      </c>
      <c r="C734" s="94" t="s">
        <v>9850</v>
      </c>
      <c r="D734" s="95" t="s">
        <v>9851</v>
      </c>
      <c r="E734" s="96" t="str">
        <f>IFERROR(__xludf.DUMMYFUNCTION("GOOGLETRANSLATE(D734,""zh-CN"",""vi"")"),"Chúng ta cần nhấn mạnh điểm này.")</f>
        <v>Chúng ta cần nhấn mạnh điểm này.</v>
      </c>
      <c r="F734" s="101" t="s">
        <v>9848</v>
      </c>
      <c r="G734" s="98" t="b">
        <f t="shared" si="1"/>
        <v>1</v>
      </c>
      <c r="H734" s="99" t="b">
        <v>1</v>
      </c>
      <c r="I734" s="99" t="b">
        <v>0</v>
      </c>
      <c r="J734" s="99" t="b">
        <v>0</v>
      </c>
      <c r="K734" s="99" t="b">
        <v>0</v>
      </c>
      <c r="L734" s="99" t="b">
        <v>0</v>
      </c>
      <c r="M734" s="99" t="b">
        <v>0</v>
      </c>
      <c r="N734" s="99" t="b">
        <v>0</v>
      </c>
      <c r="O734" s="99" t="b">
        <v>0</v>
      </c>
      <c r="P734" s="99" t="b">
        <v>0</v>
      </c>
      <c r="Q734" s="99" t="b">
        <v>0</v>
      </c>
      <c r="R734" s="14"/>
      <c r="S734" s="14"/>
      <c r="T734" s="14"/>
      <c r="U734" s="14"/>
      <c r="V734" s="14"/>
      <c r="W734" s="14"/>
    </row>
    <row r="735" ht="35.25" customHeight="1">
      <c r="A735" s="92" t="s">
        <v>9856</v>
      </c>
      <c r="B735" s="93" t="s">
        <v>9857</v>
      </c>
      <c r="C735" s="94" t="s">
        <v>9858</v>
      </c>
      <c r="D735" s="95" t="s">
        <v>9859</v>
      </c>
      <c r="E735" s="96" t="str">
        <f>IFERROR(__xludf.DUMMYFUNCTION("GOOGLETRANSLATE(D735,""zh-CN"",""vi"")"),"Phản ứng của anh ấy rất mạnh mẽ.")</f>
        <v>Phản ứng của anh ấy rất mạnh mẽ.</v>
      </c>
      <c r="F735" s="101" t="s">
        <v>9856</v>
      </c>
      <c r="G735" s="98" t="b">
        <f t="shared" si="1"/>
        <v>1</v>
      </c>
      <c r="H735" s="99" t="b">
        <v>1</v>
      </c>
      <c r="I735" s="99" t="b">
        <v>0</v>
      </c>
      <c r="J735" s="99" t="b">
        <v>0</v>
      </c>
      <c r="K735" s="99" t="b">
        <v>0</v>
      </c>
      <c r="L735" s="99" t="b">
        <v>0</v>
      </c>
      <c r="M735" s="99" t="b">
        <v>0</v>
      </c>
      <c r="N735" s="99" t="b">
        <v>0</v>
      </c>
      <c r="O735" s="99" t="b">
        <v>0</v>
      </c>
      <c r="P735" s="99" t="b">
        <v>0</v>
      </c>
      <c r="Q735" s="99" t="b">
        <v>0</v>
      </c>
      <c r="R735" s="14"/>
      <c r="S735" s="14"/>
      <c r="T735" s="14"/>
      <c r="U735" s="14"/>
      <c r="V735" s="14"/>
      <c r="W735" s="14"/>
    </row>
    <row r="736" ht="35.25" customHeight="1">
      <c r="A736" s="92" t="s">
        <v>9863</v>
      </c>
      <c r="B736" s="93" t="s">
        <v>9864</v>
      </c>
      <c r="C736" s="94" t="s">
        <v>9865</v>
      </c>
      <c r="D736" s="95" t="s">
        <v>9867</v>
      </c>
      <c r="E736" s="96" t="str">
        <f>IFERROR(__xludf.DUMMYFUNCTION("GOOGLETRANSLATE(D736,""zh-CN"",""vi"")"),"Các bức tường đều được dán đầy áp phích.")</f>
        <v>Các bức tường đều được dán đầy áp phích.</v>
      </c>
      <c r="F736" s="101" t="s">
        <v>9863</v>
      </c>
      <c r="G736" s="98" t="b">
        <f t="shared" si="1"/>
        <v>1</v>
      </c>
      <c r="H736" s="99" t="b">
        <v>1</v>
      </c>
      <c r="I736" s="99" t="b">
        <v>0</v>
      </c>
      <c r="J736" s="99" t="b">
        <v>0</v>
      </c>
      <c r="K736" s="99" t="b">
        <v>0</v>
      </c>
      <c r="L736" s="99" t="b">
        <v>0</v>
      </c>
      <c r="M736" s="99" t="b">
        <v>0</v>
      </c>
      <c r="N736" s="99" t="b">
        <v>0</v>
      </c>
      <c r="O736" s="99" t="b">
        <v>0</v>
      </c>
      <c r="P736" s="99" t="b">
        <v>0</v>
      </c>
      <c r="Q736" s="99" t="b">
        <v>0</v>
      </c>
      <c r="R736" s="14"/>
      <c r="S736" s="14"/>
      <c r="T736" s="14"/>
      <c r="U736" s="14"/>
      <c r="V736" s="14"/>
      <c r="W736" s="14"/>
    </row>
    <row r="737" ht="35.25" customHeight="1">
      <c r="A737" s="92" t="s">
        <v>9871</v>
      </c>
      <c r="B737" s="93" t="s">
        <v>9872</v>
      </c>
      <c r="C737" s="94" t="s">
        <v>9874</v>
      </c>
      <c r="D737" s="95" t="s">
        <v>9875</v>
      </c>
      <c r="E737" s="96" t="str">
        <f>IFERROR(__xludf.DUMMYFUNCTION("GOOGLETRANSLATE(D737,""zh-CN"",""vi"")"),"Họ đã kịp thời lấy được món hàng cuối cùng.")</f>
        <v>Họ đã kịp thời lấy được món hàng cuối cùng.</v>
      </c>
      <c r="F737" s="101" t="s">
        <v>9871</v>
      </c>
      <c r="G737" s="98" t="b">
        <f t="shared" si="1"/>
        <v>1</v>
      </c>
      <c r="H737" s="99" t="b">
        <v>1</v>
      </c>
      <c r="I737" s="99" t="b">
        <v>0</v>
      </c>
      <c r="J737" s="99" t="b">
        <v>0</v>
      </c>
      <c r="K737" s="99" t="b">
        <v>0</v>
      </c>
      <c r="L737" s="99" t="b">
        <v>0</v>
      </c>
      <c r="M737" s="99" t="b">
        <v>0</v>
      </c>
      <c r="N737" s="99" t="b">
        <v>0</v>
      </c>
      <c r="O737" s="99" t="b">
        <v>0</v>
      </c>
      <c r="P737" s="99" t="b">
        <v>0</v>
      </c>
      <c r="Q737" s="99" t="b">
        <v>0</v>
      </c>
      <c r="R737" s="14"/>
      <c r="S737" s="14"/>
      <c r="T737" s="14"/>
      <c r="U737" s="14"/>
      <c r="V737" s="14"/>
      <c r="W737" s="14"/>
    </row>
    <row r="738" ht="35.25" customHeight="1">
      <c r="A738" s="92" t="s">
        <v>9878</v>
      </c>
      <c r="B738" s="93" t="s">
        <v>9879</v>
      </c>
      <c r="C738" s="94" t="s">
        <v>9880</v>
      </c>
      <c r="D738" s="95" t="s">
        <v>9882</v>
      </c>
      <c r="E738" s="96" t="str">
        <f>IFERROR(__xludf.DUMMYFUNCTION("GOOGLETRANSLATE(D738,""zh-CN"",""vi"")"),"Ông ta lặng lẽ rời khỏi phòng.")</f>
        <v>Ông ta lặng lẽ rời khỏi phòng.</v>
      </c>
      <c r="F738" s="101" t="s">
        <v>9878</v>
      </c>
      <c r="G738" s="98" t="b">
        <f t="shared" si="1"/>
        <v>1</v>
      </c>
      <c r="H738" s="99" t="b">
        <v>1</v>
      </c>
      <c r="I738" s="99" t="b">
        <v>0</v>
      </c>
      <c r="J738" s="99" t="b">
        <v>0</v>
      </c>
      <c r="K738" s="99" t="b">
        <v>0</v>
      </c>
      <c r="L738" s="99" t="b">
        <v>0</v>
      </c>
      <c r="M738" s="99" t="b">
        <v>0</v>
      </c>
      <c r="N738" s="99" t="b">
        <v>0</v>
      </c>
      <c r="O738" s="99" t="b">
        <v>0</v>
      </c>
      <c r="P738" s="99" t="b">
        <v>0</v>
      </c>
      <c r="Q738" s="99" t="b">
        <v>0</v>
      </c>
      <c r="R738" s="14"/>
      <c r="S738" s="14"/>
      <c r="T738" s="14"/>
      <c r="U738" s="14"/>
      <c r="V738" s="14"/>
      <c r="W738" s="14"/>
    </row>
    <row r="739" ht="35.25" customHeight="1">
      <c r="A739" s="92" t="s">
        <v>9886</v>
      </c>
      <c r="B739" s="93" t="s">
        <v>3650</v>
      </c>
      <c r="C739" s="94" t="s">
        <v>9887</v>
      </c>
      <c r="D739" s="95" t="s">
        <v>9888</v>
      </c>
      <c r="E739" s="96" t="str">
        <f>IFERROR(__xludf.DUMMYFUNCTION("GOOGLETRANSLATE(D739,""zh-CN"",""vi"")"),"Hãy cùng xem xét sản phẩm mới này.")</f>
        <v>Hãy cùng xem xét sản phẩm mới này.</v>
      </c>
      <c r="F739" s="101" t="s">
        <v>9886</v>
      </c>
      <c r="G739" s="98" t="b">
        <f t="shared" si="1"/>
        <v>1</v>
      </c>
      <c r="H739" s="99" t="b">
        <v>1</v>
      </c>
      <c r="I739" s="99" t="b">
        <v>0</v>
      </c>
      <c r="J739" s="99" t="b">
        <v>0</v>
      </c>
      <c r="K739" s="99" t="b">
        <v>0</v>
      </c>
      <c r="L739" s="99" t="b">
        <v>0</v>
      </c>
      <c r="M739" s="99" t="b">
        <v>0</v>
      </c>
      <c r="N739" s="99" t="b">
        <v>0</v>
      </c>
      <c r="O739" s="99" t="b">
        <v>0</v>
      </c>
      <c r="P739" s="99" t="b">
        <v>0</v>
      </c>
      <c r="Q739" s="99" t="b">
        <v>0</v>
      </c>
      <c r="R739" s="14"/>
      <c r="S739" s="14"/>
      <c r="T739" s="14"/>
      <c r="U739" s="14"/>
      <c r="V739" s="14"/>
      <c r="W739" s="14"/>
    </row>
    <row r="740" ht="35.25" customHeight="1">
      <c r="A740" s="92" t="s">
        <v>9893</v>
      </c>
      <c r="B740" s="93" t="s">
        <v>9894</v>
      </c>
      <c r="C740" s="94" t="s">
        <v>9895</v>
      </c>
      <c r="D740" s="95" t="s">
        <v>9896</v>
      </c>
      <c r="E740" s="96" t="str">
        <f>IFERROR(__xludf.DUMMYFUNCTION("GOOGLETRANSLATE(D740,""zh-CN"",""vi"")"),"Anh ấy đã nghĩ ra một giải pháp thông minh.")</f>
        <v>Anh ấy đã nghĩ ra một giải pháp thông minh.</v>
      </c>
      <c r="F740" s="101" t="s">
        <v>9893</v>
      </c>
      <c r="G740" s="98" t="b">
        <f t="shared" si="1"/>
        <v>1</v>
      </c>
      <c r="H740" s="99" t="b">
        <v>1</v>
      </c>
      <c r="I740" s="99" t="b">
        <v>0</v>
      </c>
      <c r="J740" s="99" t="b">
        <v>0</v>
      </c>
      <c r="K740" s="99" t="b">
        <v>0</v>
      </c>
      <c r="L740" s="99" t="b">
        <v>0</v>
      </c>
      <c r="M740" s="99" t="b">
        <v>0</v>
      </c>
      <c r="N740" s="99" t="b">
        <v>0</v>
      </c>
      <c r="O740" s="99" t="b">
        <v>0</v>
      </c>
      <c r="P740" s="99" t="b">
        <v>0</v>
      </c>
      <c r="Q740" s="99" t="b">
        <v>0</v>
      </c>
      <c r="R740" s="14"/>
      <c r="S740" s="14"/>
      <c r="T740" s="14"/>
      <c r="U740" s="14"/>
      <c r="V740" s="14"/>
      <c r="W740" s="14"/>
    </row>
    <row r="741" ht="35.25" customHeight="1">
      <c r="A741" s="92" t="s">
        <v>9901</v>
      </c>
      <c r="B741" s="93" t="s">
        <v>9902</v>
      </c>
      <c r="C741" s="94" t="s">
        <v>9903</v>
      </c>
      <c r="D741" s="95" t="s">
        <v>9904</v>
      </c>
      <c r="E741" s="96" t="str">
        <f>IFERROR(__xludf.DUMMYFUNCTION("GOOGLETRANSLATE(D741,""zh-CN"",""vi"")"),"Hãy cắt trái cây ra.")</f>
        <v>Hãy cắt trái cây ra.</v>
      </c>
      <c r="F741" s="101" t="s">
        <v>9901</v>
      </c>
      <c r="G741" s="98" t="b">
        <f t="shared" si="1"/>
        <v>1</v>
      </c>
      <c r="H741" s="99" t="b">
        <v>1</v>
      </c>
      <c r="I741" s="99" t="b">
        <v>0</v>
      </c>
      <c r="J741" s="99" t="b">
        <v>0</v>
      </c>
      <c r="K741" s="99" t="b">
        <v>0</v>
      </c>
      <c r="L741" s="99" t="b">
        <v>0</v>
      </c>
      <c r="M741" s="99" t="b">
        <v>0</v>
      </c>
      <c r="N741" s="99" t="b">
        <v>0</v>
      </c>
      <c r="O741" s="99" t="b">
        <v>0</v>
      </c>
      <c r="P741" s="99" t="b">
        <v>0</v>
      </c>
      <c r="Q741" s="99" t="b">
        <v>0</v>
      </c>
      <c r="R741" s="14"/>
      <c r="S741" s="14"/>
      <c r="T741" s="14"/>
      <c r="U741" s="14"/>
      <c r="V741" s="14"/>
      <c r="W741" s="14"/>
    </row>
    <row r="742" ht="35.25" customHeight="1">
      <c r="A742" s="92" t="s">
        <v>9909</v>
      </c>
      <c r="B742" s="93" t="s">
        <v>9910</v>
      </c>
      <c r="C742" s="94" t="s">
        <v>9911</v>
      </c>
      <c r="D742" s="95" t="s">
        <v>9912</v>
      </c>
      <c r="E742" s="96" t="str">
        <f>IFERROR(__xludf.DUMMYFUNCTION("GOOGLETRANSLATE(D742,""zh-CN"",""vi"")"),"Chúc mừng sinh nhật, người bạn thân yêu của tôi!")</f>
        <v>Chúc mừng sinh nhật, người bạn thân yêu của tôi!</v>
      </c>
      <c r="F742" s="101" t="s">
        <v>9909</v>
      </c>
      <c r="G742" s="98" t="b">
        <f t="shared" si="1"/>
        <v>1</v>
      </c>
      <c r="H742" s="99" t="b">
        <v>1</v>
      </c>
      <c r="I742" s="99" t="b">
        <v>0</v>
      </c>
      <c r="J742" s="99" t="b">
        <v>0</v>
      </c>
      <c r="K742" s="99" t="b">
        <v>0</v>
      </c>
      <c r="L742" s="99" t="b">
        <v>0</v>
      </c>
      <c r="M742" s="99" t="b">
        <v>0</v>
      </c>
      <c r="N742" s="99" t="b">
        <v>0</v>
      </c>
      <c r="O742" s="99" t="b">
        <v>0</v>
      </c>
      <c r="P742" s="99" t="b">
        <v>0</v>
      </c>
      <c r="Q742" s="99" t="b">
        <v>0</v>
      </c>
      <c r="R742" s="14"/>
      <c r="S742" s="14"/>
      <c r="T742" s="14"/>
      <c r="U742" s="14"/>
      <c r="V742" s="14"/>
      <c r="W742" s="14"/>
    </row>
    <row r="743" ht="35.25" customHeight="1">
      <c r="A743" s="92" t="s">
        <v>9917</v>
      </c>
      <c r="B743" s="93" t="s">
        <v>9918</v>
      </c>
      <c r="C743" s="94" t="s">
        <v>9919</v>
      </c>
      <c r="D743" s="95" t="s">
        <v>9920</v>
      </c>
      <c r="E743" s="96" t="str">
        <f>IFERROR(__xludf.DUMMYFUNCTION("GOOGLETRANSLATE(D743,""zh-CN"",""vi"")"),"Nụ cười của cô ấy rất thân thiện.")</f>
        <v>Nụ cười của cô ấy rất thân thiện.</v>
      </c>
      <c r="F743" s="101" t="s">
        <v>9917</v>
      </c>
      <c r="G743" s="98" t="b">
        <f t="shared" si="1"/>
        <v>1</v>
      </c>
      <c r="H743" s="99" t="b">
        <v>1</v>
      </c>
      <c r="I743" s="99" t="b">
        <v>0</v>
      </c>
      <c r="J743" s="99" t="b">
        <v>0</v>
      </c>
      <c r="K743" s="99" t="b">
        <v>0</v>
      </c>
      <c r="L743" s="99" t="b">
        <v>0</v>
      </c>
      <c r="M743" s="99" t="b">
        <v>0</v>
      </c>
      <c r="N743" s="99" t="b">
        <v>0</v>
      </c>
      <c r="O743" s="99" t="b">
        <v>0</v>
      </c>
      <c r="P743" s="99" t="b">
        <v>0</v>
      </c>
      <c r="Q743" s="99" t="b">
        <v>0</v>
      </c>
      <c r="R743" s="14"/>
      <c r="S743" s="14"/>
      <c r="T743" s="14"/>
      <c r="U743" s="14"/>
      <c r="V743" s="14"/>
      <c r="W743" s="14"/>
    </row>
    <row r="744" ht="35.25" customHeight="1">
      <c r="A744" s="92" t="s">
        <v>9925</v>
      </c>
      <c r="B744" s="93" t="s">
        <v>9926</v>
      </c>
      <c r="C744" s="94" t="s">
        <v>9927</v>
      </c>
      <c r="D744" s="95" t="s">
        <v>9928</v>
      </c>
      <c r="E744" s="96" t="str">
        <f>IFERROR(__xludf.DUMMYFUNCTION("GOOGLETRANSLATE(D744,""zh-CN"",""vi"")"),"Tôi đã tự mình đến lấy gói hàng.")</f>
        <v>Tôi đã tự mình đến lấy gói hàng.</v>
      </c>
      <c r="F744" s="101" t="s">
        <v>9925</v>
      </c>
      <c r="G744" s="98" t="b">
        <f t="shared" si="1"/>
        <v>1</v>
      </c>
      <c r="H744" s="99" t="b">
        <v>1</v>
      </c>
      <c r="I744" s="99" t="b">
        <v>0</v>
      </c>
      <c r="J744" s="99" t="b">
        <v>0</v>
      </c>
      <c r="K744" s="99" t="b">
        <v>0</v>
      </c>
      <c r="L744" s="99" t="b">
        <v>0</v>
      </c>
      <c r="M744" s="99" t="b">
        <v>0</v>
      </c>
      <c r="N744" s="99" t="b">
        <v>0</v>
      </c>
      <c r="O744" s="99" t="b">
        <v>0</v>
      </c>
      <c r="P744" s="99" t="b">
        <v>0</v>
      </c>
      <c r="Q744" s="99" t="b">
        <v>0</v>
      </c>
      <c r="R744" s="14"/>
      <c r="S744" s="14"/>
      <c r="T744" s="14"/>
      <c r="U744" s="14"/>
      <c r="V744" s="14"/>
      <c r="W744" s="14"/>
    </row>
    <row r="745" ht="35.25" customHeight="1">
      <c r="A745" s="92" t="s">
        <v>9933</v>
      </c>
      <c r="B745" s="93" t="s">
        <v>9934</v>
      </c>
      <c r="C745" s="94" t="s">
        <v>9935</v>
      </c>
      <c r="D745" s="95" t="s">
        <v>9936</v>
      </c>
      <c r="E745" s="96" t="str">
        <f>IFERROR(__xludf.DUMMYFUNCTION("GOOGLETRANSLATE(D745,""zh-CN"",""vi"")"),"Anh ấy làm việc rất chăm chỉ.")</f>
        <v>Anh ấy làm việc rất chăm chỉ.</v>
      </c>
      <c r="F745" s="101" t="s">
        <v>9933</v>
      </c>
      <c r="G745" s="98" t="b">
        <f t="shared" si="1"/>
        <v>1</v>
      </c>
      <c r="H745" s="99" t="b">
        <v>1</v>
      </c>
      <c r="I745" s="99" t="b">
        <v>0</v>
      </c>
      <c r="J745" s="99" t="b">
        <v>0</v>
      </c>
      <c r="K745" s="99" t="b">
        <v>0</v>
      </c>
      <c r="L745" s="99" t="b">
        <v>0</v>
      </c>
      <c r="M745" s="99" t="b">
        <v>0</v>
      </c>
      <c r="N745" s="99" t="b">
        <v>0</v>
      </c>
      <c r="O745" s="99" t="b">
        <v>0</v>
      </c>
      <c r="P745" s="99" t="b">
        <v>0</v>
      </c>
      <c r="Q745" s="99" t="b">
        <v>0</v>
      </c>
      <c r="R745" s="14"/>
      <c r="S745" s="14"/>
      <c r="T745" s="14"/>
      <c r="U745" s="14"/>
      <c r="V745" s="14"/>
      <c r="W745" s="14"/>
    </row>
    <row r="746" ht="35.25" customHeight="1">
      <c r="A746" s="92" t="s">
        <v>9941</v>
      </c>
      <c r="B746" s="93" t="s">
        <v>3662</v>
      </c>
      <c r="C746" s="94" t="s">
        <v>9942</v>
      </c>
      <c r="D746" s="95" t="s">
        <v>9943</v>
      </c>
      <c r="E746" s="96" t="str">
        <f>IFERROR(__xludf.DUMMYFUNCTION("GOOGLETRANSLATE(D746,""zh-CN"",""vi"")"),"Loại vải màu xanh lam này khá đặc biệt.")</f>
        <v>Loại vải màu xanh lam này khá đặc biệt.</v>
      </c>
      <c r="F746" s="101" t="s">
        <v>9941</v>
      </c>
      <c r="G746" s="98" t="b">
        <f t="shared" si="1"/>
        <v>1</v>
      </c>
      <c r="H746" s="99" t="b">
        <v>1</v>
      </c>
      <c r="I746" s="99" t="b">
        <v>0</v>
      </c>
      <c r="J746" s="99" t="b">
        <v>0</v>
      </c>
      <c r="K746" s="99" t="b">
        <v>0</v>
      </c>
      <c r="L746" s="99" t="b">
        <v>0</v>
      </c>
      <c r="M746" s="99" t="b">
        <v>0</v>
      </c>
      <c r="N746" s="99" t="b">
        <v>0</v>
      </c>
      <c r="O746" s="99" t="b">
        <v>0</v>
      </c>
      <c r="P746" s="99" t="b">
        <v>0</v>
      </c>
      <c r="Q746" s="99" t="b">
        <v>0</v>
      </c>
      <c r="R746" s="14"/>
      <c r="S746" s="14"/>
      <c r="T746" s="14"/>
      <c r="U746" s="14"/>
      <c r="V746" s="14"/>
      <c r="W746" s="14"/>
    </row>
    <row r="747" ht="35.25" customHeight="1">
      <c r="A747" s="92" t="s">
        <v>9948</v>
      </c>
      <c r="B747" s="93" t="s">
        <v>9949</v>
      </c>
      <c r="C747" s="94" t="s">
        <v>9950</v>
      </c>
      <c r="D747" s="95" t="s">
        <v>9951</v>
      </c>
      <c r="E747" s="96" t="str">
        <f>IFERROR(__xludf.DUMMYFUNCTION("GOOGLETRANSLATE(D747,""zh-CN"",""vi"")"),"Tuổi trẻ thật tươi đẹp.")</f>
        <v>Tuổi trẻ thật tươi đẹp.</v>
      </c>
      <c r="F747" s="101" t="s">
        <v>9948</v>
      </c>
      <c r="G747" s="98" t="b">
        <f t="shared" si="1"/>
        <v>1</v>
      </c>
      <c r="H747" s="99" t="b">
        <v>1</v>
      </c>
      <c r="I747" s="99" t="b">
        <v>0</v>
      </c>
      <c r="J747" s="99" t="b">
        <v>0</v>
      </c>
      <c r="K747" s="99" t="b">
        <v>0</v>
      </c>
      <c r="L747" s="99" t="b">
        <v>0</v>
      </c>
      <c r="M747" s="99" t="b">
        <v>0</v>
      </c>
      <c r="N747" s="99" t="b">
        <v>0</v>
      </c>
      <c r="O747" s="99" t="b">
        <v>0</v>
      </c>
      <c r="P747" s="99" t="b">
        <v>0</v>
      </c>
      <c r="Q747" s="99" t="b">
        <v>0</v>
      </c>
      <c r="R747" s="14"/>
      <c r="S747" s="14"/>
      <c r="T747" s="14"/>
      <c r="U747" s="14"/>
      <c r="V747" s="14"/>
      <c r="W747" s="14"/>
    </row>
    <row r="748" ht="35.25" customHeight="1">
      <c r="A748" s="92" t="s">
        <v>9956</v>
      </c>
      <c r="B748" s="93" t="s">
        <v>9957</v>
      </c>
      <c r="C748" s="94" t="s">
        <v>9958</v>
      </c>
      <c r="D748" s="95" t="s">
        <v>9959</v>
      </c>
      <c r="E748" s="96" t="str">
        <f>IFERROR(__xludf.DUMMYFUNCTION("GOOGLETRANSLATE(D748,""zh-CN"",""vi"")"),"Thanh thiếu niên nên tập thể dục nhiều hơn.")</f>
        <v>Thanh thiếu niên nên tập thể dục nhiều hơn.</v>
      </c>
      <c r="F748" s="101" t="s">
        <v>9956</v>
      </c>
      <c r="G748" s="98" t="b">
        <f t="shared" si="1"/>
        <v>1</v>
      </c>
      <c r="H748" s="99" t="b">
        <v>1</v>
      </c>
      <c r="I748" s="99" t="b">
        <v>0</v>
      </c>
      <c r="J748" s="99" t="b">
        <v>0</v>
      </c>
      <c r="K748" s="99" t="b">
        <v>0</v>
      </c>
      <c r="L748" s="99" t="b">
        <v>0</v>
      </c>
      <c r="M748" s="99" t="b">
        <v>0</v>
      </c>
      <c r="N748" s="99" t="b">
        <v>0</v>
      </c>
      <c r="O748" s="99" t="b">
        <v>0</v>
      </c>
      <c r="P748" s="99" t="b">
        <v>0</v>
      </c>
      <c r="Q748" s="99" t="b">
        <v>0</v>
      </c>
      <c r="R748" s="14"/>
      <c r="S748" s="14"/>
      <c r="T748" s="14"/>
      <c r="U748" s="14"/>
      <c r="V748" s="14"/>
      <c r="W748" s="14"/>
    </row>
    <row r="749" ht="35.25" customHeight="1">
      <c r="A749" s="92" t="s">
        <v>9964</v>
      </c>
      <c r="B749" s="93" t="s">
        <v>9965</v>
      </c>
      <c r="C749" s="94" t="s">
        <v>9966</v>
      </c>
      <c r="D749" s="95" t="s">
        <v>9967</v>
      </c>
      <c r="E749" s="96" t="str">
        <f>IFERROR(__xludf.DUMMYFUNCTION("GOOGLETRANSLATE(D749,""zh-CN"",""vi"")"),"Đừng xem nhẹ bất kỳ vấn đề nào.")</f>
        <v>Đừng xem nhẹ bất kỳ vấn đề nào.</v>
      </c>
      <c r="F749" s="101" t="s">
        <v>9964</v>
      </c>
      <c r="G749" s="98" t="b">
        <f t="shared" si="1"/>
        <v>1</v>
      </c>
      <c r="H749" s="99" t="b">
        <v>1</v>
      </c>
      <c r="I749" s="99" t="b">
        <v>0</v>
      </c>
      <c r="J749" s="99" t="b">
        <v>0</v>
      </c>
      <c r="K749" s="99" t="b">
        <v>0</v>
      </c>
      <c r="L749" s="99" t="b">
        <v>0</v>
      </c>
      <c r="M749" s="99" t="b">
        <v>0</v>
      </c>
      <c r="N749" s="99" t="b">
        <v>0</v>
      </c>
      <c r="O749" s="99" t="b">
        <v>0</v>
      </c>
      <c r="P749" s="99" t="b">
        <v>0</v>
      </c>
      <c r="Q749" s="99" t="b">
        <v>0</v>
      </c>
      <c r="R749" s="14"/>
      <c r="S749" s="14"/>
      <c r="T749" s="14"/>
      <c r="U749" s="14"/>
      <c r="V749" s="14"/>
      <c r="W749" s="14"/>
    </row>
    <row r="750" ht="35.25" customHeight="1">
      <c r="A750" s="92" t="s">
        <v>9972</v>
      </c>
      <c r="B750" s="93" t="s">
        <v>9973</v>
      </c>
      <c r="C750" s="94" t="s">
        <v>9974</v>
      </c>
      <c r="D750" s="95" t="s">
        <v>9975</v>
      </c>
      <c r="E750" s="96" t="str">
        <f>IFERROR(__xludf.DUMMYFUNCTION("GOOGLETRANSLATE(D750,""zh-CN"",""vi"")"),"Bạn không nên dễ dàng bỏ cuộc khi đang làm việc gì đó.")</f>
        <v>Bạn không nên dễ dàng bỏ cuộc khi đang làm việc gì đó.</v>
      </c>
      <c r="F750" s="101" t="s">
        <v>9972</v>
      </c>
      <c r="G750" s="98" t="b">
        <f t="shared" si="1"/>
        <v>1</v>
      </c>
      <c r="H750" s="99" t="b">
        <v>1</v>
      </c>
      <c r="I750" s="99" t="b">
        <v>0</v>
      </c>
      <c r="J750" s="99" t="b">
        <v>0</v>
      </c>
      <c r="K750" s="99" t="b">
        <v>0</v>
      </c>
      <c r="L750" s="99" t="b">
        <v>0</v>
      </c>
      <c r="M750" s="99" t="b">
        <v>0</v>
      </c>
      <c r="N750" s="99" t="b">
        <v>0</v>
      </c>
      <c r="O750" s="99" t="b">
        <v>0</v>
      </c>
      <c r="P750" s="99" t="b">
        <v>0</v>
      </c>
      <c r="Q750" s="99" t="b">
        <v>0</v>
      </c>
      <c r="R750" s="14"/>
      <c r="S750" s="14"/>
      <c r="T750" s="14"/>
      <c r="U750" s="14"/>
      <c r="V750" s="14"/>
      <c r="W750" s="14"/>
    </row>
    <row r="751" ht="35.25" customHeight="1">
      <c r="A751" s="92" t="s">
        <v>9980</v>
      </c>
      <c r="B751" s="93" t="s">
        <v>9981</v>
      </c>
      <c r="C751" s="94" t="s">
        <v>9982</v>
      </c>
      <c r="D751" s="95" t="s">
        <v>9983</v>
      </c>
      <c r="E751" s="96" t="str">
        <f>IFERROR(__xludf.DUMMYFUNCTION("GOOGLETRANSLATE(D751,""zh-CN"",""vi"")"),"Tôi thích đồ ăn nhẹ.")</f>
        <v>Tôi thích đồ ăn nhẹ.</v>
      </c>
      <c r="F751" s="101" t="s">
        <v>9980</v>
      </c>
      <c r="G751" s="98" t="b">
        <f t="shared" si="1"/>
        <v>1</v>
      </c>
      <c r="H751" s="99" t="b">
        <v>1</v>
      </c>
      <c r="I751" s="99" t="b">
        <v>0</v>
      </c>
      <c r="J751" s="99" t="b">
        <v>0</v>
      </c>
      <c r="K751" s="99" t="b">
        <v>0</v>
      </c>
      <c r="L751" s="99" t="b">
        <v>0</v>
      </c>
      <c r="M751" s="99" t="b">
        <v>0</v>
      </c>
      <c r="N751" s="99" t="b">
        <v>0</v>
      </c>
      <c r="O751" s="99" t="b">
        <v>0</v>
      </c>
      <c r="P751" s="99" t="b">
        <v>0</v>
      </c>
      <c r="Q751" s="99" t="b">
        <v>0</v>
      </c>
      <c r="R751" s="14"/>
      <c r="S751" s="14"/>
      <c r="T751" s="14"/>
      <c r="U751" s="14"/>
      <c r="V751" s="14"/>
      <c r="W751" s="14"/>
    </row>
    <row r="752" ht="35.25" customHeight="1">
      <c r="A752" s="92" t="s">
        <v>9988</v>
      </c>
      <c r="B752" s="93" t="s">
        <v>9989</v>
      </c>
      <c r="C752" s="94" t="s">
        <v>9990</v>
      </c>
      <c r="D752" s="95" t="s">
        <v>9991</v>
      </c>
      <c r="E752" s="96" t="str">
        <f>IFERROR(__xludf.DUMMYFUNCTION("GOOGLETRANSLATE(D752,""zh-CN"",""vi"")"),"Cảnh này thật cảm động.")</f>
        <v>Cảnh này thật cảm động.</v>
      </c>
      <c r="F752" s="101" t="s">
        <v>9988</v>
      </c>
      <c r="G752" s="98" t="b">
        <f t="shared" si="1"/>
        <v>1</v>
      </c>
      <c r="H752" s="99" t="b">
        <v>0</v>
      </c>
      <c r="I752" s="99" t="b">
        <v>0</v>
      </c>
      <c r="J752" s="99" t="b">
        <v>0</v>
      </c>
      <c r="K752" s="99" t="b">
        <v>0</v>
      </c>
      <c r="L752" s="99" t="b">
        <v>0</v>
      </c>
      <c r="M752" s="99" t="b">
        <v>0</v>
      </c>
      <c r="N752" s="99" t="b">
        <v>0</v>
      </c>
      <c r="O752" s="99" t="b">
        <v>0</v>
      </c>
      <c r="P752" s="99" t="b">
        <v>0</v>
      </c>
      <c r="Q752" s="99" t="b">
        <v>0</v>
      </c>
      <c r="R752" s="14"/>
      <c r="S752" s="14"/>
      <c r="T752" s="14"/>
      <c r="U752" s="14"/>
      <c r="V752" s="14"/>
      <c r="W752" s="14"/>
    </row>
    <row r="753" ht="35.25" customHeight="1">
      <c r="A753" s="92" t="s">
        <v>9996</v>
      </c>
      <c r="B753" s="93" t="s">
        <v>9997</v>
      </c>
      <c r="C753" s="94" t="s">
        <v>4170</v>
      </c>
      <c r="D753" s="95" t="s">
        <v>9998</v>
      </c>
      <c r="E753" s="96" t="str">
        <f>IFERROR(__xludf.DUMMYFUNCTION("GOOGLETRANSLATE(D753,""zh-CN"",""vi"")"),"Anh ấy đang rất khó chịu.")</f>
        <v>Anh ấy đang rất khó chịu.</v>
      </c>
      <c r="F753" s="101" t="s">
        <v>9996</v>
      </c>
      <c r="G753" s="98" t="b">
        <f t="shared" si="1"/>
        <v>1</v>
      </c>
      <c r="H753" s="99" t="b">
        <v>0</v>
      </c>
      <c r="I753" s="99" t="b">
        <v>0</v>
      </c>
      <c r="J753" s="99" t="b">
        <v>0</v>
      </c>
      <c r="K753" s="99" t="b">
        <v>0</v>
      </c>
      <c r="L753" s="99" t="b">
        <v>0</v>
      </c>
      <c r="M753" s="99" t="b">
        <v>0</v>
      </c>
      <c r="N753" s="99" t="b">
        <v>0</v>
      </c>
      <c r="O753" s="99" t="b">
        <v>0</v>
      </c>
      <c r="P753" s="99" t="b">
        <v>0</v>
      </c>
      <c r="Q753" s="99" t="b">
        <v>0</v>
      </c>
      <c r="R753" s="14"/>
      <c r="S753" s="14"/>
      <c r="T753" s="14"/>
      <c r="U753" s="14"/>
      <c r="V753" s="14"/>
      <c r="W753" s="14"/>
    </row>
    <row r="754" ht="35.25" customHeight="1">
      <c r="A754" s="92" t="s">
        <v>10003</v>
      </c>
      <c r="B754" s="93" t="s">
        <v>10004</v>
      </c>
      <c r="C754" s="94" t="s">
        <v>10005</v>
      </c>
      <c r="D754" s="95" t="s">
        <v>10006</v>
      </c>
      <c r="E754" s="96" t="str">
        <f>IFERROR(__xludf.DUMMYFUNCTION("GOOGLETRANSLATE(D754,""zh-CN"",""vi"")"),"Tôi cần sự giúp đỡ của bạn.")</f>
        <v>Tôi cần sự giúp đỡ của bạn.</v>
      </c>
      <c r="F754" s="101" t="s">
        <v>10003</v>
      </c>
      <c r="G754" s="98" t="b">
        <f t="shared" si="1"/>
        <v>1</v>
      </c>
      <c r="H754" s="99" t="b">
        <v>0</v>
      </c>
      <c r="I754" s="99" t="b">
        <v>0</v>
      </c>
      <c r="J754" s="99" t="b">
        <v>0</v>
      </c>
      <c r="K754" s="99" t="b">
        <v>0</v>
      </c>
      <c r="L754" s="99" t="b">
        <v>0</v>
      </c>
      <c r="M754" s="99" t="b">
        <v>0</v>
      </c>
      <c r="N754" s="99" t="b">
        <v>0</v>
      </c>
      <c r="O754" s="99" t="b">
        <v>0</v>
      </c>
      <c r="P754" s="99" t="b">
        <v>0</v>
      </c>
      <c r="Q754" s="99" t="b">
        <v>0</v>
      </c>
      <c r="R754" s="14"/>
      <c r="S754" s="14"/>
      <c r="T754" s="14"/>
      <c r="U754" s="14"/>
      <c r="V754" s="14"/>
      <c r="W754" s="14"/>
    </row>
    <row r="755" ht="35.25" customHeight="1">
      <c r="A755" s="92" t="s">
        <v>10011</v>
      </c>
      <c r="B755" s="93" t="s">
        <v>10012</v>
      </c>
      <c r="C755" s="94" t="s">
        <v>4719</v>
      </c>
      <c r="D755" s="95" t="s">
        <v>10013</v>
      </c>
      <c r="E755" s="96" t="str">
        <f>IFERROR(__xludf.DUMMYFUNCTION("GOOGLETRANSLATE(D755,""zh-CN"",""vi"")"),"Chúng ta sẽ cùng nhau ăn mừng ngày lễ này.")</f>
        <v>Chúng ta sẽ cùng nhau ăn mừng ngày lễ này.</v>
      </c>
      <c r="F755" s="101" t="s">
        <v>10011</v>
      </c>
      <c r="G755" s="98" t="b">
        <f t="shared" si="1"/>
        <v>1</v>
      </c>
      <c r="H755" s="99" t="b">
        <v>0</v>
      </c>
      <c r="I755" s="99" t="b">
        <v>0</v>
      </c>
      <c r="J755" s="99" t="b">
        <v>0</v>
      </c>
      <c r="K755" s="99" t="b">
        <v>0</v>
      </c>
      <c r="L755" s="99" t="b">
        <v>0</v>
      </c>
      <c r="M755" s="99" t="b">
        <v>0</v>
      </c>
      <c r="N755" s="99" t="b">
        <v>0</v>
      </c>
      <c r="O755" s="99" t="b">
        <v>0</v>
      </c>
      <c r="P755" s="99" t="b">
        <v>0</v>
      </c>
      <c r="Q755" s="99" t="b">
        <v>0</v>
      </c>
      <c r="R755" s="14"/>
      <c r="S755" s="14"/>
      <c r="T755" s="14"/>
      <c r="U755" s="14"/>
      <c r="V755" s="14"/>
      <c r="W755" s="14"/>
    </row>
    <row r="756" ht="35.25" customHeight="1">
      <c r="A756" s="92" t="s">
        <v>10018</v>
      </c>
      <c r="B756" s="93" t="s">
        <v>10019</v>
      </c>
      <c r="C756" s="94" t="s">
        <v>10020</v>
      </c>
      <c r="D756" s="95" t="s">
        <v>10021</v>
      </c>
      <c r="E756" s="96" t="str">
        <f>IFERROR(__xludf.DUMMYFUNCTION("GOOGLETRANSLATE(D756,""zh-CN"",""vi"")"),"Anh ấy là một người hâm mộ bóng đá cuồng nhiệt.")</f>
        <v>Anh ấy là một người hâm mộ bóng đá cuồng nhiệt.</v>
      </c>
      <c r="F756" s="101" t="s">
        <v>10018</v>
      </c>
      <c r="G756" s="98" t="b">
        <f t="shared" si="1"/>
        <v>1</v>
      </c>
      <c r="H756" s="99" t="b">
        <v>0</v>
      </c>
      <c r="I756" s="99" t="b">
        <v>0</v>
      </c>
      <c r="J756" s="99" t="b">
        <v>0</v>
      </c>
      <c r="K756" s="99" t="b">
        <v>0</v>
      </c>
      <c r="L756" s="99" t="b">
        <v>0</v>
      </c>
      <c r="M756" s="99" t="b">
        <v>0</v>
      </c>
      <c r="N756" s="99" t="b">
        <v>0</v>
      </c>
      <c r="O756" s="99" t="b">
        <v>0</v>
      </c>
      <c r="P756" s="99" t="b">
        <v>0</v>
      </c>
      <c r="Q756" s="99" t="b">
        <v>0</v>
      </c>
      <c r="R756" s="14"/>
      <c r="S756" s="14"/>
      <c r="T756" s="14"/>
      <c r="U756" s="14"/>
      <c r="V756" s="14"/>
      <c r="W756" s="14"/>
    </row>
    <row r="757" ht="35.25" customHeight="1">
      <c r="A757" s="92" t="s">
        <v>10026</v>
      </c>
      <c r="B757" s="93" t="s">
        <v>10027</v>
      </c>
      <c r="C757" s="102" t="s">
        <v>10028</v>
      </c>
      <c r="D757" s="95" t="s">
        <v>10029</v>
      </c>
      <c r="E757" s="96" t="str">
        <f>IFERROR(__xludf.DUMMYFUNCTION("GOOGLETRANSLATE(D757,""zh-CN"",""vi"")"),"Xu hướng này đang làm thay đổi thị trường.")</f>
        <v>Xu hướng này đang làm thay đổi thị trường.</v>
      </c>
      <c r="F757" s="101" t="s">
        <v>10026</v>
      </c>
      <c r="G757" s="98" t="b">
        <f t="shared" si="1"/>
        <v>1</v>
      </c>
      <c r="H757" s="99" t="b">
        <v>0</v>
      </c>
      <c r="I757" s="99" t="b">
        <v>0</v>
      </c>
      <c r="J757" s="99" t="b">
        <v>0</v>
      </c>
      <c r="K757" s="99" t="b">
        <v>0</v>
      </c>
      <c r="L757" s="99" t="b">
        <v>0</v>
      </c>
      <c r="M757" s="99" t="b">
        <v>0</v>
      </c>
      <c r="N757" s="99" t="b">
        <v>0</v>
      </c>
      <c r="O757" s="99" t="b">
        <v>0</v>
      </c>
      <c r="P757" s="99" t="b">
        <v>0</v>
      </c>
      <c r="Q757" s="99" t="b">
        <v>0</v>
      </c>
      <c r="R757" s="14"/>
      <c r="S757" s="14"/>
      <c r="T757" s="14"/>
      <c r="U757" s="14"/>
      <c r="V757" s="14"/>
      <c r="W757" s="14"/>
    </row>
    <row r="758" ht="35.25" customHeight="1">
      <c r="A758" s="92" t="s">
        <v>10034</v>
      </c>
      <c r="B758" s="93" t="s">
        <v>10035</v>
      </c>
      <c r="C758" s="94" t="s">
        <v>10036</v>
      </c>
      <c r="D758" s="95" t="s">
        <v>10037</v>
      </c>
      <c r="E758" s="96" t="str">
        <f>IFERROR(__xludf.DUMMYFUNCTION("GOOGLETRANSLATE(D758,""zh-CN"",""vi"")"),"Sự kiện đã bị hủy bỏ.")</f>
        <v>Sự kiện đã bị hủy bỏ.</v>
      </c>
      <c r="F758" s="101" t="s">
        <v>10034</v>
      </c>
      <c r="G758" s="98" t="b">
        <f t="shared" si="1"/>
        <v>1</v>
      </c>
      <c r="H758" s="99" t="b">
        <v>0</v>
      </c>
      <c r="I758" s="99" t="b">
        <v>0</v>
      </c>
      <c r="J758" s="99" t="b">
        <v>0</v>
      </c>
      <c r="K758" s="99" t="b">
        <v>0</v>
      </c>
      <c r="L758" s="99" t="b">
        <v>0</v>
      </c>
      <c r="M758" s="99" t="b">
        <v>0</v>
      </c>
      <c r="N758" s="99" t="b">
        <v>0</v>
      </c>
      <c r="O758" s="99" t="b">
        <v>0</v>
      </c>
      <c r="P758" s="99" t="b">
        <v>0</v>
      </c>
      <c r="Q758" s="99" t="b">
        <v>0</v>
      </c>
      <c r="R758" s="14"/>
      <c r="S758" s="14"/>
      <c r="T758" s="14"/>
      <c r="U758" s="14"/>
      <c r="V758" s="14"/>
      <c r="W758" s="14"/>
    </row>
    <row r="759" ht="35.25" customHeight="1">
      <c r="A759" s="92" t="s">
        <v>10042</v>
      </c>
      <c r="B759" s="93" t="s">
        <v>3681</v>
      </c>
      <c r="C759" s="94" t="s">
        <v>10043</v>
      </c>
      <c r="D759" s="95" t="s">
        <v>10044</v>
      </c>
      <c r="E759" s="96" t="str">
        <f>IFERROR(__xludf.DUMMYFUNCTION("GOOGLETRANSLATE(D759,""zh-CN"",""vi"")"),"Anh ta dự định cưới cô ấy.")</f>
        <v>Anh ta dự định cưới cô ấy.</v>
      </c>
      <c r="F759" s="101" t="s">
        <v>10042</v>
      </c>
      <c r="G759" s="98" t="b">
        <f t="shared" si="1"/>
        <v>1</v>
      </c>
      <c r="H759" s="99" t="b">
        <v>0</v>
      </c>
      <c r="I759" s="99" t="b">
        <v>0</v>
      </c>
      <c r="J759" s="99" t="b">
        <v>0</v>
      </c>
      <c r="K759" s="99" t="b">
        <v>0</v>
      </c>
      <c r="L759" s="99" t="b">
        <v>0</v>
      </c>
      <c r="M759" s="99" t="b">
        <v>0</v>
      </c>
      <c r="N759" s="99" t="b">
        <v>0</v>
      </c>
      <c r="O759" s="99" t="b">
        <v>0</v>
      </c>
      <c r="P759" s="99" t="b">
        <v>0</v>
      </c>
      <c r="Q759" s="99" t="b">
        <v>0</v>
      </c>
      <c r="R759" s="14"/>
      <c r="S759" s="14"/>
      <c r="T759" s="14"/>
      <c r="U759" s="14"/>
      <c r="V759" s="14"/>
      <c r="W759" s="14"/>
    </row>
    <row r="760" ht="35.25" customHeight="1">
      <c r="A760" s="92" t="s">
        <v>10049</v>
      </c>
      <c r="B760" s="93" t="s">
        <v>10050</v>
      </c>
      <c r="C760" s="102" t="s">
        <v>10051</v>
      </c>
      <c r="D760" s="95" t="s">
        <v>10052</v>
      </c>
      <c r="E760" s="96" t="str">
        <f>IFERROR(__xludf.DUMMYFUNCTION("GOOGLETRANSLATE(D760,""zh-CN"",""vi"")"),"Cha cô ấy đã qua đời.")</f>
        <v>Cha cô ấy đã qua đời.</v>
      </c>
      <c r="F760" s="101" t="s">
        <v>10049</v>
      </c>
      <c r="G760" s="98" t="b">
        <f t="shared" si="1"/>
        <v>1</v>
      </c>
      <c r="H760" s="99" t="b">
        <v>0</v>
      </c>
      <c r="I760" s="99" t="b">
        <v>0</v>
      </c>
      <c r="J760" s="99" t="b">
        <v>0</v>
      </c>
      <c r="K760" s="99" t="b">
        <v>0</v>
      </c>
      <c r="L760" s="99" t="b">
        <v>0</v>
      </c>
      <c r="M760" s="99" t="b">
        <v>0</v>
      </c>
      <c r="N760" s="99" t="b">
        <v>0</v>
      </c>
      <c r="O760" s="99" t="b">
        <v>0</v>
      </c>
      <c r="P760" s="99" t="b">
        <v>0</v>
      </c>
      <c r="Q760" s="99" t="b">
        <v>0</v>
      </c>
      <c r="R760" s="14"/>
      <c r="S760" s="14"/>
      <c r="T760" s="14"/>
      <c r="U760" s="14"/>
      <c r="V760" s="14"/>
      <c r="W760" s="14"/>
    </row>
    <row r="761" ht="35.25" customHeight="1">
      <c r="A761" s="92" t="s">
        <v>10057</v>
      </c>
      <c r="B761" s="93" t="s">
        <v>10058</v>
      </c>
      <c r="C761" s="94" t="s">
        <v>10059</v>
      </c>
      <c r="D761" s="95" t="s">
        <v>10061</v>
      </c>
      <c r="E761" s="96" t="str">
        <f>IFERROR(__xludf.DUMMYFUNCTION("GOOGLETRANSLATE(D761,""zh-CN"",""vi"")"),"Ông ấy có tầm ảnh hưởng rất lớn trong ngành.")</f>
        <v>Ông ấy có tầm ảnh hưởng rất lớn trong ngành.</v>
      </c>
      <c r="F761" s="101" t="s">
        <v>10057</v>
      </c>
      <c r="G761" s="98" t="b">
        <f t="shared" si="1"/>
        <v>1</v>
      </c>
      <c r="H761" s="99" t="b">
        <v>0</v>
      </c>
      <c r="I761" s="99" t="b">
        <v>0</v>
      </c>
      <c r="J761" s="99" t="b">
        <v>0</v>
      </c>
      <c r="K761" s="99" t="b">
        <v>0</v>
      </c>
      <c r="L761" s="99" t="b">
        <v>0</v>
      </c>
      <c r="M761" s="99" t="b">
        <v>0</v>
      </c>
      <c r="N761" s="99" t="b">
        <v>0</v>
      </c>
      <c r="O761" s="99" t="b">
        <v>0</v>
      </c>
      <c r="P761" s="99" t="b">
        <v>0</v>
      </c>
      <c r="Q761" s="99" t="b">
        <v>0</v>
      </c>
      <c r="R761" s="14"/>
      <c r="S761" s="14"/>
      <c r="T761" s="14"/>
      <c r="U761" s="14"/>
      <c r="V761" s="14"/>
      <c r="W761" s="14"/>
    </row>
    <row r="762" ht="35.25" customHeight="1">
      <c r="A762" s="92" t="s">
        <v>10065</v>
      </c>
      <c r="B762" s="93" t="s">
        <v>10066</v>
      </c>
      <c r="C762" s="94" t="s">
        <v>10068</v>
      </c>
      <c r="D762" s="95" t="s">
        <v>10070</v>
      </c>
      <c r="E762" s="96" t="str">
        <f>IFERROR(__xludf.DUMMYFUNCTION("GOOGLETRANSLATE(D762,""zh-CN"",""vi"")"),"Quốc gia này có cấu trúc quyền lực phức tạp.")</f>
        <v>Quốc gia này có cấu trúc quyền lực phức tạp.</v>
      </c>
      <c r="F762" s="101" t="s">
        <v>10065</v>
      </c>
      <c r="G762" s="98" t="b">
        <f t="shared" si="1"/>
        <v>1</v>
      </c>
      <c r="H762" s="99" t="b">
        <v>0</v>
      </c>
      <c r="I762" s="99" t="b">
        <v>0</v>
      </c>
      <c r="J762" s="99" t="b">
        <v>0</v>
      </c>
      <c r="K762" s="99" t="b">
        <v>0</v>
      </c>
      <c r="L762" s="99" t="b">
        <v>0</v>
      </c>
      <c r="M762" s="99" t="b">
        <v>0</v>
      </c>
      <c r="N762" s="99" t="b">
        <v>0</v>
      </c>
      <c r="O762" s="99" t="b">
        <v>0</v>
      </c>
      <c r="P762" s="99" t="b">
        <v>0</v>
      </c>
      <c r="Q762" s="99" t="b">
        <v>0</v>
      </c>
      <c r="R762" s="14"/>
      <c r="S762" s="14"/>
      <c r="T762" s="14"/>
      <c r="U762" s="14"/>
      <c r="V762" s="14"/>
      <c r="W762" s="14"/>
    </row>
    <row r="763" ht="35.25" customHeight="1">
      <c r="A763" s="92" t="s">
        <v>10085</v>
      </c>
      <c r="B763" s="93" t="s">
        <v>10066</v>
      </c>
      <c r="C763" s="94" t="s">
        <v>10086</v>
      </c>
      <c r="D763" s="95" t="s">
        <v>10087</v>
      </c>
      <c r="E763" s="96" t="str">
        <f>IFERROR(__xludf.DUMMYFUNCTION("GOOGLETRANSLATE(D763,""zh-CN"",""vi"")"),"Chúng ta phải bảo vệ quyền lợi của mình.")</f>
        <v>Chúng ta phải bảo vệ quyền lợi của mình.</v>
      </c>
      <c r="F763" s="101" t="s">
        <v>10085</v>
      </c>
      <c r="G763" s="98" t="b">
        <f t="shared" si="1"/>
        <v>1</v>
      </c>
      <c r="H763" s="99" t="b">
        <v>0</v>
      </c>
      <c r="I763" s="99" t="b">
        <v>0</v>
      </c>
      <c r="J763" s="99" t="b">
        <v>0</v>
      </c>
      <c r="K763" s="99" t="b">
        <v>0</v>
      </c>
      <c r="L763" s="99" t="b">
        <v>0</v>
      </c>
      <c r="M763" s="99" t="b">
        <v>0</v>
      </c>
      <c r="N763" s="99" t="b">
        <v>0</v>
      </c>
      <c r="O763" s="99" t="b">
        <v>0</v>
      </c>
      <c r="P763" s="99" t="b">
        <v>0</v>
      </c>
      <c r="Q763" s="99" t="b">
        <v>0</v>
      </c>
      <c r="R763" s="14"/>
      <c r="S763" s="14"/>
      <c r="T763" s="14"/>
      <c r="U763" s="14"/>
      <c r="V763" s="14"/>
      <c r="W763" s="14"/>
    </row>
    <row r="764" ht="35.25" customHeight="1">
      <c r="A764" s="92" t="s">
        <v>10096</v>
      </c>
      <c r="B764" s="93" t="s">
        <v>10097</v>
      </c>
      <c r="C764" s="94" t="s">
        <v>10098</v>
      </c>
      <c r="D764" s="95" t="s">
        <v>10099</v>
      </c>
      <c r="E764" s="96" t="str">
        <f>IFERROR(__xludf.DUMMYFUNCTION("GOOGLETRANSLATE(D764,""zh-CN"",""vi"")"),"Kế hoạch này xem xét tất cả các khía cạnh của vấn đề.")</f>
        <v>Kế hoạch này xem xét tất cả các khía cạnh của vấn đề.</v>
      </c>
      <c r="F764" s="101" t="s">
        <v>10096</v>
      </c>
      <c r="G764" s="98" t="b">
        <f t="shared" si="1"/>
        <v>1</v>
      </c>
      <c r="H764" s="99" t="b">
        <v>0</v>
      </c>
      <c r="I764" s="99" t="b">
        <v>0</v>
      </c>
      <c r="J764" s="99" t="b">
        <v>0</v>
      </c>
      <c r="K764" s="99" t="b">
        <v>0</v>
      </c>
      <c r="L764" s="99" t="b">
        <v>0</v>
      </c>
      <c r="M764" s="99" t="b">
        <v>0</v>
      </c>
      <c r="N764" s="99" t="b">
        <v>0</v>
      </c>
      <c r="O764" s="99" t="b">
        <v>0</v>
      </c>
      <c r="P764" s="99" t="b">
        <v>0</v>
      </c>
      <c r="Q764" s="99" t="b">
        <v>0</v>
      </c>
      <c r="R764" s="14"/>
      <c r="S764" s="14"/>
      <c r="T764" s="14"/>
      <c r="U764" s="14"/>
      <c r="V764" s="14"/>
      <c r="W764" s="14"/>
    </row>
    <row r="765" ht="35.25" customHeight="1">
      <c r="A765" s="92" t="s">
        <v>10104</v>
      </c>
      <c r="B765" s="93" t="s">
        <v>10105</v>
      </c>
      <c r="C765" s="94" t="s">
        <v>10106</v>
      </c>
      <c r="D765" s="95" t="s">
        <v>10107</v>
      </c>
      <c r="E765" s="96" t="str">
        <f>IFERROR(__xludf.DUMMYFUNCTION("GOOGLETRANSLATE(D765,""zh-CN"",""vi"")"),"Anh ấy khuyên tôi nên nghỉ ngơi.")</f>
        <v>Anh ấy khuyên tôi nên nghỉ ngơi.</v>
      </c>
      <c r="F765" s="101" t="s">
        <v>10104</v>
      </c>
      <c r="G765" s="98" t="b">
        <f t="shared" si="1"/>
        <v>1</v>
      </c>
      <c r="H765" s="99" t="b">
        <v>0</v>
      </c>
      <c r="I765" s="99" t="b">
        <v>0</v>
      </c>
      <c r="J765" s="99" t="b">
        <v>0</v>
      </c>
      <c r="K765" s="99" t="b">
        <v>0</v>
      </c>
      <c r="L765" s="99" t="b">
        <v>0</v>
      </c>
      <c r="M765" s="99" t="b">
        <v>0</v>
      </c>
      <c r="N765" s="99" t="b">
        <v>0</v>
      </c>
      <c r="O765" s="99" t="b">
        <v>0</v>
      </c>
      <c r="P765" s="99" t="b">
        <v>0</v>
      </c>
      <c r="Q765" s="99" t="b">
        <v>0</v>
      </c>
      <c r="R765" s="14"/>
      <c r="S765" s="14"/>
      <c r="T765" s="14"/>
      <c r="U765" s="14"/>
      <c r="V765" s="14"/>
      <c r="W765" s="14"/>
    </row>
    <row r="766" ht="35.25" customHeight="1">
      <c r="A766" s="92" t="s">
        <v>10111</v>
      </c>
      <c r="B766" s="93" t="s">
        <v>10112</v>
      </c>
      <c r="C766" s="94" t="s">
        <v>3694</v>
      </c>
      <c r="D766" s="95" t="s">
        <v>10113</v>
      </c>
      <c r="E766" s="96" t="str">
        <f>IFERROR(__xludf.DUMMYFUNCTION("GOOGLETRANSLATE(D766,""zh-CN"",""vi"")"),"Dự án này thiếu kinh phí.")</f>
        <v>Dự án này thiếu kinh phí.</v>
      </c>
      <c r="F766" s="101" t="s">
        <v>10111</v>
      </c>
      <c r="G766" s="98" t="b">
        <f t="shared" si="1"/>
        <v>1</v>
      </c>
      <c r="H766" s="99" t="b">
        <v>0</v>
      </c>
      <c r="I766" s="99" t="b">
        <v>0</v>
      </c>
      <c r="J766" s="99" t="b">
        <v>0</v>
      </c>
      <c r="K766" s="99" t="b">
        <v>0</v>
      </c>
      <c r="L766" s="99" t="b">
        <v>0</v>
      </c>
      <c r="M766" s="99" t="b">
        <v>0</v>
      </c>
      <c r="N766" s="99" t="b">
        <v>0</v>
      </c>
      <c r="O766" s="99" t="b">
        <v>0</v>
      </c>
      <c r="P766" s="99" t="b">
        <v>0</v>
      </c>
      <c r="Q766" s="99" t="b">
        <v>0</v>
      </c>
      <c r="R766" s="14"/>
      <c r="S766" s="14"/>
      <c r="T766" s="14"/>
      <c r="U766" s="14"/>
      <c r="V766" s="14"/>
      <c r="W766" s="14"/>
    </row>
    <row r="767" ht="35.25" customHeight="1">
      <c r="A767" s="92" t="s">
        <v>10115</v>
      </c>
      <c r="B767" s="93" t="s">
        <v>10116</v>
      </c>
      <c r="C767" s="94" t="s">
        <v>10117</v>
      </c>
      <c r="D767" s="95" t="s">
        <v>10118</v>
      </c>
      <c r="E767" s="96" t="str">
        <f>IFERROR(__xludf.DUMMYFUNCTION("GOOGLETRANSLATE(D767,""zh-CN"",""vi"")"),"Chúng ta cần xác định chi tiết của kế hoạch.")</f>
        <v>Chúng ta cần xác định chi tiết của kế hoạch.</v>
      </c>
      <c r="F767" s="101" t="s">
        <v>10115</v>
      </c>
      <c r="G767" s="98" t="b">
        <f t="shared" si="1"/>
        <v>1</v>
      </c>
      <c r="H767" s="99" t="b">
        <v>0</v>
      </c>
      <c r="I767" s="99" t="b">
        <v>0</v>
      </c>
      <c r="J767" s="99" t="b">
        <v>0</v>
      </c>
      <c r="K767" s="99" t="b">
        <v>0</v>
      </c>
      <c r="L767" s="99" t="b">
        <v>0</v>
      </c>
      <c r="M767" s="99" t="b">
        <v>0</v>
      </c>
      <c r="N767" s="99" t="b">
        <v>0</v>
      </c>
      <c r="O767" s="99" t="b">
        <v>0</v>
      </c>
      <c r="P767" s="99" t="b">
        <v>0</v>
      </c>
      <c r="Q767" s="99" t="b">
        <v>0</v>
      </c>
      <c r="R767" s="14"/>
      <c r="S767" s="14"/>
      <c r="T767" s="14"/>
      <c r="U767" s="14"/>
      <c r="V767" s="14"/>
      <c r="W767" s="14"/>
    </row>
    <row r="768" ht="35.25" customHeight="1">
      <c r="A768" s="92" t="s">
        <v>10123</v>
      </c>
      <c r="B768" s="93" t="s">
        <v>10124</v>
      </c>
      <c r="C768" s="94" t="s">
        <v>10125</v>
      </c>
      <c r="D768" s="95" t="s">
        <v>10126</v>
      </c>
      <c r="E768" s="96" t="str">
        <f>IFERROR(__xludf.DUMMYFUNCTION("GOOGLETRANSLATE(D768,""zh-CN"",""vi"")"),"Vui lòng xác nhận lại thời gian hẹn của bạn.")</f>
        <v>Vui lòng xác nhận lại thời gian hẹn của bạn.</v>
      </c>
      <c r="F768" s="101" t="s">
        <v>10123</v>
      </c>
      <c r="G768" s="98" t="b">
        <f t="shared" si="1"/>
        <v>1</v>
      </c>
      <c r="H768" s="99" t="b">
        <v>0</v>
      </c>
      <c r="I768" s="99" t="b">
        <v>0</v>
      </c>
      <c r="J768" s="99" t="b">
        <v>0</v>
      </c>
      <c r="K768" s="99" t="b">
        <v>0</v>
      </c>
      <c r="L768" s="99" t="b">
        <v>0</v>
      </c>
      <c r="M768" s="99" t="b">
        <v>0</v>
      </c>
      <c r="N768" s="99" t="b">
        <v>0</v>
      </c>
      <c r="O768" s="99" t="b">
        <v>0</v>
      </c>
      <c r="P768" s="99" t="b">
        <v>0</v>
      </c>
      <c r="Q768" s="99" t="b">
        <v>0</v>
      </c>
      <c r="R768" s="14"/>
      <c r="S768" s="14"/>
      <c r="T768" s="14"/>
      <c r="U768" s="14"/>
      <c r="V768" s="14"/>
      <c r="W768" s="14"/>
    </row>
    <row r="769" ht="35.25" customHeight="1">
      <c r="A769" s="92" t="s">
        <v>10133</v>
      </c>
      <c r="B769" s="93" t="s">
        <v>10135</v>
      </c>
      <c r="C769" s="94" t="s">
        <v>10137</v>
      </c>
      <c r="D769" s="95" t="s">
        <v>10138</v>
      </c>
      <c r="E769" s="96" t="str">
        <f>IFERROR(__xludf.DUMMYFUNCTION("GOOGLETRANSLATE(D769,""zh-CN"",""vi"")"),"Chúng tôi đang thành lập một nhóm mới.")</f>
        <v>Chúng tôi đang thành lập một nhóm mới.</v>
      </c>
      <c r="F769" s="101" t="s">
        <v>10133</v>
      </c>
      <c r="G769" s="98" t="b">
        <f t="shared" si="1"/>
        <v>1</v>
      </c>
      <c r="H769" s="99" t="b">
        <v>0</v>
      </c>
      <c r="I769" s="99" t="b">
        <v>0</v>
      </c>
      <c r="J769" s="99" t="b">
        <v>0</v>
      </c>
      <c r="K769" s="99" t="b">
        <v>0</v>
      </c>
      <c r="L769" s="99" t="b">
        <v>0</v>
      </c>
      <c r="M769" s="99" t="b">
        <v>0</v>
      </c>
      <c r="N769" s="99" t="b">
        <v>0</v>
      </c>
      <c r="O769" s="99" t="b">
        <v>0</v>
      </c>
      <c r="P769" s="99" t="b">
        <v>0</v>
      </c>
      <c r="Q769" s="99" t="b">
        <v>0</v>
      </c>
      <c r="R769" s="14"/>
      <c r="S769" s="14"/>
      <c r="T769" s="14"/>
      <c r="U769" s="14"/>
      <c r="V769" s="14"/>
      <c r="W769" s="14"/>
    </row>
    <row r="770" ht="35.25" customHeight="1">
      <c r="A770" s="92" t="s">
        <v>10142</v>
      </c>
      <c r="B770" s="93" t="s">
        <v>10144</v>
      </c>
      <c r="C770" s="94" t="s">
        <v>10145</v>
      </c>
      <c r="D770" s="95" t="s">
        <v>10146</v>
      </c>
      <c r="E770" s="96" t="str">
        <f>IFERROR(__xludf.DUMMYFUNCTION("GOOGLETRANSLATE(D770,""zh-CN"",""vi"")"),"Gỗ cháy rất nhanh trong đám cháy.")</f>
        <v>Gỗ cháy rất nhanh trong đám cháy.</v>
      </c>
      <c r="F770" s="101" t="s">
        <v>10142</v>
      </c>
      <c r="G770" s="98" t="b">
        <f t="shared" si="1"/>
        <v>1</v>
      </c>
      <c r="H770" s="99" t="b">
        <v>0</v>
      </c>
      <c r="I770" s="99" t="b">
        <v>0</v>
      </c>
      <c r="J770" s="99" t="b">
        <v>0</v>
      </c>
      <c r="K770" s="99" t="b">
        <v>0</v>
      </c>
      <c r="L770" s="99" t="b">
        <v>0</v>
      </c>
      <c r="M770" s="99" t="b">
        <v>0</v>
      </c>
      <c r="N770" s="99" t="b">
        <v>0</v>
      </c>
      <c r="O770" s="99" t="b">
        <v>0</v>
      </c>
      <c r="P770" s="99" t="b">
        <v>0</v>
      </c>
      <c r="Q770" s="99" t="b">
        <v>0</v>
      </c>
      <c r="R770" s="14"/>
      <c r="S770" s="14"/>
      <c r="T770" s="14"/>
      <c r="U770" s="14"/>
      <c r="V770" s="14"/>
      <c r="W770" s="14"/>
    </row>
    <row r="771" ht="35.25" customHeight="1">
      <c r="A771" s="92" t="s">
        <v>10151</v>
      </c>
      <c r="B771" s="93" t="s">
        <v>10152</v>
      </c>
      <c r="C771" s="94" t="s">
        <v>10153</v>
      </c>
      <c r="D771" s="95" t="s">
        <v>10154</v>
      </c>
      <c r="E771" s="96" t="str">
        <f>IFERROR(__xludf.DUMMYFUNCTION("GOOGLETRANSLATE(D771,""zh-CN"",""vi"")"),"Hãy đi vòng qua chướng ngại vật này.")</f>
        <v>Hãy đi vòng qua chướng ngại vật này.</v>
      </c>
      <c r="F771" s="101" t="s">
        <v>10151</v>
      </c>
      <c r="G771" s="98" t="b">
        <f t="shared" si="1"/>
        <v>1</v>
      </c>
      <c r="H771" s="99" t="b">
        <v>0</v>
      </c>
      <c r="I771" s="99" t="b">
        <v>0</v>
      </c>
      <c r="J771" s="99" t="b">
        <v>0</v>
      </c>
      <c r="K771" s="99" t="b">
        <v>0</v>
      </c>
      <c r="L771" s="99" t="b">
        <v>0</v>
      </c>
      <c r="M771" s="99" t="b">
        <v>0</v>
      </c>
      <c r="N771" s="99" t="b">
        <v>0</v>
      </c>
      <c r="O771" s="99" t="b">
        <v>0</v>
      </c>
      <c r="P771" s="99" t="b">
        <v>0</v>
      </c>
      <c r="Q771" s="99" t="b">
        <v>0</v>
      </c>
      <c r="R771" s="14"/>
      <c r="S771" s="14"/>
      <c r="T771" s="14"/>
      <c r="U771" s="14"/>
      <c r="V771" s="14"/>
      <c r="W771" s="14"/>
    </row>
    <row r="772" ht="35.25" customHeight="1">
      <c r="A772" s="92" t="s">
        <v>10159</v>
      </c>
      <c r="B772" s="93" t="s">
        <v>10160</v>
      </c>
      <c r="C772" s="94" t="s">
        <v>10161</v>
      </c>
      <c r="D772" s="95" t="s">
        <v>10162</v>
      </c>
      <c r="E772" s="96" t="str">
        <f>IFERROR(__xludf.DUMMYFUNCTION("GOOGLETRANSLATE(D772,""zh-CN"",""vi"")"),"Chúng tôi đều yêu thích công việc này.")</f>
        <v>Chúng tôi đều yêu thích công việc này.</v>
      </c>
      <c r="F772" s="101" t="s">
        <v>10159</v>
      </c>
      <c r="G772" s="98" t="b">
        <f t="shared" si="1"/>
        <v>1</v>
      </c>
      <c r="H772" s="99" t="b">
        <v>0</v>
      </c>
      <c r="I772" s="99" t="b">
        <v>0</v>
      </c>
      <c r="J772" s="99" t="b">
        <v>0</v>
      </c>
      <c r="K772" s="99" t="b">
        <v>0</v>
      </c>
      <c r="L772" s="99" t="b">
        <v>0</v>
      </c>
      <c r="M772" s="99" t="b">
        <v>0</v>
      </c>
      <c r="N772" s="99" t="b">
        <v>0</v>
      </c>
      <c r="O772" s="99" t="b">
        <v>0</v>
      </c>
      <c r="P772" s="99" t="b">
        <v>0</v>
      </c>
      <c r="Q772" s="99" t="b">
        <v>0</v>
      </c>
      <c r="R772" s="14"/>
      <c r="S772" s="14"/>
      <c r="T772" s="14"/>
      <c r="U772" s="14"/>
      <c r="V772" s="14"/>
      <c r="W772" s="14"/>
    </row>
    <row r="773" ht="35.25" customHeight="1">
      <c r="A773" s="92" t="s">
        <v>10167</v>
      </c>
      <c r="B773" s="93" t="s">
        <v>10168</v>
      </c>
      <c r="C773" s="94" t="s">
        <v>10169</v>
      </c>
      <c r="D773" s="95" t="s">
        <v>10170</v>
      </c>
      <c r="E773" s="96" t="str">
        <f>IFERROR(__xludf.DUMMYFUNCTION("GOOGLETRANSLATE(D773,""zh-CN"",""vi"")"),"Chúng tôi rất cảm động trước sự đón tiếp nồng nhiệt của họ dành cho dự án mới.")</f>
        <v>Chúng tôi rất cảm động trước sự đón tiếp nồng nhiệt của họ dành cho dự án mới.</v>
      </c>
      <c r="F773" s="101" t="s">
        <v>10167</v>
      </c>
      <c r="G773" s="98" t="b">
        <f t="shared" si="1"/>
        <v>1</v>
      </c>
      <c r="H773" s="99" t="b">
        <v>0</v>
      </c>
      <c r="I773" s="99" t="b">
        <v>0</v>
      </c>
      <c r="J773" s="99" t="b">
        <v>0</v>
      </c>
      <c r="K773" s="99" t="b">
        <v>0</v>
      </c>
      <c r="L773" s="99" t="b">
        <v>0</v>
      </c>
      <c r="M773" s="99" t="b">
        <v>0</v>
      </c>
      <c r="N773" s="99" t="b">
        <v>0</v>
      </c>
      <c r="O773" s="99" t="b">
        <v>0</v>
      </c>
      <c r="P773" s="99" t="b">
        <v>0</v>
      </c>
      <c r="Q773" s="99" t="b">
        <v>0</v>
      </c>
      <c r="R773" s="14"/>
      <c r="S773" s="14"/>
      <c r="T773" s="14"/>
      <c r="U773" s="14"/>
      <c r="V773" s="14"/>
      <c r="W773" s="14"/>
    </row>
    <row r="774" ht="35.25" customHeight="1">
      <c r="A774" s="92" t="s">
        <v>10175</v>
      </c>
      <c r="B774" s="93" t="s">
        <v>10176</v>
      </c>
      <c r="C774" s="94" t="s">
        <v>10177</v>
      </c>
      <c r="D774" s="95" t="s">
        <v>10178</v>
      </c>
      <c r="E774" s="96" t="str">
        <f>IFERROR(__xludf.DUMMYFUNCTION("GOOGLETRANSLATE(D774,""zh-CN"",""vi"")"),"Cô ấy luôn nhiệt tình giúp đỡ người khác.")</f>
        <v>Cô ấy luôn nhiệt tình giúp đỡ người khác.</v>
      </c>
      <c r="F774" s="101" t="s">
        <v>10175</v>
      </c>
      <c r="G774" s="98" t="b">
        <f t="shared" si="1"/>
        <v>1</v>
      </c>
      <c r="H774" s="99" t="b">
        <v>0</v>
      </c>
      <c r="I774" s="99" t="b">
        <v>0</v>
      </c>
      <c r="J774" s="99" t="b">
        <v>0</v>
      </c>
      <c r="K774" s="99" t="b">
        <v>0</v>
      </c>
      <c r="L774" s="99" t="b">
        <v>0</v>
      </c>
      <c r="M774" s="99" t="b">
        <v>0</v>
      </c>
      <c r="N774" s="99" t="b">
        <v>0</v>
      </c>
      <c r="O774" s="99" t="b">
        <v>0</v>
      </c>
      <c r="P774" s="99" t="b">
        <v>0</v>
      </c>
      <c r="Q774" s="99" t="b">
        <v>0</v>
      </c>
      <c r="R774" s="14"/>
      <c r="S774" s="14"/>
      <c r="T774" s="14"/>
      <c r="U774" s="14"/>
      <c r="V774" s="14"/>
      <c r="W774" s="14"/>
    </row>
    <row r="775" ht="35.25" customHeight="1">
      <c r="A775" s="92" t="s">
        <v>10181</v>
      </c>
      <c r="B775" s="93" t="s">
        <v>10182</v>
      </c>
      <c r="C775" s="94" t="s">
        <v>10183</v>
      </c>
      <c r="D775" s="95" t="s">
        <v>10184</v>
      </c>
      <c r="E775" s="96" t="str">
        <f>IFERROR(__xludf.DUMMYFUNCTION("GOOGLETRANSLATE(D775,""zh-CN"",""vi"")"),"Chúng ta cần thêm nhân tài để thúc đẩy dự án tiến lên.")</f>
        <v>Chúng ta cần thêm nhân tài để thúc đẩy dự án tiến lên.</v>
      </c>
      <c r="F775" s="101" t="s">
        <v>10181</v>
      </c>
      <c r="G775" s="98" t="b">
        <f t="shared" si="1"/>
        <v>1</v>
      </c>
      <c r="H775" s="99" t="b">
        <v>0</v>
      </c>
      <c r="I775" s="99" t="b">
        <v>0</v>
      </c>
      <c r="J775" s="99" t="b">
        <v>0</v>
      </c>
      <c r="K775" s="99" t="b">
        <v>0</v>
      </c>
      <c r="L775" s="99" t="b">
        <v>0</v>
      </c>
      <c r="M775" s="99" t="b">
        <v>0</v>
      </c>
      <c r="N775" s="99" t="b">
        <v>0</v>
      </c>
      <c r="O775" s="99" t="b">
        <v>0</v>
      </c>
      <c r="P775" s="99" t="b">
        <v>0</v>
      </c>
      <c r="Q775" s="99" t="b">
        <v>0</v>
      </c>
      <c r="R775" s="14"/>
      <c r="S775" s="14"/>
      <c r="T775" s="14"/>
      <c r="U775" s="14"/>
      <c r="V775" s="14"/>
      <c r="W775" s="14"/>
    </row>
    <row r="776" ht="35.25" customHeight="1">
      <c r="A776" s="92" t="s">
        <v>10189</v>
      </c>
      <c r="B776" s="93" t="s">
        <v>10190</v>
      </c>
      <c r="C776" s="94" t="s">
        <v>10191</v>
      </c>
      <c r="D776" s="95" t="s">
        <v>10192</v>
      </c>
      <c r="E776" s="96" t="str">
        <f>IFERROR(__xludf.DUMMYFUNCTION("GOOGLETRANSLATE(D776,""zh-CN"",""vi"")"),"Dân số thành phố liên tục tăng lên.")</f>
        <v>Dân số thành phố liên tục tăng lên.</v>
      </c>
      <c r="F776" s="101" t="s">
        <v>10189</v>
      </c>
      <c r="G776" s="98" t="b">
        <f t="shared" si="1"/>
        <v>1</v>
      </c>
      <c r="H776" s="99" t="b">
        <v>0</v>
      </c>
      <c r="I776" s="99" t="b">
        <v>0</v>
      </c>
      <c r="J776" s="99" t="b">
        <v>0</v>
      </c>
      <c r="K776" s="99" t="b">
        <v>0</v>
      </c>
      <c r="L776" s="99" t="b">
        <v>0</v>
      </c>
      <c r="M776" s="99" t="b">
        <v>0</v>
      </c>
      <c r="N776" s="99" t="b">
        <v>0</v>
      </c>
      <c r="O776" s="99" t="b">
        <v>0</v>
      </c>
      <c r="P776" s="99" t="b">
        <v>0</v>
      </c>
      <c r="Q776" s="99" t="b">
        <v>0</v>
      </c>
      <c r="R776" s="14"/>
      <c r="S776" s="14"/>
      <c r="T776" s="14"/>
      <c r="U776" s="14"/>
      <c r="V776" s="14"/>
      <c r="W776" s="14"/>
    </row>
    <row r="777" ht="35.25" customHeight="1">
      <c r="A777" s="92" t="s">
        <v>10197</v>
      </c>
      <c r="B777" s="93" t="s">
        <v>10198</v>
      </c>
      <c r="C777" s="94" t="s">
        <v>10199</v>
      </c>
      <c r="D777" s="95" t="s">
        <v>10200</v>
      </c>
      <c r="E777" s="96" t="str">
        <f>IFERROR(__xludf.DUMMYFUNCTION("GOOGLETRANSLATE(D777,""zh-CN"",""vi"")"),"Sự tiến bộ của nhân loại không thể tách rời khỏi khoa học và công nghệ.")</f>
        <v>Sự tiến bộ của nhân loại không thể tách rời khỏi khoa học và công nghệ.</v>
      </c>
      <c r="F777" s="101" t="s">
        <v>10197</v>
      </c>
      <c r="G777" s="98" t="b">
        <f t="shared" si="1"/>
        <v>1</v>
      </c>
      <c r="H777" s="99" t="b">
        <v>0</v>
      </c>
      <c r="I777" s="99" t="b">
        <v>0</v>
      </c>
      <c r="J777" s="99" t="b">
        <v>0</v>
      </c>
      <c r="K777" s="99" t="b">
        <v>0</v>
      </c>
      <c r="L777" s="99" t="b">
        <v>0</v>
      </c>
      <c r="M777" s="99" t="b">
        <v>0</v>
      </c>
      <c r="N777" s="99" t="b">
        <v>0</v>
      </c>
      <c r="O777" s="99" t="b">
        <v>0</v>
      </c>
      <c r="P777" s="99" t="b">
        <v>0</v>
      </c>
      <c r="Q777" s="99" t="b">
        <v>0</v>
      </c>
      <c r="R777" s="14"/>
      <c r="S777" s="14"/>
      <c r="T777" s="14"/>
      <c r="U777" s="14"/>
      <c r="V777" s="14"/>
      <c r="W777" s="14"/>
    </row>
    <row r="778" ht="35.25" customHeight="1">
      <c r="A778" s="92" t="s">
        <v>10205</v>
      </c>
      <c r="B778" s="93" t="s">
        <v>10206</v>
      </c>
      <c r="C778" s="94" t="s">
        <v>10208</v>
      </c>
      <c r="D778" s="95" t="s">
        <v>10210</v>
      </c>
      <c r="E778" s="96" t="str">
        <f>IFERROR(__xludf.DUMMYFUNCTION("GOOGLETRANSLATE(D778,""zh-CN"",""vi"")"),"Chúng tôi đã thanh toán phí bằng Nhân dân tệ.")</f>
        <v>Chúng tôi đã thanh toán phí bằng Nhân dân tệ.</v>
      </c>
      <c r="F778" s="101" t="s">
        <v>10205</v>
      </c>
      <c r="G778" s="98" t="b">
        <f t="shared" si="1"/>
        <v>1</v>
      </c>
      <c r="H778" s="99" t="b">
        <v>0</v>
      </c>
      <c r="I778" s="99" t="b">
        <v>0</v>
      </c>
      <c r="J778" s="99" t="b">
        <v>0</v>
      </c>
      <c r="K778" s="99" t="b">
        <v>0</v>
      </c>
      <c r="L778" s="99" t="b">
        <v>0</v>
      </c>
      <c r="M778" s="99" t="b">
        <v>0</v>
      </c>
      <c r="N778" s="99" t="b">
        <v>0</v>
      </c>
      <c r="O778" s="99" t="b">
        <v>0</v>
      </c>
      <c r="P778" s="99" t="b">
        <v>0</v>
      </c>
      <c r="Q778" s="99" t="b">
        <v>0</v>
      </c>
      <c r="R778" s="14"/>
      <c r="S778" s="14"/>
      <c r="T778" s="14"/>
      <c r="U778" s="14"/>
      <c r="V778" s="14"/>
      <c r="W778" s="14"/>
    </row>
    <row r="779" ht="35.25" customHeight="1">
      <c r="A779" s="92" t="s">
        <v>10214</v>
      </c>
      <c r="B779" s="93" t="s">
        <v>10216</v>
      </c>
      <c r="C779" s="94" t="s">
        <v>10218</v>
      </c>
      <c r="D779" s="95" t="s">
        <v>10220</v>
      </c>
      <c r="E779" s="96" t="str">
        <f>IFERROR(__xludf.DUMMYFUNCTION("GOOGLETRANSLATE(D779,""zh-CN"",""vi"")"),"Có rất nhiều khoảnh khắc quan trọng trong cuộc đời.")</f>
        <v>Có rất nhiều khoảnh khắc quan trọng trong cuộc đời.</v>
      </c>
      <c r="F779" s="101" t="s">
        <v>10214</v>
      </c>
      <c r="G779" s="98" t="b">
        <f t="shared" si="1"/>
        <v>1</v>
      </c>
      <c r="H779" s="99" t="b">
        <v>0</v>
      </c>
      <c r="I779" s="99" t="b">
        <v>0</v>
      </c>
      <c r="J779" s="99" t="b">
        <v>0</v>
      </c>
      <c r="K779" s="99" t="b">
        <v>0</v>
      </c>
      <c r="L779" s="99" t="b">
        <v>0</v>
      </c>
      <c r="M779" s="99" t="b">
        <v>0</v>
      </c>
      <c r="N779" s="99" t="b">
        <v>0</v>
      </c>
      <c r="O779" s="99" t="b">
        <v>0</v>
      </c>
      <c r="P779" s="99" t="b">
        <v>0</v>
      </c>
      <c r="Q779" s="99" t="b">
        <v>0</v>
      </c>
      <c r="R779" s="14"/>
      <c r="S779" s="14"/>
      <c r="T779" s="14"/>
      <c r="U779" s="14"/>
      <c r="V779" s="14"/>
      <c r="W779" s="14"/>
    </row>
    <row r="780" ht="35.25" customHeight="1">
      <c r="A780" s="92" t="s">
        <v>10223</v>
      </c>
      <c r="B780" s="93" t="s">
        <v>10225</v>
      </c>
      <c r="C780" s="94" t="s">
        <v>10227</v>
      </c>
      <c r="D780" s="95" t="s">
        <v>10228</v>
      </c>
      <c r="E780" s="96" t="str">
        <f>IFERROR(__xludf.DUMMYFUNCTION("GOOGLETRANSLATE(D780,""zh-CN"",""vi"")"),"Bộ phận nhân sự chịu trách nhiệm tuyển dụng nhân viên mới.")</f>
        <v>Bộ phận nhân sự chịu trách nhiệm tuyển dụng nhân viên mới.</v>
      </c>
      <c r="F780" s="101" t="s">
        <v>10223</v>
      </c>
      <c r="G780" s="98" t="b">
        <f t="shared" si="1"/>
        <v>1</v>
      </c>
      <c r="H780" s="99" t="b">
        <v>0</v>
      </c>
      <c r="I780" s="99" t="b">
        <v>0</v>
      </c>
      <c r="J780" s="99" t="b">
        <v>0</v>
      </c>
      <c r="K780" s="99" t="b">
        <v>0</v>
      </c>
      <c r="L780" s="99" t="b">
        <v>0</v>
      </c>
      <c r="M780" s="99" t="b">
        <v>0</v>
      </c>
      <c r="N780" s="99" t="b">
        <v>0</v>
      </c>
      <c r="O780" s="99" t="b">
        <v>0</v>
      </c>
      <c r="P780" s="99" t="b">
        <v>0</v>
      </c>
      <c r="Q780" s="99" t="b">
        <v>0</v>
      </c>
      <c r="R780" s="14"/>
      <c r="S780" s="14"/>
      <c r="T780" s="14"/>
      <c r="U780" s="14"/>
      <c r="V780" s="14"/>
      <c r="W780" s="14"/>
    </row>
    <row r="781" ht="35.25" customHeight="1">
      <c r="A781" s="92" t="s">
        <v>10237</v>
      </c>
      <c r="B781" s="93" t="s">
        <v>10238</v>
      </c>
      <c r="C781" s="94" t="s">
        <v>8252</v>
      </c>
      <c r="D781" s="95" t="s">
        <v>10239</v>
      </c>
      <c r="E781" s="96" t="str">
        <f>IFERROR(__xludf.DUMMYFUNCTION("GOOGLETRANSLATE(D781,""zh-CN"",""vi"")"),"Ông ấy là một người có tầm ảnh hưởng rất lớn.")</f>
        <v>Ông ấy là một người có tầm ảnh hưởng rất lớn.</v>
      </c>
      <c r="F781" s="101" t="s">
        <v>10237</v>
      </c>
      <c r="G781" s="98" t="b">
        <f t="shared" si="1"/>
        <v>1</v>
      </c>
      <c r="H781" s="99" t="b">
        <v>0</v>
      </c>
      <c r="I781" s="99" t="b">
        <v>0</v>
      </c>
      <c r="J781" s="99" t="b">
        <v>0</v>
      </c>
      <c r="K781" s="99" t="b">
        <v>0</v>
      </c>
      <c r="L781" s="99" t="b">
        <v>0</v>
      </c>
      <c r="M781" s="99" t="b">
        <v>0</v>
      </c>
      <c r="N781" s="99" t="b">
        <v>0</v>
      </c>
      <c r="O781" s="99" t="b">
        <v>0</v>
      </c>
      <c r="P781" s="99" t="b">
        <v>0</v>
      </c>
      <c r="Q781" s="99" t="b">
        <v>0</v>
      </c>
      <c r="R781" s="14"/>
      <c r="S781" s="14"/>
      <c r="T781" s="14"/>
      <c r="U781" s="14"/>
      <c r="V781" s="14"/>
      <c r="W781" s="14"/>
    </row>
    <row r="782" ht="35.25" customHeight="1">
      <c r="A782" s="92" t="s">
        <v>10242</v>
      </c>
      <c r="B782" s="93" t="s">
        <v>10243</v>
      </c>
      <c r="C782" s="94" t="s">
        <v>10244</v>
      </c>
      <c r="D782" s="95" t="s">
        <v>10246</v>
      </c>
      <c r="E782" s="96" t="str">
        <f>IFERROR(__xludf.DUMMYFUNCTION("GOOGLETRANSLATE(D782,""zh-CN"",""vi"")"),"Chúng tôi đã hoàn tất việc tuyển dụng nhân sự.")</f>
        <v>Chúng tôi đã hoàn tất việc tuyển dụng nhân sự.</v>
      </c>
      <c r="F782" s="101" t="s">
        <v>10242</v>
      </c>
      <c r="G782" s="98" t="b">
        <f t="shared" si="1"/>
        <v>1</v>
      </c>
      <c r="H782" s="99" t="b">
        <v>0</v>
      </c>
      <c r="I782" s="99" t="b">
        <v>0</v>
      </c>
      <c r="J782" s="99" t="b">
        <v>0</v>
      </c>
      <c r="K782" s="99" t="b">
        <v>0</v>
      </c>
      <c r="L782" s="99" t="b">
        <v>0</v>
      </c>
      <c r="M782" s="99" t="b">
        <v>0</v>
      </c>
      <c r="N782" s="99" t="b">
        <v>0</v>
      </c>
      <c r="O782" s="99" t="b">
        <v>0</v>
      </c>
      <c r="P782" s="99" t="b">
        <v>0</v>
      </c>
      <c r="Q782" s="99" t="b">
        <v>0</v>
      </c>
      <c r="R782" s="14"/>
      <c r="S782" s="14"/>
      <c r="T782" s="14"/>
      <c r="U782" s="14"/>
      <c r="V782" s="14"/>
      <c r="W782" s="14"/>
    </row>
    <row r="783" ht="35.25" customHeight="1">
      <c r="A783" s="92" t="s">
        <v>10250</v>
      </c>
      <c r="B783" s="93" t="s">
        <v>10251</v>
      </c>
      <c r="C783" s="94" t="s">
        <v>6520</v>
      </c>
      <c r="D783" s="95" t="s">
        <v>10252</v>
      </c>
      <c r="E783" s="96" t="str">
        <f>IFERROR(__xludf.DUMMYFUNCTION("GOOGLETRANSLATE(D783,""zh-CN"",""vi"")"),"Anh ta không thể nhịn được cười.")</f>
        <v>Anh ta không thể nhịn được cười.</v>
      </c>
      <c r="F783" s="101" t="s">
        <v>10250</v>
      </c>
      <c r="G783" s="98" t="b">
        <f t="shared" si="1"/>
        <v>1</v>
      </c>
      <c r="H783" s="99" t="b">
        <v>0</v>
      </c>
      <c r="I783" s="99" t="b">
        <v>0</v>
      </c>
      <c r="J783" s="99" t="b">
        <v>0</v>
      </c>
      <c r="K783" s="99" t="b">
        <v>0</v>
      </c>
      <c r="L783" s="99" t="b">
        <v>0</v>
      </c>
      <c r="M783" s="99" t="b">
        <v>0</v>
      </c>
      <c r="N783" s="99" t="b">
        <v>0</v>
      </c>
      <c r="O783" s="99" t="b">
        <v>0</v>
      </c>
      <c r="P783" s="99" t="b">
        <v>0</v>
      </c>
      <c r="Q783" s="99" t="b">
        <v>0</v>
      </c>
      <c r="R783" s="14"/>
      <c r="S783" s="14"/>
      <c r="T783" s="14"/>
      <c r="U783" s="14"/>
      <c r="V783" s="14"/>
      <c r="W783" s="14"/>
    </row>
    <row r="784" ht="35.25" customHeight="1">
      <c r="A784" s="92" t="s">
        <v>10257</v>
      </c>
      <c r="B784" s="93" t="s">
        <v>10258</v>
      </c>
      <c r="C784" s="94" t="s">
        <v>10259</v>
      </c>
      <c r="D784" s="95" t="s">
        <v>10260</v>
      </c>
      <c r="E784" s="96" t="str">
        <f>IFERROR(__xludf.DUMMYFUNCTION("GOOGLETRANSLATE(D784,""zh-CN"",""vi"")"),"Chúng ta cần thiết lập một quy trình làm việc hàng ngày.")</f>
        <v>Chúng ta cần thiết lập một quy trình làm việc hàng ngày.</v>
      </c>
      <c r="F784" s="101" t="s">
        <v>10257</v>
      </c>
      <c r="G784" s="98" t="b">
        <f t="shared" si="1"/>
        <v>1</v>
      </c>
      <c r="H784" s="99" t="b">
        <v>0</v>
      </c>
      <c r="I784" s="99" t="b">
        <v>0</v>
      </c>
      <c r="J784" s="99" t="b">
        <v>0</v>
      </c>
      <c r="K784" s="99" t="b">
        <v>0</v>
      </c>
      <c r="L784" s="99" t="b">
        <v>0</v>
      </c>
      <c r="M784" s="99" t="b">
        <v>0</v>
      </c>
      <c r="N784" s="99" t="b">
        <v>0</v>
      </c>
      <c r="O784" s="99" t="b">
        <v>0</v>
      </c>
      <c r="P784" s="99" t="b">
        <v>0</v>
      </c>
      <c r="Q784" s="99" t="b">
        <v>0</v>
      </c>
      <c r="R784" s="14"/>
      <c r="S784" s="14"/>
      <c r="T784" s="14"/>
      <c r="U784" s="14"/>
      <c r="V784" s="14"/>
      <c r="W784" s="14"/>
    </row>
    <row r="785" ht="35.25" customHeight="1">
      <c r="A785" s="92" t="s">
        <v>10265</v>
      </c>
      <c r="B785" s="93" t="s">
        <v>10266</v>
      </c>
      <c r="C785" s="94" t="s">
        <v>10267</v>
      </c>
      <c r="D785" s="95" t="s">
        <v>10268</v>
      </c>
      <c r="E785" s="96" t="str">
        <f>IFERROR(__xludf.DUMMYFUNCTION("GOOGLETRANSLATE(D785,""zh-CN"",""vi"")"),"Vui lòng kiểm tra lịch trình của bạn.")</f>
        <v>Vui lòng kiểm tra lịch trình của bạn.</v>
      </c>
      <c r="F785" s="101" t="s">
        <v>10265</v>
      </c>
      <c r="G785" s="98" t="b">
        <f t="shared" si="1"/>
        <v>1</v>
      </c>
      <c r="H785" s="99" t="b">
        <v>0</v>
      </c>
      <c r="I785" s="99" t="b">
        <v>0</v>
      </c>
      <c r="J785" s="99" t="b">
        <v>0</v>
      </c>
      <c r="K785" s="99" t="b">
        <v>0</v>
      </c>
      <c r="L785" s="99" t="b">
        <v>0</v>
      </c>
      <c r="M785" s="99" t="b">
        <v>0</v>
      </c>
      <c r="N785" s="99" t="b">
        <v>0</v>
      </c>
      <c r="O785" s="99" t="b">
        <v>0</v>
      </c>
      <c r="P785" s="99" t="b">
        <v>0</v>
      </c>
      <c r="Q785" s="99" t="b">
        <v>0</v>
      </c>
      <c r="R785" s="14"/>
      <c r="S785" s="14"/>
      <c r="T785" s="14"/>
      <c r="U785" s="14"/>
      <c r="V785" s="14"/>
      <c r="W785" s="14"/>
    </row>
    <row r="786" ht="35.25" customHeight="1">
      <c r="A786" s="92" t="s">
        <v>10273</v>
      </c>
      <c r="B786" s="93" t="s">
        <v>10274</v>
      </c>
      <c r="C786" s="94" t="s">
        <v>10275</v>
      </c>
      <c r="D786" s="95" t="s">
        <v>10276</v>
      </c>
      <c r="E786" s="96" t="str">
        <f>IFERROR(__xludf.DUMMYFUNCTION("GOOGLETRANSLATE(D786,""zh-CN"",""vi"")"),"Lịch này rất hữu ích.")</f>
        <v>Lịch này rất hữu ích.</v>
      </c>
      <c r="F786" s="101" t="s">
        <v>10273</v>
      </c>
      <c r="G786" s="98" t="b">
        <f t="shared" si="1"/>
        <v>1</v>
      </c>
      <c r="H786" s="99" t="b">
        <v>0</v>
      </c>
      <c r="I786" s="99" t="b">
        <v>0</v>
      </c>
      <c r="J786" s="99" t="b">
        <v>0</v>
      </c>
      <c r="K786" s="99" t="b">
        <v>0</v>
      </c>
      <c r="L786" s="99" t="b">
        <v>0</v>
      </c>
      <c r="M786" s="99" t="b">
        <v>0</v>
      </c>
      <c r="N786" s="99" t="b">
        <v>0</v>
      </c>
      <c r="O786" s="99" t="b">
        <v>0</v>
      </c>
      <c r="P786" s="99" t="b">
        <v>0</v>
      </c>
      <c r="Q786" s="99" t="b">
        <v>0</v>
      </c>
      <c r="R786" s="14"/>
      <c r="S786" s="14"/>
      <c r="T786" s="14"/>
      <c r="U786" s="14"/>
      <c r="V786" s="14"/>
      <c r="W786" s="14"/>
    </row>
    <row r="787" ht="35.25" customHeight="1">
      <c r="A787" s="92" t="s">
        <v>10281</v>
      </c>
      <c r="B787" s="93" t="s">
        <v>10282</v>
      </c>
      <c r="C787" s="94" t="s">
        <v>10283</v>
      </c>
      <c r="D787" s="95" t="s">
        <v>10284</v>
      </c>
      <c r="E787" s="96" t="str">
        <f>IFERROR(__xludf.DUMMYFUNCTION("GOOGLETRANSLATE(D787,""zh-CN"",""vi"")"),"Chúng ta cần xác nhận lại ngày họp.")</f>
        <v>Chúng ta cần xác nhận lại ngày họp.</v>
      </c>
      <c r="F787" s="101" t="s">
        <v>10281</v>
      </c>
      <c r="G787" s="98" t="b">
        <f t="shared" si="1"/>
        <v>1</v>
      </c>
      <c r="H787" s="99" t="b">
        <v>0</v>
      </c>
      <c r="I787" s="99" t="b">
        <v>0</v>
      </c>
      <c r="J787" s="99" t="b">
        <v>0</v>
      </c>
      <c r="K787" s="99" t="b">
        <v>0</v>
      </c>
      <c r="L787" s="99" t="b">
        <v>0</v>
      </c>
      <c r="M787" s="99" t="b">
        <v>0</v>
      </c>
      <c r="N787" s="99" t="b">
        <v>0</v>
      </c>
      <c r="O787" s="99" t="b">
        <v>0</v>
      </c>
      <c r="P787" s="99" t="b">
        <v>0</v>
      </c>
      <c r="Q787" s="99" t="b">
        <v>0</v>
      </c>
      <c r="R787" s="14"/>
      <c r="S787" s="14"/>
      <c r="T787" s="14"/>
      <c r="U787" s="14"/>
      <c r="V787" s="14"/>
      <c r="W787" s="14"/>
    </row>
    <row r="788" ht="35.25" customHeight="1">
      <c r="A788" s="92" t="s">
        <v>10289</v>
      </c>
      <c r="B788" s="93" t="s">
        <v>10290</v>
      </c>
      <c r="C788" s="94" t="s">
        <v>10291</v>
      </c>
      <c r="D788" s="95" t="s">
        <v>10292</v>
      </c>
      <c r="E788" s="96" t="str">
        <f>IFERROR(__xludf.DUMMYFUNCTION("GOOGLETRANSLATE(D788,""zh-CN"",""vi"")"),"Tôi sử dụng nhiều vật dụng thiết yếu hàng ngày.")</f>
        <v>Tôi sử dụng nhiều vật dụng thiết yếu hàng ngày.</v>
      </c>
      <c r="F788" s="101" t="s">
        <v>10289</v>
      </c>
      <c r="G788" s="98" t="b">
        <f t="shared" si="1"/>
        <v>1</v>
      </c>
      <c r="H788" s="99" t="b">
        <v>0</v>
      </c>
      <c r="I788" s="99" t="b">
        <v>0</v>
      </c>
      <c r="J788" s="99" t="b">
        <v>0</v>
      </c>
      <c r="K788" s="99" t="b">
        <v>0</v>
      </c>
      <c r="L788" s="99" t="b">
        <v>0</v>
      </c>
      <c r="M788" s="99" t="b">
        <v>0</v>
      </c>
      <c r="N788" s="99" t="b">
        <v>0</v>
      </c>
      <c r="O788" s="99" t="b">
        <v>0</v>
      </c>
      <c r="P788" s="99" t="b">
        <v>0</v>
      </c>
      <c r="Q788" s="99" t="b">
        <v>0</v>
      </c>
      <c r="R788" s="14"/>
      <c r="S788" s="14"/>
      <c r="T788" s="14"/>
      <c r="U788" s="14"/>
      <c r="V788" s="14"/>
      <c r="W788" s="14"/>
    </row>
    <row r="789" ht="35.25" customHeight="1">
      <c r="A789" s="92" t="s">
        <v>10297</v>
      </c>
      <c r="B789" s="93" t="s">
        <v>10298</v>
      </c>
      <c r="C789" s="94" t="s">
        <v>1277</v>
      </c>
      <c r="D789" s="95" t="s">
        <v>10299</v>
      </c>
      <c r="E789" s="96" t="str">
        <f>IFERROR(__xludf.DUMMYFUNCTION("GOOGLETRANSLATE(D789,""zh-CN"",""vi"")"),"Mấy ngày qua trôi qua thật nhanh.")</f>
        <v>Mấy ngày qua trôi qua thật nhanh.</v>
      </c>
      <c r="F789" s="101" t="s">
        <v>10297</v>
      </c>
      <c r="G789" s="98" t="b">
        <f t="shared" si="1"/>
        <v>1</v>
      </c>
      <c r="H789" s="99" t="b">
        <v>0</v>
      </c>
      <c r="I789" s="99" t="b">
        <v>0</v>
      </c>
      <c r="J789" s="99" t="b">
        <v>0</v>
      </c>
      <c r="K789" s="99" t="b">
        <v>0</v>
      </c>
      <c r="L789" s="99" t="b">
        <v>0</v>
      </c>
      <c r="M789" s="99" t="b">
        <v>0</v>
      </c>
      <c r="N789" s="99" t="b">
        <v>0</v>
      </c>
      <c r="O789" s="99" t="b">
        <v>0</v>
      </c>
      <c r="P789" s="99" t="b">
        <v>0</v>
      </c>
      <c r="Q789" s="99" t="b">
        <v>0</v>
      </c>
      <c r="R789" s="14"/>
      <c r="S789" s="14"/>
      <c r="T789" s="14"/>
      <c r="U789" s="14"/>
      <c r="V789" s="14"/>
      <c r="W789" s="14"/>
    </row>
    <row r="790" ht="35.25" customHeight="1">
      <c r="A790" s="92" t="s">
        <v>10304</v>
      </c>
      <c r="B790" s="93" t="s">
        <v>10305</v>
      </c>
      <c r="C790" s="94" t="s">
        <v>2252</v>
      </c>
      <c r="D790" s="95" t="s">
        <v>10306</v>
      </c>
      <c r="E790" s="96" t="str">
        <f>IFERROR(__xludf.DUMMYFUNCTION("GOOGLETRANSLATE(D790,""zh-CN"",""vi"")"),"Bạn sẽ giải quyết vấn đề này như thế nào?")</f>
        <v>Bạn sẽ giải quyết vấn đề này như thế nào?</v>
      </c>
      <c r="F790" s="101" t="s">
        <v>10304</v>
      </c>
      <c r="G790" s="98" t="b">
        <f t="shared" si="1"/>
        <v>1</v>
      </c>
      <c r="H790" s="99" t="b">
        <v>0</v>
      </c>
      <c r="I790" s="99" t="b">
        <v>0</v>
      </c>
      <c r="J790" s="99" t="b">
        <v>0</v>
      </c>
      <c r="K790" s="99" t="b">
        <v>0</v>
      </c>
      <c r="L790" s="99" t="b">
        <v>0</v>
      </c>
      <c r="M790" s="99" t="b">
        <v>0</v>
      </c>
      <c r="N790" s="99" t="b">
        <v>0</v>
      </c>
      <c r="O790" s="99" t="b">
        <v>0</v>
      </c>
      <c r="P790" s="99" t="b">
        <v>0</v>
      </c>
      <c r="Q790" s="99" t="b">
        <v>0</v>
      </c>
      <c r="R790" s="14"/>
      <c r="S790" s="14"/>
      <c r="T790" s="14"/>
      <c r="U790" s="14"/>
      <c r="V790" s="14"/>
      <c r="W790" s="14"/>
    </row>
    <row r="791" ht="35.25" customHeight="1">
      <c r="A791" s="92" t="s">
        <v>10311</v>
      </c>
      <c r="B791" s="93" t="s">
        <v>10312</v>
      </c>
      <c r="C791" s="94" t="s">
        <v>10313</v>
      </c>
      <c r="D791" s="95" t="s">
        <v>10314</v>
      </c>
      <c r="E791" s="96" t="str">
        <f>IFERROR(__xludf.DUMMYFUNCTION("GOOGLETRANSLATE(D791,""zh-CN"",""vi"")"),"Ngày nay, công nghệ đang phát triển nhanh chóng.")</f>
        <v>Ngày nay, công nghệ đang phát triển nhanh chóng.</v>
      </c>
      <c r="F791" s="101" t="s">
        <v>10311</v>
      </c>
      <c r="G791" s="98" t="b">
        <f t="shared" si="1"/>
        <v>1</v>
      </c>
      <c r="H791" s="99" t="b">
        <v>0</v>
      </c>
      <c r="I791" s="99" t="b">
        <v>0</v>
      </c>
      <c r="J791" s="99" t="b">
        <v>0</v>
      </c>
      <c r="K791" s="99" t="b">
        <v>0</v>
      </c>
      <c r="L791" s="99" t="b">
        <v>0</v>
      </c>
      <c r="M791" s="99" t="b">
        <v>0</v>
      </c>
      <c r="N791" s="99" t="b">
        <v>0</v>
      </c>
      <c r="O791" s="99" t="b">
        <v>0</v>
      </c>
      <c r="P791" s="99" t="b">
        <v>0</v>
      </c>
      <c r="Q791" s="99" t="b">
        <v>0</v>
      </c>
      <c r="R791" s="14"/>
      <c r="S791" s="14"/>
      <c r="T791" s="14"/>
      <c r="U791" s="14"/>
      <c r="V791" s="14"/>
      <c r="W791" s="14"/>
    </row>
    <row r="792" ht="35.25" customHeight="1">
      <c r="A792" s="92" t="s">
        <v>10319</v>
      </c>
      <c r="B792" s="93" t="s">
        <v>10320</v>
      </c>
      <c r="C792" s="94" t="s">
        <v>10321</v>
      </c>
      <c r="D792" s="95" t="s">
        <v>10322</v>
      </c>
      <c r="E792" s="96" t="str">
        <f>IFERROR(__xludf.DUMMYFUNCTION("GOOGLETRANSLATE(D792,""zh-CN"",""vi"")"),"Chiếc điện thoại này rất mềm.")</f>
        <v>Chiếc điện thoại này rất mềm.</v>
      </c>
      <c r="F792" s="101" t="s">
        <v>10319</v>
      </c>
      <c r="G792" s="98" t="b">
        <f t="shared" si="1"/>
        <v>1</v>
      </c>
      <c r="H792" s="99" t="b">
        <v>0</v>
      </c>
      <c r="I792" s="99" t="b">
        <v>0</v>
      </c>
      <c r="J792" s="99" t="b">
        <v>0</v>
      </c>
      <c r="K792" s="99" t="b">
        <v>0</v>
      </c>
      <c r="L792" s="99" t="b">
        <v>0</v>
      </c>
      <c r="M792" s="99" t="b">
        <v>0</v>
      </c>
      <c r="N792" s="99" t="b">
        <v>0</v>
      </c>
      <c r="O792" s="99" t="b">
        <v>0</v>
      </c>
      <c r="P792" s="99" t="b">
        <v>0</v>
      </c>
      <c r="Q792" s="99" t="b">
        <v>0</v>
      </c>
      <c r="R792" s="14"/>
      <c r="S792" s="14"/>
      <c r="T792" s="14"/>
      <c r="U792" s="14"/>
      <c r="V792" s="14"/>
      <c r="W792" s="14"/>
    </row>
    <row r="793" ht="35.25" customHeight="1">
      <c r="A793" s="92" t="s">
        <v>10327</v>
      </c>
      <c r="B793" s="93" t="s">
        <v>10328</v>
      </c>
      <c r="C793" s="94" t="s">
        <v>10330</v>
      </c>
      <c r="D793" s="95" t="s">
        <v>10332</v>
      </c>
      <c r="E793" s="96" t="str">
        <f>IFERROR(__xludf.DUMMYFUNCTION("GOOGLETRANSLATE(D793,""zh-CN"",""vi"")"),"Chúng ta cần cập nhật phiên bản phần mềm.")</f>
        <v>Chúng ta cần cập nhật phiên bản phần mềm.</v>
      </c>
      <c r="F793" s="101" t="s">
        <v>10327</v>
      </c>
      <c r="G793" s="98" t="b">
        <f t="shared" si="1"/>
        <v>1</v>
      </c>
      <c r="H793" s="99" t="b">
        <v>0</v>
      </c>
      <c r="I793" s="99" t="b">
        <v>0</v>
      </c>
      <c r="J793" s="99" t="b">
        <v>0</v>
      </c>
      <c r="K793" s="99" t="b">
        <v>0</v>
      </c>
      <c r="L793" s="99" t="b">
        <v>0</v>
      </c>
      <c r="M793" s="99" t="b">
        <v>0</v>
      </c>
      <c r="N793" s="99" t="b">
        <v>0</v>
      </c>
      <c r="O793" s="99" t="b">
        <v>0</v>
      </c>
      <c r="P793" s="99" t="b">
        <v>0</v>
      </c>
      <c r="Q793" s="99" t="b">
        <v>0</v>
      </c>
      <c r="R793" s="14"/>
      <c r="S793" s="14"/>
      <c r="T793" s="14"/>
      <c r="U793" s="14"/>
      <c r="V793" s="14"/>
      <c r="W793" s="14"/>
    </row>
    <row r="794" ht="35.25" customHeight="1">
      <c r="A794" s="92" t="s">
        <v>10338</v>
      </c>
      <c r="B794" s="93" t="s">
        <v>10339</v>
      </c>
      <c r="C794" s="94" t="s">
        <v>10341</v>
      </c>
      <c r="D794" s="95" t="s">
        <v>10342</v>
      </c>
      <c r="E794" s="96" t="str">
        <f>IFERROR(__xludf.DUMMYFUNCTION("GOOGLETRANSLATE(D794,""zh-CN"",""vi"")"),"Giọng nói của ông ấy rất yếu.")</f>
        <v>Giọng nói của ông ấy rất yếu.</v>
      </c>
      <c r="F794" s="101" t="s">
        <v>10338</v>
      </c>
      <c r="G794" s="98" t="b">
        <f t="shared" si="1"/>
        <v>1</v>
      </c>
      <c r="H794" s="99" t="b">
        <v>0</v>
      </c>
      <c r="I794" s="99" t="b">
        <v>0</v>
      </c>
      <c r="J794" s="99" t="b">
        <v>0</v>
      </c>
      <c r="K794" s="99" t="b">
        <v>0</v>
      </c>
      <c r="L794" s="99" t="b">
        <v>0</v>
      </c>
      <c r="M794" s="99" t="b">
        <v>0</v>
      </c>
      <c r="N794" s="99" t="b">
        <v>0</v>
      </c>
      <c r="O794" s="99" t="b">
        <v>0</v>
      </c>
      <c r="P794" s="99" t="b">
        <v>0</v>
      </c>
      <c r="Q794" s="99" t="b">
        <v>0</v>
      </c>
      <c r="R794" s="14"/>
      <c r="S794" s="14"/>
      <c r="T794" s="14"/>
      <c r="U794" s="14"/>
      <c r="V794" s="14"/>
      <c r="W794" s="14"/>
    </row>
    <row r="795" ht="35.25" customHeight="1">
      <c r="A795" s="92" t="s">
        <v>10346</v>
      </c>
      <c r="B795" s="93" t="s">
        <v>10347</v>
      </c>
      <c r="C795" s="94" t="s">
        <v>10348</v>
      </c>
      <c r="D795" s="95" t="s">
        <v>10349</v>
      </c>
      <c r="E795" s="96" t="str">
        <f>IFERROR(__xludf.DUMMYFUNCTION("GOOGLETRANSLATE(D795,""zh-CN"",""vi"")"),"Họ đổ nước xuống đất.")</f>
        <v>Họ đổ nước xuống đất.</v>
      </c>
      <c r="F795" s="101" t="s">
        <v>10346</v>
      </c>
      <c r="G795" s="98" t="b">
        <f t="shared" si="1"/>
        <v>1</v>
      </c>
      <c r="H795" s="99" t="b">
        <v>0</v>
      </c>
      <c r="I795" s="99" t="b">
        <v>0</v>
      </c>
      <c r="J795" s="99" t="b">
        <v>0</v>
      </c>
      <c r="K795" s="99" t="b">
        <v>0</v>
      </c>
      <c r="L795" s="99" t="b">
        <v>0</v>
      </c>
      <c r="M795" s="99" t="b">
        <v>0</v>
      </c>
      <c r="N795" s="99" t="b">
        <v>0</v>
      </c>
      <c r="O795" s="99" t="b">
        <v>0</v>
      </c>
      <c r="P795" s="99" t="b">
        <v>0</v>
      </c>
      <c r="Q795" s="99" t="b">
        <v>0</v>
      </c>
      <c r="R795" s="14"/>
      <c r="S795" s="14"/>
      <c r="T795" s="14"/>
      <c r="U795" s="14"/>
      <c r="V795" s="14"/>
      <c r="W795" s="14"/>
    </row>
    <row r="796" ht="35.25" customHeight="1">
      <c r="A796" s="92" t="s">
        <v>10354</v>
      </c>
      <c r="B796" s="93" t="s">
        <v>10355</v>
      </c>
      <c r="C796" s="94" t="s">
        <v>10356</v>
      </c>
      <c r="D796" s="95" t="s">
        <v>10357</v>
      </c>
      <c r="E796" s="96" t="str">
        <f>IFERROR(__xludf.DUMMYFUNCTION("GOOGLETRANSLATE(D796,""zh-CN"",""vi"")"),"Giọng cô ấy rất khàn.")</f>
        <v>Giọng cô ấy rất khàn.</v>
      </c>
      <c r="F796" s="101" t="s">
        <v>10354</v>
      </c>
      <c r="G796" s="98" t="b">
        <f t="shared" si="1"/>
        <v>1</v>
      </c>
      <c r="H796" s="99" t="b">
        <v>1</v>
      </c>
      <c r="I796" s="99" t="b">
        <v>0</v>
      </c>
      <c r="J796" s="99" t="b">
        <v>0</v>
      </c>
      <c r="K796" s="99" t="b">
        <v>0</v>
      </c>
      <c r="L796" s="99" t="b">
        <v>0</v>
      </c>
      <c r="M796" s="99" t="b">
        <v>0</v>
      </c>
      <c r="N796" s="99" t="b">
        <v>0</v>
      </c>
      <c r="O796" s="99" t="b">
        <v>0</v>
      </c>
      <c r="P796" s="99" t="b">
        <v>0</v>
      </c>
      <c r="Q796" s="99" t="b">
        <v>0</v>
      </c>
      <c r="R796" s="14"/>
      <c r="S796" s="14"/>
      <c r="T796" s="14"/>
      <c r="U796" s="14"/>
      <c r="V796" s="14"/>
      <c r="W796" s="14"/>
    </row>
    <row r="797" ht="35.25" customHeight="1">
      <c r="A797" s="92" t="s">
        <v>10362</v>
      </c>
      <c r="B797" s="93" t="s">
        <v>10363</v>
      </c>
      <c r="C797" s="94" t="s">
        <v>2553</v>
      </c>
      <c r="D797" s="95" t="s">
        <v>10364</v>
      </c>
      <c r="E797" s="96" t="str">
        <f>IFERROR(__xludf.DUMMYFUNCTION("GOOGLETRANSLATE(D797,""zh-CN"",""vi"")"),"Màu sắc trong bức tranh này rất rực rỡ.")</f>
        <v>Màu sắc trong bức tranh này rất rực rỡ.</v>
      </c>
      <c r="F797" s="101" t="s">
        <v>10362</v>
      </c>
      <c r="G797" s="98" t="b">
        <f t="shared" si="1"/>
        <v>1</v>
      </c>
      <c r="H797" s="99" t="b">
        <v>1</v>
      </c>
      <c r="I797" s="99" t="b">
        <v>0</v>
      </c>
      <c r="J797" s="99" t="b">
        <v>0</v>
      </c>
      <c r="K797" s="99" t="b">
        <v>0</v>
      </c>
      <c r="L797" s="99" t="b">
        <v>0</v>
      </c>
      <c r="M797" s="99" t="b">
        <v>0</v>
      </c>
      <c r="N797" s="99" t="b">
        <v>0</v>
      </c>
      <c r="O797" s="99" t="b">
        <v>0</v>
      </c>
      <c r="P797" s="99" t="b">
        <v>0</v>
      </c>
      <c r="Q797" s="99" t="b">
        <v>0</v>
      </c>
      <c r="R797" s="14"/>
      <c r="S797" s="14"/>
      <c r="T797" s="14"/>
      <c r="U797" s="14"/>
      <c r="V797" s="14"/>
      <c r="W797" s="14"/>
    </row>
    <row r="798" ht="35.25" customHeight="1">
      <c r="A798" s="92" t="s">
        <v>10368</v>
      </c>
      <c r="B798" s="93" t="s">
        <v>10369</v>
      </c>
      <c r="C798" s="94" t="s">
        <v>10370</v>
      </c>
      <c r="D798" s="95" t="s">
        <v>10371</v>
      </c>
      <c r="E798" s="96" t="str">
        <f>IFERROR(__xludf.DUMMYFUNCTION("GOOGLETRANSLATE(D798,""zh-CN"",""vi"")"),"Anh ta đã giết một con vật gây hại.")</f>
        <v>Anh ta đã giết một con vật gây hại.</v>
      </c>
      <c r="F798" s="101" t="s">
        <v>10368</v>
      </c>
      <c r="G798" s="98" t="b">
        <f t="shared" si="1"/>
        <v>1</v>
      </c>
      <c r="H798" s="99" t="b">
        <v>1</v>
      </c>
      <c r="I798" s="99" t="b">
        <v>0</v>
      </c>
      <c r="J798" s="99" t="b">
        <v>0</v>
      </c>
      <c r="K798" s="99" t="b">
        <v>0</v>
      </c>
      <c r="L798" s="99" t="b">
        <v>0</v>
      </c>
      <c r="M798" s="99" t="b">
        <v>0</v>
      </c>
      <c r="N798" s="99" t="b">
        <v>0</v>
      </c>
      <c r="O798" s="99" t="b">
        <v>0</v>
      </c>
      <c r="P798" s="99" t="b">
        <v>0</v>
      </c>
      <c r="Q798" s="99" t="b">
        <v>0</v>
      </c>
      <c r="R798" s="14"/>
      <c r="S798" s="14"/>
      <c r="T798" s="14"/>
      <c r="U798" s="14"/>
      <c r="V798" s="14"/>
      <c r="W798" s="14"/>
    </row>
    <row r="799" ht="35.25" customHeight="1">
      <c r="A799" s="92" t="s">
        <v>10376</v>
      </c>
      <c r="B799" s="93" t="s">
        <v>10377</v>
      </c>
      <c r="C799" s="94" t="s">
        <v>10378</v>
      </c>
      <c r="D799" s="95" t="s">
        <v>10379</v>
      </c>
      <c r="E799" s="96" t="str">
        <f>IFERROR(__xludf.DUMMYFUNCTION("GOOGLETRANSLATE(D799,""zh-CN"",""vi"")"),"Ở sa mạc có rất ít thực vật.")</f>
        <v>Ở sa mạc có rất ít thực vật.</v>
      </c>
      <c r="F799" s="101" t="s">
        <v>10376</v>
      </c>
      <c r="G799" s="98" t="b">
        <f t="shared" si="1"/>
        <v>1</v>
      </c>
      <c r="H799" s="99" t="b">
        <v>1</v>
      </c>
      <c r="I799" s="99" t="b">
        <v>0</v>
      </c>
      <c r="J799" s="99" t="b">
        <v>0</v>
      </c>
      <c r="K799" s="99" t="b">
        <v>0</v>
      </c>
      <c r="L799" s="99" t="b">
        <v>0</v>
      </c>
      <c r="M799" s="99" t="b">
        <v>0</v>
      </c>
      <c r="N799" s="99" t="b">
        <v>0</v>
      </c>
      <c r="O799" s="99" t="b">
        <v>0</v>
      </c>
      <c r="P799" s="99" t="b">
        <v>0</v>
      </c>
      <c r="Q799" s="99" t="b">
        <v>0</v>
      </c>
      <c r="R799" s="14"/>
      <c r="S799" s="14"/>
      <c r="T799" s="14"/>
      <c r="U799" s="14"/>
      <c r="V799" s="14"/>
      <c r="W799" s="14"/>
    </row>
    <row r="800" ht="35.25" customHeight="1">
      <c r="A800" s="92" t="s">
        <v>10389</v>
      </c>
      <c r="B800" s="93" t="s">
        <v>10391</v>
      </c>
      <c r="C800" s="94" t="s">
        <v>10393</v>
      </c>
      <c r="D800" s="95" t="s">
        <v>10394</v>
      </c>
      <c r="E800" s="96" t="str">
        <f>IFERROR(__xludf.DUMMYFUNCTION("GOOGLETRANSLATE(D800,""zh-CN"",""vi"")"),"Chúng tôi đã đi dạo trên bãi biển.")</f>
        <v>Chúng tôi đã đi dạo trên bãi biển.</v>
      </c>
      <c r="F800" s="101" t="s">
        <v>10389</v>
      </c>
      <c r="G800" s="98" t="b">
        <f t="shared" si="1"/>
        <v>1</v>
      </c>
      <c r="H800" s="99" t="b">
        <v>1</v>
      </c>
      <c r="I800" s="99" t="b">
        <v>0</v>
      </c>
      <c r="J800" s="99" t="b">
        <v>0</v>
      </c>
      <c r="K800" s="99" t="b">
        <v>0</v>
      </c>
      <c r="L800" s="99" t="b">
        <v>0</v>
      </c>
      <c r="M800" s="99" t="b">
        <v>0</v>
      </c>
      <c r="N800" s="99" t="b">
        <v>0</v>
      </c>
      <c r="O800" s="99" t="b">
        <v>0</v>
      </c>
      <c r="P800" s="99" t="b">
        <v>0</v>
      </c>
      <c r="Q800" s="99" t="b">
        <v>0</v>
      </c>
      <c r="R800" s="14"/>
      <c r="S800" s="14"/>
      <c r="T800" s="14"/>
      <c r="U800" s="14"/>
      <c r="V800" s="14"/>
      <c r="W800" s="14"/>
    </row>
    <row r="801" ht="35.25" customHeight="1">
      <c r="A801" s="92" t="s">
        <v>10396</v>
      </c>
      <c r="B801" s="93" t="s">
        <v>10398</v>
      </c>
      <c r="C801" s="94" t="s">
        <v>436</v>
      </c>
      <c r="D801" s="95" t="s">
        <v>10401</v>
      </c>
      <c r="E801" s="96" t="str">
        <f>IFERROR(__xludf.DUMMYFUNCTION("GOOGLETRANSLATE(D801,""zh-CN"",""vi"")"),"Anh ấy lúc nào cũng làm những chuyện ngớ ngẩn.")</f>
        <v>Anh ấy lúc nào cũng làm những chuyện ngớ ngẩn.</v>
      </c>
      <c r="F801" s="101" t="s">
        <v>10396</v>
      </c>
      <c r="G801" s="98" t="b">
        <f t="shared" si="1"/>
        <v>1</v>
      </c>
      <c r="H801" s="99" t="b">
        <v>1</v>
      </c>
      <c r="I801" s="99" t="b">
        <v>0</v>
      </c>
      <c r="J801" s="99" t="b">
        <v>0</v>
      </c>
      <c r="K801" s="99" t="b">
        <v>0</v>
      </c>
      <c r="L801" s="99" t="b">
        <v>0</v>
      </c>
      <c r="M801" s="99" t="b">
        <v>0</v>
      </c>
      <c r="N801" s="99" t="b">
        <v>0</v>
      </c>
      <c r="O801" s="99" t="b">
        <v>0</v>
      </c>
      <c r="P801" s="99" t="b">
        <v>0</v>
      </c>
      <c r="Q801" s="99" t="b">
        <v>0</v>
      </c>
      <c r="R801" s="14"/>
      <c r="S801" s="14"/>
      <c r="T801" s="14"/>
      <c r="U801" s="14"/>
      <c r="V801" s="14"/>
      <c r="W801" s="14"/>
    </row>
    <row r="802" ht="35.25" customHeight="1">
      <c r="A802" s="92" t="s">
        <v>10404</v>
      </c>
      <c r="B802" s="93" t="s">
        <v>10406</v>
      </c>
      <c r="C802" s="94" t="s">
        <v>10408</v>
      </c>
      <c r="D802" s="95" t="s">
        <v>10409</v>
      </c>
      <c r="E802" s="96" t="str">
        <f>IFERROR(__xludf.DUMMYFUNCTION("GOOGLETRANSLATE(D802,""zh-CN"",""vi"")"),"Tôi thích tắm nắng.")</f>
        <v>Tôi thích tắm nắng.</v>
      </c>
      <c r="F802" s="101" t="s">
        <v>10404</v>
      </c>
      <c r="G802" s="98" t="b">
        <f t="shared" si="1"/>
        <v>1</v>
      </c>
      <c r="H802" s="99" t="b">
        <v>1</v>
      </c>
      <c r="I802" s="99" t="b">
        <v>0</v>
      </c>
      <c r="J802" s="99" t="b">
        <v>0</v>
      </c>
      <c r="K802" s="99" t="b">
        <v>0</v>
      </c>
      <c r="L802" s="99" t="b">
        <v>0</v>
      </c>
      <c r="M802" s="99" t="b">
        <v>0</v>
      </c>
      <c r="N802" s="99" t="b">
        <v>0</v>
      </c>
      <c r="O802" s="99" t="b">
        <v>0</v>
      </c>
      <c r="P802" s="99" t="b">
        <v>0</v>
      </c>
      <c r="Q802" s="99" t="b">
        <v>0</v>
      </c>
      <c r="R802" s="14"/>
      <c r="S802" s="14"/>
      <c r="T802" s="14"/>
      <c r="U802" s="14"/>
      <c r="V802" s="14"/>
      <c r="W802" s="14"/>
    </row>
    <row r="803" ht="35.25" customHeight="1">
      <c r="A803" s="92" t="s">
        <v>10410</v>
      </c>
      <c r="B803" s="93" t="s">
        <v>10412</v>
      </c>
      <c r="C803" s="94" t="s">
        <v>10414</v>
      </c>
      <c r="D803" s="95" t="s">
        <v>10415</v>
      </c>
      <c r="E803" s="96" t="str">
        <f>IFERROR(__xludf.DUMMYFUNCTION("GOOGLETRANSLATE(D803,""zh-CN"",""vi"")"),"Vui lòng xóa tập tin bị lỗi này.")</f>
        <v>Vui lòng xóa tập tin bị lỗi này.</v>
      </c>
      <c r="F803" s="101" t="s">
        <v>10410</v>
      </c>
      <c r="G803" s="98" t="b">
        <f t="shared" si="1"/>
        <v>1</v>
      </c>
      <c r="H803" s="99" t="b">
        <v>1</v>
      </c>
      <c r="I803" s="99" t="b">
        <v>0</v>
      </c>
      <c r="J803" s="99" t="b">
        <v>0</v>
      </c>
      <c r="K803" s="99" t="b">
        <v>0</v>
      </c>
      <c r="L803" s="99" t="b">
        <v>0</v>
      </c>
      <c r="M803" s="99" t="b">
        <v>0</v>
      </c>
      <c r="N803" s="99" t="b">
        <v>0</v>
      </c>
      <c r="O803" s="99" t="b">
        <v>0</v>
      </c>
      <c r="P803" s="99" t="b">
        <v>0</v>
      </c>
      <c r="Q803" s="99" t="b">
        <v>0</v>
      </c>
      <c r="R803" s="14"/>
      <c r="S803" s="14"/>
      <c r="T803" s="14"/>
      <c r="U803" s="14"/>
      <c r="V803" s="14"/>
      <c r="W803" s="14"/>
    </row>
    <row r="804" ht="35.25" customHeight="1">
      <c r="A804" s="92" t="s">
        <v>10417</v>
      </c>
      <c r="B804" s="93" t="s">
        <v>10418</v>
      </c>
      <c r="C804" s="94" t="s">
        <v>10420</v>
      </c>
      <c r="D804" s="95" t="s">
        <v>10421</v>
      </c>
      <c r="E804" s="96" t="str">
        <f>IFERROR(__xludf.DUMMYFUNCTION("GOOGLETRANSLATE(D804,""zh-CN"",""vi"")"),"Đêm qua tia sét rất sáng.")</f>
        <v>Đêm qua tia sét rất sáng.</v>
      </c>
      <c r="F804" s="101" t="s">
        <v>10417</v>
      </c>
      <c r="G804" s="98" t="b">
        <f t="shared" si="1"/>
        <v>1</v>
      </c>
      <c r="H804" s="99" t="b">
        <v>1</v>
      </c>
      <c r="I804" s="99" t="b">
        <v>0</v>
      </c>
      <c r="J804" s="99" t="b">
        <v>0</v>
      </c>
      <c r="K804" s="99" t="b">
        <v>0</v>
      </c>
      <c r="L804" s="99" t="b">
        <v>0</v>
      </c>
      <c r="M804" s="99" t="b">
        <v>0</v>
      </c>
      <c r="N804" s="99" t="b">
        <v>0</v>
      </c>
      <c r="O804" s="99" t="b">
        <v>0</v>
      </c>
      <c r="P804" s="99" t="b">
        <v>0</v>
      </c>
      <c r="Q804" s="99" t="b">
        <v>0</v>
      </c>
      <c r="R804" s="14"/>
      <c r="S804" s="14"/>
      <c r="T804" s="14"/>
      <c r="U804" s="14"/>
      <c r="V804" s="14"/>
      <c r="W804" s="14"/>
    </row>
    <row r="805" ht="35.25" customHeight="1">
      <c r="A805" s="92" t="s">
        <v>10425</v>
      </c>
      <c r="B805" s="93" t="s">
        <v>10426</v>
      </c>
      <c r="C805" s="94" t="s">
        <v>10427</v>
      </c>
      <c r="D805" s="95" t="s">
        <v>10428</v>
      </c>
      <c r="E805" s="96" t="str">
        <f>IFERROR(__xludf.DUMMYFUNCTION("GOOGLETRANSLATE(D805,""zh-CN"",""vi"")"),"Cô ấy dùng quạt để quạt cho mọi người.")</f>
        <v>Cô ấy dùng quạt để quạt cho mọi người.</v>
      </c>
      <c r="F805" s="101" t="s">
        <v>10425</v>
      </c>
      <c r="G805" s="98" t="b">
        <f t="shared" si="1"/>
        <v>1</v>
      </c>
      <c r="H805" s="99" t="b">
        <v>1</v>
      </c>
      <c r="I805" s="99" t="b">
        <v>0</v>
      </c>
      <c r="J805" s="99" t="b">
        <v>0</v>
      </c>
      <c r="K805" s="99" t="b">
        <v>0</v>
      </c>
      <c r="L805" s="99" t="b">
        <v>0</v>
      </c>
      <c r="M805" s="99" t="b">
        <v>0</v>
      </c>
      <c r="N805" s="99" t="b">
        <v>0</v>
      </c>
      <c r="O805" s="99" t="b">
        <v>0</v>
      </c>
      <c r="P805" s="99" t="b">
        <v>0</v>
      </c>
      <c r="Q805" s="99" t="b">
        <v>0</v>
      </c>
      <c r="R805" s="14"/>
      <c r="S805" s="14"/>
      <c r="T805" s="14"/>
      <c r="U805" s="14"/>
      <c r="V805" s="14"/>
      <c r="W805" s="14"/>
    </row>
    <row r="806" ht="35.25" customHeight="1">
      <c r="A806" s="92" t="s">
        <v>10433</v>
      </c>
      <c r="B806" s="93" t="s">
        <v>10434</v>
      </c>
      <c r="C806" s="94" t="s">
        <v>10435</v>
      </c>
      <c r="D806" s="95" t="s">
        <v>10436</v>
      </c>
      <c r="E806" s="96" t="str">
        <f>IFERROR(__xludf.DUMMYFUNCTION("GOOGLETRANSLATE(D806,""zh-CN"",""vi"")"),"Anh ấy là một người rất tốt bụng.")</f>
        <v>Anh ấy là một người rất tốt bụng.</v>
      </c>
      <c r="F806" s="101" t="s">
        <v>10433</v>
      </c>
      <c r="G806" s="98" t="b">
        <f t="shared" si="1"/>
        <v>1</v>
      </c>
      <c r="H806" s="99" t="b">
        <v>1</v>
      </c>
      <c r="I806" s="99" t="b">
        <v>0</v>
      </c>
      <c r="J806" s="99" t="b">
        <v>0</v>
      </c>
      <c r="K806" s="99" t="b">
        <v>0</v>
      </c>
      <c r="L806" s="99" t="b">
        <v>0</v>
      </c>
      <c r="M806" s="99" t="b">
        <v>0</v>
      </c>
      <c r="N806" s="99" t="b">
        <v>0</v>
      </c>
      <c r="O806" s="99" t="b">
        <v>0</v>
      </c>
      <c r="P806" s="99" t="b">
        <v>0</v>
      </c>
      <c r="Q806" s="99" t="b">
        <v>0</v>
      </c>
      <c r="R806" s="14"/>
      <c r="S806" s="14"/>
      <c r="T806" s="14"/>
      <c r="U806" s="14"/>
      <c r="V806" s="14"/>
      <c r="W806" s="14"/>
    </row>
    <row r="807" ht="35.25" customHeight="1">
      <c r="A807" s="92" t="s">
        <v>10441</v>
      </c>
      <c r="B807" s="93" t="s">
        <v>10442</v>
      </c>
      <c r="C807" s="94" t="s">
        <v>10443</v>
      </c>
      <c r="D807" s="95" t="s">
        <v>10444</v>
      </c>
      <c r="E807" s="96" t="str">
        <f>IFERROR(__xludf.DUMMYFUNCTION("GOOGLETRANSLATE(D807,""zh-CN"",""vi"")"),"Cô ấy giỏi giao tiếp với mọi người.")</f>
        <v>Cô ấy giỏi giao tiếp với mọi người.</v>
      </c>
      <c r="F807" s="101" t="s">
        <v>10441</v>
      </c>
      <c r="G807" s="98" t="b">
        <f t="shared" si="1"/>
        <v>1</v>
      </c>
      <c r="H807" s="99" t="b">
        <v>1</v>
      </c>
      <c r="I807" s="99" t="b">
        <v>0</v>
      </c>
      <c r="J807" s="99" t="b">
        <v>0</v>
      </c>
      <c r="K807" s="99" t="b">
        <v>0</v>
      </c>
      <c r="L807" s="99" t="b">
        <v>0</v>
      </c>
      <c r="M807" s="99" t="b">
        <v>0</v>
      </c>
      <c r="N807" s="99" t="b">
        <v>0</v>
      </c>
      <c r="O807" s="99" t="b">
        <v>0</v>
      </c>
      <c r="P807" s="99" t="b">
        <v>0</v>
      </c>
      <c r="Q807" s="99" t="b">
        <v>0</v>
      </c>
      <c r="R807" s="14"/>
      <c r="S807" s="14"/>
      <c r="T807" s="14"/>
      <c r="U807" s="14"/>
      <c r="V807" s="14"/>
      <c r="W807" s="14"/>
    </row>
    <row r="808" ht="35.25" customHeight="1">
      <c r="A808" s="92" t="s">
        <v>10448</v>
      </c>
      <c r="B808" s="93" t="s">
        <v>10449</v>
      </c>
      <c r="C808" s="94" t="s">
        <v>10450</v>
      </c>
      <c r="D808" s="95" t="s">
        <v>10451</v>
      </c>
      <c r="E808" s="96" t="str">
        <f>IFERROR(__xludf.DUMMYFUNCTION("GOOGLETRANSLATE(D808,""zh-CN"",""vi"")"),"Thuốc này có thể gây hại cho dạ dày của bạn.")</f>
        <v>Thuốc này có thể gây hại cho dạ dày của bạn.</v>
      </c>
      <c r="F808" s="101" t="s">
        <v>10448</v>
      </c>
      <c r="G808" s="98" t="b">
        <f t="shared" si="1"/>
        <v>1</v>
      </c>
      <c r="H808" s="99" t="b">
        <v>1</v>
      </c>
      <c r="I808" s="99" t="b">
        <v>0</v>
      </c>
      <c r="J808" s="99" t="b">
        <v>0</v>
      </c>
      <c r="K808" s="99" t="b">
        <v>0</v>
      </c>
      <c r="L808" s="99" t="b">
        <v>0</v>
      </c>
      <c r="M808" s="99" t="b">
        <v>0</v>
      </c>
      <c r="N808" s="99" t="b">
        <v>0</v>
      </c>
      <c r="O808" s="99" t="b">
        <v>0</v>
      </c>
      <c r="P808" s="99" t="b">
        <v>0</v>
      </c>
      <c r="Q808" s="99" t="b">
        <v>0</v>
      </c>
      <c r="R808" s="14"/>
      <c r="S808" s="14"/>
      <c r="T808" s="14"/>
      <c r="U808" s="14"/>
      <c r="V808" s="14"/>
      <c r="W808" s="14"/>
    </row>
    <row r="809" ht="35.25" customHeight="1">
      <c r="A809" s="92" t="s">
        <v>10456</v>
      </c>
      <c r="B809" s="93" t="s">
        <v>10457</v>
      </c>
      <c r="C809" s="94" t="s">
        <v>4970</v>
      </c>
      <c r="D809" s="95" t="s">
        <v>10458</v>
      </c>
      <c r="E809" s="96" t="str">
        <f>IFERROR(__xludf.DUMMYFUNCTION("GOOGLETRANSLATE(D809,""zh-CN"",""vi"")"),"Cửa hàng này bán đủ loại hàng hóa.")</f>
        <v>Cửa hàng này bán đủ loại hàng hóa.</v>
      </c>
      <c r="F809" s="101" t="s">
        <v>10456</v>
      </c>
      <c r="G809" s="98" t="b">
        <f t="shared" si="1"/>
        <v>1</v>
      </c>
      <c r="H809" s="99" t="b">
        <v>1</v>
      </c>
      <c r="I809" s="99" t="b">
        <v>0</v>
      </c>
      <c r="J809" s="99" t="b">
        <v>0</v>
      </c>
      <c r="K809" s="99" t="b">
        <v>0</v>
      </c>
      <c r="L809" s="99" t="b">
        <v>0</v>
      </c>
      <c r="M809" s="99" t="b">
        <v>0</v>
      </c>
      <c r="N809" s="99" t="b">
        <v>0</v>
      </c>
      <c r="O809" s="99" t="b">
        <v>0</v>
      </c>
      <c r="P809" s="99" t="b">
        <v>0</v>
      </c>
      <c r="Q809" s="99" t="b">
        <v>0</v>
      </c>
      <c r="R809" s="14"/>
      <c r="S809" s="14"/>
      <c r="T809" s="14"/>
      <c r="U809" s="14"/>
      <c r="V809" s="14"/>
      <c r="W809" s="14"/>
    </row>
    <row r="810" ht="35.25" customHeight="1">
      <c r="A810" s="92" t="s">
        <v>10463</v>
      </c>
      <c r="B810" s="93" t="s">
        <v>10464</v>
      </c>
      <c r="C810" s="94" t="s">
        <v>10465</v>
      </c>
      <c r="D810" s="95" t="s">
        <v>10466</v>
      </c>
      <c r="E810" s="96" t="str">
        <f>IFERROR(__xludf.DUMMYFUNCTION("GOOGLETRANSLATE(D810,""zh-CN"",""vi"")"),"Cuộc họp kinh doanh của chúng ta sẽ được tổ chức vào ngày mai.")</f>
        <v>Cuộc họp kinh doanh của chúng ta sẽ được tổ chức vào ngày mai.</v>
      </c>
      <c r="F810" s="101" t="s">
        <v>10463</v>
      </c>
      <c r="G810" s="98" t="b">
        <f t="shared" si="1"/>
        <v>1</v>
      </c>
      <c r="H810" s="99" t="b">
        <v>1</v>
      </c>
      <c r="I810" s="99" t="b">
        <v>0</v>
      </c>
      <c r="J810" s="99" t="b">
        <v>0</v>
      </c>
      <c r="K810" s="99" t="b">
        <v>0</v>
      </c>
      <c r="L810" s="99" t="b">
        <v>0</v>
      </c>
      <c r="M810" s="99" t="b">
        <v>0</v>
      </c>
      <c r="N810" s="99" t="b">
        <v>0</v>
      </c>
      <c r="O810" s="99" t="b">
        <v>0</v>
      </c>
      <c r="P810" s="99" t="b">
        <v>0</v>
      </c>
      <c r="Q810" s="99" t="b">
        <v>0</v>
      </c>
      <c r="R810" s="14"/>
      <c r="S810" s="14"/>
      <c r="T810" s="14"/>
      <c r="U810" s="14"/>
      <c r="V810" s="14"/>
      <c r="W810" s="14"/>
    </row>
    <row r="811" ht="35.25" customHeight="1">
      <c r="A811" s="92" t="s">
        <v>10470</v>
      </c>
      <c r="B811" s="93" t="s">
        <v>10471</v>
      </c>
      <c r="C811" s="94" t="s">
        <v>9018</v>
      </c>
      <c r="D811" s="95" t="s">
        <v>10472</v>
      </c>
      <c r="E811" s="96" t="str">
        <f>IFERROR(__xludf.DUMMYFUNCTION("GOOGLETRANSLATE(D811,""zh-CN"",""vi"")"),"Đây là một cơ hội kinh doanh.")</f>
        <v>Đây là một cơ hội kinh doanh.</v>
      </c>
      <c r="F811" s="101" t="s">
        <v>10470</v>
      </c>
      <c r="G811" s="98" t="b">
        <f t="shared" si="1"/>
        <v>1</v>
      </c>
      <c r="H811" s="99" t="b">
        <v>1</v>
      </c>
      <c r="I811" s="99" t="b">
        <v>0</v>
      </c>
      <c r="J811" s="99" t="b">
        <v>0</v>
      </c>
      <c r="K811" s="99" t="b">
        <v>0</v>
      </c>
      <c r="L811" s="99" t="b">
        <v>0</v>
      </c>
      <c r="M811" s="99" t="b">
        <v>0</v>
      </c>
      <c r="N811" s="99" t="b">
        <v>0</v>
      </c>
      <c r="O811" s="99" t="b">
        <v>0</v>
      </c>
      <c r="P811" s="99" t="b">
        <v>0</v>
      </c>
      <c r="Q811" s="99" t="b">
        <v>0</v>
      </c>
      <c r="R811" s="14"/>
      <c r="S811" s="14"/>
      <c r="T811" s="14"/>
      <c r="U811" s="14"/>
      <c r="V811" s="14"/>
      <c r="W811" s="14"/>
    </row>
    <row r="812" ht="35.25" customHeight="1">
      <c r="A812" s="92" t="s">
        <v>10477</v>
      </c>
      <c r="B812" s="93" t="s">
        <v>10478</v>
      </c>
      <c r="C812" s="94" t="s">
        <v>10479</v>
      </c>
      <c r="D812" s="95" t="s">
        <v>10480</v>
      </c>
      <c r="E812" s="96" t="str">
        <f>IFERROR(__xludf.DUMMYFUNCTION("GOOGLETRANSLATE(D812,""zh-CN"",""vi"")"),"Anh ta bị lừa và mất tiền.")</f>
        <v>Anh ta bị lừa và mất tiền.</v>
      </c>
      <c r="F812" s="101" t="s">
        <v>10477</v>
      </c>
      <c r="G812" s="98" t="b">
        <f t="shared" si="1"/>
        <v>1</v>
      </c>
      <c r="H812" s="99" t="b">
        <v>1</v>
      </c>
      <c r="I812" s="99" t="b">
        <v>0</v>
      </c>
      <c r="J812" s="99" t="b">
        <v>0</v>
      </c>
      <c r="K812" s="99" t="b">
        <v>0</v>
      </c>
      <c r="L812" s="99" t="b">
        <v>0</v>
      </c>
      <c r="M812" s="99" t="b">
        <v>0</v>
      </c>
      <c r="N812" s="99" t="b">
        <v>0</v>
      </c>
      <c r="O812" s="99" t="b">
        <v>0</v>
      </c>
      <c r="P812" s="99" t="b">
        <v>0</v>
      </c>
      <c r="Q812" s="99" t="b">
        <v>0</v>
      </c>
      <c r="R812" s="14"/>
      <c r="S812" s="14"/>
      <c r="T812" s="14"/>
      <c r="U812" s="14"/>
      <c r="V812" s="14"/>
      <c r="W812" s="14"/>
    </row>
    <row r="813" ht="35.25" customHeight="1">
      <c r="A813" s="92" t="s">
        <v>10485</v>
      </c>
      <c r="B813" s="93" t="s">
        <v>10486</v>
      </c>
      <c r="C813" s="94" t="s">
        <v>10487</v>
      </c>
      <c r="D813" s="95" t="s">
        <v>10488</v>
      </c>
      <c r="E813" s="96" t="str">
        <f>IFERROR(__xludf.DUMMYFUNCTION("GOOGLETRANSLATE(D813,""zh-CN"",""vi"")"),"Chúng tôi nhìn thấy một con rắn trong vườn.")</f>
        <v>Chúng tôi nhìn thấy một con rắn trong vườn.</v>
      </c>
      <c r="F813" s="101" t="s">
        <v>10485</v>
      </c>
      <c r="G813" s="98" t="b">
        <f t="shared" si="1"/>
        <v>1</v>
      </c>
      <c r="H813" s="99" t="b">
        <v>1</v>
      </c>
      <c r="I813" s="99" t="b">
        <v>0</v>
      </c>
      <c r="J813" s="99" t="b">
        <v>0</v>
      </c>
      <c r="K813" s="99" t="b">
        <v>0</v>
      </c>
      <c r="L813" s="99" t="b">
        <v>0</v>
      </c>
      <c r="M813" s="99" t="b">
        <v>0</v>
      </c>
      <c r="N813" s="99" t="b">
        <v>0</v>
      </c>
      <c r="O813" s="99" t="b">
        <v>0</v>
      </c>
      <c r="P813" s="99" t="b">
        <v>0</v>
      </c>
      <c r="Q813" s="99" t="b">
        <v>0</v>
      </c>
      <c r="R813" s="14"/>
      <c r="S813" s="14"/>
      <c r="T813" s="14"/>
      <c r="U813" s="14"/>
      <c r="V813" s="14"/>
      <c r="W813" s="14"/>
    </row>
    <row r="814" ht="35.25" customHeight="1">
      <c r="A814" s="92" t="s">
        <v>10492</v>
      </c>
      <c r="B814" s="93" t="s">
        <v>10493</v>
      </c>
      <c r="C814" s="102" t="s">
        <v>10494</v>
      </c>
      <c r="D814" s="95" t="s">
        <v>10495</v>
      </c>
      <c r="E814" s="96" t="str">
        <f>IFERROR(__xludf.DUMMYFUNCTION("GOOGLETRANSLATE(D814,""zh-CN"",""vi"")"),"Tôi không muốn rời khỏi thành phố này.")</f>
        <v>Tôi không muốn rời khỏi thành phố này.</v>
      </c>
      <c r="F814" s="101" t="s">
        <v>10492</v>
      </c>
      <c r="G814" s="98" t="b">
        <f t="shared" si="1"/>
        <v>1</v>
      </c>
      <c r="H814" s="99" t="b">
        <v>1</v>
      </c>
      <c r="I814" s="99" t="b">
        <v>0</v>
      </c>
      <c r="J814" s="99" t="b">
        <v>0</v>
      </c>
      <c r="K814" s="99" t="b">
        <v>0</v>
      </c>
      <c r="L814" s="99" t="b">
        <v>0</v>
      </c>
      <c r="M814" s="99" t="b">
        <v>0</v>
      </c>
      <c r="N814" s="99" t="b">
        <v>0</v>
      </c>
      <c r="O814" s="99" t="b">
        <v>0</v>
      </c>
      <c r="P814" s="99" t="b">
        <v>0</v>
      </c>
      <c r="Q814" s="99" t="b">
        <v>0</v>
      </c>
      <c r="R814" s="14"/>
      <c r="S814" s="14"/>
      <c r="T814" s="14"/>
      <c r="U814" s="14"/>
      <c r="V814" s="14"/>
      <c r="W814" s="14"/>
    </row>
    <row r="815" ht="35.25" customHeight="1">
      <c r="A815" s="92" t="s">
        <v>10500</v>
      </c>
      <c r="B815" s="93" t="s">
        <v>10501</v>
      </c>
      <c r="C815" s="94" t="s">
        <v>10502</v>
      </c>
      <c r="D815" s="95" t="s">
        <v>10503</v>
      </c>
      <c r="E815" s="96" t="str">
        <f>IFERROR(__xludf.DUMMYFUNCTION("GOOGLETRANSLATE(D815,""zh-CN"",""vi"")"),"Thiết bị mới đã được lắp đặt.")</f>
        <v>Thiết bị mới đã được lắp đặt.</v>
      </c>
      <c r="F815" s="101" t="s">
        <v>10500</v>
      </c>
      <c r="G815" s="98" t="b">
        <f t="shared" si="1"/>
        <v>1</v>
      </c>
      <c r="H815" s="99" t="b">
        <v>1</v>
      </c>
      <c r="I815" s="99" t="b">
        <v>0</v>
      </c>
      <c r="J815" s="99" t="b">
        <v>0</v>
      </c>
      <c r="K815" s="99" t="b">
        <v>0</v>
      </c>
      <c r="L815" s="99" t="b">
        <v>0</v>
      </c>
      <c r="M815" s="99" t="b">
        <v>0</v>
      </c>
      <c r="N815" s="99" t="b">
        <v>0</v>
      </c>
      <c r="O815" s="99" t="b">
        <v>0</v>
      </c>
      <c r="P815" s="99" t="b">
        <v>0</v>
      </c>
      <c r="Q815" s="99" t="b">
        <v>0</v>
      </c>
      <c r="R815" s="14"/>
      <c r="S815" s="14"/>
      <c r="T815" s="14"/>
      <c r="U815" s="14"/>
      <c r="V815" s="14"/>
      <c r="W815" s="14"/>
    </row>
    <row r="816" ht="35.25" customHeight="1">
      <c r="A816" s="92" t="s">
        <v>10508</v>
      </c>
      <c r="B816" s="93" t="s">
        <v>10509</v>
      </c>
      <c r="C816" s="94" t="s">
        <v>10510</v>
      </c>
      <c r="D816" s="95" t="s">
        <v>10511</v>
      </c>
      <c r="E816" s="96" t="str">
        <f>IFERROR(__xludf.DUMMYFUNCTION("GOOGLETRANSLATE(D816,""zh-CN"",""vi"")"),"Các tác phẩm của nhà thiết kế này rất được ưa chuộng.")</f>
        <v>Các tác phẩm của nhà thiết kế này rất được ưa chuộng.</v>
      </c>
      <c r="F816" s="101" t="s">
        <v>10508</v>
      </c>
      <c r="G816" s="98" t="b">
        <f t="shared" si="1"/>
        <v>1</v>
      </c>
      <c r="H816" s="99" t="b">
        <v>1</v>
      </c>
      <c r="I816" s="99" t="b">
        <v>0</v>
      </c>
      <c r="J816" s="99" t="b">
        <v>0</v>
      </c>
      <c r="K816" s="99" t="b">
        <v>0</v>
      </c>
      <c r="L816" s="99" t="b">
        <v>0</v>
      </c>
      <c r="M816" s="99" t="b">
        <v>0</v>
      </c>
      <c r="N816" s="99" t="b">
        <v>0</v>
      </c>
      <c r="O816" s="99" t="b">
        <v>0</v>
      </c>
      <c r="P816" s="99" t="b">
        <v>0</v>
      </c>
      <c r="Q816" s="99" t="b">
        <v>0</v>
      </c>
      <c r="R816" s="14"/>
      <c r="S816" s="14"/>
      <c r="T816" s="14"/>
      <c r="U816" s="14"/>
      <c r="V816" s="14"/>
      <c r="W816" s="14"/>
    </row>
    <row r="817" ht="35.25" customHeight="1">
      <c r="A817" s="92" t="s">
        <v>10516</v>
      </c>
      <c r="B817" s="93" t="s">
        <v>10517</v>
      </c>
      <c r="C817" s="94" t="s">
        <v>10518</v>
      </c>
      <c r="D817" s="95" t="s">
        <v>10519</v>
      </c>
      <c r="E817" s="96" t="str">
        <f>IFERROR(__xludf.DUMMYFUNCTION("GOOGLETRANSLATE(D817,""zh-CN"",""vi"")"),"Thành phố này có nhiều tiện nghi hiện đại.")</f>
        <v>Thành phố này có nhiều tiện nghi hiện đại.</v>
      </c>
      <c r="F817" s="101" t="s">
        <v>10516</v>
      </c>
      <c r="G817" s="98" t="b">
        <f t="shared" si="1"/>
        <v>1</v>
      </c>
      <c r="H817" s="99" t="b">
        <v>1</v>
      </c>
      <c r="I817" s="99" t="b">
        <v>0</v>
      </c>
      <c r="J817" s="99" t="b">
        <v>0</v>
      </c>
      <c r="K817" s="99" t="b">
        <v>0</v>
      </c>
      <c r="L817" s="99" t="b">
        <v>0</v>
      </c>
      <c r="M817" s="99" t="b">
        <v>0</v>
      </c>
      <c r="N817" s="99" t="b">
        <v>0</v>
      </c>
      <c r="O817" s="99" t="b">
        <v>0</v>
      </c>
      <c r="P817" s="99" t="b">
        <v>0</v>
      </c>
      <c r="Q817" s="99" t="b">
        <v>0</v>
      </c>
      <c r="R817" s="14"/>
      <c r="S817" s="14"/>
      <c r="T817" s="14"/>
      <c r="U817" s="14"/>
      <c r="V817" s="14"/>
      <c r="W817" s="14"/>
    </row>
    <row r="818" ht="35.25" customHeight="1">
      <c r="A818" s="92" t="s">
        <v>10524</v>
      </c>
      <c r="B818" s="93" t="s">
        <v>10525</v>
      </c>
      <c r="C818" s="94" t="s">
        <v>10526</v>
      </c>
      <c r="D818" s="95" t="s">
        <v>10527</v>
      </c>
      <c r="E818" s="96" t="str">
        <f>IFERROR(__xludf.DUMMYFUNCTION("GOOGLETRANSLATE(D818,""zh-CN"",""vi"")"),"Anh ấy thích các môn thể thao bắn súng.")</f>
        <v>Anh ấy thích các môn thể thao bắn súng.</v>
      </c>
      <c r="F818" s="101" t="s">
        <v>10524</v>
      </c>
      <c r="G818" s="98" t="b">
        <f t="shared" si="1"/>
        <v>1</v>
      </c>
      <c r="H818" s="99" t="b">
        <v>1</v>
      </c>
      <c r="I818" s="99" t="b">
        <v>0</v>
      </c>
      <c r="J818" s="99" t="b">
        <v>0</v>
      </c>
      <c r="K818" s="99" t="b">
        <v>0</v>
      </c>
      <c r="L818" s="99" t="b">
        <v>0</v>
      </c>
      <c r="M818" s="99" t="b">
        <v>0</v>
      </c>
      <c r="N818" s="99" t="b">
        <v>0</v>
      </c>
      <c r="O818" s="99" t="b">
        <v>0</v>
      </c>
      <c r="P818" s="99" t="b">
        <v>0</v>
      </c>
      <c r="Q818" s="99" t="b">
        <v>0</v>
      </c>
      <c r="R818" s="14"/>
      <c r="S818" s="14"/>
      <c r="T818" s="14"/>
      <c r="U818" s="14"/>
      <c r="V818" s="14"/>
      <c r="W818" s="14"/>
    </row>
    <row r="819" ht="35.25" customHeight="1">
      <c r="A819" s="92" t="s">
        <v>10532</v>
      </c>
      <c r="B819" s="93" t="s">
        <v>10533</v>
      </c>
      <c r="C819" s="94" t="s">
        <v>10534</v>
      </c>
      <c r="D819" s="95" t="s">
        <v>10535</v>
      </c>
      <c r="E819" s="96" t="str">
        <f>IFERROR(__xludf.DUMMYFUNCTION("GOOGLETRANSLATE(D819,""zh-CN"",""vi"")"),"Cô ấy thích chụp ảnh, đặc biệt là ảnh phong cảnh.")</f>
        <v>Cô ấy thích chụp ảnh, đặc biệt là ảnh phong cảnh.</v>
      </c>
      <c r="F819" s="101" t="s">
        <v>10532</v>
      </c>
      <c r="G819" s="98" t="b">
        <f t="shared" si="1"/>
        <v>1</v>
      </c>
      <c r="H819" s="99" t="b">
        <v>1</v>
      </c>
      <c r="I819" s="99" t="b">
        <v>0</v>
      </c>
      <c r="J819" s="99" t="b">
        <v>0</v>
      </c>
      <c r="K819" s="99" t="b">
        <v>0</v>
      </c>
      <c r="L819" s="99" t="b">
        <v>0</v>
      </c>
      <c r="M819" s="99" t="b">
        <v>0</v>
      </c>
      <c r="N819" s="99" t="b">
        <v>0</v>
      </c>
      <c r="O819" s="99" t="b">
        <v>0</v>
      </c>
      <c r="P819" s="99" t="b">
        <v>0</v>
      </c>
      <c r="Q819" s="99" t="b">
        <v>0</v>
      </c>
      <c r="R819" s="14"/>
      <c r="S819" s="14"/>
      <c r="T819" s="14"/>
      <c r="U819" s="14"/>
      <c r="V819" s="14"/>
      <c r="W819" s="14"/>
    </row>
    <row r="820" ht="35.25" customHeight="1">
      <c r="A820" s="92" t="s">
        <v>10540</v>
      </c>
      <c r="B820" s="93" t="s">
        <v>3773</v>
      </c>
      <c r="C820" s="94" t="s">
        <v>10541</v>
      </c>
      <c r="D820" s="95" t="s">
        <v>10542</v>
      </c>
      <c r="E820" s="96" t="str">
        <f>IFERROR(__xludf.DUMMYFUNCTION("GOOGLETRANSLATE(D820,""zh-CN"",""vi"")"),"Anh ấy vươn vai.")</f>
        <v>Anh ấy vươn vai.</v>
      </c>
      <c r="F820" s="101" t="s">
        <v>10540</v>
      </c>
      <c r="G820" s="98" t="b">
        <f t="shared" si="1"/>
        <v>1</v>
      </c>
      <c r="H820" s="99" t="b">
        <v>1</v>
      </c>
      <c r="I820" s="99" t="b">
        <v>0</v>
      </c>
      <c r="J820" s="99" t="b">
        <v>0</v>
      </c>
      <c r="K820" s="99" t="b">
        <v>0</v>
      </c>
      <c r="L820" s="99" t="b">
        <v>0</v>
      </c>
      <c r="M820" s="99" t="b">
        <v>0</v>
      </c>
      <c r="N820" s="99" t="b">
        <v>0</v>
      </c>
      <c r="O820" s="99" t="b">
        <v>0</v>
      </c>
      <c r="P820" s="99" t="b">
        <v>0</v>
      </c>
      <c r="Q820" s="99" t="b">
        <v>0</v>
      </c>
      <c r="R820" s="14"/>
      <c r="S820" s="14"/>
      <c r="T820" s="14"/>
      <c r="U820" s="14"/>
      <c r="V820" s="14"/>
      <c r="W820" s="14"/>
    </row>
    <row r="821" ht="35.25" customHeight="1">
      <c r="A821" s="92" t="s">
        <v>10547</v>
      </c>
      <c r="B821" s="93" t="s">
        <v>10548</v>
      </c>
      <c r="C821" s="94" t="s">
        <v>10549</v>
      </c>
      <c r="D821" s="95" t="s">
        <v>9135</v>
      </c>
      <c r="E821" s="96" t="str">
        <f>IFERROR(__xludf.DUMMYFUNCTION("GOOGLETRANSLATE(D821,""zh-CN"",""vi"")"),"Cô ấy có vóc dáng rất mảnh mai.")</f>
        <v>Cô ấy có vóc dáng rất mảnh mai.</v>
      </c>
      <c r="F821" s="101" t="s">
        <v>10547</v>
      </c>
      <c r="G821" s="98" t="b">
        <f t="shared" si="1"/>
        <v>1</v>
      </c>
      <c r="H821" s="99" t="b">
        <v>1</v>
      </c>
      <c r="I821" s="99" t="b">
        <v>0</v>
      </c>
      <c r="J821" s="99" t="b">
        <v>0</v>
      </c>
      <c r="K821" s="99" t="b">
        <v>0</v>
      </c>
      <c r="L821" s="99" t="b">
        <v>0</v>
      </c>
      <c r="M821" s="99" t="b">
        <v>0</v>
      </c>
      <c r="N821" s="99" t="b">
        <v>0</v>
      </c>
      <c r="O821" s="99" t="b">
        <v>0</v>
      </c>
      <c r="P821" s="99" t="b">
        <v>0</v>
      </c>
      <c r="Q821" s="99" t="b">
        <v>0</v>
      </c>
      <c r="R821" s="14"/>
      <c r="S821" s="14"/>
      <c r="T821" s="14"/>
      <c r="U821" s="14"/>
      <c r="V821" s="14"/>
      <c r="W821" s="14"/>
    </row>
    <row r="822" ht="35.25" customHeight="1">
      <c r="A822" s="92" t="s">
        <v>10554</v>
      </c>
      <c r="B822" s="93" t="s">
        <v>10555</v>
      </c>
      <c r="C822" s="94" t="s">
        <v>10556</v>
      </c>
      <c r="D822" s="95" t="s">
        <v>10557</v>
      </c>
      <c r="E822" s="96" t="str">
        <f>IFERROR(__xludf.DUMMYFUNCTION("GOOGLETRANSLATE(D822,""zh-CN"",""vi"")"),"Ông ấy giữ một vị trí cao trong công ty.")</f>
        <v>Ông ấy giữ một vị trí cao trong công ty.</v>
      </c>
      <c r="F822" s="101" t="s">
        <v>10554</v>
      </c>
      <c r="G822" s="98" t="b">
        <f t="shared" si="1"/>
        <v>1</v>
      </c>
      <c r="H822" s="99" t="b">
        <v>1</v>
      </c>
      <c r="I822" s="99" t="b">
        <v>0</v>
      </c>
      <c r="J822" s="99" t="b">
        <v>0</v>
      </c>
      <c r="K822" s="99" t="b">
        <v>0</v>
      </c>
      <c r="L822" s="99" t="b">
        <v>0</v>
      </c>
      <c r="M822" s="99" t="b">
        <v>0</v>
      </c>
      <c r="N822" s="99" t="b">
        <v>0</v>
      </c>
      <c r="O822" s="99" t="b">
        <v>0</v>
      </c>
      <c r="P822" s="99" t="b">
        <v>0</v>
      </c>
      <c r="Q822" s="99" t="b">
        <v>0</v>
      </c>
      <c r="R822" s="14"/>
      <c r="S822" s="14"/>
      <c r="T822" s="14"/>
      <c r="U822" s="14"/>
      <c r="V822" s="14"/>
      <c r="W822" s="14"/>
    </row>
    <row r="823" ht="35.25" customHeight="1">
      <c r="A823" s="92" t="s">
        <v>10558</v>
      </c>
      <c r="B823" s="93" t="s">
        <v>10559</v>
      </c>
      <c r="C823" s="94" t="s">
        <v>10560</v>
      </c>
      <c r="D823" s="95" t="s">
        <v>10561</v>
      </c>
      <c r="E823" s="96" t="str">
        <f>IFERROR(__xludf.DUMMYFUNCTION("GOOGLETRANSLATE(D823,""zh-CN"",""vi"")"),"Cuốn sách này đã có tác động sâu sắc đến tôi.")</f>
        <v>Cuốn sách này đã có tác động sâu sắc đến tôi.</v>
      </c>
      <c r="F823" s="101" t="s">
        <v>10558</v>
      </c>
      <c r="G823" s="98" t="b">
        <f t="shared" si="1"/>
        <v>1</v>
      </c>
      <c r="H823" s="99" t="b">
        <v>1</v>
      </c>
      <c r="I823" s="99" t="b">
        <v>0</v>
      </c>
      <c r="J823" s="99" t="b">
        <v>0</v>
      </c>
      <c r="K823" s="99" t="b">
        <v>0</v>
      </c>
      <c r="L823" s="99" t="b">
        <v>0</v>
      </c>
      <c r="M823" s="99" t="b">
        <v>0</v>
      </c>
      <c r="N823" s="99" t="b">
        <v>0</v>
      </c>
      <c r="O823" s="99" t="b">
        <v>0</v>
      </c>
      <c r="P823" s="99" t="b">
        <v>0</v>
      </c>
      <c r="Q823" s="99" t="b">
        <v>0</v>
      </c>
      <c r="R823" s="14"/>
      <c r="S823" s="14"/>
      <c r="T823" s="14"/>
      <c r="U823" s="14"/>
      <c r="V823" s="14"/>
      <c r="W823" s="14"/>
    </row>
    <row r="824" ht="35.25" customHeight="1">
      <c r="A824" s="92" t="s">
        <v>10562</v>
      </c>
      <c r="B824" s="93" t="s">
        <v>10563</v>
      </c>
      <c r="C824" s="94" t="s">
        <v>10564</v>
      </c>
      <c r="D824" s="95" t="s">
        <v>10565</v>
      </c>
      <c r="E824" s="96" t="str">
        <f>IFERROR(__xludf.DUMMYFUNCTION("GOOGLETRANSLATE(D824,""zh-CN"",""vi"")"),"Ai cũng từng nghe qua câu chuyện hoang đường này.")</f>
        <v>Ai cũng từng nghe qua câu chuyện hoang đường này.</v>
      </c>
      <c r="F824" s="101" t="s">
        <v>10562</v>
      </c>
      <c r="G824" s="98" t="b">
        <f t="shared" si="1"/>
        <v>1</v>
      </c>
      <c r="H824" s="99" t="b">
        <v>1</v>
      </c>
      <c r="I824" s="99" t="b">
        <v>0</v>
      </c>
      <c r="J824" s="99" t="b">
        <v>0</v>
      </c>
      <c r="K824" s="99" t="b">
        <v>0</v>
      </c>
      <c r="L824" s="99" t="b">
        <v>0</v>
      </c>
      <c r="M824" s="99" t="b">
        <v>0</v>
      </c>
      <c r="N824" s="99" t="b">
        <v>0</v>
      </c>
      <c r="O824" s="99" t="b">
        <v>0</v>
      </c>
      <c r="P824" s="99" t="b">
        <v>0</v>
      </c>
      <c r="Q824" s="99" t="b">
        <v>0</v>
      </c>
      <c r="R824" s="14"/>
      <c r="S824" s="14"/>
      <c r="T824" s="14"/>
      <c r="U824" s="14"/>
      <c r="V824" s="14"/>
      <c r="W824" s="14"/>
    </row>
    <row r="825" ht="35.25" customHeight="1">
      <c r="A825" s="92" t="s">
        <v>10566</v>
      </c>
      <c r="B825" s="93" t="s">
        <v>10567</v>
      </c>
      <c r="C825" s="94" t="s">
        <v>10568</v>
      </c>
      <c r="D825" s="95" t="s">
        <v>10569</v>
      </c>
      <c r="E825" s="96" t="str">
        <f>IFERROR(__xludf.DUMMYFUNCTION("GOOGLETRANSLATE(D825,""zh-CN"",""vi"")"),"Đây là một loài động vật bí ẩn.")</f>
        <v>Đây là một loài động vật bí ẩn.</v>
      </c>
      <c r="F825" s="101" t="s">
        <v>10566</v>
      </c>
      <c r="G825" s="98" t="b">
        <f t="shared" si="1"/>
        <v>1</v>
      </c>
      <c r="H825" s="99" t="b">
        <v>1</v>
      </c>
      <c r="I825" s="99" t="b">
        <v>0</v>
      </c>
      <c r="J825" s="99" t="b">
        <v>0</v>
      </c>
      <c r="K825" s="99" t="b">
        <v>0</v>
      </c>
      <c r="L825" s="99" t="b">
        <v>0</v>
      </c>
      <c r="M825" s="99" t="b">
        <v>0</v>
      </c>
      <c r="N825" s="99" t="b">
        <v>0</v>
      </c>
      <c r="O825" s="99" t="b">
        <v>0</v>
      </c>
      <c r="P825" s="99" t="b">
        <v>0</v>
      </c>
      <c r="Q825" s="99" t="b">
        <v>0</v>
      </c>
      <c r="R825" s="14"/>
      <c r="S825" s="14"/>
      <c r="T825" s="14"/>
      <c r="U825" s="14"/>
      <c r="V825" s="14"/>
      <c r="W825" s="14"/>
    </row>
    <row r="826" ht="35.25" customHeight="1">
      <c r="A826" s="92" t="s">
        <v>10574</v>
      </c>
      <c r="B826" s="93" t="s">
        <v>10575</v>
      </c>
      <c r="C826" s="94" t="s">
        <v>10576</v>
      </c>
      <c r="D826" s="95" t="s">
        <v>10577</v>
      </c>
      <c r="E826" s="96" t="str">
        <f>IFERROR(__xludf.DUMMYFUNCTION("GOOGLETRANSLATE(D826,""zh-CN"",""vi"")"),"Nhờ thành tích đó, anh ấy được thăng chức.")</f>
        <v>Nhờ thành tích đó, anh ấy được thăng chức.</v>
      </c>
      <c r="F826" s="101" t="s">
        <v>10574</v>
      </c>
      <c r="G826" s="98" t="b">
        <f t="shared" si="1"/>
        <v>1</v>
      </c>
      <c r="H826" s="99" t="b">
        <v>1</v>
      </c>
      <c r="I826" s="99" t="b">
        <v>0</v>
      </c>
      <c r="J826" s="99" t="b">
        <v>0</v>
      </c>
      <c r="K826" s="99" t="b">
        <v>0</v>
      </c>
      <c r="L826" s="99" t="b">
        <v>0</v>
      </c>
      <c r="M826" s="99" t="b">
        <v>0</v>
      </c>
      <c r="N826" s="99" t="b">
        <v>0</v>
      </c>
      <c r="O826" s="99" t="b">
        <v>0</v>
      </c>
      <c r="P826" s="99" t="b">
        <v>0</v>
      </c>
      <c r="Q826" s="99" t="b">
        <v>0</v>
      </c>
      <c r="R826" s="14"/>
      <c r="S826" s="14"/>
      <c r="T826" s="14"/>
      <c r="U826" s="14"/>
      <c r="V826" s="14"/>
      <c r="W826" s="14"/>
    </row>
    <row r="827" ht="35.25" customHeight="1">
      <c r="A827" s="92" t="s">
        <v>10582</v>
      </c>
      <c r="B827" s="93" t="s">
        <v>10583</v>
      </c>
      <c r="C827" s="94" t="s">
        <v>10584</v>
      </c>
      <c r="D827" s="95" t="s">
        <v>10585</v>
      </c>
      <c r="E827" s="96" t="str">
        <f>IFERROR(__xludf.DUMMYFUNCTION("GOOGLETRANSLATE(D827,""zh-CN"",""vi"")"),"Chúng tôi đang sản xuất các sản phẩm mới.")</f>
        <v>Chúng tôi đang sản xuất các sản phẩm mới.</v>
      </c>
      <c r="F827" s="101" t="s">
        <v>10582</v>
      </c>
      <c r="G827" s="98" t="b">
        <f t="shared" si="1"/>
        <v>1</v>
      </c>
      <c r="H827" s="99" t="b">
        <v>1</v>
      </c>
      <c r="I827" s="99" t="b">
        <v>0</v>
      </c>
      <c r="J827" s="99" t="b">
        <v>0</v>
      </c>
      <c r="K827" s="99" t="b">
        <v>0</v>
      </c>
      <c r="L827" s="99" t="b">
        <v>0</v>
      </c>
      <c r="M827" s="99" t="b">
        <v>0</v>
      </c>
      <c r="N827" s="99" t="b">
        <v>0</v>
      </c>
      <c r="O827" s="99" t="b">
        <v>0</v>
      </c>
      <c r="P827" s="99" t="b">
        <v>0</v>
      </c>
      <c r="Q827" s="99" t="b">
        <v>0</v>
      </c>
      <c r="R827" s="14"/>
      <c r="S827" s="14"/>
      <c r="T827" s="14"/>
      <c r="U827" s="14"/>
      <c r="V827" s="14"/>
      <c r="W827" s="14"/>
    </row>
    <row r="828" ht="35.25" customHeight="1">
      <c r="A828" s="92" t="s">
        <v>10590</v>
      </c>
      <c r="B828" s="93" t="s">
        <v>10591</v>
      </c>
      <c r="C828" s="94" t="s">
        <v>10592</v>
      </c>
      <c r="D828" s="95" t="s">
        <v>10593</v>
      </c>
      <c r="E828" s="96" t="str">
        <f>IFERROR(__xludf.DUMMYFUNCTION("GOOGLETRANSLATE(D828,""zh-CN"",""vi"")"),"Câu chuyện này rất sống động.")</f>
        <v>Câu chuyện này rất sống động.</v>
      </c>
      <c r="F828" s="101" t="s">
        <v>10590</v>
      </c>
      <c r="G828" s="98" t="b">
        <f t="shared" si="1"/>
        <v>1</v>
      </c>
      <c r="H828" s="99" t="b">
        <v>1</v>
      </c>
      <c r="I828" s="99" t="b">
        <v>0</v>
      </c>
      <c r="J828" s="99" t="b">
        <v>0</v>
      </c>
      <c r="K828" s="99" t="b">
        <v>0</v>
      </c>
      <c r="L828" s="99" t="b">
        <v>0</v>
      </c>
      <c r="M828" s="99" t="b">
        <v>0</v>
      </c>
      <c r="N828" s="99" t="b">
        <v>0</v>
      </c>
      <c r="O828" s="99" t="b">
        <v>0</v>
      </c>
      <c r="P828" s="99" t="b">
        <v>0</v>
      </c>
      <c r="Q828" s="99" t="b">
        <v>0</v>
      </c>
      <c r="R828" s="14"/>
      <c r="S828" s="14"/>
      <c r="T828" s="14"/>
      <c r="U828" s="14"/>
      <c r="V828" s="14"/>
      <c r="W828" s="14"/>
    </row>
    <row r="829" ht="35.25" customHeight="1">
      <c r="A829" s="92" t="s">
        <v>10598</v>
      </c>
      <c r="B829" s="93" t="s">
        <v>10599</v>
      </c>
      <c r="C829" s="94" t="s">
        <v>10600</v>
      </c>
      <c r="D829" s="95" t="s">
        <v>10601</v>
      </c>
      <c r="E829" s="96" t="str">
        <f>IFERROR(__xludf.DUMMYFUNCTION("GOOGLETRANSLATE(D829,""zh-CN"",""vi"")"),"Các cây trồng đang phát triển rất tốt trong loại đất này.")</f>
        <v>Các cây trồng đang phát triển rất tốt trong loại đất này.</v>
      </c>
      <c r="F829" s="101" t="s">
        <v>10598</v>
      </c>
      <c r="G829" s="98" t="b">
        <f t="shared" si="1"/>
        <v>1</v>
      </c>
      <c r="H829" s="99" t="b">
        <v>1</v>
      </c>
      <c r="I829" s="99" t="b">
        <v>0</v>
      </c>
      <c r="J829" s="99" t="b">
        <v>0</v>
      </c>
      <c r="K829" s="99" t="b">
        <v>0</v>
      </c>
      <c r="L829" s="99" t="b">
        <v>0</v>
      </c>
      <c r="M829" s="99" t="b">
        <v>0</v>
      </c>
      <c r="N829" s="99" t="b">
        <v>0</v>
      </c>
      <c r="O829" s="99" t="b">
        <v>0</v>
      </c>
      <c r="P829" s="99" t="b">
        <v>0</v>
      </c>
      <c r="Q829" s="99" t="b">
        <v>0</v>
      </c>
      <c r="R829" s="14"/>
      <c r="S829" s="14"/>
      <c r="T829" s="14"/>
      <c r="U829" s="14"/>
      <c r="V829" s="14"/>
      <c r="W829" s="14"/>
    </row>
    <row r="830" ht="35.25" customHeight="1">
      <c r="A830" s="92" t="s">
        <v>10603</v>
      </c>
      <c r="B830" s="93" t="s">
        <v>10605</v>
      </c>
      <c r="C830" s="94" t="s">
        <v>10607</v>
      </c>
      <c r="D830" s="95" t="s">
        <v>10609</v>
      </c>
      <c r="E830" s="96" t="str">
        <f>IFERROR(__xludf.DUMMYFUNCTION("GOOGLETRANSLATE(D830,""zh-CN"",""vi"")"),"Giọng điệu của câu này rất đặc biệt.")</f>
        <v>Giọng điệu của câu này rất đặc biệt.</v>
      </c>
      <c r="F830" s="101" t="s">
        <v>10603</v>
      </c>
      <c r="G830" s="98" t="b">
        <f t="shared" si="1"/>
        <v>1</v>
      </c>
      <c r="H830" s="99" t="b">
        <v>1</v>
      </c>
      <c r="I830" s="99" t="b">
        <v>0</v>
      </c>
      <c r="J830" s="99" t="b">
        <v>0</v>
      </c>
      <c r="K830" s="99" t="b">
        <v>0</v>
      </c>
      <c r="L830" s="99" t="b">
        <v>0</v>
      </c>
      <c r="M830" s="99" t="b">
        <v>0</v>
      </c>
      <c r="N830" s="99" t="b">
        <v>0</v>
      </c>
      <c r="O830" s="99" t="b">
        <v>0</v>
      </c>
      <c r="P830" s="99" t="b">
        <v>0</v>
      </c>
      <c r="Q830" s="99" t="b">
        <v>0</v>
      </c>
      <c r="R830" s="14"/>
      <c r="S830" s="14"/>
      <c r="T830" s="14"/>
      <c r="U830" s="14"/>
      <c r="V830" s="14"/>
      <c r="W830" s="14"/>
    </row>
    <row r="831" ht="35.25" customHeight="1">
      <c r="A831" s="92" t="s">
        <v>10610</v>
      </c>
      <c r="B831" s="93" t="s">
        <v>10611</v>
      </c>
      <c r="C831" s="94" t="s">
        <v>10612</v>
      </c>
      <c r="D831" s="95" t="s">
        <v>10614</v>
      </c>
      <c r="E831" s="96" t="str">
        <f>IFERROR(__xludf.DUMMYFUNCTION("GOOGLETRANSLATE(D831,""zh-CN"",""vi"")"),"Anh ta buộc chiếc hộp bằng một sợi dây thừng.")</f>
        <v>Anh ta buộc chiếc hộp bằng một sợi dây thừng.</v>
      </c>
      <c r="F831" s="101" t="s">
        <v>10610</v>
      </c>
      <c r="G831" s="98" t="b">
        <f t="shared" si="1"/>
        <v>1</v>
      </c>
      <c r="H831" s="99" t="b">
        <v>1</v>
      </c>
      <c r="I831" s="99" t="b">
        <v>0</v>
      </c>
      <c r="J831" s="99" t="b">
        <v>0</v>
      </c>
      <c r="K831" s="99" t="b">
        <v>0</v>
      </c>
      <c r="L831" s="99" t="b">
        <v>0</v>
      </c>
      <c r="M831" s="99" t="b">
        <v>0</v>
      </c>
      <c r="N831" s="99" t="b">
        <v>0</v>
      </c>
      <c r="O831" s="99" t="b">
        <v>0</v>
      </c>
      <c r="P831" s="99" t="b">
        <v>0</v>
      </c>
      <c r="Q831" s="99" t="b">
        <v>0</v>
      </c>
      <c r="R831" s="14"/>
      <c r="S831" s="14"/>
      <c r="T831" s="14"/>
      <c r="U831" s="14"/>
      <c r="V831" s="14"/>
      <c r="W831" s="14"/>
    </row>
    <row r="832" ht="35.25" customHeight="1">
      <c r="A832" s="92" t="s">
        <v>10618</v>
      </c>
      <c r="B832" s="93" t="s">
        <v>10619</v>
      </c>
      <c r="C832" s="94" t="s">
        <v>10620</v>
      </c>
      <c r="D832" s="95" t="s">
        <v>10621</v>
      </c>
      <c r="E832" s="96" t="str">
        <f>IFERROR(__xludf.DUMMYFUNCTION("GOOGLETRANSLATE(D832,""zh-CN"",""vi"")"),"Câu này đã bỏ sót nhiều chi tiết.")</f>
        <v>Câu này đã bỏ sót nhiều chi tiết.</v>
      </c>
      <c r="F832" s="101" t="s">
        <v>10618</v>
      </c>
      <c r="G832" s="98" t="b">
        <f t="shared" si="1"/>
        <v>1</v>
      </c>
      <c r="H832" s="99" t="b">
        <v>1</v>
      </c>
      <c r="I832" s="99" t="b">
        <v>0</v>
      </c>
      <c r="J832" s="99" t="b">
        <v>0</v>
      </c>
      <c r="K832" s="99" t="b">
        <v>0</v>
      </c>
      <c r="L832" s="99" t="b">
        <v>0</v>
      </c>
      <c r="M832" s="99" t="b">
        <v>0</v>
      </c>
      <c r="N832" s="99" t="b">
        <v>0</v>
      </c>
      <c r="O832" s="99" t="b">
        <v>0</v>
      </c>
      <c r="P832" s="99" t="b">
        <v>0</v>
      </c>
      <c r="Q832" s="99" t="b">
        <v>0</v>
      </c>
      <c r="R832" s="14"/>
      <c r="S832" s="14"/>
      <c r="T832" s="14"/>
      <c r="U832" s="14"/>
      <c r="V832" s="14"/>
      <c r="W832" s="14"/>
    </row>
    <row r="833" ht="35.25" customHeight="1">
      <c r="A833" s="92" t="s">
        <v>10626</v>
      </c>
      <c r="B833" s="93" t="s">
        <v>10627</v>
      </c>
      <c r="C833" s="94" t="s">
        <v>10628</v>
      </c>
      <c r="D833" s="95" t="s">
        <v>10629</v>
      </c>
      <c r="E833" s="96" t="str">
        <f>IFERROR(__xludf.DUMMYFUNCTION("GOOGLETRANSLATE(D833,""zh-CN"",""vi"")"),"Cuối cùng chúng ta đã thắng.")</f>
        <v>Cuối cùng chúng ta đã thắng.</v>
      </c>
      <c r="F833" s="101" t="s">
        <v>10626</v>
      </c>
      <c r="G833" s="98" t="b">
        <f t="shared" si="1"/>
        <v>1</v>
      </c>
      <c r="H833" s="99" t="b">
        <v>1</v>
      </c>
      <c r="I833" s="99" t="b">
        <v>0</v>
      </c>
      <c r="J833" s="99" t="b">
        <v>0</v>
      </c>
      <c r="K833" s="99" t="b">
        <v>0</v>
      </c>
      <c r="L833" s="99" t="b">
        <v>0</v>
      </c>
      <c r="M833" s="99" t="b">
        <v>0</v>
      </c>
      <c r="N833" s="99" t="b">
        <v>0</v>
      </c>
      <c r="O833" s="99" t="b">
        <v>0</v>
      </c>
      <c r="P833" s="99" t="b">
        <v>0</v>
      </c>
      <c r="Q833" s="99" t="b">
        <v>0</v>
      </c>
      <c r="R833" s="14"/>
      <c r="S833" s="14"/>
      <c r="T833" s="14"/>
      <c r="U833" s="14"/>
      <c r="V833" s="14"/>
      <c r="W833" s="14"/>
    </row>
    <row r="834" ht="35.25" customHeight="1">
      <c r="A834" s="92" t="s">
        <v>10634</v>
      </c>
      <c r="B834" s="93" t="s">
        <v>10635</v>
      </c>
      <c r="C834" s="94" t="s">
        <v>10636</v>
      </c>
      <c r="D834" s="95" t="s">
        <v>10637</v>
      </c>
      <c r="E834" s="96" t="str">
        <f>IFERROR(__xludf.DUMMYFUNCTION("GOOGLETRANSLATE(D834,""zh-CN"",""vi"")"),"Anh ấy thường xuyên bị mất ngủ vào ban đêm.")</f>
        <v>Anh ấy thường xuyên bị mất ngủ vào ban đêm.</v>
      </c>
      <c r="F834" s="101" t="s">
        <v>10634</v>
      </c>
      <c r="G834" s="98" t="b">
        <f t="shared" si="1"/>
        <v>1</v>
      </c>
      <c r="H834" s="99" t="b">
        <v>1</v>
      </c>
      <c r="I834" s="99" t="b">
        <v>0</v>
      </c>
      <c r="J834" s="99" t="b">
        <v>0</v>
      </c>
      <c r="K834" s="99" t="b">
        <v>0</v>
      </c>
      <c r="L834" s="99" t="b">
        <v>0</v>
      </c>
      <c r="M834" s="99" t="b">
        <v>0</v>
      </c>
      <c r="N834" s="99" t="b">
        <v>0</v>
      </c>
      <c r="O834" s="99" t="b">
        <v>0</v>
      </c>
      <c r="P834" s="99" t="b">
        <v>0</v>
      </c>
      <c r="Q834" s="99" t="b">
        <v>0</v>
      </c>
      <c r="R834" s="14"/>
      <c r="S834" s="14"/>
      <c r="T834" s="14"/>
      <c r="U834" s="14"/>
      <c r="V834" s="14"/>
      <c r="W834" s="14"/>
    </row>
    <row r="835" ht="35.25" customHeight="1">
      <c r="A835" s="92" t="s">
        <v>10642</v>
      </c>
      <c r="B835" s="93" t="s">
        <v>10643</v>
      </c>
      <c r="C835" s="94" t="s">
        <v>10644</v>
      </c>
      <c r="D835" s="95" t="s">
        <v>10645</v>
      </c>
      <c r="E835" s="96" t="str">
        <f>IFERROR(__xludf.DUMMYFUNCTION("GOOGLETRANSLATE(D835,""zh-CN"",""vi"")"),"Chúng ta không nên bỏ lỡ cơ hội này.")</f>
        <v>Chúng ta không nên bỏ lỡ cơ hội này.</v>
      </c>
      <c r="F835" s="101" t="s">
        <v>10642</v>
      </c>
      <c r="G835" s="98" t="b">
        <f t="shared" si="1"/>
        <v>1</v>
      </c>
      <c r="H835" s="99" t="b">
        <v>1</v>
      </c>
      <c r="I835" s="99" t="b">
        <v>0</v>
      </c>
      <c r="J835" s="99" t="b">
        <v>0</v>
      </c>
      <c r="K835" s="99" t="b">
        <v>0</v>
      </c>
      <c r="L835" s="99" t="b">
        <v>0</v>
      </c>
      <c r="M835" s="99" t="b">
        <v>0</v>
      </c>
      <c r="N835" s="99" t="b">
        <v>0</v>
      </c>
      <c r="O835" s="99" t="b">
        <v>0</v>
      </c>
      <c r="P835" s="99" t="b">
        <v>0</v>
      </c>
      <c r="Q835" s="99" t="b">
        <v>0</v>
      </c>
      <c r="R835" s="14"/>
      <c r="S835" s="14"/>
      <c r="T835" s="14"/>
      <c r="U835" s="14"/>
      <c r="V835" s="14"/>
      <c r="W835" s="14"/>
    </row>
    <row r="836" ht="35.25" customHeight="1">
      <c r="A836" s="92" t="s">
        <v>10650</v>
      </c>
      <c r="B836" s="93" t="s">
        <v>10651</v>
      </c>
      <c r="C836" s="94" t="s">
        <v>10652</v>
      </c>
      <c r="D836" s="95" t="s">
        <v>10653</v>
      </c>
      <c r="E836" s="96" t="str">
        <f>IFERROR(__xludf.DUMMYFUNCTION("GOOGLETRANSLATE(D836,""zh-CN"",""vi"")"),"Anh ấy cảm thấy chán nản vì thất nghiệp.")</f>
        <v>Anh ấy cảm thấy chán nản vì thất nghiệp.</v>
      </c>
      <c r="F836" s="101" t="s">
        <v>10650</v>
      </c>
      <c r="G836" s="98" t="b">
        <f t="shared" si="1"/>
        <v>1</v>
      </c>
      <c r="H836" s="99" t="b">
        <v>1</v>
      </c>
      <c r="I836" s="99" t="b">
        <v>0</v>
      </c>
      <c r="J836" s="99" t="b">
        <v>0</v>
      </c>
      <c r="K836" s="99" t="b">
        <v>0</v>
      </c>
      <c r="L836" s="99" t="b">
        <v>0</v>
      </c>
      <c r="M836" s="99" t="b">
        <v>0</v>
      </c>
      <c r="N836" s="99" t="b">
        <v>0</v>
      </c>
      <c r="O836" s="99" t="b">
        <v>0</v>
      </c>
      <c r="P836" s="99" t="b">
        <v>0</v>
      </c>
      <c r="Q836" s="99" t="b">
        <v>0</v>
      </c>
      <c r="R836" s="14"/>
      <c r="S836" s="14"/>
      <c r="T836" s="14"/>
      <c r="U836" s="14"/>
      <c r="V836" s="14"/>
      <c r="W836" s="14"/>
    </row>
    <row r="837" ht="35.25" customHeight="1">
      <c r="A837" s="92" t="s">
        <v>10658</v>
      </c>
      <c r="B837" s="93" t="s">
        <v>10659</v>
      </c>
      <c r="C837" s="94" t="s">
        <v>10660</v>
      </c>
      <c r="D837" s="95" t="s">
        <v>10661</v>
      </c>
      <c r="E837" s="96" t="str">
        <f>IFERROR(__xludf.DUMMYFUNCTION("GOOGLETRANSLATE(D837,""zh-CN"",""vi"")"),"Bài thơ này thật hay.")</f>
        <v>Bài thơ này thật hay.</v>
      </c>
      <c r="F837" s="101" t="s">
        <v>10658</v>
      </c>
      <c r="G837" s="98" t="b">
        <f t="shared" si="1"/>
        <v>1</v>
      </c>
      <c r="H837" s="99" t="b">
        <v>1</v>
      </c>
      <c r="I837" s="99" t="b">
        <v>0</v>
      </c>
      <c r="J837" s="99" t="b">
        <v>0</v>
      </c>
      <c r="K837" s="99" t="b">
        <v>0</v>
      </c>
      <c r="L837" s="99" t="b">
        <v>0</v>
      </c>
      <c r="M837" s="99" t="b">
        <v>0</v>
      </c>
      <c r="N837" s="99" t="b">
        <v>0</v>
      </c>
      <c r="O837" s="99" t="b">
        <v>0</v>
      </c>
      <c r="P837" s="99" t="b">
        <v>0</v>
      </c>
      <c r="Q837" s="99" t="b">
        <v>0</v>
      </c>
      <c r="R837" s="14"/>
      <c r="S837" s="14"/>
      <c r="T837" s="14"/>
      <c r="U837" s="14"/>
      <c r="V837" s="14"/>
      <c r="W837" s="14"/>
    </row>
    <row r="838" ht="35.25" customHeight="1">
      <c r="A838" s="92" t="s">
        <v>10664</v>
      </c>
      <c r="B838" s="93" t="s">
        <v>10666</v>
      </c>
      <c r="C838" s="94" t="s">
        <v>10668</v>
      </c>
      <c r="D838" s="95" t="s">
        <v>10669</v>
      </c>
      <c r="E838" s="96" t="str">
        <f>IFERROR(__xludf.DUMMYFUNCTION("GOOGLETRANSLATE(D838,""zh-CN"",""vi"")"),"Ông ta nuôi một con sư tử làm thú cưng.")</f>
        <v>Ông ta nuôi một con sư tử làm thú cưng.</v>
      </c>
      <c r="F838" s="101" t="s">
        <v>10664</v>
      </c>
      <c r="G838" s="98" t="b">
        <f t="shared" si="1"/>
        <v>1</v>
      </c>
      <c r="H838" s="99" t="b">
        <v>1</v>
      </c>
      <c r="I838" s="99" t="b">
        <v>0</v>
      </c>
      <c r="J838" s="99" t="b">
        <v>0</v>
      </c>
      <c r="K838" s="99" t="b">
        <v>0</v>
      </c>
      <c r="L838" s="99" t="b">
        <v>0</v>
      </c>
      <c r="M838" s="99" t="b">
        <v>0</v>
      </c>
      <c r="N838" s="99" t="b">
        <v>0</v>
      </c>
      <c r="O838" s="99" t="b">
        <v>0</v>
      </c>
      <c r="P838" s="99" t="b">
        <v>0</v>
      </c>
      <c r="Q838" s="99" t="b">
        <v>0</v>
      </c>
      <c r="R838" s="14"/>
      <c r="S838" s="14"/>
      <c r="T838" s="14"/>
      <c r="U838" s="14"/>
      <c r="V838" s="14"/>
      <c r="W838" s="14"/>
    </row>
    <row r="839" ht="35.25" customHeight="1">
      <c r="A839" s="92" t="s">
        <v>10670</v>
      </c>
      <c r="B839" s="93" t="s">
        <v>10671</v>
      </c>
      <c r="C839" s="94" t="s">
        <v>4998</v>
      </c>
      <c r="D839" s="95" t="s">
        <v>10672</v>
      </c>
      <c r="E839" s="96" t="str">
        <f>IFERROR(__xludf.DUMMYFUNCTION("GOOGLETRANSLATE(D839,""zh-CN"",""vi"")"),"Vùng đất này rất ẩm ướt.")</f>
        <v>Vùng đất này rất ẩm ướt.</v>
      </c>
      <c r="F839" s="101" t="s">
        <v>10670</v>
      </c>
      <c r="G839" s="98" t="b">
        <f t="shared" si="1"/>
        <v>1</v>
      </c>
      <c r="H839" s="99" t="b">
        <v>1</v>
      </c>
      <c r="I839" s="99" t="b">
        <v>0</v>
      </c>
      <c r="J839" s="99" t="b">
        <v>0</v>
      </c>
      <c r="K839" s="99" t="b">
        <v>0</v>
      </c>
      <c r="L839" s="99" t="b">
        <v>0</v>
      </c>
      <c r="M839" s="99" t="b">
        <v>0</v>
      </c>
      <c r="N839" s="99" t="b">
        <v>0</v>
      </c>
      <c r="O839" s="99" t="b">
        <v>0</v>
      </c>
      <c r="P839" s="99" t="b">
        <v>0</v>
      </c>
      <c r="Q839" s="99" t="b">
        <v>0</v>
      </c>
      <c r="R839" s="14"/>
      <c r="S839" s="14"/>
      <c r="T839" s="14"/>
      <c r="U839" s="14"/>
      <c r="V839" s="14"/>
      <c r="W839" s="14"/>
    </row>
    <row r="840" ht="35.25" customHeight="1">
      <c r="A840" s="92" t="s">
        <v>10677</v>
      </c>
      <c r="B840" s="93" t="s">
        <v>10678</v>
      </c>
      <c r="C840" s="94" t="s">
        <v>10679</v>
      </c>
      <c r="D840" s="95" t="s">
        <v>10680</v>
      </c>
      <c r="E840" s="96" t="str">
        <f>IFERROR(__xludf.DUMMYFUNCTION("GOOGLETRANSLATE(D840,""zh-CN"",""vi"")"),"Chúng tôi tìm thấy một hòn đá trên núi.")</f>
        <v>Chúng tôi tìm thấy một hòn đá trên núi.</v>
      </c>
      <c r="F840" s="101" t="s">
        <v>10677</v>
      </c>
      <c r="G840" s="98" t="b">
        <f t="shared" si="1"/>
        <v>1</v>
      </c>
      <c r="H840" s="99" t="b">
        <v>1</v>
      </c>
      <c r="I840" s="99" t="b">
        <v>0</v>
      </c>
      <c r="J840" s="99" t="b">
        <v>0</v>
      </c>
      <c r="K840" s="99" t="b">
        <v>0</v>
      </c>
      <c r="L840" s="99" t="b">
        <v>0</v>
      </c>
      <c r="M840" s="99" t="b">
        <v>0</v>
      </c>
      <c r="N840" s="99" t="b">
        <v>0</v>
      </c>
      <c r="O840" s="99" t="b">
        <v>0</v>
      </c>
      <c r="P840" s="99" t="b">
        <v>0</v>
      </c>
      <c r="Q840" s="99" t="b">
        <v>0</v>
      </c>
      <c r="R840" s="14"/>
      <c r="S840" s="14"/>
      <c r="T840" s="14"/>
      <c r="U840" s="14"/>
      <c r="V840" s="14"/>
      <c r="W840" s="14"/>
    </row>
    <row r="841" ht="35.25" customHeight="1">
      <c r="A841" s="92" t="s">
        <v>10685</v>
      </c>
      <c r="B841" s="93" t="s">
        <v>10686</v>
      </c>
      <c r="C841" s="94" t="s">
        <v>10687</v>
      </c>
      <c r="D841" s="95" t="s">
        <v>10688</v>
      </c>
      <c r="E841" s="96" t="str">
        <f>IFERROR(__xludf.DUMMYFUNCTION("GOOGLETRANSLATE(D841,""zh-CN"",""vi"")"),"Mệt mỏi do lệch múi giờ có thể rất khó chịu.")</f>
        <v>Mệt mỏi do lệch múi giờ có thể rất khó chịu.</v>
      </c>
      <c r="F841" s="101" t="s">
        <v>10685</v>
      </c>
      <c r="G841" s="98" t="b">
        <f t="shared" si="1"/>
        <v>1</v>
      </c>
      <c r="H841" s="99" t="b">
        <v>1</v>
      </c>
      <c r="I841" s="99" t="b">
        <v>0</v>
      </c>
      <c r="J841" s="99" t="b">
        <v>0</v>
      </c>
      <c r="K841" s="99" t="b">
        <v>0</v>
      </c>
      <c r="L841" s="99" t="b">
        <v>0</v>
      </c>
      <c r="M841" s="99" t="b">
        <v>0</v>
      </c>
      <c r="N841" s="99" t="b">
        <v>0</v>
      </c>
      <c r="O841" s="99" t="b">
        <v>0</v>
      </c>
      <c r="P841" s="99" t="b">
        <v>0</v>
      </c>
      <c r="Q841" s="99" t="b">
        <v>0</v>
      </c>
      <c r="R841" s="14"/>
      <c r="S841" s="14"/>
      <c r="T841" s="14"/>
      <c r="U841" s="14"/>
      <c r="V841" s="14"/>
      <c r="W841" s="14"/>
    </row>
    <row r="842" ht="35.25" customHeight="1">
      <c r="A842" s="92" t="s">
        <v>10693</v>
      </c>
      <c r="B842" s="93" t="s">
        <v>10694</v>
      </c>
      <c r="C842" s="94" t="s">
        <v>9373</v>
      </c>
      <c r="D842" s="95" t="s">
        <v>10695</v>
      </c>
      <c r="E842" s="96" t="str">
        <f>IFERROR(__xludf.DUMMYFUNCTION("GOOGLETRANSLATE(D842,""zh-CN"",""vi"")"),"Đây là thời đại của sự thay đổi không ngừng.")</f>
        <v>Đây là thời đại của sự thay đổi không ngừng.</v>
      </c>
      <c r="F842" s="101" t="s">
        <v>10693</v>
      </c>
      <c r="G842" s="98" t="b">
        <f t="shared" si="1"/>
        <v>1</v>
      </c>
      <c r="H842" s="99" t="b">
        <v>1</v>
      </c>
      <c r="I842" s="99" t="b">
        <v>0</v>
      </c>
      <c r="J842" s="99" t="b">
        <v>0</v>
      </c>
      <c r="K842" s="99" t="b">
        <v>0</v>
      </c>
      <c r="L842" s="99" t="b">
        <v>0</v>
      </c>
      <c r="M842" s="99" t="b">
        <v>0</v>
      </c>
      <c r="N842" s="99" t="b">
        <v>0</v>
      </c>
      <c r="O842" s="99" t="b">
        <v>0</v>
      </c>
      <c r="P842" s="99" t="b">
        <v>0</v>
      </c>
      <c r="Q842" s="99" t="b">
        <v>0</v>
      </c>
      <c r="R842" s="14"/>
      <c r="S842" s="14"/>
      <c r="T842" s="14"/>
      <c r="U842" s="14"/>
      <c r="V842" s="14"/>
      <c r="W842" s="14"/>
    </row>
    <row r="843" ht="35.25" customHeight="1">
      <c r="A843" s="92" t="s">
        <v>10696</v>
      </c>
      <c r="B843" s="93" t="s">
        <v>10697</v>
      </c>
      <c r="C843" s="94" t="s">
        <v>10698</v>
      </c>
      <c r="D843" s="95" t="s">
        <v>10699</v>
      </c>
      <c r="E843" s="96" t="str">
        <f>IFERROR(__xludf.DUMMYFUNCTION("GOOGLETRANSLATE(D843,""zh-CN"",""vi"")"),"Chúng ta phải chú ý đến từng khoảnh khắc.")</f>
        <v>Chúng ta phải chú ý đến từng khoảnh khắc.</v>
      </c>
      <c r="F843" s="101" t="s">
        <v>10696</v>
      </c>
      <c r="G843" s="98" t="b">
        <f t="shared" si="1"/>
        <v>1</v>
      </c>
      <c r="H843" s="99" t="b">
        <v>1</v>
      </c>
      <c r="I843" s="99" t="b">
        <v>0</v>
      </c>
      <c r="J843" s="99" t="b">
        <v>0</v>
      </c>
      <c r="K843" s="99" t="b">
        <v>0</v>
      </c>
      <c r="L843" s="99" t="b">
        <v>0</v>
      </c>
      <c r="M843" s="99" t="b">
        <v>0</v>
      </c>
      <c r="N843" s="99" t="b">
        <v>0</v>
      </c>
      <c r="O843" s="99" t="b">
        <v>0</v>
      </c>
      <c r="P843" s="99" t="b">
        <v>0</v>
      </c>
      <c r="Q843" s="99" t="b">
        <v>0</v>
      </c>
      <c r="R843" s="14"/>
      <c r="S843" s="14"/>
      <c r="T843" s="14"/>
      <c r="U843" s="14"/>
      <c r="V843" s="14"/>
      <c r="W843" s="14"/>
    </row>
    <row r="844" ht="35.25" customHeight="1">
      <c r="A844" s="92" t="s">
        <v>10704</v>
      </c>
      <c r="B844" s="93" t="s">
        <v>10705</v>
      </c>
      <c r="C844" s="102" t="s">
        <v>10706</v>
      </c>
      <c r="D844" s="95" t="s">
        <v>10707</v>
      </c>
      <c r="E844" s="96" t="str">
        <f>IFERROR(__xludf.DUMMYFUNCTION("GOOGLETRANSLATE(D844,""zh-CN"",""vi"")"),"Cô ấy mặc một bộ trang phục rất thời trang.")</f>
        <v>Cô ấy mặc một bộ trang phục rất thời trang.</v>
      </c>
      <c r="F844" s="101" t="s">
        <v>10704</v>
      </c>
      <c r="G844" s="98" t="b">
        <f t="shared" si="1"/>
        <v>1</v>
      </c>
      <c r="H844" s="99" t="b">
        <v>1</v>
      </c>
      <c r="I844" s="99" t="b">
        <v>0</v>
      </c>
      <c r="J844" s="99" t="b">
        <v>0</v>
      </c>
      <c r="K844" s="99" t="b">
        <v>0</v>
      </c>
      <c r="L844" s="99" t="b">
        <v>0</v>
      </c>
      <c r="M844" s="99" t="b">
        <v>0</v>
      </c>
      <c r="N844" s="99" t="b">
        <v>0</v>
      </c>
      <c r="O844" s="99" t="b">
        <v>0</v>
      </c>
      <c r="P844" s="99" t="b">
        <v>0</v>
      </c>
      <c r="Q844" s="99" t="b">
        <v>0</v>
      </c>
      <c r="R844" s="14"/>
      <c r="S844" s="14"/>
      <c r="T844" s="14"/>
      <c r="U844" s="14"/>
      <c r="V844" s="14"/>
      <c r="W844" s="14"/>
    </row>
    <row r="845" ht="35.25" customHeight="1">
      <c r="A845" s="92" t="s">
        <v>10712</v>
      </c>
      <c r="B845" s="93" t="s">
        <v>10713</v>
      </c>
      <c r="C845" s="94" t="s">
        <v>10714</v>
      </c>
      <c r="D845" s="95" t="s">
        <v>10715</v>
      </c>
      <c r="E845" s="96" t="str">
        <f>IFERROR(__xludf.DUMMYFUNCTION("GOOGLETRANSLATE(D845,""zh-CN"",""vi"")"),"Nền kinh tế rất bất ổn trong giai đoạn này.")</f>
        <v>Nền kinh tế rất bất ổn trong giai đoạn này.</v>
      </c>
      <c r="F845" s="101" t="s">
        <v>10712</v>
      </c>
      <c r="G845" s="98" t="b">
        <f t="shared" si="1"/>
        <v>1</v>
      </c>
      <c r="H845" s="99" t="b">
        <v>1</v>
      </c>
      <c r="I845" s="99" t="b">
        <v>0</v>
      </c>
      <c r="J845" s="99" t="b">
        <v>0</v>
      </c>
      <c r="K845" s="99" t="b">
        <v>0</v>
      </c>
      <c r="L845" s="99" t="b">
        <v>0</v>
      </c>
      <c r="M845" s="99" t="b">
        <v>0</v>
      </c>
      <c r="N845" s="99" t="b">
        <v>0</v>
      </c>
      <c r="O845" s="99" t="b">
        <v>0</v>
      </c>
      <c r="P845" s="99" t="b">
        <v>0</v>
      </c>
      <c r="Q845" s="99" t="b">
        <v>0</v>
      </c>
      <c r="R845" s="14"/>
      <c r="S845" s="14"/>
      <c r="T845" s="14"/>
      <c r="U845" s="14"/>
      <c r="V845" s="14"/>
      <c r="W845" s="14"/>
    </row>
    <row r="846" ht="35.25" customHeight="1">
      <c r="A846" s="92" t="s">
        <v>10720</v>
      </c>
      <c r="B846" s="93" t="s">
        <v>10721</v>
      </c>
      <c r="C846" s="102" t="s">
        <v>10722</v>
      </c>
      <c r="D846" s="95" t="s">
        <v>10723</v>
      </c>
      <c r="E846" s="96" t="str">
        <f>IFERROR(__xludf.DUMMYFUNCTION("GOOGLETRANSLATE(D846,""zh-CN"",""vi"")"),"Cô ấy luôn theo đuổi các xu hướng thời trang.")</f>
        <v>Cô ấy luôn theo đuổi các xu hướng thời trang.</v>
      </c>
      <c r="F846" s="101" t="s">
        <v>10720</v>
      </c>
      <c r="G846" s="98" t="b">
        <f t="shared" si="1"/>
        <v>1</v>
      </c>
      <c r="H846" s="99" t="b">
        <v>1</v>
      </c>
      <c r="I846" s="99" t="b">
        <v>0</v>
      </c>
      <c r="J846" s="99" t="b">
        <v>0</v>
      </c>
      <c r="K846" s="99" t="b">
        <v>0</v>
      </c>
      <c r="L846" s="99" t="b">
        <v>0</v>
      </c>
      <c r="M846" s="99" t="b">
        <v>0</v>
      </c>
      <c r="N846" s="99" t="b">
        <v>0</v>
      </c>
      <c r="O846" s="99" t="b">
        <v>0</v>
      </c>
      <c r="P846" s="99" t="b">
        <v>0</v>
      </c>
      <c r="Q846" s="99" t="b">
        <v>0</v>
      </c>
      <c r="R846" s="14"/>
      <c r="S846" s="14"/>
      <c r="T846" s="14"/>
      <c r="U846" s="14"/>
      <c r="V846" s="14"/>
      <c r="W846" s="14"/>
    </row>
    <row r="847" ht="35.25" customHeight="1">
      <c r="A847" s="92" t="s">
        <v>10728</v>
      </c>
      <c r="B847" s="93" t="s">
        <v>10729</v>
      </c>
      <c r="C847" s="94" t="s">
        <v>10730</v>
      </c>
      <c r="D847" s="95" t="s">
        <v>10731</v>
      </c>
      <c r="E847" s="96" t="str">
        <f>IFERROR(__xludf.DUMMYFUNCTION("GOOGLETRANSLATE(D847,""zh-CN"",""vi"")"),"Anh ấy đã nói sự thật, và tất cả chúng tôi đều rất sốc.")</f>
        <v>Anh ấy đã nói sự thật, và tất cả chúng tôi đều rất sốc.</v>
      </c>
      <c r="F847" s="101" t="s">
        <v>10728</v>
      </c>
      <c r="G847" s="98" t="b">
        <f t="shared" si="1"/>
        <v>1</v>
      </c>
      <c r="H847" s="99" t="b">
        <v>1</v>
      </c>
      <c r="I847" s="99" t="b">
        <v>0</v>
      </c>
      <c r="J847" s="99" t="b">
        <v>0</v>
      </c>
      <c r="K847" s="99" t="b">
        <v>0</v>
      </c>
      <c r="L847" s="99" t="b">
        <v>0</v>
      </c>
      <c r="M847" s="99" t="b">
        <v>0</v>
      </c>
      <c r="N847" s="99" t="b">
        <v>0</v>
      </c>
      <c r="O847" s="99" t="b">
        <v>0</v>
      </c>
      <c r="P847" s="99" t="b">
        <v>0</v>
      </c>
      <c r="Q847" s="99" t="b">
        <v>0</v>
      </c>
      <c r="R847" s="14"/>
      <c r="S847" s="14"/>
      <c r="T847" s="14"/>
      <c r="U847" s="14"/>
      <c r="V847" s="14"/>
      <c r="W847" s="14"/>
    </row>
    <row r="848" ht="35.25" customHeight="1">
      <c r="A848" s="92" t="s">
        <v>10736</v>
      </c>
      <c r="B848" s="93" t="s">
        <v>10737</v>
      </c>
      <c r="C848" s="94" t="s">
        <v>10739</v>
      </c>
      <c r="D848" s="95" t="s">
        <v>10740</v>
      </c>
      <c r="E848" s="96" t="str">
        <f>IFERROR(__xludf.DUMMYFUNCTION("GOOGLETRANSLATE(D848,""zh-CN"",""vi"")"),"Chúng ta cần áp dụng lý thuyết vào thực tiễn.")</f>
        <v>Chúng ta cần áp dụng lý thuyết vào thực tiễn.</v>
      </c>
      <c r="F848" s="101" t="s">
        <v>10736</v>
      </c>
      <c r="G848" s="98" t="b">
        <f t="shared" si="1"/>
        <v>1</v>
      </c>
      <c r="H848" s="99" t="b">
        <v>1</v>
      </c>
      <c r="I848" s="99" t="b">
        <v>0</v>
      </c>
      <c r="J848" s="99" t="b">
        <v>0</v>
      </c>
      <c r="K848" s="99" t="b">
        <v>0</v>
      </c>
      <c r="L848" s="99" t="b">
        <v>0</v>
      </c>
      <c r="M848" s="99" t="b">
        <v>0</v>
      </c>
      <c r="N848" s="99" t="b">
        <v>0</v>
      </c>
      <c r="O848" s="99" t="b">
        <v>0</v>
      </c>
      <c r="P848" s="99" t="b">
        <v>0</v>
      </c>
      <c r="Q848" s="99" t="b">
        <v>0</v>
      </c>
      <c r="R848" s="14"/>
      <c r="S848" s="14"/>
      <c r="T848" s="14"/>
      <c r="U848" s="14"/>
      <c r="V848" s="14"/>
      <c r="W848" s="14"/>
    </row>
    <row r="849" ht="35.25" customHeight="1">
      <c r="A849" s="92" t="s">
        <v>10747</v>
      </c>
      <c r="B849" s="93" t="s">
        <v>10749</v>
      </c>
      <c r="C849" s="94" t="s">
        <v>10750</v>
      </c>
      <c r="D849" s="95" t="s">
        <v>10751</v>
      </c>
      <c r="E849" s="96" t="str">
        <f>IFERROR(__xludf.DUMMYFUNCTION("GOOGLETRANSLATE(D849,""zh-CN"",""vi"")"),"Cô ấy hiện đang thực tập và tìm hiểu về hoạt động của công ty.")</f>
        <v>Cô ấy hiện đang thực tập và tìm hiểu về hoạt động của công ty.</v>
      </c>
      <c r="F849" s="101" t="s">
        <v>10747</v>
      </c>
      <c r="G849" s="98" t="b">
        <f t="shared" si="1"/>
        <v>1</v>
      </c>
      <c r="H849" s="99" t="b">
        <v>1</v>
      </c>
      <c r="I849" s="99" t="b">
        <v>0</v>
      </c>
      <c r="J849" s="99" t="b">
        <v>0</v>
      </c>
      <c r="K849" s="99" t="b">
        <v>0</v>
      </c>
      <c r="L849" s="99" t="b">
        <v>0</v>
      </c>
      <c r="M849" s="99" t="b">
        <v>0</v>
      </c>
      <c r="N849" s="99" t="b">
        <v>0</v>
      </c>
      <c r="O849" s="99" t="b">
        <v>0</v>
      </c>
      <c r="P849" s="99" t="b">
        <v>0</v>
      </c>
      <c r="Q849" s="99" t="b">
        <v>0</v>
      </c>
      <c r="R849" s="14"/>
      <c r="S849" s="14"/>
      <c r="T849" s="14"/>
      <c r="U849" s="14"/>
      <c r="V849" s="14"/>
      <c r="W849" s="14"/>
    </row>
    <row r="850" ht="35.25" customHeight="1">
      <c r="A850" s="92" t="s">
        <v>10752</v>
      </c>
      <c r="B850" s="93" t="s">
        <v>10754</v>
      </c>
      <c r="C850" s="94" t="s">
        <v>10756</v>
      </c>
      <c r="D850" s="95" t="s">
        <v>10758</v>
      </c>
      <c r="E850" s="96" t="str">
        <f>IFERROR(__xludf.DUMMYFUNCTION("GOOGLETRANSLATE(D850,""zh-CN"",""vi"")"),"Họ nỗ lực hết mình để đạt được mục tiêu của mình.")</f>
        <v>Họ nỗ lực hết mình để đạt được mục tiêu của mình.</v>
      </c>
      <c r="F850" s="101" t="s">
        <v>10752</v>
      </c>
      <c r="G850" s="98" t="b">
        <f t="shared" si="1"/>
        <v>1</v>
      </c>
      <c r="H850" s="99" t="b">
        <v>1</v>
      </c>
      <c r="I850" s="99" t="b">
        <v>0</v>
      </c>
      <c r="J850" s="99" t="b">
        <v>0</v>
      </c>
      <c r="K850" s="99" t="b">
        <v>0</v>
      </c>
      <c r="L850" s="99" t="b">
        <v>0</v>
      </c>
      <c r="M850" s="99" t="b">
        <v>0</v>
      </c>
      <c r="N850" s="99" t="b">
        <v>0</v>
      </c>
      <c r="O850" s="99" t="b">
        <v>0</v>
      </c>
      <c r="P850" s="99" t="b">
        <v>0</v>
      </c>
      <c r="Q850" s="99" t="b">
        <v>0</v>
      </c>
      <c r="R850" s="14"/>
      <c r="S850" s="14"/>
      <c r="T850" s="14"/>
      <c r="U850" s="14"/>
      <c r="V850" s="14"/>
      <c r="W850" s="14"/>
    </row>
    <row r="851" ht="35.25" customHeight="1">
      <c r="A851" s="92" t="s">
        <v>10760</v>
      </c>
      <c r="B851" s="93" t="s">
        <v>10761</v>
      </c>
      <c r="C851" s="94" t="s">
        <v>4946</v>
      </c>
      <c r="D851" s="95" t="s">
        <v>10762</v>
      </c>
      <c r="E851" s="96" t="str">
        <f>IFERROR(__xludf.DUMMYFUNCTION("GOOGLETRANSLATE(D851,""zh-CN"",""vi"")"),"Kết quả của thí nghiệm này khá thú vị.")</f>
        <v>Kết quả của thí nghiệm này khá thú vị.</v>
      </c>
      <c r="F851" s="101" t="s">
        <v>10760</v>
      </c>
      <c r="G851" s="98" t="b">
        <f t="shared" si="1"/>
        <v>1</v>
      </c>
      <c r="H851" s="99" t="b">
        <v>1</v>
      </c>
      <c r="I851" s="99" t="b">
        <v>0</v>
      </c>
      <c r="J851" s="99" t="b">
        <v>0</v>
      </c>
      <c r="K851" s="99" t="b">
        <v>0</v>
      </c>
      <c r="L851" s="99" t="b">
        <v>0</v>
      </c>
      <c r="M851" s="99" t="b">
        <v>0</v>
      </c>
      <c r="N851" s="99" t="b">
        <v>0</v>
      </c>
      <c r="O851" s="99" t="b">
        <v>0</v>
      </c>
      <c r="P851" s="99" t="b">
        <v>0</v>
      </c>
      <c r="Q851" s="99" t="b">
        <v>0</v>
      </c>
      <c r="R851" s="14"/>
      <c r="S851" s="14"/>
      <c r="T851" s="14"/>
      <c r="U851" s="14"/>
      <c r="V851" s="14"/>
      <c r="W851" s="14"/>
    </row>
    <row r="852" ht="35.25" customHeight="1">
      <c r="A852" s="92" t="s">
        <v>10763</v>
      </c>
      <c r="B852" s="93" t="s">
        <v>10764</v>
      </c>
      <c r="C852" s="94" t="s">
        <v>10765</v>
      </c>
      <c r="D852" s="95" t="s">
        <v>10766</v>
      </c>
      <c r="E852" s="96" t="str">
        <f>IFERROR(__xludf.DUMMYFUNCTION("GOOGLETRANSLATE(D852,""zh-CN"",""vi"")"),"Công cụ này rất hữu ích.")</f>
        <v>Công cụ này rất hữu ích.</v>
      </c>
      <c r="F852" s="101" t="s">
        <v>10763</v>
      </c>
      <c r="G852" s="98" t="b">
        <f t="shared" si="1"/>
        <v>1</v>
      </c>
      <c r="H852" s="99" t="b">
        <v>1</v>
      </c>
      <c r="I852" s="99" t="b">
        <v>0</v>
      </c>
      <c r="J852" s="99" t="b">
        <v>0</v>
      </c>
      <c r="K852" s="99" t="b">
        <v>0</v>
      </c>
      <c r="L852" s="99" t="b">
        <v>0</v>
      </c>
      <c r="M852" s="99" t="b">
        <v>0</v>
      </c>
      <c r="N852" s="99" t="b">
        <v>0</v>
      </c>
      <c r="O852" s="99" t="b">
        <v>0</v>
      </c>
      <c r="P852" s="99" t="b">
        <v>0</v>
      </c>
      <c r="Q852" s="99" t="b">
        <v>0</v>
      </c>
      <c r="R852" s="14"/>
      <c r="S852" s="14"/>
      <c r="T852" s="14"/>
      <c r="U852" s="14"/>
      <c r="V852" s="14"/>
      <c r="W852" s="14"/>
    </row>
    <row r="853" ht="35.25" customHeight="1">
      <c r="A853" s="92" t="s">
        <v>10767</v>
      </c>
      <c r="B853" s="93" t="s">
        <v>10768</v>
      </c>
      <c r="C853" s="94" t="s">
        <v>10769</v>
      </c>
      <c r="D853" s="95" t="s">
        <v>10770</v>
      </c>
      <c r="E853" s="96" t="str">
        <f>IFERROR(__xludf.DUMMYFUNCTION("GOOGLETRANSLATE(D853,""zh-CN"",""vi"")"),"Bữa ăn này bao gồm nhiều loại thức ăn khác nhau.")</f>
        <v>Bữa ăn này bao gồm nhiều loại thức ăn khác nhau.</v>
      </c>
      <c r="F853" s="101" t="s">
        <v>10767</v>
      </c>
      <c r="G853" s="98" t="b">
        <f t="shared" si="1"/>
        <v>1</v>
      </c>
      <c r="H853" s="99" t="b">
        <v>1</v>
      </c>
      <c r="I853" s="99" t="b">
        <v>0</v>
      </c>
      <c r="J853" s="99" t="b">
        <v>0</v>
      </c>
      <c r="K853" s="99" t="b">
        <v>0</v>
      </c>
      <c r="L853" s="99" t="b">
        <v>0</v>
      </c>
      <c r="M853" s="99" t="b">
        <v>0</v>
      </c>
      <c r="N853" s="99" t="b">
        <v>0</v>
      </c>
      <c r="O853" s="99" t="b">
        <v>0</v>
      </c>
      <c r="P853" s="99" t="b">
        <v>0</v>
      </c>
      <c r="Q853" s="99" t="b">
        <v>0</v>
      </c>
      <c r="R853" s="14"/>
      <c r="S853" s="14"/>
      <c r="T853" s="14"/>
      <c r="U853" s="14"/>
      <c r="V853" s="14"/>
      <c r="W853" s="14"/>
    </row>
    <row r="854" ht="35.25" customHeight="1">
      <c r="A854" s="92" t="s">
        <v>10775</v>
      </c>
      <c r="B854" s="93" t="s">
        <v>10776</v>
      </c>
      <c r="C854" s="94" t="s">
        <v>10777</v>
      </c>
      <c r="D854" s="95" t="s">
        <v>10778</v>
      </c>
      <c r="E854" s="96" t="str">
        <f>IFERROR(__xludf.DUMMYFUNCTION("GOOGLETRANSLATE(D854,""zh-CN"",""vi"")"),"Anh ta dùng hết sức mình đẩy cánh cửa ra.")</f>
        <v>Anh ta dùng hết sức mình đẩy cánh cửa ra.</v>
      </c>
      <c r="F854" s="101" t="s">
        <v>10775</v>
      </c>
      <c r="G854" s="98" t="b">
        <f t="shared" si="1"/>
        <v>1</v>
      </c>
      <c r="H854" s="99" t="b">
        <v>1</v>
      </c>
      <c r="I854" s="99" t="b">
        <v>0</v>
      </c>
      <c r="J854" s="99" t="b">
        <v>0</v>
      </c>
      <c r="K854" s="99" t="b">
        <v>0</v>
      </c>
      <c r="L854" s="99" t="b">
        <v>0</v>
      </c>
      <c r="M854" s="99" t="b">
        <v>0</v>
      </c>
      <c r="N854" s="99" t="b">
        <v>0</v>
      </c>
      <c r="O854" s="99" t="b">
        <v>0</v>
      </c>
      <c r="P854" s="99" t="b">
        <v>0</v>
      </c>
      <c r="Q854" s="99" t="b">
        <v>0</v>
      </c>
      <c r="R854" s="14"/>
      <c r="S854" s="14"/>
      <c r="T854" s="14"/>
      <c r="U854" s="14"/>
      <c r="V854" s="14"/>
      <c r="W854" s="14"/>
    </row>
    <row r="855" ht="35.25" customHeight="1">
      <c r="A855" s="92" t="s">
        <v>10783</v>
      </c>
      <c r="B855" s="93" t="s">
        <v>10784</v>
      </c>
      <c r="C855" s="94" t="s">
        <v>10785</v>
      </c>
      <c r="D855" s="95" t="s">
        <v>10786</v>
      </c>
      <c r="E855" s="96" t="str">
        <f>IFERROR(__xludf.DUMMYFUNCTION("GOOGLETRANSLATE(D855,""zh-CN"",""vi"")"),"Chúng tôi luôn tin rằng anh ấy sẽ thành công.")</f>
        <v>Chúng tôi luôn tin rằng anh ấy sẽ thành công.</v>
      </c>
      <c r="F855" s="101" t="s">
        <v>10783</v>
      </c>
      <c r="G855" s="98" t="b">
        <f t="shared" si="1"/>
        <v>1</v>
      </c>
      <c r="H855" s="99" t="b">
        <v>1</v>
      </c>
      <c r="I855" s="99" t="b">
        <v>0</v>
      </c>
      <c r="J855" s="99" t="b">
        <v>0</v>
      </c>
      <c r="K855" s="99" t="b">
        <v>0</v>
      </c>
      <c r="L855" s="99" t="b">
        <v>0</v>
      </c>
      <c r="M855" s="99" t="b">
        <v>0</v>
      </c>
      <c r="N855" s="99" t="b">
        <v>0</v>
      </c>
      <c r="O855" s="99" t="b">
        <v>0</v>
      </c>
      <c r="P855" s="99" t="b">
        <v>0</v>
      </c>
      <c r="Q855" s="99" t="b">
        <v>0</v>
      </c>
      <c r="R855" s="14"/>
      <c r="S855" s="14"/>
      <c r="T855" s="14"/>
      <c r="U855" s="14"/>
      <c r="V855" s="14"/>
      <c r="W855" s="14"/>
    </row>
    <row r="856" ht="35.25" customHeight="1">
      <c r="A856" s="92" t="s">
        <v>10791</v>
      </c>
      <c r="B856" s="93" t="s">
        <v>10792</v>
      </c>
      <c r="C856" s="94" t="s">
        <v>10793</v>
      </c>
      <c r="D856" s="95" t="s">
        <v>10794</v>
      </c>
      <c r="E856" s="96" t="str">
        <f>IFERROR(__xludf.DUMMYFUNCTION("GOOGLETRANSLATE(D856,""zh-CN"",""vi"")"),"Anh ấy là một người lính.")</f>
        <v>Anh ấy là một người lính.</v>
      </c>
      <c r="F856" s="101" t="s">
        <v>10791</v>
      </c>
      <c r="G856" s="98" t="b">
        <f t="shared" si="1"/>
        <v>1</v>
      </c>
      <c r="H856" s="99" t="b">
        <v>1</v>
      </c>
      <c r="I856" s="99" t="b">
        <v>0</v>
      </c>
      <c r="J856" s="99" t="b">
        <v>0</v>
      </c>
      <c r="K856" s="99" t="b">
        <v>0</v>
      </c>
      <c r="L856" s="99" t="b">
        <v>0</v>
      </c>
      <c r="M856" s="99" t="b">
        <v>0</v>
      </c>
      <c r="N856" s="99" t="b">
        <v>0</v>
      </c>
      <c r="O856" s="99" t="b">
        <v>0</v>
      </c>
      <c r="P856" s="99" t="b">
        <v>0</v>
      </c>
      <c r="Q856" s="99" t="b">
        <v>0</v>
      </c>
      <c r="R856" s="14"/>
      <c r="S856" s="14"/>
      <c r="T856" s="14"/>
      <c r="U856" s="14"/>
      <c r="V856" s="14"/>
      <c r="W856" s="14"/>
    </row>
    <row r="857" ht="35.25" customHeight="1">
      <c r="A857" s="92" t="s">
        <v>10799</v>
      </c>
      <c r="B857" s="93" t="s">
        <v>10800</v>
      </c>
      <c r="C857" s="94" t="s">
        <v>10801</v>
      </c>
      <c r="D857" s="95" t="s">
        <v>10802</v>
      </c>
      <c r="E857" s="96" t="str">
        <f>IFERROR(__xludf.DUMMYFUNCTION("GOOGLETRANSLATE(D857,""zh-CN"",""vi"")"),"Có rất nhiều sản phẩm trên thị trường này.")</f>
        <v>Có rất nhiều sản phẩm trên thị trường này.</v>
      </c>
      <c r="F857" s="101" t="s">
        <v>10799</v>
      </c>
      <c r="G857" s="98" t="b">
        <f t="shared" si="1"/>
        <v>1</v>
      </c>
      <c r="H857" s="99" t="b">
        <v>1</v>
      </c>
      <c r="I857" s="99" t="b">
        <v>0</v>
      </c>
      <c r="J857" s="99" t="b">
        <v>0</v>
      </c>
      <c r="K857" s="99" t="b">
        <v>0</v>
      </c>
      <c r="L857" s="99" t="b">
        <v>0</v>
      </c>
      <c r="M857" s="99" t="b">
        <v>0</v>
      </c>
      <c r="N857" s="99" t="b">
        <v>0</v>
      </c>
      <c r="O857" s="99" t="b">
        <v>0</v>
      </c>
      <c r="P857" s="99" t="b">
        <v>0</v>
      </c>
      <c r="Q857" s="99" t="b">
        <v>0</v>
      </c>
      <c r="R857" s="14"/>
      <c r="S857" s="14"/>
      <c r="T857" s="14"/>
      <c r="U857" s="14"/>
      <c r="V857" s="14"/>
      <c r="W857" s="14"/>
    </row>
    <row r="858" ht="35.25" customHeight="1">
      <c r="A858" s="92" t="s">
        <v>10807</v>
      </c>
      <c r="B858" s="93" t="s">
        <v>10808</v>
      </c>
      <c r="C858" s="94" t="s">
        <v>10809</v>
      </c>
      <c r="D858" s="95" t="s">
        <v>10810</v>
      </c>
      <c r="E858" s="96" t="str">
        <f>IFERROR(__xludf.DUMMYFUNCTION("GOOGLETRANSLATE(D858,""zh-CN"",""vi"")"),"Cô ấy rất giống chị gái mình.")</f>
        <v>Cô ấy rất giống chị gái mình.</v>
      </c>
      <c r="F858" s="101" t="s">
        <v>10807</v>
      </c>
      <c r="G858" s="98" t="b">
        <f t="shared" si="1"/>
        <v>1</v>
      </c>
      <c r="H858" s="99" t="b">
        <v>1</v>
      </c>
      <c r="I858" s="99" t="b">
        <v>0</v>
      </c>
      <c r="J858" s="99" t="b">
        <v>0</v>
      </c>
      <c r="K858" s="99" t="b">
        <v>0</v>
      </c>
      <c r="L858" s="99" t="b">
        <v>0</v>
      </c>
      <c r="M858" s="99" t="b">
        <v>0</v>
      </c>
      <c r="N858" s="99" t="b">
        <v>0</v>
      </c>
      <c r="O858" s="99" t="b">
        <v>0</v>
      </c>
      <c r="P858" s="99" t="b">
        <v>0</v>
      </c>
      <c r="Q858" s="99" t="b">
        <v>0</v>
      </c>
      <c r="R858" s="14"/>
      <c r="S858" s="14"/>
      <c r="T858" s="14"/>
      <c r="U858" s="14"/>
      <c r="V858" s="14"/>
      <c r="W858" s="14"/>
    </row>
    <row r="859" ht="35.25" customHeight="1">
      <c r="A859" s="92" t="s">
        <v>10815</v>
      </c>
      <c r="B859" s="93" t="s">
        <v>10816</v>
      </c>
      <c r="C859" s="94" t="s">
        <v>10817</v>
      </c>
      <c r="D859" s="95" t="s">
        <v>10818</v>
      </c>
      <c r="E859" s="96" t="str">
        <f>IFERROR(__xludf.DUMMYFUNCTION("GOOGLETRANSLATE(D859,""zh-CN"",""vi"")"),"Điều này không đúng.")</f>
        <v>Điều này không đúng.</v>
      </c>
      <c r="F859" s="101" t="s">
        <v>10815</v>
      </c>
      <c r="G859" s="98" t="b">
        <f t="shared" si="1"/>
        <v>1</v>
      </c>
      <c r="H859" s="99" t="b">
        <v>1</v>
      </c>
      <c r="I859" s="99" t="b">
        <v>0</v>
      </c>
      <c r="J859" s="99" t="b">
        <v>0</v>
      </c>
      <c r="K859" s="99" t="b">
        <v>0</v>
      </c>
      <c r="L859" s="99" t="b">
        <v>0</v>
      </c>
      <c r="M859" s="99" t="b">
        <v>0</v>
      </c>
      <c r="N859" s="99" t="b">
        <v>0</v>
      </c>
      <c r="O859" s="99" t="b">
        <v>0</v>
      </c>
      <c r="P859" s="99" t="b">
        <v>0</v>
      </c>
      <c r="Q859" s="99" t="b">
        <v>0</v>
      </c>
      <c r="R859" s="14"/>
      <c r="S859" s="14"/>
      <c r="T859" s="14"/>
      <c r="U859" s="14"/>
      <c r="V859" s="14"/>
      <c r="W859" s="14"/>
    </row>
    <row r="860" ht="35.25" customHeight="1">
      <c r="A860" s="92" t="s">
        <v>10823</v>
      </c>
      <c r="B860" s="93" t="s">
        <v>10824</v>
      </c>
      <c r="C860" s="94" t="s">
        <v>10825</v>
      </c>
      <c r="D860" s="95" t="s">
        <v>10826</v>
      </c>
      <c r="E860" s="96" t="str">
        <f>IFERROR(__xludf.DUMMYFUNCTION("GOOGLETRANSLATE(D860,""zh-CN"",""vi"")"),"Những điều này đều rất quan trọng.")</f>
        <v>Những điều này đều rất quan trọng.</v>
      </c>
      <c r="F860" s="101" t="s">
        <v>10823</v>
      </c>
      <c r="G860" s="98" t="b">
        <f t="shared" si="1"/>
        <v>1</v>
      </c>
      <c r="H860" s="99" t="b">
        <v>1</v>
      </c>
      <c r="I860" s="99" t="b">
        <v>0</v>
      </c>
      <c r="J860" s="99" t="b">
        <v>0</v>
      </c>
      <c r="K860" s="99" t="b">
        <v>0</v>
      </c>
      <c r="L860" s="99" t="b">
        <v>0</v>
      </c>
      <c r="M860" s="99" t="b">
        <v>0</v>
      </c>
      <c r="N860" s="99" t="b">
        <v>0</v>
      </c>
      <c r="O860" s="99" t="b">
        <v>0</v>
      </c>
      <c r="P860" s="99" t="b">
        <v>0</v>
      </c>
      <c r="Q860" s="99" t="b">
        <v>0</v>
      </c>
      <c r="R860" s="14"/>
      <c r="S860" s="14"/>
      <c r="T860" s="14"/>
      <c r="U860" s="14"/>
      <c r="V860" s="14"/>
      <c r="W860" s="14"/>
    </row>
    <row r="861" ht="35.25" customHeight="1">
      <c r="A861" s="92" t="s">
        <v>10831</v>
      </c>
      <c r="B861" s="93" t="s">
        <v>10832</v>
      </c>
      <c r="C861" s="94" t="s">
        <v>10833</v>
      </c>
      <c r="D861" s="95" t="s">
        <v>10834</v>
      </c>
      <c r="E861" s="96" t="str">
        <f>IFERROR(__xludf.DUMMYFUNCTION("GOOGLETRANSLATE(D861,""zh-CN"",""vi"")"),"Việc chuẩn bị trước rất quan trọng.")</f>
        <v>Việc chuẩn bị trước rất quan trọng.</v>
      </c>
      <c r="F861" s="101" t="s">
        <v>10831</v>
      </c>
      <c r="G861" s="98" t="b">
        <f t="shared" si="1"/>
        <v>1</v>
      </c>
      <c r="H861" s="99" t="b">
        <v>1</v>
      </c>
      <c r="I861" s="99" t="b">
        <v>0</v>
      </c>
      <c r="J861" s="99" t="b">
        <v>0</v>
      </c>
      <c r="K861" s="99" t="b">
        <v>0</v>
      </c>
      <c r="L861" s="99" t="b">
        <v>0</v>
      </c>
      <c r="M861" s="99" t="b">
        <v>0</v>
      </c>
      <c r="N861" s="99" t="b">
        <v>0</v>
      </c>
      <c r="O861" s="99" t="b">
        <v>0</v>
      </c>
      <c r="P861" s="99" t="b">
        <v>0</v>
      </c>
      <c r="Q861" s="99" t="b">
        <v>0</v>
      </c>
      <c r="R861" s="14"/>
      <c r="S861" s="14"/>
      <c r="T861" s="14"/>
      <c r="U861" s="14"/>
      <c r="V861" s="14"/>
      <c r="W861" s="14"/>
    </row>
    <row r="862" ht="35.25" customHeight="1">
      <c r="A862" s="92" t="s">
        <v>10837</v>
      </c>
      <c r="B862" s="93" t="s">
        <v>10838</v>
      </c>
      <c r="C862" s="94" t="s">
        <v>10839</v>
      </c>
      <c r="D862" s="95" t="s">
        <v>10840</v>
      </c>
      <c r="E862" s="96" t="str">
        <f>IFERROR(__xludf.DUMMYFUNCTION("GOOGLETRANSLATE(D862,""zh-CN"",""vi"")"),"Vui lòng ghi tên của bạn lên bài thi.")</f>
        <v>Vui lòng ghi tên của bạn lên bài thi.</v>
      </c>
      <c r="F862" s="101" t="s">
        <v>10837</v>
      </c>
      <c r="G862" s="98" t="b">
        <f t="shared" si="1"/>
        <v>1</v>
      </c>
      <c r="H862" s="99" t="b">
        <v>1</v>
      </c>
      <c r="I862" s="99" t="b">
        <v>0</v>
      </c>
      <c r="J862" s="99" t="b">
        <v>0</v>
      </c>
      <c r="K862" s="99" t="b">
        <v>0</v>
      </c>
      <c r="L862" s="99" t="b">
        <v>0</v>
      </c>
      <c r="M862" s="99" t="b">
        <v>0</v>
      </c>
      <c r="N862" s="99" t="b">
        <v>0</v>
      </c>
      <c r="O862" s="99" t="b">
        <v>0</v>
      </c>
      <c r="P862" s="99" t="b">
        <v>0</v>
      </c>
      <c r="Q862" s="99" t="b">
        <v>0</v>
      </c>
      <c r="R862" s="14"/>
      <c r="S862" s="14"/>
      <c r="T862" s="14"/>
      <c r="U862" s="14"/>
      <c r="V862" s="14"/>
      <c r="W862" s="14"/>
    </row>
    <row r="863" ht="35.25" customHeight="1">
      <c r="A863" s="92" t="s">
        <v>10845</v>
      </c>
      <c r="B863" s="93" t="s">
        <v>10846</v>
      </c>
      <c r="C863" s="94" t="s">
        <v>10847</v>
      </c>
      <c r="D863" s="95" t="s">
        <v>10848</v>
      </c>
      <c r="E863" s="96" t="str">
        <f>IFERROR(__xludf.DUMMYFUNCTION("GOOGLETRANSLATE(D863,""zh-CN"",""vi"")"),"Chuyến đi này rất bổ ích.")</f>
        <v>Chuyến đi này rất bổ ích.</v>
      </c>
      <c r="F863" s="101" t="s">
        <v>10845</v>
      </c>
      <c r="G863" s="98" t="b">
        <f t="shared" si="1"/>
        <v>1</v>
      </c>
      <c r="H863" s="99" t="b">
        <v>1</v>
      </c>
      <c r="I863" s="99" t="b">
        <v>0</v>
      </c>
      <c r="J863" s="99" t="b">
        <v>0</v>
      </c>
      <c r="K863" s="99" t="b">
        <v>0</v>
      </c>
      <c r="L863" s="99" t="b">
        <v>0</v>
      </c>
      <c r="M863" s="99" t="b">
        <v>0</v>
      </c>
      <c r="N863" s="99" t="b">
        <v>0</v>
      </c>
      <c r="O863" s="99" t="b">
        <v>0</v>
      </c>
      <c r="P863" s="99" t="b">
        <v>0</v>
      </c>
      <c r="Q863" s="99" t="b">
        <v>0</v>
      </c>
      <c r="R863" s="14"/>
      <c r="S863" s="14"/>
      <c r="T863" s="14"/>
      <c r="U863" s="14"/>
      <c r="V863" s="14"/>
      <c r="W863" s="14"/>
    </row>
    <row r="864" ht="35.25" customHeight="1">
      <c r="A864" s="92" t="s">
        <v>10853</v>
      </c>
      <c r="B864" s="93" t="s">
        <v>10854</v>
      </c>
      <c r="C864" s="94" t="s">
        <v>10855</v>
      </c>
      <c r="D864" s="95" t="s">
        <v>10856</v>
      </c>
      <c r="E864" s="96" t="str">
        <f>IFERROR(__xludf.DUMMYFUNCTION("GOOGLETRANSLATE(D864,""zh-CN"",""vi"")"),"Tôi không tìm thấy hóa đơn này.")</f>
        <v>Tôi không tìm thấy hóa đơn này.</v>
      </c>
      <c r="F864" s="101" t="s">
        <v>10853</v>
      </c>
      <c r="G864" s="98" t="b">
        <f t="shared" si="1"/>
        <v>1</v>
      </c>
      <c r="H864" s="99" t="b">
        <v>1</v>
      </c>
      <c r="I864" s="99" t="b">
        <v>0</v>
      </c>
      <c r="J864" s="99" t="b">
        <v>0</v>
      </c>
      <c r="K864" s="99" t="b">
        <v>0</v>
      </c>
      <c r="L864" s="99" t="b">
        <v>0</v>
      </c>
      <c r="M864" s="99" t="b">
        <v>0</v>
      </c>
      <c r="N864" s="99" t="b">
        <v>0</v>
      </c>
      <c r="O864" s="99" t="b">
        <v>0</v>
      </c>
      <c r="P864" s="99" t="b">
        <v>0</v>
      </c>
      <c r="Q864" s="99" t="b">
        <v>0</v>
      </c>
      <c r="R864" s="14"/>
      <c r="S864" s="14"/>
      <c r="T864" s="14"/>
      <c r="U864" s="14"/>
      <c r="V864" s="14"/>
      <c r="W864" s="14"/>
    </row>
    <row r="865" ht="35.25" customHeight="1">
      <c r="A865" s="92" t="s">
        <v>10858</v>
      </c>
      <c r="B865" s="93" t="s">
        <v>10860</v>
      </c>
      <c r="C865" s="94" t="s">
        <v>10862</v>
      </c>
      <c r="D865" s="95" t="s">
        <v>10863</v>
      </c>
      <c r="E865" s="96" t="str">
        <f>IFERROR(__xludf.DUMMYFUNCTION("GOOGLETRANSLATE(D865,""zh-CN"",""vi"")"),"Sản phẩm thủ công này rất độc đáo.")</f>
        <v>Sản phẩm thủ công này rất độc đáo.</v>
      </c>
      <c r="F865" s="101" t="s">
        <v>10858</v>
      </c>
      <c r="G865" s="98" t="b">
        <f t="shared" si="1"/>
        <v>1</v>
      </c>
      <c r="H865" s="99" t="b">
        <v>1</v>
      </c>
      <c r="I865" s="99" t="b">
        <v>0</v>
      </c>
      <c r="J865" s="99" t="b">
        <v>0</v>
      </c>
      <c r="K865" s="99" t="b">
        <v>0</v>
      </c>
      <c r="L865" s="99" t="b">
        <v>0</v>
      </c>
      <c r="M865" s="99" t="b">
        <v>0</v>
      </c>
      <c r="N865" s="99" t="b">
        <v>0</v>
      </c>
      <c r="O865" s="99" t="b">
        <v>0</v>
      </c>
      <c r="P865" s="99" t="b">
        <v>0</v>
      </c>
      <c r="Q865" s="99" t="b">
        <v>0</v>
      </c>
      <c r="R865" s="14"/>
      <c r="S865" s="14"/>
      <c r="T865" s="14"/>
      <c r="U865" s="14"/>
      <c r="V865" s="14"/>
      <c r="W865" s="14"/>
    </row>
    <row r="866" ht="35.25" customHeight="1">
      <c r="A866" s="92" t="s">
        <v>10865</v>
      </c>
      <c r="B866" s="93" t="s">
        <v>10867</v>
      </c>
      <c r="C866" s="94" t="s">
        <v>10869</v>
      </c>
      <c r="D866" s="95" t="s">
        <v>10871</v>
      </c>
      <c r="E866" s="96" t="str">
        <f>IFERROR(__xludf.DUMMYFUNCTION("GOOGLETRANSLATE(D866,""zh-CN"",""vi"")"),"Anh ấy cần phải phẫu thuật.")</f>
        <v>Anh ấy cần phải phẫu thuật.</v>
      </c>
      <c r="F866" s="101" t="s">
        <v>10865</v>
      </c>
      <c r="G866" s="98" t="b">
        <f t="shared" si="1"/>
        <v>1</v>
      </c>
      <c r="H866" s="99" t="b">
        <v>1</v>
      </c>
      <c r="I866" s="99" t="b">
        <v>0</v>
      </c>
      <c r="J866" s="99" t="b">
        <v>0</v>
      </c>
      <c r="K866" s="99" t="b">
        <v>0</v>
      </c>
      <c r="L866" s="99" t="b">
        <v>0</v>
      </c>
      <c r="M866" s="99" t="b">
        <v>0</v>
      </c>
      <c r="N866" s="99" t="b">
        <v>0</v>
      </c>
      <c r="O866" s="99" t="b">
        <v>0</v>
      </c>
      <c r="P866" s="99" t="b">
        <v>0</v>
      </c>
      <c r="Q866" s="99" t="b">
        <v>0</v>
      </c>
      <c r="R866" s="14"/>
      <c r="S866" s="14"/>
      <c r="T866" s="14"/>
      <c r="U866" s="14"/>
      <c r="V866" s="14"/>
      <c r="W866" s="14"/>
    </row>
    <row r="867" ht="35.25" customHeight="1">
      <c r="A867" s="92" t="s">
        <v>10873</v>
      </c>
      <c r="B867" s="93" t="s">
        <v>10875</v>
      </c>
      <c r="C867" s="94" t="s">
        <v>10877</v>
      </c>
      <c r="D867" s="95" t="s">
        <v>10879</v>
      </c>
      <c r="E867" s="96" t="str">
        <f>IFERROR(__xludf.DUMMYFUNCTION("GOOGLETRANSLATE(D867,""zh-CN"",""vi"")"),"Cô ấy đeo một đôi găng tay mới.")</f>
        <v>Cô ấy đeo một đôi găng tay mới.</v>
      </c>
      <c r="F867" s="101" t="s">
        <v>10873</v>
      </c>
      <c r="G867" s="98" t="b">
        <f t="shared" si="1"/>
        <v>1</v>
      </c>
      <c r="H867" s="99" t="b">
        <v>1</v>
      </c>
      <c r="I867" s="99" t="b">
        <v>0</v>
      </c>
      <c r="J867" s="99" t="b">
        <v>0</v>
      </c>
      <c r="K867" s="99" t="b">
        <v>0</v>
      </c>
      <c r="L867" s="99" t="b">
        <v>0</v>
      </c>
      <c r="M867" s="99" t="b">
        <v>0</v>
      </c>
      <c r="N867" s="99" t="b">
        <v>0</v>
      </c>
      <c r="O867" s="99" t="b">
        <v>0</v>
      </c>
      <c r="P867" s="99" t="b">
        <v>0</v>
      </c>
      <c r="Q867" s="99" t="b">
        <v>0</v>
      </c>
      <c r="R867" s="14"/>
      <c r="S867" s="14"/>
      <c r="T867" s="14"/>
      <c r="U867" s="14"/>
      <c r="V867" s="14"/>
      <c r="W867" s="14"/>
    </row>
    <row r="868" ht="35.25" customHeight="1">
      <c r="A868" s="92" t="s">
        <v>10880</v>
      </c>
      <c r="B868" s="93" t="s">
        <v>10881</v>
      </c>
      <c r="C868" s="94" t="s">
        <v>10882</v>
      </c>
      <c r="D868" s="95" t="s">
        <v>10883</v>
      </c>
      <c r="E868" s="96" t="str">
        <f>IFERROR(__xludf.DUMMYFUNCTION("GOOGLETRANSLATE(D868,""zh-CN"",""vi"")"),"Các thủ tục này cần thời gian để hoàn thành.")</f>
        <v>Các thủ tục này cần thời gian để hoàn thành.</v>
      </c>
      <c r="F868" s="101" t="s">
        <v>10880</v>
      </c>
      <c r="G868" s="98" t="b">
        <f t="shared" si="1"/>
        <v>1</v>
      </c>
      <c r="H868" s="99" t="b">
        <v>1</v>
      </c>
      <c r="I868" s="99" t="b">
        <v>0</v>
      </c>
      <c r="J868" s="99" t="b">
        <v>0</v>
      </c>
      <c r="K868" s="99" t="b">
        <v>0</v>
      </c>
      <c r="L868" s="99" t="b">
        <v>0</v>
      </c>
      <c r="M868" s="99" t="b">
        <v>0</v>
      </c>
      <c r="N868" s="99" t="b">
        <v>0</v>
      </c>
      <c r="O868" s="99" t="b">
        <v>0</v>
      </c>
      <c r="P868" s="99" t="b">
        <v>0</v>
      </c>
      <c r="Q868" s="99" t="b">
        <v>0</v>
      </c>
      <c r="R868" s="14"/>
      <c r="S868" s="14"/>
      <c r="T868" s="14"/>
      <c r="U868" s="14"/>
      <c r="V868" s="14"/>
      <c r="W868" s="14"/>
    </row>
    <row r="869" ht="35.25" customHeight="1">
      <c r="A869" s="92" t="s">
        <v>10888</v>
      </c>
      <c r="B869" s="93" t="s">
        <v>10889</v>
      </c>
      <c r="C869" s="94" t="s">
        <v>10890</v>
      </c>
      <c r="D869" s="95" t="s">
        <v>10891</v>
      </c>
      <c r="E869" s="96" t="str">
        <f>IFERROR(__xludf.DUMMYFUNCTION("GOOGLETRANSLATE(D869,""zh-CN"",""vi"")"),"Cô ấy chỉ vào vị trí trên bản đồ.")</f>
        <v>Cô ấy chỉ vào vị trí trên bản đồ.</v>
      </c>
      <c r="F869" s="101" t="s">
        <v>10888</v>
      </c>
      <c r="G869" s="98" t="b">
        <f t="shared" si="1"/>
        <v>1</v>
      </c>
      <c r="H869" s="99" t="b">
        <v>1</v>
      </c>
      <c r="I869" s="99" t="b">
        <v>0</v>
      </c>
      <c r="J869" s="99" t="b">
        <v>0</v>
      </c>
      <c r="K869" s="99" t="b">
        <v>0</v>
      </c>
      <c r="L869" s="99" t="b">
        <v>0</v>
      </c>
      <c r="M869" s="99" t="b">
        <v>0</v>
      </c>
      <c r="N869" s="99" t="b">
        <v>0</v>
      </c>
      <c r="O869" s="99" t="b">
        <v>0</v>
      </c>
      <c r="P869" s="99" t="b">
        <v>0</v>
      </c>
      <c r="Q869" s="99" t="b">
        <v>0</v>
      </c>
      <c r="R869" s="14"/>
      <c r="S869" s="14"/>
      <c r="T869" s="14"/>
      <c r="U869" s="14"/>
      <c r="V869" s="14"/>
      <c r="W869" s="14"/>
    </row>
    <row r="870" ht="35.25" customHeight="1">
      <c r="A870" s="92" t="s">
        <v>10896</v>
      </c>
      <c r="B870" s="93" t="s">
        <v>10897</v>
      </c>
      <c r="C870" s="94" t="s">
        <v>10898</v>
      </c>
      <c r="D870" s="95" t="s">
        <v>10899</v>
      </c>
      <c r="E870" s="96" t="str">
        <f>IFERROR(__xludf.DUMMYFUNCTION("GOOGLETRANSLATE(D870,""zh-CN"",""vi"")"),"Bài hát này đứng đầu bảng xếp hạng.")</f>
        <v>Bài hát này đứng đầu bảng xếp hạng.</v>
      </c>
      <c r="F870" s="101" t="s">
        <v>10896</v>
      </c>
      <c r="G870" s="98" t="b">
        <f t="shared" si="1"/>
        <v>1</v>
      </c>
      <c r="H870" s="99" t="b">
        <v>1</v>
      </c>
      <c r="I870" s="99" t="b">
        <v>0</v>
      </c>
      <c r="J870" s="99" t="b">
        <v>0</v>
      </c>
      <c r="K870" s="99" t="b">
        <v>0</v>
      </c>
      <c r="L870" s="99" t="b">
        <v>0</v>
      </c>
      <c r="M870" s="99" t="b">
        <v>0</v>
      </c>
      <c r="N870" s="99" t="b">
        <v>0</v>
      </c>
      <c r="O870" s="99" t="b">
        <v>0</v>
      </c>
      <c r="P870" s="99" t="b">
        <v>0</v>
      </c>
      <c r="Q870" s="99" t="b">
        <v>0</v>
      </c>
      <c r="R870" s="14"/>
      <c r="S870" s="14"/>
      <c r="T870" s="14"/>
      <c r="U870" s="14"/>
      <c r="V870" s="14"/>
      <c r="W870" s="14"/>
    </row>
    <row r="871" ht="35.25" customHeight="1">
      <c r="A871" s="92" t="s">
        <v>10904</v>
      </c>
      <c r="B871" s="93" t="s">
        <v>10905</v>
      </c>
      <c r="C871" s="94" t="s">
        <v>10906</v>
      </c>
      <c r="D871" s="95" t="s">
        <v>10907</v>
      </c>
      <c r="E871" s="96" t="str">
        <f>IFERROR(__xludf.DUMMYFUNCTION("GOOGLETRANSLATE(D871,""zh-CN"",""vi"")"),"Ông ấy sống thọ.")</f>
        <v>Ông ấy sống thọ.</v>
      </c>
      <c r="F871" s="101" t="s">
        <v>10904</v>
      </c>
      <c r="G871" s="98" t="b">
        <f t="shared" si="1"/>
        <v>1</v>
      </c>
      <c r="H871" s="99" t="b">
        <v>1</v>
      </c>
      <c r="I871" s="99" t="b">
        <v>0</v>
      </c>
      <c r="J871" s="99" t="b">
        <v>0</v>
      </c>
      <c r="K871" s="99" t="b">
        <v>0</v>
      </c>
      <c r="L871" s="99" t="b">
        <v>0</v>
      </c>
      <c r="M871" s="99" t="b">
        <v>0</v>
      </c>
      <c r="N871" s="99" t="b">
        <v>0</v>
      </c>
      <c r="O871" s="99" t="b">
        <v>0</v>
      </c>
      <c r="P871" s="99" t="b">
        <v>0</v>
      </c>
      <c r="Q871" s="99" t="b">
        <v>0</v>
      </c>
      <c r="R871" s="14"/>
      <c r="S871" s="14"/>
      <c r="T871" s="14"/>
      <c r="U871" s="14"/>
      <c r="V871" s="14"/>
      <c r="W871" s="14"/>
    </row>
    <row r="872" ht="35.25" customHeight="1">
      <c r="A872" s="92" t="s">
        <v>10912</v>
      </c>
      <c r="B872" s="93" t="s">
        <v>10913</v>
      </c>
      <c r="C872" s="94" t="s">
        <v>10914</v>
      </c>
      <c r="D872" s="95" t="s">
        <v>10915</v>
      </c>
      <c r="E872" s="96" t="str">
        <f>IFERROR(__xludf.DUMMYFUNCTION("GOOGLETRANSLATE(D872,""zh-CN"",""vi"")"),"Anh ấy bị chấn thương trong trận đấu.")</f>
        <v>Anh ấy bị chấn thương trong trận đấu.</v>
      </c>
      <c r="F872" s="101" t="s">
        <v>10912</v>
      </c>
      <c r="G872" s="98" t="b">
        <f t="shared" si="1"/>
        <v>1</v>
      </c>
      <c r="H872" s="99" t="b">
        <v>1</v>
      </c>
      <c r="I872" s="99" t="b">
        <v>0</v>
      </c>
      <c r="J872" s="99" t="b">
        <v>0</v>
      </c>
      <c r="K872" s="99" t="b">
        <v>0</v>
      </c>
      <c r="L872" s="99" t="b">
        <v>0</v>
      </c>
      <c r="M872" s="99" t="b">
        <v>0</v>
      </c>
      <c r="N872" s="99" t="b">
        <v>0</v>
      </c>
      <c r="O872" s="99" t="b">
        <v>0</v>
      </c>
      <c r="P872" s="99" t="b">
        <v>0</v>
      </c>
      <c r="Q872" s="99" t="b">
        <v>0</v>
      </c>
      <c r="R872" s="14"/>
      <c r="S872" s="14"/>
      <c r="T872" s="14"/>
      <c r="U872" s="14"/>
      <c r="V872" s="14"/>
      <c r="W872" s="14"/>
    </row>
    <row r="873" ht="35.25" customHeight="1">
      <c r="A873" s="92" t="s">
        <v>10919</v>
      </c>
      <c r="B873" s="93" t="s">
        <v>10920</v>
      </c>
      <c r="C873" s="94" t="s">
        <v>10921</v>
      </c>
      <c r="D873" s="95" t="s">
        <v>10922</v>
      </c>
      <c r="E873" s="96" t="str">
        <f>IFERROR(__xludf.DUMMYFUNCTION("GOOGLETRANSLATE(D873,""zh-CN"",""vi"")"),"Các giá sách đều chất đầy sách.")</f>
        <v>Các giá sách đều chất đầy sách.</v>
      </c>
      <c r="F873" s="101" t="s">
        <v>10919</v>
      </c>
      <c r="G873" s="98" t="b">
        <f t="shared" si="1"/>
        <v>1</v>
      </c>
      <c r="H873" s="99" t="b">
        <v>1</v>
      </c>
      <c r="I873" s="99" t="b">
        <v>0</v>
      </c>
      <c r="J873" s="99" t="b">
        <v>0</v>
      </c>
      <c r="K873" s="99" t="b">
        <v>0</v>
      </c>
      <c r="L873" s="99" t="b">
        <v>0</v>
      </c>
      <c r="M873" s="99" t="b">
        <v>0</v>
      </c>
      <c r="N873" s="99" t="b">
        <v>0</v>
      </c>
      <c r="O873" s="99" t="b">
        <v>0</v>
      </c>
      <c r="P873" s="99" t="b">
        <v>0</v>
      </c>
      <c r="Q873" s="99" t="b">
        <v>0</v>
      </c>
      <c r="R873" s="14"/>
      <c r="S873" s="14"/>
      <c r="T873" s="14"/>
      <c r="U873" s="14"/>
      <c r="V873" s="14"/>
      <c r="W873" s="14"/>
    </row>
    <row r="874" ht="35.25" customHeight="1">
      <c r="A874" s="92" t="s">
        <v>10925</v>
      </c>
      <c r="B874" s="93" t="s">
        <v>10927</v>
      </c>
      <c r="C874" s="94" t="s">
        <v>10928</v>
      </c>
      <c r="D874" s="95" t="s">
        <v>10930</v>
      </c>
      <c r="E874" s="96" t="str">
        <f>IFERROR(__xludf.DUMMYFUNCTION("GOOGLETRANSLATE(D874,""zh-CN"",""vi"")"),"Cô ấy chải tóc.")</f>
        <v>Cô ấy chải tóc.</v>
      </c>
      <c r="F874" s="101" t="s">
        <v>10925</v>
      </c>
      <c r="G874" s="98" t="b">
        <f t="shared" si="1"/>
        <v>1</v>
      </c>
      <c r="H874" s="99" t="b">
        <v>1</v>
      </c>
      <c r="I874" s="99" t="b">
        <v>0</v>
      </c>
      <c r="J874" s="99" t="b">
        <v>0</v>
      </c>
      <c r="K874" s="99" t="b">
        <v>0</v>
      </c>
      <c r="L874" s="99" t="b">
        <v>0</v>
      </c>
      <c r="M874" s="99" t="b">
        <v>0</v>
      </c>
      <c r="N874" s="99" t="b">
        <v>0</v>
      </c>
      <c r="O874" s="99" t="b">
        <v>0</v>
      </c>
      <c r="P874" s="99" t="b">
        <v>0</v>
      </c>
      <c r="Q874" s="99" t="b">
        <v>0</v>
      </c>
      <c r="R874" s="14"/>
      <c r="S874" s="14"/>
      <c r="T874" s="14"/>
      <c r="U874" s="14"/>
      <c r="V874" s="14"/>
      <c r="W874" s="14"/>
    </row>
    <row r="875" ht="35.25" customHeight="1">
      <c r="A875" s="92" t="s">
        <v>10931</v>
      </c>
      <c r="B875" s="93" t="s">
        <v>10932</v>
      </c>
      <c r="C875" s="94" t="s">
        <v>2787</v>
      </c>
      <c r="D875" s="95" t="s">
        <v>10934</v>
      </c>
      <c r="E875" s="96" t="str">
        <f>IFERROR(__xludf.DUMMYFUNCTION("GOOGLETRANSLATE(D875,""zh-CN"",""vi"")"),"Chiếc giường này rất thoải mái.")</f>
        <v>Chiếc giường này rất thoải mái.</v>
      </c>
      <c r="F875" s="101" t="s">
        <v>10931</v>
      </c>
      <c r="G875" s="98" t="b">
        <f t="shared" si="1"/>
        <v>1</v>
      </c>
      <c r="H875" s="99" t="b">
        <v>1</v>
      </c>
      <c r="I875" s="99" t="b">
        <v>0</v>
      </c>
      <c r="J875" s="99" t="b">
        <v>0</v>
      </c>
      <c r="K875" s="99" t="b">
        <v>0</v>
      </c>
      <c r="L875" s="99" t="b">
        <v>0</v>
      </c>
      <c r="M875" s="99" t="b">
        <v>0</v>
      </c>
      <c r="N875" s="99" t="b">
        <v>0</v>
      </c>
      <c r="O875" s="99" t="b">
        <v>0</v>
      </c>
      <c r="P875" s="99" t="b">
        <v>0</v>
      </c>
      <c r="Q875" s="99" t="b">
        <v>0</v>
      </c>
      <c r="R875" s="14"/>
      <c r="S875" s="14"/>
      <c r="T875" s="14"/>
      <c r="U875" s="14"/>
      <c r="V875" s="14"/>
      <c r="W875" s="14"/>
    </row>
    <row r="876" ht="35.25" customHeight="1">
      <c r="A876" s="92" t="s">
        <v>10938</v>
      </c>
      <c r="B876" s="93" t="s">
        <v>10939</v>
      </c>
      <c r="C876" s="94" t="s">
        <v>10940</v>
      </c>
      <c r="D876" s="95" t="s">
        <v>10941</v>
      </c>
      <c r="E876" s="96" t="str">
        <f>IFERROR(__xludf.DUMMYFUNCTION("GOOGLETRANSLATE(D876,""zh-CN"",""vi"")"),"Anh ấy đã nhập đúng mật khẩu.")</f>
        <v>Anh ấy đã nhập đúng mật khẩu.</v>
      </c>
      <c r="F876" s="101" t="s">
        <v>10938</v>
      </c>
      <c r="G876" s="98" t="b">
        <f t="shared" si="1"/>
        <v>1</v>
      </c>
      <c r="H876" s="99" t="b">
        <v>1</v>
      </c>
      <c r="I876" s="99" t="b">
        <v>0</v>
      </c>
      <c r="J876" s="99" t="b">
        <v>0</v>
      </c>
      <c r="K876" s="99" t="b">
        <v>0</v>
      </c>
      <c r="L876" s="99" t="b">
        <v>0</v>
      </c>
      <c r="M876" s="99" t="b">
        <v>0</v>
      </c>
      <c r="N876" s="99" t="b">
        <v>0</v>
      </c>
      <c r="O876" s="99" t="b">
        <v>0</v>
      </c>
      <c r="P876" s="99" t="b">
        <v>0</v>
      </c>
      <c r="Q876" s="99" t="b">
        <v>0</v>
      </c>
      <c r="R876" s="14"/>
      <c r="S876" s="14"/>
      <c r="T876" s="14"/>
      <c r="U876" s="14"/>
      <c r="V876" s="14"/>
      <c r="W876" s="14"/>
    </row>
    <row r="877" ht="35.25" customHeight="1">
      <c r="A877" s="92" t="s">
        <v>10946</v>
      </c>
      <c r="B877" s="93" t="s">
        <v>10947</v>
      </c>
      <c r="C877" s="94" t="s">
        <v>10948</v>
      </c>
      <c r="D877" s="95" t="s">
        <v>10949</v>
      </c>
      <c r="E877" s="96" t="str">
        <f>IFERROR(__xludf.DUMMYFUNCTION("GOOGLETRANSLATE(D877,""zh-CN"",""vi"")"),"Chúng tôi đã ăn rất nhiều rau tươi.")</f>
        <v>Chúng tôi đã ăn rất nhiều rau tươi.</v>
      </c>
      <c r="F877" s="101" t="s">
        <v>10946</v>
      </c>
      <c r="G877" s="98" t="b">
        <f t="shared" si="1"/>
        <v>1</v>
      </c>
      <c r="H877" s="99" t="b">
        <v>1</v>
      </c>
      <c r="I877" s="99" t="b">
        <v>0</v>
      </c>
      <c r="J877" s="99" t="b">
        <v>0</v>
      </c>
      <c r="K877" s="99" t="b">
        <v>0</v>
      </c>
      <c r="L877" s="99" t="b">
        <v>0</v>
      </c>
      <c r="M877" s="99" t="b">
        <v>0</v>
      </c>
      <c r="N877" s="99" t="b">
        <v>0</v>
      </c>
      <c r="O877" s="99" t="b">
        <v>0</v>
      </c>
      <c r="P877" s="99" t="b">
        <v>0</v>
      </c>
      <c r="Q877" s="99" t="b">
        <v>0</v>
      </c>
      <c r="R877" s="14"/>
      <c r="S877" s="14"/>
      <c r="T877" s="14"/>
      <c r="U877" s="14"/>
      <c r="V877" s="14"/>
      <c r="W877" s="14"/>
    </row>
    <row r="878" ht="35.25" customHeight="1">
      <c r="A878" s="92" t="s">
        <v>10954</v>
      </c>
      <c r="B878" s="93" t="s">
        <v>10955</v>
      </c>
      <c r="C878" s="102" t="s">
        <v>10956</v>
      </c>
      <c r="D878" s="95" t="s">
        <v>10957</v>
      </c>
      <c r="E878" s="96" t="str">
        <f>IFERROR(__xludf.DUMMYFUNCTION("GOOGLETRANSLATE(D878,""zh-CN"",""vi"")"),"Cô ấy nói tiếng Anh rất trôi chảy.")</f>
        <v>Cô ấy nói tiếng Anh rất trôi chảy.</v>
      </c>
      <c r="F878" s="101" t="s">
        <v>10954</v>
      </c>
      <c r="G878" s="98" t="b">
        <f t="shared" si="1"/>
        <v>1</v>
      </c>
      <c r="H878" s="99" t="b">
        <v>1</v>
      </c>
      <c r="I878" s="99" t="b">
        <v>0</v>
      </c>
      <c r="J878" s="99" t="b">
        <v>0</v>
      </c>
      <c r="K878" s="99" t="b">
        <v>0</v>
      </c>
      <c r="L878" s="99" t="b">
        <v>0</v>
      </c>
      <c r="M878" s="99" t="b">
        <v>0</v>
      </c>
      <c r="N878" s="99" t="b">
        <v>0</v>
      </c>
      <c r="O878" s="99" t="b">
        <v>0</v>
      </c>
      <c r="P878" s="99" t="b">
        <v>0</v>
      </c>
      <c r="Q878" s="99" t="b">
        <v>0</v>
      </c>
      <c r="R878" s="14"/>
      <c r="S878" s="14"/>
      <c r="T878" s="14"/>
      <c r="U878" s="14"/>
      <c r="V878" s="14"/>
      <c r="W878" s="14"/>
    </row>
    <row r="879" ht="35.25" customHeight="1">
      <c r="A879" s="92" t="s">
        <v>10962</v>
      </c>
      <c r="B879" s="93" t="s">
        <v>10963</v>
      </c>
      <c r="C879" s="94" t="s">
        <v>10964</v>
      </c>
      <c r="D879" s="95" t="s">
        <v>10965</v>
      </c>
      <c r="E879" s="96" t="str">
        <f>IFERROR(__xludf.DUMMYFUNCTION("GOOGLETRANSLATE(D879,""zh-CN"",""vi"")"),"Cuốn sách này thuộc bộ sưu tập của cô ấy.")</f>
        <v>Cuốn sách này thuộc bộ sưu tập của cô ấy.</v>
      </c>
      <c r="F879" s="101" t="s">
        <v>10962</v>
      </c>
      <c r="G879" s="98" t="b">
        <f t="shared" si="1"/>
        <v>1</v>
      </c>
      <c r="H879" s="99" t="b">
        <v>1</v>
      </c>
      <c r="I879" s="99" t="b">
        <v>0</v>
      </c>
      <c r="J879" s="99" t="b">
        <v>0</v>
      </c>
      <c r="K879" s="99" t="b">
        <v>0</v>
      </c>
      <c r="L879" s="99" t="b">
        <v>0</v>
      </c>
      <c r="M879" s="99" t="b">
        <v>0</v>
      </c>
      <c r="N879" s="99" t="b">
        <v>0</v>
      </c>
      <c r="O879" s="99" t="b">
        <v>0</v>
      </c>
      <c r="P879" s="99" t="b">
        <v>0</v>
      </c>
      <c r="Q879" s="99" t="b">
        <v>0</v>
      </c>
      <c r="R879" s="14"/>
      <c r="S879" s="14"/>
      <c r="T879" s="14"/>
      <c r="U879" s="14"/>
      <c r="V879" s="14"/>
      <c r="W879" s="14"/>
    </row>
    <row r="880" ht="35.25" customHeight="1">
      <c r="A880" s="92" t="s">
        <v>10970</v>
      </c>
      <c r="B880" s="93" t="s">
        <v>10971</v>
      </c>
      <c r="C880" s="94" t="s">
        <v>10972</v>
      </c>
      <c r="D880" s="95" t="s">
        <v>10974</v>
      </c>
      <c r="E880" s="96" t="str">
        <f>IFERROR(__xludf.DUMMYFUNCTION("GOOGLETRANSLATE(D880,""zh-CN"",""vi"")"),"Tôi cần một con chuột để sử dụng máy tính.")</f>
        <v>Tôi cần một con chuột để sử dụng máy tính.</v>
      </c>
      <c r="F880" s="101" t="s">
        <v>10970</v>
      </c>
      <c r="G880" s="98" t="b">
        <f t="shared" si="1"/>
        <v>1</v>
      </c>
      <c r="H880" s="99" t="b">
        <v>1</v>
      </c>
      <c r="I880" s="99" t="b">
        <v>0</v>
      </c>
      <c r="J880" s="99" t="b">
        <v>0</v>
      </c>
      <c r="K880" s="99" t="b">
        <v>0</v>
      </c>
      <c r="L880" s="99" t="b">
        <v>0</v>
      </c>
      <c r="M880" s="99" t="b">
        <v>0</v>
      </c>
      <c r="N880" s="99" t="b">
        <v>0</v>
      </c>
      <c r="O880" s="99" t="b">
        <v>0</v>
      </c>
      <c r="P880" s="99" t="b">
        <v>0</v>
      </c>
      <c r="Q880" s="99" t="b">
        <v>0</v>
      </c>
      <c r="R880" s="14"/>
      <c r="S880" s="14"/>
      <c r="T880" s="14"/>
      <c r="U880" s="14"/>
      <c r="V880" s="14"/>
      <c r="W880" s="14"/>
    </row>
    <row r="881" ht="35.25" customHeight="1">
      <c r="A881" s="92" t="s">
        <v>10982</v>
      </c>
      <c r="B881" s="93" t="s">
        <v>10983</v>
      </c>
      <c r="C881" s="94" t="s">
        <v>10984</v>
      </c>
      <c r="D881" s="95" t="s">
        <v>10985</v>
      </c>
      <c r="E881" s="96" t="str">
        <f>IFERROR(__xludf.DUMMYFUNCTION("GOOGLETRANSLATE(D881,""zh-CN"",""vi"")"),"Đây là tiền của anh/chị, làm ơn đếm đi.")</f>
        <v>Đây là tiền của anh/chị, làm ơn đếm đi.</v>
      </c>
      <c r="F881" s="101" t="s">
        <v>10982</v>
      </c>
      <c r="G881" s="98" t="b">
        <f t="shared" si="1"/>
        <v>1</v>
      </c>
      <c r="H881" s="99" t="b">
        <v>1</v>
      </c>
      <c r="I881" s="99" t="b">
        <v>0</v>
      </c>
      <c r="J881" s="99" t="b">
        <v>0</v>
      </c>
      <c r="K881" s="99" t="b">
        <v>0</v>
      </c>
      <c r="L881" s="99" t="b">
        <v>0</v>
      </c>
      <c r="M881" s="99" t="b">
        <v>0</v>
      </c>
      <c r="N881" s="99" t="b">
        <v>0</v>
      </c>
      <c r="O881" s="99" t="b">
        <v>0</v>
      </c>
      <c r="P881" s="99" t="b">
        <v>0</v>
      </c>
      <c r="Q881" s="99" t="b">
        <v>0</v>
      </c>
      <c r="R881" s="14"/>
      <c r="S881" s="14"/>
      <c r="T881" s="14"/>
      <c r="U881" s="14"/>
      <c r="V881" s="14"/>
      <c r="W881" s="14"/>
    </row>
    <row r="882" ht="35.25" customHeight="1">
      <c r="A882" s="92" t="s">
        <v>10990</v>
      </c>
      <c r="B882" s="93" t="s">
        <v>10991</v>
      </c>
      <c r="C882" s="94" t="s">
        <v>10992</v>
      </c>
      <c r="D882" s="95" t="s">
        <v>10993</v>
      </c>
      <c r="E882" s="96" t="str">
        <f>IFERROR(__xludf.DUMMYFUNCTION("GOOGLETRANSLATE(D882,""zh-CN"",""vi"")"),"Cần phải phân tích những dữ liệu này.")</f>
        <v>Cần phải phân tích những dữ liệu này.</v>
      </c>
      <c r="F882" s="101" t="s">
        <v>10990</v>
      </c>
      <c r="G882" s="98" t="b">
        <f t="shared" si="1"/>
        <v>1</v>
      </c>
      <c r="H882" s="99" t="b">
        <v>1</v>
      </c>
      <c r="I882" s="99" t="b">
        <v>0</v>
      </c>
      <c r="J882" s="99" t="b">
        <v>0</v>
      </c>
      <c r="K882" s="99" t="b">
        <v>0</v>
      </c>
      <c r="L882" s="99" t="b">
        <v>0</v>
      </c>
      <c r="M882" s="99" t="b">
        <v>0</v>
      </c>
      <c r="N882" s="99" t="b">
        <v>0</v>
      </c>
      <c r="O882" s="99" t="b">
        <v>0</v>
      </c>
      <c r="P882" s="99" t="b">
        <v>0</v>
      </c>
      <c r="Q882" s="99" t="b">
        <v>0</v>
      </c>
      <c r="R882" s="14"/>
      <c r="S882" s="14"/>
      <c r="T882" s="14"/>
      <c r="U882" s="14"/>
      <c r="V882" s="14"/>
      <c r="W882" s="14"/>
    </row>
    <row r="883" ht="35.25" customHeight="1">
      <c r="A883" s="92" t="s">
        <v>10998</v>
      </c>
      <c r="B883" s="93" t="s">
        <v>10999</v>
      </c>
      <c r="C883" s="94" t="s">
        <v>11000</v>
      </c>
      <c r="D883" s="95" t="s">
        <v>11001</v>
      </c>
      <c r="E883" s="96" t="str">
        <f>IFERROR(__xludf.DUMMYFUNCTION("GOOGLETRANSLATE(D883,""zh-CN"",""vi"")"),"Anh ấy đã mua một chiếc máy ảnh kỹ thuật số mới.")</f>
        <v>Anh ấy đã mua một chiếc máy ảnh kỹ thuật số mới.</v>
      </c>
      <c r="F883" s="101" t="s">
        <v>10998</v>
      </c>
      <c r="G883" s="98" t="b">
        <f t="shared" si="1"/>
        <v>1</v>
      </c>
      <c r="H883" s="99" t="b">
        <v>1</v>
      </c>
      <c r="I883" s="99" t="b">
        <v>0</v>
      </c>
      <c r="J883" s="99" t="b">
        <v>0</v>
      </c>
      <c r="K883" s="99" t="b">
        <v>0</v>
      </c>
      <c r="L883" s="99" t="b">
        <v>0</v>
      </c>
      <c r="M883" s="99" t="b">
        <v>0</v>
      </c>
      <c r="N883" s="99" t="b">
        <v>0</v>
      </c>
      <c r="O883" s="99" t="b">
        <v>0</v>
      </c>
      <c r="P883" s="99" t="b">
        <v>0</v>
      </c>
      <c r="Q883" s="99" t="b">
        <v>0</v>
      </c>
      <c r="R883" s="14"/>
      <c r="S883" s="14"/>
      <c r="T883" s="14"/>
      <c r="U883" s="14"/>
      <c r="V883" s="14"/>
      <c r="W883" s="14"/>
    </row>
    <row r="884" ht="35.25" customHeight="1">
      <c r="A884" s="92" t="s">
        <v>11006</v>
      </c>
      <c r="B884" s="93" t="s">
        <v>11007</v>
      </c>
      <c r="C884" s="94" t="s">
        <v>11008</v>
      </c>
      <c r="D884" s="95" t="s">
        <v>11009</v>
      </c>
      <c r="E884" s="96" t="str">
        <f>IFERROR(__xludf.DUMMYFUNCTION("GOOGLETRANSLATE(D884,""zh-CN"",""vi"")"),"Anh ấy vô tình bị ngã.")</f>
        <v>Anh ấy vô tình bị ngã.</v>
      </c>
      <c r="F884" s="101" t="s">
        <v>11006</v>
      </c>
      <c r="G884" s="98" t="b">
        <f t="shared" si="1"/>
        <v>1</v>
      </c>
      <c r="H884" s="99" t="b">
        <v>1</v>
      </c>
      <c r="I884" s="99" t="b">
        <v>0</v>
      </c>
      <c r="J884" s="99" t="b">
        <v>0</v>
      </c>
      <c r="K884" s="99" t="b">
        <v>0</v>
      </c>
      <c r="L884" s="99" t="b">
        <v>0</v>
      </c>
      <c r="M884" s="99" t="b">
        <v>0</v>
      </c>
      <c r="N884" s="99" t="b">
        <v>0</v>
      </c>
      <c r="O884" s="99" t="b">
        <v>0</v>
      </c>
      <c r="P884" s="99" t="b">
        <v>0</v>
      </c>
      <c r="Q884" s="99" t="b">
        <v>0</v>
      </c>
      <c r="R884" s="14"/>
      <c r="S884" s="14"/>
      <c r="T884" s="14"/>
      <c r="U884" s="14"/>
      <c r="V884" s="14"/>
      <c r="W884" s="14"/>
    </row>
    <row r="885" ht="35.25" customHeight="1">
      <c r="A885" s="92" t="s">
        <v>11014</v>
      </c>
      <c r="B885" s="93" t="s">
        <v>11015</v>
      </c>
      <c r="C885" s="94" t="s">
        <v>11016</v>
      </c>
      <c r="D885" s="95" t="s">
        <v>11017</v>
      </c>
      <c r="E885" s="96" t="str">
        <f>IFERROR(__xludf.DUMMYFUNCTION("GOOGLETRANSLATE(D885,""zh-CN"",""vi"")"),"Cô ấy ném quần áo xuống đất.")</f>
        <v>Cô ấy ném quần áo xuống đất.</v>
      </c>
      <c r="F885" s="101" t="s">
        <v>11014</v>
      </c>
      <c r="G885" s="98" t="b">
        <f t="shared" si="1"/>
        <v>1</v>
      </c>
      <c r="H885" s="99" t="b">
        <v>1</v>
      </c>
      <c r="I885" s="99" t="b">
        <v>0</v>
      </c>
      <c r="J885" s="99" t="b">
        <v>0</v>
      </c>
      <c r="K885" s="99" t="b">
        <v>0</v>
      </c>
      <c r="L885" s="99" t="b">
        <v>0</v>
      </c>
      <c r="M885" s="99" t="b">
        <v>0</v>
      </c>
      <c r="N885" s="99" t="b">
        <v>0</v>
      </c>
      <c r="O885" s="99" t="b">
        <v>0</v>
      </c>
      <c r="P885" s="99" t="b">
        <v>0</v>
      </c>
      <c r="Q885" s="99" t="b">
        <v>0</v>
      </c>
      <c r="R885" s="14"/>
      <c r="S885" s="14"/>
      <c r="T885" s="14"/>
      <c r="U885" s="14"/>
      <c r="V885" s="14"/>
      <c r="W885" s="14"/>
    </row>
    <row r="886" ht="35.25" customHeight="1">
      <c r="A886" s="92" t="s">
        <v>11022</v>
      </c>
      <c r="B886" s="93" t="s">
        <v>11023</v>
      </c>
      <c r="C886" s="94" t="s">
        <v>11024</v>
      </c>
      <c r="D886" s="95" t="s">
        <v>11025</v>
      </c>
      <c r="E886" s="96" t="str">
        <f>IFERROR(__xludf.DUMMYFUNCTION("GOOGLETRANSLATE(D886,""zh-CN"",""vi"")"),"Hai bên đã đạt được thỏa thuận.")</f>
        <v>Hai bên đã đạt được thỏa thuận.</v>
      </c>
      <c r="F886" s="101" t="s">
        <v>11022</v>
      </c>
      <c r="G886" s="98" t="b">
        <f t="shared" si="1"/>
        <v>1</v>
      </c>
      <c r="H886" s="99" t="b">
        <v>1</v>
      </c>
      <c r="I886" s="99" t="b">
        <v>0</v>
      </c>
      <c r="J886" s="99" t="b">
        <v>0</v>
      </c>
      <c r="K886" s="99" t="b">
        <v>0</v>
      </c>
      <c r="L886" s="99" t="b">
        <v>0</v>
      </c>
      <c r="M886" s="99" t="b">
        <v>0</v>
      </c>
      <c r="N886" s="99" t="b">
        <v>0</v>
      </c>
      <c r="O886" s="99" t="b">
        <v>0</v>
      </c>
      <c r="P886" s="99" t="b">
        <v>0</v>
      </c>
      <c r="Q886" s="99" t="b">
        <v>0</v>
      </c>
      <c r="R886" s="14"/>
      <c r="S886" s="14"/>
      <c r="T886" s="14"/>
      <c r="U886" s="14"/>
      <c r="V886" s="14"/>
      <c r="W886" s="14"/>
    </row>
    <row r="887" ht="35.25" customHeight="1">
      <c r="A887" s="92" t="s">
        <v>11027</v>
      </c>
      <c r="B887" s="93" t="s">
        <v>11029</v>
      </c>
      <c r="C887" s="94" t="s">
        <v>11031</v>
      </c>
      <c r="D887" s="95" t="s">
        <v>11033</v>
      </c>
      <c r="E887" s="96" t="str">
        <f>IFERROR(__xludf.DUMMYFUNCTION("GOOGLETRANSLATE(D887,""zh-CN"",""vi"")"),"Loại thuế này khá phức tạp.")</f>
        <v>Loại thuế này khá phức tạp.</v>
      </c>
      <c r="F887" s="101" t="s">
        <v>11027</v>
      </c>
      <c r="G887" s="98" t="b">
        <f t="shared" si="1"/>
        <v>1</v>
      </c>
      <c r="H887" s="99" t="b">
        <v>1</v>
      </c>
      <c r="I887" s="99" t="b">
        <v>0</v>
      </c>
      <c r="J887" s="99" t="b">
        <v>0</v>
      </c>
      <c r="K887" s="99" t="b">
        <v>0</v>
      </c>
      <c r="L887" s="99" t="b">
        <v>0</v>
      </c>
      <c r="M887" s="99" t="b">
        <v>0</v>
      </c>
      <c r="N887" s="99" t="b">
        <v>0</v>
      </c>
      <c r="O887" s="99" t="b">
        <v>0</v>
      </c>
      <c r="P887" s="99" t="b">
        <v>0</v>
      </c>
      <c r="Q887" s="99" t="b">
        <v>0</v>
      </c>
      <c r="R887" s="14"/>
      <c r="S887" s="14"/>
      <c r="T887" s="14"/>
      <c r="U887" s="14"/>
      <c r="V887" s="14"/>
      <c r="W887" s="14"/>
    </row>
    <row r="888" ht="35.25" customHeight="1">
      <c r="A888" s="92" t="s">
        <v>11034</v>
      </c>
      <c r="B888" s="93" t="s">
        <v>11035</v>
      </c>
      <c r="C888" s="94" t="s">
        <v>11036</v>
      </c>
      <c r="D888" s="95" t="s">
        <v>11037</v>
      </c>
      <c r="E888" s="96" t="str">
        <f>IFERROR(__xludf.DUMMYFUNCTION("GOOGLETRANSLATE(D888,""zh-CN"",""vi"")"),"Có thể anh ấy sẽ đến.")</f>
        <v>Có thể anh ấy sẽ đến.</v>
      </c>
      <c r="F888" s="101" t="s">
        <v>11034</v>
      </c>
      <c r="G888" s="98" t="b">
        <f t="shared" si="1"/>
        <v>1</v>
      </c>
      <c r="H888" s="99" t="b">
        <v>1</v>
      </c>
      <c r="I888" s="99" t="b">
        <v>0</v>
      </c>
      <c r="J888" s="99" t="b">
        <v>0</v>
      </c>
      <c r="K888" s="99" t="b">
        <v>0</v>
      </c>
      <c r="L888" s="99" t="b">
        <v>0</v>
      </c>
      <c r="M888" s="99" t="b">
        <v>0</v>
      </c>
      <c r="N888" s="99" t="b">
        <v>0</v>
      </c>
      <c r="O888" s="99" t="b">
        <v>0</v>
      </c>
      <c r="P888" s="99" t="b">
        <v>0</v>
      </c>
      <c r="Q888" s="99" t="b">
        <v>0</v>
      </c>
      <c r="R888" s="14"/>
      <c r="S888" s="14"/>
      <c r="T888" s="14"/>
      <c r="U888" s="14"/>
      <c r="V888" s="14"/>
      <c r="W888" s="14"/>
    </row>
    <row r="889" ht="35.25" customHeight="1">
      <c r="A889" s="92" t="s">
        <v>11042</v>
      </c>
      <c r="B889" s="93" t="s">
        <v>11043</v>
      </c>
      <c r="C889" s="94" t="s">
        <v>11044</v>
      </c>
      <c r="D889" s="95" t="s">
        <v>11045</v>
      </c>
      <c r="E889" s="96" t="str">
        <f>IFERROR(__xludf.DUMMYFUNCTION("GOOGLETRANSLATE(D889,""zh-CN"",""vi"")"),"Ông ta đã thuyết phục mọi người bằng những bằng chứng xác thực.")</f>
        <v>Ông ta đã thuyết phục mọi người bằng những bằng chứng xác thực.</v>
      </c>
      <c r="F889" s="101" t="s">
        <v>11042</v>
      </c>
      <c r="G889" s="98" t="b">
        <f t="shared" si="1"/>
        <v>1</v>
      </c>
      <c r="H889" s="99" t="b">
        <v>1</v>
      </c>
      <c r="I889" s="99" t="b">
        <v>0</v>
      </c>
      <c r="J889" s="99" t="b">
        <v>0</v>
      </c>
      <c r="K889" s="99" t="b">
        <v>0</v>
      </c>
      <c r="L889" s="99" t="b">
        <v>0</v>
      </c>
      <c r="M889" s="99" t="b">
        <v>0</v>
      </c>
      <c r="N889" s="99" t="b">
        <v>0</v>
      </c>
      <c r="O889" s="99" t="b">
        <v>0</v>
      </c>
      <c r="P889" s="99" t="b">
        <v>0</v>
      </c>
      <c r="Q889" s="99" t="b">
        <v>0</v>
      </c>
      <c r="R889" s="14"/>
      <c r="S889" s="14"/>
      <c r="T889" s="14"/>
      <c r="U889" s="14"/>
      <c r="V889" s="14"/>
      <c r="W889" s="14"/>
    </row>
    <row r="890" ht="35.25" customHeight="1">
      <c r="A890" s="92" t="s">
        <v>11050</v>
      </c>
      <c r="B890" s="93" t="s">
        <v>11051</v>
      </c>
      <c r="C890" s="94" t="s">
        <v>11052</v>
      </c>
      <c r="D890" s="95" t="s">
        <v>11053</v>
      </c>
      <c r="E890" s="96" t="str">
        <f>IFERROR(__xludf.DUMMYFUNCTION("GOOGLETRANSLATE(D890,""zh-CN"",""vi"")"),"Loại lụa này có chất lượng rất tốt.")</f>
        <v>Loại lụa này có chất lượng rất tốt.</v>
      </c>
      <c r="F890" s="101" t="s">
        <v>11050</v>
      </c>
      <c r="G890" s="98" t="b">
        <f t="shared" si="1"/>
        <v>1</v>
      </c>
      <c r="H890" s="99" t="b">
        <v>1</v>
      </c>
      <c r="I890" s="99" t="b">
        <v>0</v>
      </c>
      <c r="J890" s="99" t="b">
        <v>0</v>
      </c>
      <c r="K890" s="99" t="b">
        <v>0</v>
      </c>
      <c r="L890" s="99" t="b">
        <v>0</v>
      </c>
      <c r="M890" s="99" t="b">
        <v>0</v>
      </c>
      <c r="N890" s="99" t="b">
        <v>0</v>
      </c>
      <c r="O890" s="99" t="b">
        <v>0</v>
      </c>
      <c r="P890" s="99" t="b">
        <v>0</v>
      </c>
      <c r="Q890" s="99" t="b">
        <v>0</v>
      </c>
      <c r="R890" s="14"/>
      <c r="S890" s="14"/>
      <c r="T890" s="14"/>
      <c r="U890" s="14"/>
      <c r="V890" s="14"/>
      <c r="W890" s="14"/>
    </row>
    <row r="891" ht="35.25" customHeight="1">
      <c r="A891" s="92" t="s">
        <v>11058</v>
      </c>
      <c r="B891" s="93" t="s">
        <v>11059</v>
      </c>
      <c r="C891" s="94" t="s">
        <v>11060</v>
      </c>
      <c r="D891" s="95" t="s">
        <v>11061</v>
      </c>
      <c r="E891" s="96" t="str">
        <f>IFERROR(__xludf.DUMMYFUNCTION("GOOGLETRANSLATE(D891,""zh-CN"",""vi"")"),"Nụ cười của cô ấy vẫn không thay đổi.")</f>
        <v>Nụ cười của cô ấy vẫn không thay đổi.</v>
      </c>
      <c r="F891" s="101" t="s">
        <v>11058</v>
      </c>
      <c r="G891" s="98" t="b">
        <f t="shared" si="1"/>
        <v>1</v>
      </c>
      <c r="H891" s="99" t="b">
        <v>1</v>
      </c>
      <c r="I891" s="99" t="b">
        <v>0</v>
      </c>
      <c r="J891" s="99" t="b">
        <v>0</v>
      </c>
      <c r="K891" s="99" t="b">
        <v>0</v>
      </c>
      <c r="L891" s="99" t="b">
        <v>0</v>
      </c>
      <c r="M891" s="99" t="b">
        <v>0</v>
      </c>
      <c r="N891" s="99" t="b">
        <v>0</v>
      </c>
      <c r="O891" s="99" t="b">
        <v>0</v>
      </c>
      <c r="P891" s="99" t="b">
        <v>0</v>
      </c>
      <c r="Q891" s="99" t="b">
        <v>0</v>
      </c>
      <c r="R891" s="14"/>
      <c r="S891" s="14"/>
      <c r="T891" s="14"/>
      <c r="U891" s="14"/>
      <c r="V891" s="14"/>
      <c r="W891" s="14"/>
    </row>
    <row r="892" ht="35.25" customHeight="1">
      <c r="A892" s="92" t="s">
        <v>11066</v>
      </c>
      <c r="B892" s="93" t="s">
        <v>11067</v>
      </c>
      <c r="C892" s="94" t="s">
        <v>11068</v>
      </c>
      <c r="D892" s="95" t="s">
        <v>11069</v>
      </c>
      <c r="E892" s="96" t="str">
        <f>IFERROR(__xludf.DUMMYFUNCTION("GOOGLETRANSLATE(D892,""zh-CN"",""vi"")"),"Anh ấy thích những khoảng thời gian riêng tư của mình.")</f>
        <v>Anh ấy thích những khoảng thời gian riêng tư của mình.</v>
      </c>
      <c r="F892" s="101" t="s">
        <v>11066</v>
      </c>
      <c r="G892" s="98" t="b">
        <f t="shared" si="1"/>
        <v>1</v>
      </c>
      <c r="H892" s="99" t="b">
        <v>1</v>
      </c>
      <c r="I892" s="99" t="b">
        <v>0</v>
      </c>
      <c r="J892" s="99" t="b">
        <v>0</v>
      </c>
      <c r="K892" s="99" t="b">
        <v>0</v>
      </c>
      <c r="L892" s="99" t="b">
        <v>0</v>
      </c>
      <c r="M892" s="99" t="b">
        <v>0</v>
      </c>
      <c r="N892" s="99" t="b">
        <v>0</v>
      </c>
      <c r="O892" s="99" t="b">
        <v>0</v>
      </c>
      <c r="P892" s="99" t="b">
        <v>0</v>
      </c>
      <c r="Q892" s="99" t="b">
        <v>0</v>
      </c>
      <c r="R892" s="14"/>
      <c r="S892" s="14"/>
      <c r="T892" s="14"/>
      <c r="U892" s="14"/>
      <c r="V892" s="14"/>
      <c r="W892" s="14"/>
    </row>
    <row r="893" ht="35.25" customHeight="1">
      <c r="A893" s="92" t="s">
        <v>11074</v>
      </c>
      <c r="B893" s="93" t="s">
        <v>11075</v>
      </c>
      <c r="C893" s="94" t="s">
        <v>2979</v>
      </c>
      <c r="D893" s="95" t="s">
        <v>11076</v>
      </c>
      <c r="E893" s="96" t="str">
        <f>IFERROR(__xludf.DUMMYFUNCTION("GOOGLETRANSLATE(D893,""zh-CN"",""vi"")"),"Chúng ta cần suy nghĩ thật kỹ về vấn đề này.")</f>
        <v>Chúng ta cần suy nghĩ thật kỹ về vấn đề này.</v>
      </c>
      <c r="F893" s="101" t="s">
        <v>11074</v>
      </c>
      <c r="G893" s="98" t="b">
        <f t="shared" si="1"/>
        <v>1</v>
      </c>
      <c r="H893" s="99" t="b">
        <v>1</v>
      </c>
      <c r="I893" s="99" t="b">
        <v>0</v>
      </c>
      <c r="J893" s="99" t="b">
        <v>0</v>
      </c>
      <c r="K893" s="99" t="b">
        <v>0</v>
      </c>
      <c r="L893" s="99" t="b">
        <v>0</v>
      </c>
      <c r="M893" s="99" t="b">
        <v>0</v>
      </c>
      <c r="N893" s="99" t="b">
        <v>0</v>
      </c>
      <c r="O893" s="99" t="b">
        <v>0</v>
      </c>
      <c r="P893" s="99" t="b">
        <v>0</v>
      </c>
      <c r="Q893" s="99" t="b">
        <v>0</v>
      </c>
      <c r="R893" s="14"/>
      <c r="S893" s="14"/>
      <c r="T893" s="14"/>
      <c r="U893" s="14"/>
      <c r="V893" s="14"/>
      <c r="W893" s="14"/>
    </row>
    <row r="894" ht="35.25" customHeight="1">
      <c r="A894" s="92" t="s">
        <v>11081</v>
      </c>
      <c r="B894" s="93" t="s">
        <v>11082</v>
      </c>
      <c r="C894" s="94" t="s">
        <v>11083</v>
      </c>
      <c r="D894" s="95" t="s">
        <v>11084</v>
      </c>
      <c r="E894" s="96" t="str">
        <f>IFERROR(__xludf.DUMMYFUNCTION("GOOGLETRANSLATE(D894,""zh-CN"",""vi"")"),"Anh ấy có một tư duy rất cởi mở.")</f>
        <v>Anh ấy có một tư duy rất cởi mở.</v>
      </c>
      <c r="F894" s="101" t="s">
        <v>11081</v>
      </c>
      <c r="G894" s="98" t="b">
        <f t="shared" si="1"/>
        <v>1</v>
      </c>
      <c r="H894" s="99" t="b">
        <v>1</v>
      </c>
      <c r="I894" s="99" t="b">
        <v>0</v>
      </c>
      <c r="J894" s="99" t="b">
        <v>0</v>
      </c>
      <c r="K894" s="99" t="b">
        <v>0</v>
      </c>
      <c r="L894" s="99" t="b">
        <v>0</v>
      </c>
      <c r="M894" s="99" t="b">
        <v>0</v>
      </c>
      <c r="N894" s="99" t="b">
        <v>0</v>
      </c>
      <c r="O894" s="99" t="b">
        <v>0</v>
      </c>
      <c r="P894" s="99" t="b">
        <v>0</v>
      </c>
      <c r="Q894" s="99" t="b">
        <v>0</v>
      </c>
      <c r="R894" s="14"/>
      <c r="S894" s="14"/>
      <c r="T894" s="14"/>
      <c r="U894" s="14"/>
      <c r="V894" s="14"/>
      <c r="W894" s="14"/>
    </row>
    <row r="895" ht="35.25" customHeight="1">
      <c r="A895" s="92" t="s">
        <v>11089</v>
      </c>
      <c r="B895" s="93" t="s">
        <v>11090</v>
      </c>
      <c r="C895" s="94" t="s">
        <v>11091</v>
      </c>
      <c r="D895" s="95" t="s">
        <v>11092</v>
      </c>
      <c r="E895" s="96" t="str">
        <f>IFERROR(__xludf.DUMMYFUNCTION("GOOGLETRANSLATE(D895,""zh-CN"",""vi"")"),"Cô ấy xé tờ giấy ra.")</f>
        <v>Cô ấy xé tờ giấy ra.</v>
      </c>
      <c r="F895" s="101" t="s">
        <v>11089</v>
      </c>
      <c r="G895" s="98" t="b">
        <f t="shared" si="1"/>
        <v>1</v>
      </c>
      <c r="H895" s="99" t="b">
        <v>1</v>
      </c>
      <c r="I895" s="99" t="b">
        <v>0</v>
      </c>
      <c r="J895" s="99" t="b">
        <v>0</v>
      </c>
      <c r="K895" s="99" t="b">
        <v>0</v>
      </c>
      <c r="L895" s="99" t="b">
        <v>0</v>
      </c>
      <c r="M895" s="99" t="b">
        <v>0</v>
      </c>
      <c r="N895" s="99" t="b">
        <v>0</v>
      </c>
      <c r="O895" s="99" t="b">
        <v>0</v>
      </c>
      <c r="P895" s="99" t="b">
        <v>0</v>
      </c>
      <c r="Q895" s="99" t="b">
        <v>0</v>
      </c>
      <c r="R895" s="14"/>
      <c r="S895" s="14"/>
      <c r="T895" s="14"/>
      <c r="U895" s="14"/>
      <c r="V895" s="14"/>
      <c r="W895" s="14"/>
    </row>
    <row r="896" ht="35.25" customHeight="1">
      <c r="A896" s="92" t="s">
        <v>11096</v>
      </c>
      <c r="B896" s="93" t="s">
        <v>11098</v>
      </c>
      <c r="C896" s="94" t="s">
        <v>2068</v>
      </c>
      <c r="D896" s="95" t="s">
        <v>11099</v>
      </c>
      <c r="E896" s="96" t="str">
        <f>IFERROR(__xludf.DUMMYFUNCTION("GOOGLETRANSLATE(D896,""zh-CN"",""vi"")"),"Anh ấy trông không được vui vẻ cho lắm.")</f>
        <v>Anh ấy trông không được vui vẻ cho lắm.</v>
      </c>
      <c r="F896" s="101" t="s">
        <v>11096</v>
      </c>
      <c r="G896" s="98" t="b">
        <f t="shared" si="1"/>
        <v>1</v>
      </c>
      <c r="H896" s="99" t="b">
        <v>1</v>
      </c>
      <c r="I896" s="99" t="b">
        <v>0</v>
      </c>
      <c r="J896" s="99" t="b">
        <v>0</v>
      </c>
      <c r="K896" s="99" t="b">
        <v>0</v>
      </c>
      <c r="L896" s="99" t="b">
        <v>0</v>
      </c>
      <c r="M896" s="99" t="b">
        <v>0</v>
      </c>
      <c r="N896" s="99" t="b">
        <v>0</v>
      </c>
      <c r="O896" s="99" t="b">
        <v>0</v>
      </c>
      <c r="P896" s="99" t="b">
        <v>0</v>
      </c>
      <c r="Q896" s="99" t="b">
        <v>0</v>
      </c>
      <c r="R896" s="14"/>
      <c r="S896" s="14"/>
      <c r="T896" s="14"/>
      <c r="U896" s="14"/>
      <c r="V896" s="14"/>
      <c r="W896" s="14"/>
    </row>
    <row r="897" ht="35.25" customHeight="1">
      <c r="A897" s="92" t="s">
        <v>11100</v>
      </c>
      <c r="B897" s="93" t="s">
        <v>11101</v>
      </c>
      <c r="C897" s="94" t="s">
        <v>11103</v>
      </c>
      <c r="D897" s="95" t="s">
        <v>11104</v>
      </c>
      <c r="E897" s="96" t="str">
        <f>IFERROR(__xludf.DUMMYFUNCTION("GOOGLETRANSLATE(D897,""zh-CN"",""vi"")"),"Chúng ta cần tìm kiếm thêm thông tin.")</f>
        <v>Chúng ta cần tìm kiếm thêm thông tin.</v>
      </c>
      <c r="F897" s="101" t="s">
        <v>11100</v>
      </c>
      <c r="G897" s="98" t="b">
        <f t="shared" si="1"/>
        <v>1</v>
      </c>
      <c r="H897" s="99" t="b">
        <v>1</v>
      </c>
      <c r="I897" s="99" t="b">
        <v>0</v>
      </c>
      <c r="J897" s="99" t="b">
        <v>0</v>
      </c>
      <c r="K897" s="99" t="b">
        <v>0</v>
      </c>
      <c r="L897" s="99" t="b">
        <v>0</v>
      </c>
      <c r="M897" s="99" t="b">
        <v>0</v>
      </c>
      <c r="N897" s="99" t="b">
        <v>0</v>
      </c>
      <c r="O897" s="99" t="b">
        <v>0</v>
      </c>
      <c r="P897" s="99" t="b">
        <v>0</v>
      </c>
      <c r="Q897" s="99" t="b">
        <v>0</v>
      </c>
      <c r="R897" s="14"/>
      <c r="S897" s="14"/>
      <c r="T897" s="14"/>
      <c r="U897" s="14"/>
      <c r="V897" s="14"/>
      <c r="W897" s="14"/>
    </row>
    <row r="898" ht="35.25" customHeight="1">
      <c r="A898" s="92" t="s">
        <v>11109</v>
      </c>
      <c r="B898" s="93" t="s">
        <v>11110</v>
      </c>
      <c r="C898" s="94" t="s">
        <v>11111</v>
      </c>
      <c r="D898" s="95" t="s">
        <v>11112</v>
      </c>
      <c r="E898" s="96" t="str">
        <f>IFERROR(__xludf.DUMMYFUNCTION("GOOGLETRANSLATE(D898,""zh-CN"",""vi"")"),"Sinh viên sống trong ký túc xá.")</f>
        <v>Sinh viên sống trong ký túc xá.</v>
      </c>
      <c r="F898" s="101" t="s">
        <v>11109</v>
      </c>
      <c r="G898" s="98" t="b">
        <f t="shared" si="1"/>
        <v>1</v>
      </c>
      <c r="H898" s="99" t="b">
        <v>1</v>
      </c>
      <c r="I898" s="99" t="b">
        <v>0</v>
      </c>
      <c r="J898" s="99" t="b">
        <v>0</v>
      </c>
      <c r="K898" s="99" t="b">
        <v>0</v>
      </c>
      <c r="L898" s="99" t="b">
        <v>0</v>
      </c>
      <c r="M898" s="99" t="b">
        <v>0</v>
      </c>
      <c r="N898" s="99" t="b">
        <v>0</v>
      </c>
      <c r="O898" s="99" t="b">
        <v>0</v>
      </c>
      <c r="P898" s="99" t="b">
        <v>0</v>
      </c>
      <c r="Q898" s="99" t="b">
        <v>0</v>
      </c>
      <c r="R898" s="14"/>
      <c r="S898" s="14"/>
      <c r="T898" s="14"/>
      <c r="U898" s="14"/>
      <c r="V898" s="14"/>
      <c r="W898" s="14"/>
    </row>
    <row r="899" ht="35.25" customHeight="1">
      <c r="A899" s="92" t="s">
        <v>11115</v>
      </c>
      <c r="B899" s="93" t="s">
        <v>11116</v>
      </c>
      <c r="C899" s="94" t="s">
        <v>11117</v>
      </c>
      <c r="D899" s="95" t="s">
        <v>11119</v>
      </c>
      <c r="E899" s="96" t="str">
        <f>IFERROR(__xludf.DUMMYFUNCTION("GOOGLETRANSLATE(D899,""zh-CN"",""vi"")"),"Vui lòng luôn mang theo thẻ căn cước của bạn.")</f>
        <v>Vui lòng luôn mang theo thẻ căn cước của bạn.</v>
      </c>
      <c r="F899" s="101" t="s">
        <v>11115</v>
      </c>
      <c r="G899" s="98" t="b">
        <f t="shared" si="1"/>
        <v>1</v>
      </c>
      <c r="H899" s="99" t="b">
        <v>1</v>
      </c>
      <c r="I899" s="99" t="b">
        <v>0</v>
      </c>
      <c r="J899" s="99" t="b">
        <v>0</v>
      </c>
      <c r="K899" s="99" t="b">
        <v>0</v>
      </c>
      <c r="L899" s="99" t="b">
        <v>0</v>
      </c>
      <c r="M899" s="99" t="b">
        <v>0</v>
      </c>
      <c r="N899" s="99" t="b">
        <v>0</v>
      </c>
      <c r="O899" s="99" t="b">
        <v>0</v>
      </c>
      <c r="P899" s="99" t="b">
        <v>0</v>
      </c>
      <c r="Q899" s="99" t="b">
        <v>0</v>
      </c>
      <c r="R899" s="14"/>
      <c r="S899" s="14"/>
      <c r="T899" s="14"/>
      <c r="U899" s="14"/>
      <c r="V899" s="14"/>
      <c r="W899" s="14"/>
    </row>
    <row r="900" ht="35.25" customHeight="1">
      <c r="A900" s="92" t="s">
        <v>11120</v>
      </c>
      <c r="B900" s="93" t="s">
        <v>11122</v>
      </c>
      <c r="C900" s="94" t="s">
        <v>11124</v>
      </c>
      <c r="D900" s="95" t="s">
        <v>11126</v>
      </c>
      <c r="E900" s="96" t="str">
        <f>IFERROR(__xludf.DUMMYFUNCTION("GOOGLETRANSLATE(D900,""zh-CN"",""vi"")"),"Chúng tôi có thể liên lạc với bạn bất cứ lúc nào.")</f>
        <v>Chúng tôi có thể liên lạc với bạn bất cứ lúc nào.</v>
      </c>
      <c r="F900" s="101" t="s">
        <v>11120</v>
      </c>
      <c r="G900" s="98" t="b">
        <f t="shared" si="1"/>
        <v>1</v>
      </c>
      <c r="H900" s="99" t="b">
        <v>1</v>
      </c>
      <c r="I900" s="99" t="b">
        <v>0</v>
      </c>
      <c r="J900" s="99" t="b">
        <v>0</v>
      </c>
      <c r="K900" s="99" t="b">
        <v>0</v>
      </c>
      <c r="L900" s="99" t="b">
        <v>0</v>
      </c>
      <c r="M900" s="99" t="b">
        <v>0</v>
      </c>
      <c r="N900" s="99" t="b">
        <v>0</v>
      </c>
      <c r="O900" s="99" t="b">
        <v>0</v>
      </c>
      <c r="P900" s="99" t="b">
        <v>0</v>
      </c>
      <c r="Q900" s="99" t="b">
        <v>0</v>
      </c>
      <c r="R900" s="14"/>
      <c r="S900" s="14"/>
      <c r="T900" s="14"/>
      <c r="U900" s="14"/>
      <c r="V900" s="14"/>
      <c r="W900" s="14"/>
    </row>
    <row r="901" ht="35.25" customHeight="1">
      <c r="A901" s="92" t="s">
        <v>11148</v>
      </c>
      <c r="B901" s="93" t="s">
        <v>11149</v>
      </c>
      <c r="C901" s="94" t="s">
        <v>11150</v>
      </c>
      <c r="D901" s="95" t="s">
        <v>11151</v>
      </c>
      <c r="E901" s="96" t="str">
        <f>IFERROR(__xludf.DUMMYFUNCTION("GOOGLETRANSLATE(D901,""zh-CN"",""vi"")"),"Bạn có thể để nó trên bàn tùy thích.")</f>
        <v>Bạn có thể để nó trên bàn tùy thích.</v>
      </c>
      <c r="F901" s="101" t="s">
        <v>11148</v>
      </c>
      <c r="G901" s="98" t="b">
        <f t="shared" si="1"/>
        <v>1</v>
      </c>
      <c r="H901" s="99" t="b">
        <v>1</v>
      </c>
      <c r="I901" s="99" t="b">
        <v>0</v>
      </c>
      <c r="J901" s="99" t="b">
        <v>0</v>
      </c>
      <c r="K901" s="99" t="b">
        <v>0</v>
      </c>
      <c r="L901" s="99" t="b">
        <v>0</v>
      </c>
      <c r="M901" s="99" t="b">
        <v>0</v>
      </c>
      <c r="N901" s="99" t="b">
        <v>0</v>
      </c>
      <c r="O901" s="99" t="b">
        <v>0</v>
      </c>
      <c r="P901" s="99" t="b">
        <v>0</v>
      </c>
      <c r="Q901" s="99" t="b">
        <v>0</v>
      </c>
      <c r="R901" s="14"/>
      <c r="S901" s="14"/>
      <c r="T901" s="14"/>
      <c r="U901" s="14"/>
      <c r="V901" s="14"/>
      <c r="W901" s="14"/>
    </row>
    <row r="902" ht="35.25" customHeight="1">
      <c r="A902" s="92" t="s">
        <v>11160</v>
      </c>
      <c r="B902" s="93" t="s">
        <v>1573</v>
      </c>
      <c r="C902" s="94" t="s">
        <v>11161</v>
      </c>
      <c r="D902" s="95" t="s">
        <v>11162</v>
      </c>
      <c r="E902" s="96" t="str">
        <f>IFERROR(__xludf.DUMMYFUNCTION("GOOGLETRANSLATE(D902,""zh-CN"",""vi"")"),"Chiếc cốc của ông ta rơi xuống và vỡ tan.")</f>
        <v>Chiếc cốc của ông ta rơi xuống và vỡ tan.</v>
      </c>
      <c r="F902" s="101" t="s">
        <v>11160</v>
      </c>
      <c r="G902" s="98" t="b">
        <f t="shared" si="1"/>
        <v>1</v>
      </c>
      <c r="H902" s="99" t="b">
        <v>0</v>
      </c>
      <c r="I902" s="99" t="b">
        <v>0</v>
      </c>
      <c r="J902" s="99" t="b">
        <v>0</v>
      </c>
      <c r="K902" s="99" t="b">
        <v>0</v>
      </c>
      <c r="L902" s="99" t="b">
        <v>0</v>
      </c>
      <c r="M902" s="99" t="b">
        <v>0</v>
      </c>
      <c r="N902" s="99" t="b">
        <v>0</v>
      </c>
      <c r="O902" s="99" t="b">
        <v>0</v>
      </c>
      <c r="P902" s="99" t="b">
        <v>0</v>
      </c>
      <c r="Q902" s="99" t="b">
        <v>0</v>
      </c>
      <c r="R902" s="14"/>
      <c r="S902" s="14"/>
      <c r="T902" s="14"/>
      <c r="U902" s="14"/>
      <c r="V902" s="14"/>
      <c r="W902" s="14"/>
    </row>
    <row r="903" ht="35.25" customHeight="1">
      <c r="A903" s="92" t="s">
        <v>11167</v>
      </c>
      <c r="B903" s="93" t="s">
        <v>11168</v>
      </c>
      <c r="C903" s="102" t="s">
        <v>11169</v>
      </c>
      <c r="D903" s="95" t="s">
        <v>11170</v>
      </c>
      <c r="E903" s="96" t="str">
        <f>IFERROR(__xludf.DUMMYFUNCTION("GOOGLETRANSLATE(D903,""zh-CN"",""vi"")"),"Họ đã chịu tổn thất nặng nề.")</f>
        <v>Họ đã chịu tổn thất nặng nề.</v>
      </c>
      <c r="F903" s="101" t="s">
        <v>11167</v>
      </c>
      <c r="G903" s="98" t="b">
        <f t="shared" si="1"/>
        <v>1</v>
      </c>
      <c r="H903" s="99" t="b">
        <v>0</v>
      </c>
      <c r="I903" s="99" t="b">
        <v>0</v>
      </c>
      <c r="J903" s="99" t="b">
        <v>0</v>
      </c>
      <c r="K903" s="99" t="b">
        <v>0</v>
      </c>
      <c r="L903" s="99" t="b">
        <v>0</v>
      </c>
      <c r="M903" s="99" t="b">
        <v>0</v>
      </c>
      <c r="N903" s="99" t="b">
        <v>0</v>
      </c>
      <c r="O903" s="99" t="b">
        <v>0</v>
      </c>
      <c r="P903" s="99" t="b">
        <v>0</v>
      </c>
      <c r="Q903" s="99" t="b">
        <v>0</v>
      </c>
      <c r="R903" s="14"/>
      <c r="S903" s="14"/>
      <c r="T903" s="14"/>
      <c r="U903" s="14"/>
      <c r="V903" s="14"/>
      <c r="W903" s="14"/>
    </row>
    <row r="904" ht="35.25" customHeight="1">
      <c r="A904" s="92" t="s">
        <v>11179</v>
      </c>
      <c r="B904" s="93" t="s">
        <v>11180</v>
      </c>
      <c r="C904" s="94" t="s">
        <v>11182</v>
      </c>
      <c r="D904" s="95" t="s">
        <v>11185</v>
      </c>
      <c r="E904" s="96" t="str">
        <f>IFERROR(__xludf.DUMMYFUNCTION("GOOGLETRANSLATE(D904,""zh-CN"",""vi"")"),"Chúng ta cần rút ngắn thời gian thực hiện dự án này.")</f>
        <v>Chúng ta cần rút ngắn thời gian thực hiện dự án này.</v>
      </c>
      <c r="F904" s="101" t="s">
        <v>11179</v>
      </c>
      <c r="G904" s="98" t="b">
        <f t="shared" si="1"/>
        <v>1</v>
      </c>
      <c r="H904" s="99" t="b">
        <v>0</v>
      </c>
      <c r="I904" s="99" t="b">
        <v>0</v>
      </c>
      <c r="J904" s="99" t="b">
        <v>0</v>
      </c>
      <c r="K904" s="99" t="b">
        <v>0</v>
      </c>
      <c r="L904" s="99" t="b">
        <v>0</v>
      </c>
      <c r="M904" s="99" t="b">
        <v>0</v>
      </c>
      <c r="N904" s="99" t="b">
        <v>0</v>
      </c>
      <c r="O904" s="99" t="b">
        <v>0</v>
      </c>
      <c r="P904" s="99" t="b">
        <v>0</v>
      </c>
      <c r="Q904" s="99" t="b">
        <v>0</v>
      </c>
      <c r="R904" s="14"/>
      <c r="S904" s="14"/>
      <c r="T904" s="14"/>
      <c r="U904" s="14"/>
      <c r="V904" s="14"/>
      <c r="W904" s="14"/>
    </row>
    <row r="905" ht="35.25" customHeight="1">
      <c r="A905" s="92" t="s">
        <v>11191</v>
      </c>
      <c r="B905" s="93" t="s">
        <v>11194</v>
      </c>
      <c r="C905" s="94" t="s">
        <v>1139</v>
      </c>
      <c r="D905" s="95" t="s">
        <v>11196</v>
      </c>
      <c r="E905" s="96" t="str">
        <f>IFERROR(__xludf.DUMMYFUNCTION("GOOGLETRANSLATE(D905,""zh-CN"",""vi"")"),"Số báo này bao gồm nhiều chủ đề khác nhau.")</f>
        <v>Số báo này bao gồm nhiều chủ đề khác nhau.</v>
      </c>
      <c r="F905" s="101" t="s">
        <v>11191</v>
      </c>
      <c r="G905" s="98" t="b">
        <f t="shared" si="1"/>
        <v>1</v>
      </c>
      <c r="H905" s="99" t="b">
        <v>0</v>
      </c>
      <c r="I905" s="99" t="b">
        <v>0</v>
      </c>
      <c r="J905" s="99" t="b">
        <v>0</v>
      </c>
      <c r="K905" s="99" t="b">
        <v>0</v>
      </c>
      <c r="L905" s="99" t="b">
        <v>0</v>
      </c>
      <c r="M905" s="99" t="b">
        <v>0</v>
      </c>
      <c r="N905" s="99" t="b">
        <v>0</v>
      </c>
      <c r="O905" s="99" t="b">
        <v>0</v>
      </c>
      <c r="P905" s="99" t="b">
        <v>0</v>
      </c>
      <c r="Q905" s="99" t="b">
        <v>0</v>
      </c>
      <c r="R905" s="14"/>
      <c r="S905" s="14"/>
      <c r="T905" s="14"/>
      <c r="U905" s="14"/>
      <c r="V905" s="14"/>
      <c r="W905" s="14"/>
    </row>
    <row r="906" ht="35.25" customHeight="1">
      <c r="A906" s="92" t="s">
        <v>11201</v>
      </c>
      <c r="B906" s="93" t="s">
        <v>11194</v>
      </c>
      <c r="C906" s="94" t="s">
        <v>8013</v>
      </c>
      <c r="D906" s="95" t="s">
        <v>11202</v>
      </c>
      <c r="E906" s="96" t="str">
        <f>IFERROR(__xludf.DUMMYFUNCTION("GOOGLETRANSLATE(D906,""zh-CN"",""vi"")"),"Anh ta không tìm thấy chìa khóa nên đã khóa cửa lại.")</f>
        <v>Anh ta không tìm thấy chìa khóa nên đã khóa cửa lại.</v>
      </c>
      <c r="F906" s="101" t="s">
        <v>11201</v>
      </c>
      <c r="G906" s="98" t="b">
        <f t="shared" si="1"/>
        <v>1</v>
      </c>
      <c r="H906" s="99" t="b">
        <v>0</v>
      </c>
      <c r="I906" s="99" t="b">
        <v>0</v>
      </c>
      <c r="J906" s="99" t="b">
        <v>0</v>
      </c>
      <c r="K906" s="99" t="b">
        <v>0</v>
      </c>
      <c r="L906" s="99" t="b">
        <v>0</v>
      </c>
      <c r="M906" s="99" t="b">
        <v>0</v>
      </c>
      <c r="N906" s="99" t="b">
        <v>0</v>
      </c>
      <c r="O906" s="99" t="b">
        <v>0</v>
      </c>
      <c r="P906" s="99" t="b">
        <v>0</v>
      </c>
      <c r="Q906" s="99" t="b">
        <v>0</v>
      </c>
      <c r="R906" s="14"/>
      <c r="S906" s="14"/>
      <c r="T906" s="14"/>
      <c r="U906" s="14"/>
      <c r="V906" s="14"/>
      <c r="W906" s="14"/>
    </row>
    <row r="907" ht="35.25" customHeight="1">
      <c r="A907" s="92" t="s">
        <v>11209</v>
      </c>
      <c r="B907" s="93" t="s">
        <v>11211</v>
      </c>
      <c r="C907" s="94" t="s">
        <v>11213</v>
      </c>
      <c r="D907" s="95" t="s">
        <v>11214</v>
      </c>
      <c r="E907" s="96" t="str">
        <f>IFERROR(__xludf.DUMMYFUNCTION("GOOGLETRANSLATE(D907,""zh-CN"",""vi"")"),"Anh ta bước xuống cầu thang.")</f>
        <v>Anh ta bước xuống cầu thang.</v>
      </c>
      <c r="F907" s="101" t="s">
        <v>11209</v>
      </c>
      <c r="G907" s="98" t="b">
        <f t="shared" si="1"/>
        <v>1</v>
      </c>
      <c r="H907" s="99" t="b">
        <v>0</v>
      </c>
      <c r="I907" s="99" t="b">
        <v>0</v>
      </c>
      <c r="J907" s="99" t="b">
        <v>0</v>
      </c>
      <c r="K907" s="99" t="b">
        <v>0</v>
      </c>
      <c r="L907" s="99" t="b">
        <v>0</v>
      </c>
      <c r="M907" s="99" t="b">
        <v>0</v>
      </c>
      <c r="N907" s="99" t="b">
        <v>0</v>
      </c>
      <c r="O907" s="99" t="b">
        <v>0</v>
      </c>
      <c r="P907" s="99" t="b">
        <v>0</v>
      </c>
      <c r="Q907" s="99" t="b">
        <v>0</v>
      </c>
      <c r="R907" s="14"/>
      <c r="S907" s="14"/>
      <c r="T907" s="14"/>
      <c r="U907" s="14"/>
      <c r="V907" s="14"/>
      <c r="W907" s="14"/>
    </row>
    <row r="908" ht="35.25" customHeight="1">
      <c r="A908" s="92" t="s">
        <v>11218</v>
      </c>
      <c r="B908" s="93" t="s">
        <v>11219</v>
      </c>
      <c r="C908" s="94" t="s">
        <v>11220</v>
      </c>
      <c r="D908" s="95" t="s">
        <v>11221</v>
      </c>
      <c r="E908" s="96" t="str">
        <f>IFERROR(__xludf.DUMMYFUNCTION("GOOGLETRANSLATE(D908,""zh-CN"",""vi"")"),"Cô ấy đã học Thái Cực Quyền.")</f>
        <v>Cô ấy đã học Thái Cực Quyền.</v>
      </c>
      <c r="F908" s="101" t="s">
        <v>11218</v>
      </c>
      <c r="G908" s="98" t="b">
        <f t="shared" si="1"/>
        <v>1</v>
      </c>
      <c r="H908" s="99" t="b">
        <v>0</v>
      </c>
      <c r="I908" s="99" t="b">
        <v>0</v>
      </c>
      <c r="J908" s="99" t="b">
        <v>0</v>
      </c>
      <c r="K908" s="99" t="b">
        <v>0</v>
      </c>
      <c r="L908" s="99" t="b">
        <v>0</v>
      </c>
      <c r="M908" s="99" t="b">
        <v>0</v>
      </c>
      <c r="N908" s="99" t="b">
        <v>0</v>
      </c>
      <c r="O908" s="99" t="b">
        <v>0</v>
      </c>
      <c r="P908" s="99" t="b">
        <v>0</v>
      </c>
      <c r="Q908" s="99" t="b">
        <v>0</v>
      </c>
      <c r="R908" s="14"/>
      <c r="S908" s="14"/>
      <c r="T908" s="14"/>
      <c r="U908" s="14"/>
      <c r="V908" s="14"/>
      <c r="W908" s="14"/>
    </row>
    <row r="909" ht="35.25" customHeight="1">
      <c r="A909" s="92" t="s">
        <v>11226</v>
      </c>
      <c r="B909" s="93" t="s">
        <v>11227</v>
      </c>
      <c r="C909" s="94" t="s">
        <v>1792</v>
      </c>
      <c r="D909" s="95" t="s">
        <v>11228</v>
      </c>
      <c r="E909" s="96" t="str">
        <f>IFERROR(__xludf.DUMMYFUNCTION("GOOGLETRANSLATE(D909,""zh-CN"",""vi"")"),"Chúng ta cần thảo luận vấn đề này với vợ tôi.")</f>
        <v>Chúng ta cần thảo luận vấn đề này với vợ tôi.</v>
      </c>
      <c r="F909" s="101" t="s">
        <v>11226</v>
      </c>
      <c r="G909" s="98" t="b">
        <f t="shared" si="1"/>
        <v>1</v>
      </c>
      <c r="H909" s="99" t="b">
        <v>0</v>
      </c>
      <c r="I909" s="99" t="b">
        <v>0</v>
      </c>
      <c r="J909" s="99" t="b">
        <v>0</v>
      </c>
      <c r="K909" s="99" t="b">
        <v>0</v>
      </c>
      <c r="L909" s="99" t="b">
        <v>0</v>
      </c>
      <c r="M909" s="99" t="b">
        <v>0</v>
      </c>
      <c r="N909" s="99" t="b">
        <v>0</v>
      </c>
      <c r="O909" s="99" t="b">
        <v>0</v>
      </c>
      <c r="P909" s="99" t="b">
        <v>0</v>
      </c>
      <c r="Q909" s="99" t="b">
        <v>0</v>
      </c>
      <c r="R909" s="14"/>
      <c r="S909" s="14"/>
      <c r="T909" s="14"/>
      <c r="U909" s="14"/>
      <c r="V909" s="14"/>
      <c r="W909" s="14"/>
    </row>
    <row r="910" ht="35.25" customHeight="1">
      <c r="A910" s="92" t="s">
        <v>11233</v>
      </c>
      <c r="B910" s="93" t="s">
        <v>11234</v>
      </c>
      <c r="C910" s="94" t="s">
        <v>11235</v>
      </c>
      <c r="D910" s="95" t="s">
        <v>11236</v>
      </c>
      <c r="E910" s="96" t="str">
        <f>IFERROR(__xludf.DUMMYFUNCTION("GOOGLETRANSLATE(D910,""zh-CN"",""vi"")"),"Chúng tôi đang trong quá trình đàm phán.")</f>
        <v>Chúng tôi đang trong quá trình đàm phán.</v>
      </c>
      <c r="F910" s="101" t="s">
        <v>11233</v>
      </c>
      <c r="G910" s="98" t="b">
        <f t="shared" si="1"/>
        <v>1</v>
      </c>
      <c r="H910" s="99" t="b">
        <v>0</v>
      </c>
      <c r="I910" s="99" t="b">
        <v>0</v>
      </c>
      <c r="J910" s="99" t="b">
        <v>0</v>
      </c>
      <c r="K910" s="99" t="b">
        <v>0</v>
      </c>
      <c r="L910" s="99" t="b">
        <v>0</v>
      </c>
      <c r="M910" s="99" t="b">
        <v>0</v>
      </c>
      <c r="N910" s="99" t="b">
        <v>0</v>
      </c>
      <c r="O910" s="99" t="b">
        <v>0</v>
      </c>
      <c r="P910" s="99" t="b">
        <v>0</v>
      </c>
      <c r="Q910" s="99" t="b">
        <v>0</v>
      </c>
      <c r="R910" s="14"/>
      <c r="S910" s="14"/>
      <c r="T910" s="14"/>
      <c r="U910" s="14"/>
      <c r="V910" s="14"/>
      <c r="W910" s="14"/>
    </row>
    <row r="911" ht="35.25" customHeight="1">
      <c r="A911" s="92" t="s">
        <v>11241</v>
      </c>
      <c r="B911" s="93" t="s">
        <v>11242</v>
      </c>
      <c r="C911" s="94" t="s">
        <v>11243</v>
      </c>
      <c r="D911" s="95" t="s">
        <v>11244</v>
      </c>
      <c r="E911" s="96" t="str">
        <f>IFERROR(__xludf.DUMMYFUNCTION("GOOGLETRANSLATE(D911,""zh-CN"",""vi"")"),"Ông ấy đã bày tỏ quan điểm của mình một cách rất thẳng thắn.")</f>
        <v>Ông ấy đã bày tỏ quan điểm của mình một cách rất thẳng thắn.</v>
      </c>
      <c r="F911" s="101" t="s">
        <v>11241</v>
      </c>
      <c r="G911" s="98" t="b">
        <f t="shared" si="1"/>
        <v>1</v>
      </c>
      <c r="H911" s="99" t="b">
        <v>0</v>
      </c>
      <c r="I911" s="99" t="b">
        <v>0</v>
      </c>
      <c r="J911" s="99" t="b">
        <v>0</v>
      </c>
      <c r="K911" s="99" t="b">
        <v>0</v>
      </c>
      <c r="L911" s="99" t="b">
        <v>0</v>
      </c>
      <c r="M911" s="99" t="b">
        <v>0</v>
      </c>
      <c r="N911" s="99" t="b">
        <v>0</v>
      </c>
      <c r="O911" s="99" t="b">
        <v>0</v>
      </c>
      <c r="P911" s="99" t="b">
        <v>0</v>
      </c>
      <c r="Q911" s="99" t="b">
        <v>0</v>
      </c>
      <c r="R911" s="14"/>
      <c r="S911" s="14"/>
      <c r="T911" s="14"/>
      <c r="U911" s="14"/>
      <c r="V911" s="14"/>
      <c r="W911" s="14"/>
    </row>
    <row r="912" ht="35.25" customHeight="1">
      <c r="A912" s="92" t="s">
        <v>11249</v>
      </c>
      <c r="B912" s="93" t="s">
        <v>3973</v>
      </c>
      <c r="C912" s="94" t="s">
        <v>11250</v>
      </c>
      <c r="D912" s="95" t="s">
        <v>11251</v>
      </c>
      <c r="E912" s="96" t="str">
        <f>IFERROR(__xludf.DUMMYFUNCTION("GOOGLETRANSLATE(D912,""zh-CN"",""vi"")"),"Chiếc áo này cần được ủi.")</f>
        <v>Chiếc áo này cần được ủi.</v>
      </c>
      <c r="F912" s="101" t="s">
        <v>11249</v>
      </c>
      <c r="G912" s="98" t="b">
        <f t="shared" si="1"/>
        <v>1</v>
      </c>
      <c r="H912" s="99" t="b">
        <v>0</v>
      </c>
      <c r="I912" s="99" t="b">
        <v>0</v>
      </c>
      <c r="J912" s="99" t="b">
        <v>0</v>
      </c>
      <c r="K912" s="99" t="b">
        <v>0</v>
      </c>
      <c r="L912" s="99" t="b">
        <v>0</v>
      </c>
      <c r="M912" s="99" t="b">
        <v>0</v>
      </c>
      <c r="N912" s="99" t="b">
        <v>0</v>
      </c>
      <c r="O912" s="99" t="b">
        <v>0</v>
      </c>
      <c r="P912" s="99" t="b">
        <v>0</v>
      </c>
      <c r="Q912" s="99" t="b">
        <v>0</v>
      </c>
      <c r="R912" s="14"/>
      <c r="S912" s="14"/>
      <c r="T912" s="14"/>
      <c r="U912" s="14"/>
      <c r="V912" s="14"/>
      <c r="W912" s="14"/>
    </row>
    <row r="913" ht="35.25" customHeight="1">
      <c r="A913" s="92" t="s">
        <v>11258</v>
      </c>
      <c r="B913" s="93" t="s">
        <v>1113</v>
      </c>
      <c r="C913" s="94" t="s">
        <v>11260</v>
      </c>
      <c r="D913" s="95" t="s">
        <v>11261</v>
      </c>
      <c r="E913" s="96" t="str">
        <f>IFERROR(__xludf.DUMMYFUNCTION("GOOGLETRANSLATE(D913,""zh-CN"",""vi"")"),"Anh ta quyết định bỏ trốn khỏi nơi nguy hiểm đó.")</f>
        <v>Anh ta quyết định bỏ trốn khỏi nơi nguy hiểm đó.</v>
      </c>
      <c r="F913" s="101" t="s">
        <v>11258</v>
      </c>
      <c r="G913" s="98" t="b">
        <f t="shared" si="1"/>
        <v>1</v>
      </c>
      <c r="H913" s="99" t="b">
        <v>0</v>
      </c>
      <c r="I913" s="99" t="b">
        <v>0</v>
      </c>
      <c r="J913" s="99" t="b">
        <v>0</v>
      </c>
      <c r="K913" s="99" t="b">
        <v>0</v>
      </c>
      <c r="L913" s="99" t="b">
        <v>0</v>
      </c>
      <c r="M913" s="99" t="b">
        <v>0</v>
      </c>
      <c r="N913" s="99" t="b">
        <v>0</v>
      </c>
      <c r="O913" s="99" t="b">
        <v>0</v>
      </c>
      <c r="P913" s="99" t="b">
        <v>0</v>
      </c>
      <c r="Q913" s="99" t="b">
        <v>0</v>
      </c>
      <c r="R913" s="14"/>
      <c r="S913" s="14"/>
      <c r="T913" s="14"/>
      <c r="U913" s="14"/>
      <c r="V913" s="14"/>
      <c r="W913" s="14"/>
    </row>
    <row r="914" ht="35.25" customHeight="1">
      <c r="A914" s="92" t="s">
        <v>11266</v>
      </c>
      <c r="B914" s="93" t="s">
        <v>11267</v>
      </c>
      <c r="C914" s="94" t="s">
        <v>11268</v>
      </c>
      <c r="D914" s="95" t="s">
        <v>11269</v>
      </c>
      <c r="E914" s="96" t="str">
        <f>IFERROR(__xludf.DUMMYFUNCTION("GOOGLETRANSLATE(D914,""zh-CN"",""vi"")"),"Cô ta cố gắng trốn tránh trách nhiệm.")</f>
        <v>Cô ta cố gắng trốn tránh trách nhiệm.</v>
      </c>
      <c r="F914" s="101" t="s">
        <v>11266</v>
      </c>
      <c r="G914" s="98" t="b">
        <f t="shared" si="1"/>
        <v>1</v>
      </c>
      <c r="H914" s="99" t="b">
        <v>0</v>
      </c>
      <c r="I914" s="99" t="b">
        <v>0</v>
      </c>
      <c r="J914" s="99" t="b">
        <v>0</v>
      </c>
      <c r="K914" s="99" t="b">
        <v>0</v>
      </c>
      <c r="L914" s="99" t="b">
        <v>0</v>
      </c>
      <c r="M914" s="99" t="b">
        <v>0</v>
      </c>
      <c r="N914" s="99" t="b">
        <v>0</v>
      </c>
      <c r="O914" s="99" t="b">
        <v>0</v>
      </c>
      <c r="P914" s="99" t="b">
        <v>0</v>
      </c>
      <c r="Q914" s="99" t="b">
        <v>0</v>
      </c>
      <c r="R914" s="14"/>
      <c r="S914" s="14"/>
      <c r="T914" s="14"/>
      <c r="U914" s="14"/>
      <c r="V914" s="14"/>
      <c r="W914" s="14"/>
    </row>
    <row r="915" ht="35.25" customHeight="1">
      <c r="A915" s="92" t="s">
        <v>11275</v>
      </c>
      <c r="B915" s="93" t="s">
        <v>1113</v>
      </c>
      <c r="C915" s="94" t="s">
        <v>11278</v>
      </c>
      <c r="D915" s="95" t="s">
        <v>11280</v>
      </c>
      <c r="E915" s="96" t="str">
        <f>IFERROR(__xludf.DUMMYFUNCTION("GOOGLETRANSLATE(D915,""zh-CN"",""vi"")"),"Đào rất ngọt vào mùa hè.")</f>
        <v>Đào rất ngọt vào mùa hè.</v>
      </c>
      <c r="F915" s="101" t="s">
        <v>11275</v>
      </c>
      <c r="G915" s="98" t="b">
        <f t="shared" si="1"/>
        <v>1</v>
      </c>
      <c r="H915" s="99" t="b">
        <v>0</v>
      </c>
      <c r="I915" s="99" t="b">
        <v>0</v>
      </c>
      <c r="J915" s="99" t="b">
        <v>0</v>
      </c>
      <c r="K915" s="99" t="b">
        <v>0</v>
      </c>
      <c r="L915" s="99" t="b">
        <v>0</v>
      </c>
      <c r="M915" s="99" t="b">
        <v>0</v>
      </c>
      <c r="N915" s="99" t="b">
        <v>0</v>
      </c>
      <c r="O915" s="99" t="b">
        <v>0</v>
      </c>
      <c r="P915" s="99" t="b">
        <v>0</v>
      </c>
      <c r="Q915" s="99" t="b">
        <v>0</v>
      </c>
      <c r="R915" s="14"/>
      <c r="S915" s="14"/>
      <c r="T915" s="14"/>
      <c r="U915" s="14"/>
      <c r="V915" s="14"/>
      <c r="W915" s="14"/>
    </row>
    <row r="916" ht="35.25" customHeight="1">
      <c r="A916" s="92" t="s">
        <v>11284</v>
      </c>
      <c r="B916" s="93" t="s">
        <v>11285</v>
      </c>
      <c r="C916" s="94" t="s">
        <v>11286</v>
      </c>
      <c r="D916" s="95" t="s">
        <v>11287</v>
      </c>
      <c r="E916" s="96" t="str">
        <f>IFERROR(__xludf.DUMMYFUNCTION("GOOGLETRANSLATE(D916,""zh-CN"",""vi"")"),"Bọn trẻ hơi nghịch ngợm.")</f>
        <v>Bọn trẻ hơi nghịch ngợm.</v>
      </c>
      <c r="F916" s="101" t="s">
        <v>11284</v>
      </c>
      <c r="G916" s="98" t="b">
        <f t="shared" si="1"/>
        <v>1</v>
      </c>
      <c r="H916" s="99" t="b">
        <v>0</v>
      </c>
      <c r="I916" s="99" t="b">
        <v>0</v>
      </c>
      <c r="J916" s="99" t="b">
        <v>0</v>
      </c>
      <c r="K916" s="99" t="b">
        <v>0</v>
      </c>
      <c r="L916" s="99" t="b">
        <v>0</v>
      </c>
      <c r="M916" s="99" t="b">
        <v>0</v>
      </c>
      <c r="N916" s="99" t="b">
        <v>0</v>
      </c>
      <c r="O916" s="99" t="b">
        <v>0</v>
      </c>
      <c r="P916" s="99" t="b">
        <v>0</v>
      </c>
      <c r="Q916" s="99" t="b">
        <v>0</v>
      </c>
      <c r="R916" s="14"/>
      <c r="S916" s="14"/>
      <c r="T916" s="14"/>
      <c r="U916" s="14"/>
      <c r="V916" s="14"/>
      <c r="W916" s="14"/>
    </row>
    <row r="917" ht="35.25" customHeight="1">
      <c r="A917" s="92" t="s">
        <v>11292</v>
      </c>
      <c r="B917" s="93" t="s">
        <v>11293</v>
      </c>
      <c r="C917" s="94" t="s">
        <v>11294</v>
      </c>
      <c r="D917" s="95" t="s">
        <v>11295</v>
      </c>
      <c r="E917" s="96" t="str">
        <f>IFERROR(__xludf.DUMMYFUNCTION("GOOGLETRANSLATE(D917,""zh-CN"",""vi"")"),"Họ đang mặc cả.")</f>
        <v>Họ đang mặc cả.</v>
      </c>
      <c r="F917" s="101" t="s">
        <v>11292</v>
      </c>
      <c r="G917" s="98" t="b">
        <f t="shared" si="1"/>
        <v>1</v>
      </c>
      <c r="H917" s="99" t="b">
        <v>0</v>
      </c>
      <c r="I917" s="99" t="b">
        <v>0</v>
      </c>
      <c r="J917" s="99" t="b">
        <v>0</v>
      </c>
      <c r="K917" s="99" t="b">
        <v>0</v>
      </c>
      <c r="L917" s="99" t="b">
        <v>0</v>
      </c>
      <c r="M917" s="99" t="b">
        <v>0</v>
      </c>
      <c r="N917" s="99" t="b">
        <v>0</v>
      </c>
      <c r="O917" s="99" t="b">
        <v>0</v>
      </c>
      <c r="P917" s="99" t="b">
        <v>0</v>
      </c>
      <c r="Q917" s="99" t="b">
        <v>0</v>
      </c>
      <c r="R917" s="14"/>
      <c r="S917" s="14"/>
      <c r="T917" s="14"/>
      <c r="U917" s="14"/>
      <c r="V917" s="14"/>
      <c r="W917" s="14"/>
    </row>
    <row r="918" ht="35.25" customHeight="1">
      <c r="A918" s="92" t="s">
        <v>11300</v>
      </c>
      <c r="B918" s="93" t="s">
        <v>11302</v>
      </c>
      <c r="C918" s="94" t="s">
        <v>11304</v>
      </c>
      <c r="D918" s="95" t="s">
        <v>11306</v>
      </c>
      <c r="E918" s="96" t="str">
        <f>IFERROR(__xludf.DUMMYFUNCTION("GOOGLETRANSLATE(D918,""zh-CN"",""vi"")"),"Đây là bộ thiết bị mới.")</f>
        <v>Đây là bộ thiết bị mới.</v>
      </c>
      <c r="F918" s="101" t="s">
        <v>11300</v>
      </c>
      <c r="G918" s="98" t="b">
        <f t="shared" si="1"/>
        <v>1</v>
      </c>
      <c r="H918" s="99" t="b">
        <v>0</v>
      </c>
      <c r="I918" s="99" t="b">
        <v>0</v>
      </c>
      <c r="J918" s="99" t="b">
        <v>0</v>
      </c>
      <c r="K918" s="99" t="b">
        <v>0</v>
      </c>
      <c r="L918" s="99" t="b">
        <v>0</v>
      </c>
      <c r="M918" s="99" t="b">
        <v>0</v>
      </c>
      <c r="N918" s="99" t="b">
        <v>0</v>
      </c>
      <c r="O918" s="99" t="b">
        <v>0</v>
      </c>
      <c r="P918" s="99" t="b">
        <v>0</v>
      </c>
      <c r="Q918" s="99" t="b">
        <v>0</v>
      </c>
      <c r="R918" s="14"/>
      <c r="S918" s="14"/>
      <c r="T918" s="14"/>
      <c r="U918" s="14"/>
      <c r="V918" s="14"/>
      <c r="W918" s="14"/>
    </row>
    <row r="919" ht="35.25" customHeight="1">
      <c r="A919" s="92" t="s">
        <v>11312</v>
      </c>
      <c r="B919" s="93" t="s">
        <v>11313</v>
      </c>
      <c r="C919" s="94" t="s">
        <v>11314</v>
      </c>
      <c r="D919" s="95" t="s">
        <v>11315</v>
      </c>
      <c r="E919" s="96" t="str">
        <f>IFERROR(__xludf.DUMMYFUNCTION("GOOGLETRANSLATE(D919,""zh-CN"",""vi"")"),"Sản phẩm này có những tính năng độc đáo.")</f>
        <v>Sản phẩm này có những tính năng độc đáo.</v>
      </c>
      <c r="F919" s="101" t="s">
        <v>11312</v>
      </c>
      <c r="G919" s="98" t="b">
        <f t="shared" si="1"/>
        <v>1</v>
      </c>
      <c r="H919" s="99" t="b">
        <v>0</v>
      </c>
      <c r="I919" s="99" t="b">
        <v>0</v>
      </c>
      <c r="J919" s="99" t="b">
        <v>0</v>
      </c>
      <c r="K919" s="99" t="b">
        <v>0</v>
      </c>
      <c r="L919" s="99" t="b">
        <v>0</v>
      </c>
      <c r="M919" s="99" t="b">
        <v>0</v>
      </c>
      <c r="N919" s="99" t="b">
        <v>0</v>
      </c>
      <c r="O919" s="99" t="b">
        <v>0</v>
      </c>
      <c r="P919" s="99" t="b">
        <v>0</v>
      </c>
      <c r="Q919" s="99" t="b">
        <v>0</v>
      </c>
      <c r="R919" s="14"/>
      <c r="S919" s="14"/>
      <c r="T919" s="14"/>
      <c r="U919" s="14"/>
      <c r="V919" s="14"/>
      <c r="W919" s="14"/>
    </row>
    <row r="920" ht="35.25" customHeight="1">
      <c r="A920" s="92" t="s">
        <v>11320</v>
      </c>
      <c r="B920" s="93" t="s">
        <v>11321</v>
      </c>
      <c r="C920" s="94" t="s">
        <v>11322</v>
      </c>
      <c r="D920" s="95" t="s">
        <v>11323</v>
      </c>
      <c r="E920" s="96" t="str">
        <f>IFERROR(__xludf.DUMMYFUNCTION("GOOGLETRANSLATE(D920,""zh-CN"",""vi"")"),"Ông ấy có sự hiểu biết đặc biệt về dự án này.")</f>
        <v>Ông ấy có sự hiểu biết đặc biệt về dự án này.</v>
      </c>
      <c r="F920" s="101" t="s">
        <v>11320</v>
      </c>
      <c r="G920" s="98" t="b">
        <f t="shared" si="1"/>
        <v>1</v>
      </c>
      <c r="H920" s="99" t="b">
        <v>0</v>
      </c>
      <c r="I920" s="99" t="b">
        <v>0</v>
      </c>
      <c r="J920" s="99" t="b">
        <v>0</v>
      </c>
      <c r="K920" s="99" t="b">
        <v>0</v>
      </c>
      <c r="L920" s="99" t="b">
        <v>0</v>
      </c>
      <c r="M920" s="99" t="b">
        <v>0</v>
      </c>
      <c r="N920" s="99" t="b">
        <v>0</v>
      </c>
      <c r="O920" s="99" t="b">
        <v>0</v>
      </c>
      <c r="P920" s="99" t="b">
        <v>0</v>
      </c>
      <c r="Q920" s="99" t="b">
        <v>0</v>
      </c>
      <c r="R920" s="14"/>
      <c r="S920" s="14"/>
      <c r="T920" s="14"/>
      <c r="U920" s="14"/>
      <c r="V920" s="14"/>
      <c r="W920" s="14"/>
    </row>
    <row r="921" ht="35.25" customHeight="1">
      <c r="A921" s="92" t="s">
        <v>11331</v>
      </c>
      <c r="B921" s="93" t="s">
        <v>11333</v>
      </c>
      <c r="C921" s="94" t="s">
        <v>11334</v>
      </c>
      <c r="D921" s="95" t="s">
        <v>11335</v>
      </c>
      <c r="E921" s="96" t="str">
        <f>IFERROR(__xludf.DUMMYFUNCTION("GOOGLETRANSLATE(D921,""zh-CN"",""vi"")"),"Mỗi người đều có những đặc điểm riêng biệt.")</f>
        <v>Mỗi người đều có những đặc điểm riêng biệt.</v>
      </c>
      <c r="F921" s="101" t="s">
        <v>11331</v>
      </c>
      <c r="G921" s="98" t="b">
        <f t="shared" si="1"/>
        <v>1</v>
      </c>
      <c r="H921" s="99" t="b">
        <v>0</v>
      </c>
      <c r="I921" s="99" t="b">
        <v>0</v>
      </c>
      <c r="J921" s="99" t="b">
        <v>0</v>
      </c>
      <c r="K921" s="99" t="b">
        <v>0</v>
      </c>
      <c r="L921" s="99" t="b">
        <v>0</v>
      </c>
      <c r="M921" s="99" t="b">
        <v>0</v>
      </c>
      <c r="N921" s="99" t="b">
        <v>0</v>
      </c>
      <c r="O921" s="99" t="b">
        <v>0</v>
      </c>
      <c r="P921" s="99" t="b">
        <v>0</v>
      </c>
      <c r="Q921" s="99" t="b">
        <v>0</v>
      </c>
      <c r="R921" s="14"/>
      <c r="S921" s="14"/>
      <c r="T921" s="14"/>
      <c r="U921" s="14"/>
      <c r="V921" s="14"/>
      <c r="W921" s="14"/>
    </row>
    <row r="922" ht="35.25" customHeight="1">
      <c r="A922" s="92" t="s">
        <v>11337</v>
      </c>
      <c r="B922" s="93" t="s">
        <v>11338</v>
      </c>
      <c r="C922" s="94" t="s">
        <v>11339</v>
      </c>
      <c r="D922" s="95" t="s">
        <v>11340</v>
      </c>
      <c r="E922" s="96" t="str">
        <f>IFERROR(__xludf.DUMMYFUNCTION("GOOGLETRANSLATE(D922,""zh-CN"",""vi"")"),"Tình yêu thương của cha mẹ dành cho con cái là vô điều kiện.")</f>
        <v>Tình yêu thương của cha mẹ dành cho con cái là vô điều kiện.</v>
      </c>
      <c r="F922" s="101" t="s">
        <v>11337</v>
      </c>
      <c r="G922" s="98" t="b">
        <f t="shared" si="1"/>
        <v>1</v>
      </c>
      <c r="H922" s="99" t="b">
        <v>0</v>
      </c>
      <c r="I922" s="99" t="b">
        <v>0</v>
      </c>
      <c r="J922" s="99" t="b">
        <v>0</v>
      </c>
      <c r="K922" s="99" t="b">
        <v>0</v>
      </c>
      <c r="L922" s="99" t="b">
        <v>0</v>
      </c>
      <c r="M922" s="99" t="b">
        <v>0</v>
      </c>
      <c r="N922" s="99" t="b">
        <v>0</v>
      </c>
      <c r="O922" s="99" t="b">
        <v>0</v>
      </c>
      <c r="P922" s="99" t="b">
        <v>0</v>
      </c>
      <c r="Q922" s="99" t="b">
        <v>0</v>
      </c>
      <c r="R922" s="14"/>
      <c r="S922" s="14"/>
      <c r="T922" s="14"/>
      <c r="U922" s="14"/>
      <c r="V922" s="14"/>
      <c r="W922" s="14"/>
    </row>
    <row r="923" ht="35.25" customHeight="1">
      <c r="A923" s="92" t="s">
        <v>11345</v>
      </c>
      <c r="B923" s="93" t="s">
        <v>11347</v>
      </c>
      <c r="C923" s="94" t="s">
        <v>11349</v>
      </c>
      <c r="D923" s="95" t="s">
        <v>11351</v>
      </c>
      <c r="E923" s="96" t="str">
        <f>IFERROR(__xludf.DUMMYFUNCTION("GOOGLETRANSLATE(D923,""zh-CN"",""vi"")"),"Ông ấy ủng hộ các hoạt động bảo vệ môi trường.")</f>
        <v>Ông ấy ủng hộ các hoạt động bảo vệ môi trường.</v>
      </c>
      <c r="F923" s="101" t="s">
        <v>11345</v>
      </c>
      <c r="G923" s="98" t="b">
        <f t="shared" si="1"/>
        <v>1</v>
      </c>
      <c r="H923" s="99" t="b">
        <v>0</v>
      </c>
      <c r="I923" s="99" t="b">
        <v>0</v>
      </c>
      <c r="J923" s="99" t="b">
        <v>0</v>
      </c>
      <c r="K923" s="99" t="b">
        <v>0</v>
      </c>
      <c r="L923" s="99" t="b">
        <v>0</v>
      </c>
      <c r="M923" s="99" t="b">
        <v>0</v>
      </c>
      <c r="N923" s="99" t="b">
        <v>0</v>
      </c>
      <c r="O923" s="99" t="b">
        <v>0</v>
      </c>
      <c r="P923" s="99" t="b">
        <v>0</v>
      </c>
      <c r="Q923" s="99" t="b">
        <v>0</v>
      </c>
      <c r="R923" s="14"/>
      <c r="S923" s="14"/>
      <c r="T923" s="14"/>
      <c r="U923" s="14"/>
      <c r="V923" s="14"/>
      <c r="W923" s="14"/>
    </row>
    <row r="924" ht="35.25" customHeight="1">
      <c r="A924" s="92" t="s">
        <v>11357</v>
      </c>
      <c r="B924" s="93" t="s">
        <v>11358</v>
      </c>
      <c r="C924" s="94" t="s">
        <v>11359</v>
      </c>
      <c r="D924" s="95" t="s">
        <v>11360</v>
      </c>
      <c r="E924" s="96" t="str">
        <f>IFERROR(__xludf.DUMMYFUNCTION("GOOGLETRANSLATE(D924,""zh-CN"",""vi"")"),"Bài viết này có bố cục rất chi tiết.")</f>
        <v>Bài viết này có bố cục rất chi tiết.</v>
      </c>
      <c r="F924" s="101" t="s">
        <v>11357</v>
      </c>
      <c r="G924" s="98" t="b">
        <f t="shared" si="1"/>
        <v>1</v>
      </c>
      <c r="H924" s="99" t="b">
        <v>0</v>
      </c>
      <c r="I924" s="99" t="b">
        <v>0</v>
      </c>
      <c r="J924" s="99" t="b">
        <v>0</v>
      </c>
      <c r="K924" s="99" t="b">
        <v>0</v>
      </c>
      <c r="L924" s="99" t="b">
        <v>0</v>
      </c>
      <c r="M924" s="99" t="b">
        <v>0</v>
      </c>
      <c r="N924" s="99" t="b">
        <v>0</v>
      </c>
      <c r="O924" s="99" t="b">
        <v>0</v>
      </c>
      <c r="P924" s="99" t="b">
        <v>0</v>
      </c>
      <c r="Q924" s="99" t="b">
        <v>0</v>
      </c>
      <c r="R924" s="14"/>
      <c r="S924" s="14"/>
      <c r="T924" s="14"/>
      <c r="U924" s="14"/>
      <c r="V924" s="14"/>
      <c r="W924" s="14"/>
    </row>
    <row r="925" ht="35.25" customHeight="1">
      <c r="A925" s="92" t="s">
        <v>11365</v>
      </c>
      <c r="B925" s="93" t="s">
        <v>11366</v>
      </c>
      <c r="C925" s="94" t="s">
        <v>2343</v>
      </c>
      <c r="D925" s="95" t="s">
        <v>11368</v>
      </c>
      <c r="E925" s="96" t="str">
        <f>IFERROR(__xludf.DUMMYFUNCTION("GOOGLETRANSLATE(D925,""zh-CN"",""vi"")"),"Ông ấy hỏi những câu hỏi đó rất nghiêm túc.")</f>
        <v>Ông ấy hỏi những câu hỏi đó rất nghiêm túc.</v>
      </c>
      <c r="F925" s="101" t="s">
        <v>11365</v>
      </c>
      <c r="G925" s="98" t="b">
        <f t="shared" si="1"/>
        <v>1</v>
      </c>
      <c r="H925" s="99" t="b">
        <v>0</v>
      </c>
      <c r="I925" s="99" t="b">
        <v>0</v>
      </c>
      <c r="J925" s="99" t="b">
        <v>0</v>
      </c>
      <c r="K925" s="99" t="b">
        <v>0</v>
      </c>
      <c r="L925" s="99" t="b">
        <v>0</v>
      </c>
      <c r="M925" s="99" t="b">
        <v>0</v>
      </c>
      <c r="N925" s="99" t="b">
        <v>0</v>
      </c>
      <c r="O925" s="99" t="b">
        <v>0</v>
      </c>
      <c r="P925" s="99" t="b">
        <v>0</v>
      </c>
      <c r="Q925" s="99" t="b">
        <v>0</v>
      </c>
      <c r="R925" s="14"/>
      <c r="S925" s="14"/>
      <c r="T925" s="14"/>
      <c r="U925" s="14"/>
      <c r="V925" s="14"/>
      <c r="W925" s="14"/>
    </row>
    <row r="926" ht="35.25" customHeight="1">
      <c r="A926" s="92" t="s">
        <v>11376</v>
      </c>
      <c r="B926" s="93" t="s">
        <v>11377</v>
      </c>
      <c r="C926" s="94" t="s">
        <v>11378</v>
      </c>
      <c r="D926" s="95" t="s">
        <v>11379</v>
      </c>
      <c r="E926" s="96" t="str">
        <f>IFERROR(__xludf.DUMMYFUNCTION("GOOGLETRANSLATE(D926,""zh-CN"",""vi"")"),"Câu hỏi này rất khó.")</f>
        <v>Câu hỏi này rất khó.</v>
      </c>
      <c r="F926" s="101" t="s">
        <v>11376</v>
      </c>
      <c r="G926" s="98" t="b">
        <f t="shared" si="1"/>
        <v>1</v>
      </c>
      <c r="H926" s="99" t="b">
        <v>0</v>
      </c>
      <c r="I926" s="99" t="b">
        <v>0</v>
      </c>
      <c r="J926" s="99" t="b">
        <v>0</v>
      </c>
      <c r="K926" s="99" t="b">
        <v>0</v>
      </c>
      <c r="L926" s="99" t="b">
        <v>0</v>
      </c>
      <c r="M926" s="99" t="b">
        <v>0</v>
      </c>
      <c r="N926" s="99" t="b">
        <v>0</v>
      </c>
      <c r="O926" s="99" t="b">
        <v>0</v>
      </c>
      <c r="P926" s="99" t="b">
        <v>0</v>
      </c>
      <c r="Q926" s="99" t="b">
        <v>0</v>
      </c>
      <c r="R926" s="14"/>
      <c r="S926" s="14"/>
      <c r="T926" s="14"/>
      <c r="U926" s="14"/>
      <c r="V926" s="14"/>
      <c r="W926" s="14"/>
    </row>
    <row r="927" ht="35.25" customHeight="1">
      <c r="A927" s="92" t="s">
        <v>11384</v>
      </c>
      <c r="B927" s="93" t="s">
        <v>11385</v>
      </c>
      <c r="C927" s="94" t="s">
        <v>11386</v>
      </c>
      <c r="D927" s="95" t="s">
        <v>11387</v>
      </c>
      <c r="E927" s="96" t="str">
        <f>IFERROR(__xludf.DUMMYFUNCTION("GOOGLETRANSLATE(D927,""zh-CN"",""vi"")"),"Anh ấy đã học được rất nhiều điều từ chuyến đi này.")</f>
        <v>Anh ấy đã học được rất nhiều điều từ chuyến đi này.</v>
      </c>
      <c r="F927" s="101" t="s">
        <v>11384</v>
      </c>
      <c r="G927" s="98" t="b">
        <f t="shared" si="1"/>
        <v>1</v>
      </c>
      <c r="H927" s="99" t="b">
        <v>0</v>
      </c>
      <c r="I927" s="99" t="b">
        <v>0</v>
      </c>
      <c r="J927" s="99" t="b">
        <v>0</v>
      </c>
      <c r="K927" s="99" t="b">
        <v>0</v>
      </c>
      <c r="L927" s="99" t="b">
        <v>0</v>
      </c>
      <c r="M927" s="99" t="b">
        <v>0</v>
      </c>
      <c r="N927" s="99" t="b">
        <v>0</v>
      </c>
      <c r="O927" s="99" t="b">
        <v>0</v>
      </c>
      <c r="P927" s="99" t="b">
        <v>0</v>
      </c>
      <c r="Q927" s="99" t="b">
        <v>0</v>
      </c>
      <c r="R927" s="14"/>
      <c r="S927" s="14"/>
      <c r="T927" s="14"/>
      <c r="U927" s="14"/>
      <c r="V927" s="14"/>
      <c r="W927" s="14"/>
    </row>
    <row r="928" ht="35.25" customHeight="1">
      <c r="A928" s="92" t="s">
        <v>11392</v>
      </c>
      <c r="B928" s="93" t="s">
        <v>11393</v>
      </c>
      <c r="C928" s="94" t="s">
        <v>11394</v>
      </c>
      <c r="D928" s="95" t="s">
        <v>11395</v>
      </c>
      <c r="E928" s="96" t="str">
        <f>IFERROR(__xludf.DUMMYFUNCTION("GOOGLETRANSLATE(D928,""zh-CN"",""vi"")"),"Cô ấy rất chu đáo và luôn quan tâm đến cảm xúc của người khác.")</f>
        <v>Cô ấy rất chu đáo và luôn quan tâm đến cảm xúc của người khác.</v>
      </c>
      <c r="F928" s="101" t="s">
        <v>11392</v>
      </c>
      <c r="G928" s="98" t="b">
        <f t="shared" si="1"/>
        <v>1</v>
      </c>
      <c r="H928" s="99" t="b">
        <v>0</v>
      </c>
      <c r="I928" s="99" t="b">
        <v>0</v>
      </c>
      <c r="J928" s="99" t="b">
        <v>0</v>
      </c>
      <c r="K928" s="99" t="b">
        <v>0</v>
      </c>
      <c r="L928" s="99" t="b">
        <v>0</v>
      </c>
      <c r="M928" s="99" t="b">
        <v>0</v>
      </c>
      <c r="N928" s="99" t="b">
        <v>0</v>
      </c>
      <c r="O928" s="99" t="b">
        <v>0</v>
      </c>
      <c r="P928" s="99" t="b">
        <v>0</v>
      </c>
      <c r="Q928" s="99" t="b">
        <v>0</v>
      </c>
      <c r="R928" s="14"/>
      <c r="S928" s="14"/>
      <c r="T928" s="14"/>
      <c r="U928" s="14"/>
      <c r="V928" s="14"/>
      <c r="W928" s="14"/>
    </row>
    <row r="929" ht="35.25" customHeight="1">
      <c r="A929" s="92" t="s">
        <v>11400</v>
      </c>
      <c r="B929" s="93" t="s">
        <v>11402</v>
      </c>
      <c r="C929" s="94" t="s">
        <v>11404</v>
      </c>
      <c r="D929" s="95" t="s">
        <v>11405</v>
      </c>
      <c r="E929" s="96" t="str">
        <f>IFERROR(__xludf.DUMMYFUNCTION("GOOGLETRANSLATE(D929,""zh-CN"",""vi"")"),"Công việc của anh ấy thể hiện trình độ chuyên nghiệp cao.")</f>
        <v>Công việc của anh ấy thể hiện trình độ chuyên nghiệp cao.</v>
      </c>
      <c r="F929" s="101" t="s">
        <v>11400</v>
      </c>
      <c r="G929" s="98" t="b">
        <f t="shared" si="1"/>
        <v>1</v>
      </c>
      <c r="H929" s="99" t="b">
        <v>0</v>
      </c>
      <c r="I929" s="99" t="b">
        <v>0</v>
      </c>
      <c r="J929" s="99" t="b">
        <v>0</v>
      </c>
      <c r="K929" s="99" t="b">
        <v>0</v>
      </c>
      <c r="L929" s="99" t="b">
        <v>0</v>
      </c>
      <c r="M929" s="99" t="b">
        <v>0</v>
      </c>
      <c r="N929" s="99" t="b">
        <v>0</v>
      </c>
      <c r="O929" s="99" t="b">
        <v>0</v>
      </c>
      <c r="P929" s="99" t="b">
        <v>0</v>
      </c>
      <c r="Q929" s="99" t="b">
        <v>0</v>
      </c>
      <c r="R929" s="14"/>
      <c r="S929" s="14"/>
      <c r="T929" s="14"/>
      <c r="U929" s="14"/>
      <c r="V929" s="14"/>
      <c r="W929" s="14"/>
    </row>
    <row r="930" ht="35.25" customHeight="1">
      <c r="A930" s="92" t="s">
        <v>11410</v>
      </c>
      <c r="B930" s="93" t="s">
        <v>11411</v>
      </c>
      <c r="C930" s="94" t="s">
        <v>11412</v>
      </c>
      <c r="D930" s="95" t="s">
        <v>11413</v>
      </c>
      <c r="E930" s="96" t="str">
        <f>IFERROR(__xludf.DUMMYFUNCTION("GOOGLETRANSLATE(D930,""zh-CN"",""vi"")"),"Hoạt động này là một trải nghiệm tuyệt vời.")</f>
        <v>Hoạt động này là một trải nghiệm tuyệt vời.</v>
      </c>
      <c r="F930" s="101" t="s">
        <v>11410</v>
      </c>
      <c r="G930" s="98" t="b">
        <f t="shared" si="1"/>
        <v>1</v>
      </c>
      <c r="H930" s="99" t="b">
        <v>0</v>
      </c>
      <c r="I930" s="99" t="b">
        <v>0</v>
      </c>
      <c r="J930" s="99" t="b">
        <v>0</v>
      </c>
      <c r="K930" s="99" t="b">
        <v>0</v>
      </c>
      <c r="L930" s="99" t="b">
        <v>0</v>
      </c>
      <c r="M930" s="99" t="b">
        <v>0</v>
      </c>
      <c r="N930" s="99" t="b">
        <v>0</v>
      </c>
      <c r="O930" s="99" t="b">
        <v>0</v>
      </c>
      <c r="P930" s="99" t="b">
        <v>0</v>
      </c>
      <c r="Q930" s="99" t="b">
        <v>0</v>
      </c>
      <c r="R930" s="14"/>
      <c r="S930" s="14"/>
      <c r="T930" s="14"/>
      <c r="U930" s="14"/>
      <c r="V930" s="14"/>
      <c r="W930" s="14"/>
    </row>
    <row r="931" ht="35.25" customHeight="1">
      <c r="A931" s="92" t="s">
        <v>11422</v>
      </c>
      <c r="B931" s="93" t="s">
        <v>11423</v>
      </c>
      <c r="C931" s="94" t="s">
        <v>11424</v>
      </c>
      <c r="D931" s="95" t="s">
        <v>11425</v>
      </c>
      <c r="E931" s="96" t="str">
        <f>IFERROR(__xludf.DUMMYFUNCTION("GOOGLETRANSLATE(D931,""zh-CN"",""vi"")"),"Họ nhìn thấy cầu vồng trên bầu trời.")</f>
        <v>Họ nhìn thấy cầu vồng trên bầu trời.</v>
      </c>
      <c r="F931" s="101" t="s">
        <v>11422</v>
      </c>
      <c r="G931" s="98" t="b">
        <f t="shared" si="1"/>
        <v>1</v>
      </c>
      <c r="H931" s="99" t="b">
        <v>0</v>
      </c>
      <c r="I931" s="99" t="b">
        <v>0</v>
      </c>
      <c r="J931" s="99" t="b">
        <v>0</v>
      </c>
      <c r="K931" s="99" t="b">
        <v>0</v>
      </c>
      <c r="L931" s="99" t="b">
        <v>0</v>
      </c>
      <c r="M931" s="99" t="b">
        <v>0</v>
      </c>
      <c r="N931" s="99" t="b">
        <v>0</v>
      </c>
      <c r="O931" s="99" t="b">
        <v>0</v>
      </c>
      <c r="P931" s="99" t="b">
        <v>0</v>
      </c>
      <c r="Q931" s="99" t="b">
        <v>0</v>
      </c>
      <c r="R931" s="14"/>
      <c r="S931" s="14"/>
      <c r="T931" s="14"/>
      <c r="U931" s="14"/>
      <c r="V931" s="14"/>
      <c r="W931" s="14"/>
    </row>
    <row r="932" ht="35.25" customHeight="1">
      <c r="A932" s="92" t="s">
        <v>11430</v>
      </c>
      <c r="B932" s="93" t="s">
        <v>11431</v>
      </c>
      <c r="C932" s="94" t="s">
        <v>11432</v>
      </c>
      <c r="D932" s="95" t="s">
        <v>11433</v>
      </c>
      <c r="E932" s="96" t="str">
        <f>IFERROR(__xludf.DUMMYFUNCTION("GOOGLETRANSLATE(D932,""zh-CN"",""vi"")"),"Sự ngây thơ của cô bé thật đáng yêu.")</f>
        <v>Sự ngây thơ của cô bé thật đáng yêu.</v>
      </c>
      <c r="F932" s="101" t="s">
        <v>11430</v>
      </c>
      <c r="G932" s="98" t="b">
        <f t="shared" si="1"/>
        <v>1</v>
      </c>
      <c r="H932" s="99" t="b">
        <v>0</v>
      </c>
      <c r="I932" s="99" t="b">
        <v>0</v>
      </c>
      <c r="J932" s="99" t="b">
        <v>0</v>
      </c>
      <c r="K932" s="99" t="b">
        <v>0</v>
      </c>
      <c r="L932" s="99" t="b">
        <v>0</v>
      </c>
      <c r="M932" s="99" t="b">
        <v>0</v>
      </c>
      <c r="N932" s="99" t="b">
        <v>0</v>
      </c>
      <c r="O932" s="99" t="b">
        <v>0</v>
      </c>
      <c r="P932" s="99" t="b">
        <v>0</v>
      </c>
      <c r="Q932" s="99" t="b">
        <v>0</v>
      </c>
      <c r="R932" s="14"/>
      <c r="S932" s="14"/>
      <c r="T932" s="14"/>
      <c r="U932" s="14"/>
      <c r="V932" s="14"/>
      <c r="W932" s="14"/>
    </row>
    <row r="933" ht="35.25" customHeight="1">
      <c r="A933" s="92" t="s">
        <v>11440</v>
      </c>
      <c r="B933" s="93" t="s">
        <v>11442</v>
      </c>
      <c r="C933" s="94" t="s">
        <v>11444</v>
      </c>
      <c r="D933" s="95" t="s">
        <v>11445</v>
      </c>
      <c r="E933" s="96" t="str">
        <f>IFERROR(__xludf.DUMMYFUNCTION("GOOGLETRANSLATE(D933,""zh-CN"",""vi"")"),"Bọn trẻ đang nô đùa nghịch ngợm trong công viên.")</f>
        <v>Bọn trẻ đang nô đùa nghịch ngợm trong công viên.</v>
      </c>
      <c r="F933" s="101" t="s">
        <v>11440</v>
      </c>
      <c r="G933" s="98" t="b">
        <f t="shared" si="1"/>
        <v>1</v>
      </c>
      <c r="H933" s="99" t="b">
        <v>0</v>
      </c>
      <c r="I933" s="99" t="b">
        <v>0</v>
      </c>
      <c r="J933" s="99" t="b">
        <v>0</v>
      </c>
      <c r="K933" s="99" t="b">
        <v>0</v>
      </c>
      <c r="L933" s="99" t="b">
        <v>0</v>
      </c>
      <c r="M933" s="99" t="b">
        <v>0</v>
      </c>
      <c r="N933" s="99" t="b">
        <v>0</v>
      </c>
      <c r="O933" s="99" t="b">
        <v>0</v>
      </c>
      <c r="P933" s="99" t="b">
        <v>0</v>
      </c>
      <c r="Q933" s="99" t="b">
        <v>0</v>
      </c>
      <c r="R933" s="14"/>
      <c r="S933" s="14"/>
      <c r="T933" s="14"/>
      <c r="U933" s="14"/>
      <c r="V933" s="14"/>
      <c r="W933" s="14"/>
    </row>
    <row r="934" ht="35.25" customHeight="1">
      <c r="A934" s="92" t="s">
        <v>11450</v>
      </c>
      <c r="B934" s="93" t="s">
        <v>11451</v>
      </c>
      <c r="C934" s="94" t="s">
        <v>11452</v>
      </c>
      <c r="D934" s="95" t="s">
        <v>11453</v>
      </c>
      <c r="E934" s="96" t="str">
        <f>IFERROR(__xludf.DUMMYFUNCTION("GOOGLETRANSLATE(D934,""zh-CN"",""vi"")"),"Anh ấy đang điều chỉnh kế hoạch làm việc của mình.")</f>
        <v>Anh ấy đang điều chỉnh kế hoạch làm việc của mình.</v>
      </c>
      <c r="F934" s="101" t="s">
        <v>11450</v>
      </c>
      <c r="G934" s="98" t="b">
        <f t="shared" si="1"/>
        <v>1</v>
      </c>
      <c r="H934" s="99" t="b">
        <v>0</v>
      </c>
      <c r="I934" s="99" t="b">
        <v>0</v>
      </c>
      <c r="J934" s="99" t="b">
        <v>0</v>
      </c>
      <c r="K934" s="99" t="b">
        <v>0</v>
      </c>
      <c r="L934" s="99" t="b">
        <v>0</v>
      </c>
      <c r="M934" s="99" t="b">
        <v>0</v>
      </c>
      <c r="N934" s="99" t="b">
        <v>0</v>
      </c>
      <c r="O934" s="99" t="b">
        <v>0</v>
      </c>
      <c r="P934" s="99" t="b">
        <v>0</v>
      </c>
      <c r="Q934" s="99" t="b">
        <v>0</v>
      </c>
      <c r="R934" s="14"/>
      <c r="S934" s="14"/>
      <c r="T934" s="14"/>
      <c r="U934" s="14"/>
      <c r="V934" s="14"/>
      <c r="W934" s="14"/>
    </row>
    <row r="935" ht="35.25" customHeight="1">
      <c r="A935" s="92" t="s">
        <v>11458</v>
      </c>
      <c r="B935" s="93" t="s">
        <v>11459</v>
      </c>
      <c r="C935" s="94" t="s">
        <v>11460</v>
      </c>
      <c r="D935" s="95" t="s">
        <v>11461</v>
      </c>
      <c r="E935" s="96" t="str">
        <f>IFERROR(__xludf.DUMMYFUNCTION("GOOGLETRANSLATE(D935,""zh-CN"",""vi"")"),"Họ đã chấp nhận một thử thách vô cùng lớn.")</f>
        <v>Họ đã chấp nhận một thử thách vô cùng lớn.</v>
      </c>
      <c r="F935" s="101" t="s">
        <v>11458</v>
      </c>
      <c r="G935" s="98" t="b">
        <f t="shared" si="1"/>
        <v>1</v>
      </c>
      <c r="H935" s="99" t="b">
        <v>0</v>
      </c>
      <c r="I935" s="99" t="b">
        <v>0</v>
      </c>
      <c r="J935" s="99" t="b">
        <v>0</v>
      </c>
      <c r="K935" s="99" t="b">
        <v>0</v>
      </c>
      <c r="L935" s="99" t="b">
        <v>0</v>
      </c>
      <c r="M935" s="99" t="b">
        <v>0</v>
      </c>
      <c r="N935" s="99" t="b">
        <v>0</v>
      </c>
      <c r="O935" s="99" t="b">
        <v>0</v>
      </c>
      <c r="P935" s="99" t="b">
        <v>0</v>
      </c>
      <c r="Q935" s="99" t="b">
        <v>0</v>
      </c>
      <c r="R935" s="14"/>
      <c r="S935" s="14"/>
      <c r="T935" s="14"/>
      <c r="U935" s="14"/>
      <c r="V935" s="14"/>
      <c r="W935" s="14"/>
    </row>
    <row r="936" ht="35.25" customHeight="1">
      <c r="A936" s="92" t="s">
        <v>11467</v>
      </c>
      <c r="B936" s="93" t="s">
        <v>11469</v>
      </c>
      <c r="C936" s="94" t="s">
        <v>3336</v>
      </c>
      <c r="D936" s="95" t="s">
        <v>11471</v>
      </c>
      <c r="E936" s="96" t="str">
        <f>IFERROR(__xludf.DUMMYFUNCTION("GOOGLETRANSLATE(D936,""zh-CN"",""vi"")"),"Đây là một thông lệ phổ biến.")</f>
        <v>Đây là một thông lệ phổ biến.</v>
      </c>
      <c r="F936" s="101" t="s">
        <v>11467</v>
      </c>
      <c r="G936" s="98" t="b">
        <f t="shared" si="1"/>
        <v>1</v>
      </c>
      <c r="H936" s="99" t="b">
        <v>0</v>
      </c>
      <c r="I936" s="99" t="b">
        <v>0</v>
      </c>
      <c r="J936" s="99" t="b">
        <v>0</v>
      </c>
      <c r="K936" s="99" t="b">
        <v>0</v>
      </c>
      <c r="L936" s="99" t="b">
        <v>0</v>
      </c>
      <c r="M936" s="99" t="b">
        <v>0</v>
      </c>
      <c r="N936" s="99" t="b">
        <v>0</v>
      </c>
      <c r="O936" s="99" t="b">
        <v>0</v>
      </c>
      <c r="P936" s="99" t="b">
        <v>0</v>
      </c>
      <c r="Q936" s="99" t="b">
        <v>0</v>
      </c>
      <c r="R936" s="14"/>
      <c r="S936" s="14"/>
      <c r="T936" s="14"/>
      <c r="U936" s="14"/>
      <c r="V936" s="14"/>
      <c r="W936" s="14"/>
    </row>
    <row r="937" ht="35.25" customHeight="1">
      <c r="A937" s="92" t="s">
        <v>11474</v>
      </c>
      <c r="B937" s="93" t="s">
        <v>11476</v>
      </c>
      <c r="C937" s="94" t="s">
        <v>11478</v>
      </c>
      <c r="D937" s="95" t="s">
        <v>11479</v>
      </c>
      <c r="E937" s="96" t="str">
        <f>IFERROR(__xludf.DUMMYFUNCTION("GOOGLETRANSLATE(D937,""zh-CN"",""vi"")"),"Chúng ta cần một tiêu chuẩn thống nhất.")</f>
        <v>Chúng ta cần một tiêu chuẩn thống nhất.</v>
      </c>
      <c r="F937" s="101" t="s">
        <v>11474</v>
      </c>
      <c r="G937" s="98" t="b">
        <f t="shared" si="1"/>
        <v>1</v>
      </c>
      <c r="H937" s="99" t="b">
        <v>0</v>
      </c>
      <c r="I937" s="99" t="b">
        <v>0</v>
      </c>
      <c r="J937" s="99" t="b">
        <v>0</v>
      </c>
      <c r="K937" s="99" t="b">
        <v>0</v>
      </c>
      <c r="L937" s="99" t="b">
        <v>0</v>
      </c>
      <c r="M937" s="99" t="b">
        <v>0</v>
      </c>
      <c r="N937" s="99" t="b">
        <v>0</v>
      </c>
      <c r="O937" s="99" t="b">
        <v>0</v>
      </c>
      <c r="P937" s="99" t="b">
        <v>0</v>
      </c>
      <c r="Q937" s="99" t="b">
        <v>0</v>
      </c>
      <c r="R937" s="14"/>
      <c r="S937" s="14"/>
      <c r="T937" s="14"/>
      <c r="U937" s="14"/>
      <c r="V937" s="14"/>
      <c r="W937" s="14"/>
    </row>
    <row r="938" ht="35.25" customHeight="1">
      <c r="A938" s="92" t="s">
        <v>11481</v>
      </c>
      <c r="B938" s="93" t="s">
        <v>11483</v>
      </c>
      <c r="C938" s="94" t="s">
        <v>11485</v>
      </c>
      <c r="D938" s="95" t="s">
        <v>11487</v>
      </c>
      <c r="E938" s="96" t="str">
        <f>IFERROR(__xludf.DUMMYFUNCTION("GOOGLETRANSLATE(D938,""zh-CN"",""vi"")"),"Cô ấy đang rất đau đớn.")</f>
        <v>Cô ấy đang rất đau đớn.</v>
      </c>
      <c r="F938" s="101" t="s">
        <v>11481</v>
      </c>
      <c r="G938" s="98" t="b">
        <f t="shared" si="1"/>
        <v>1</v>
      </c>
      <c r="H938" s="99" t="b">
        <v>0</v>
      </c>
      <c r="I938" s="99" t="b">
        <v>0</v>
      </c>
      <c r="J938" s="99" t="b">
        <v>0</v>
      </c>
      <c r="K938" s="99" t="b">
        <v>0</v>
      </c>
      <c r="L938" s="99" t="b">
        <v>0</v>
      </c>
      <c r="M938" s="99" t="b">
        <v>0</v>
      </c>
      <c r="N938" s="99" t="b">
        <v>0</v>
      </c>
      <c r="O938" s="99" t="b">
        <v>0</v>
      </c>
      <c r="P938" s="99" t="b">
        <v>0</v>
      </c>
      <c r="Q938" s="99" t="b">
        <v>0</v>
      </c>
      <c r="R938" s="14"/>
      <c r="S938" s="14"/>
      <c r="T938" s="14"/>
      <c r="U938" s="14"/>
      <c r="V938" s="14"/>
      <c r="W938" s="14"/>
    </row>
    <row r="939" ht="35.25" customHeight="1">
      <c r="A939" s="92" t="s">
        <v>11488</v>
      </c>
      <c r="B939" s="93" t="s">
        <v>11489</v>
      </c>
      <c r="C939" s="94" t="s">
        <v>11491</v>
      </c>
      <c r="D939" s="95" t="s">
        <v>11493</v>
      </c>
      <c r="E939" s="96" t="str">
        <f>IFERROR(__xludf.DUMMYFUNCTION("GOOGLETRANSLATE(D939,""zh-CN"",""vi"")"),"Trải nghiệm này khiến anh ấy cảm thấy vô cùng phấn chấn.")</f>
        <v>Trải nghiệm này khiến anh ấy cảm thấy vô cùng phấn chấn.</v>
      </c>
      <c r="F939" s="101" t="s">
        <v>11488</v>
      </c>
      <c r="G939" s="98" t="b">
        <f t="shared" si="1"/>
        <v>1</v>
      </c>
      <c r="H939" s="99" t="b">
        <v>0</v>
      </c>
      <c r="I939" s="99" t="b">
        <v>0</v>
      </c>
      <c r="J939" s="99" t="b">
        <v>0</v>
      </c>
      <c r="K939" s="99" t="b">
        <v>0</v>
      </c>
      <c r="L939" s="99" t="b">
        <v>0</v>
      </c>
      <c r="M939" s="99" t="b">
        <v>0</v>
      </c>
      <c r="N939" s="99" t="b">
        <v>0</v>
      </c>
      <c r="O939" s="99" t="b">
        <v>0</v>
      </c>
      <c r="P939" s="99" t="b">
        <v>0</v>
      </c>
      <c r="Q939" s="99" t="b">
        <v>0</v>
      </c>
      <c r="R939" s="14"/>
      <c r="S939" s="14"/>
      <c r="T939" s="14"/>
      <c r="U939" s="14"/>
      <c r="V939" s="14"/>
      <c r="W939" s="14"/>
    </row>
    <row r="940" ht="35.25" customHeight="1">
      <c r="A940" s="92" t="s">
        <v>11496</v>
      </c>
      <c r="B940" s="93" t="s">
        <v>11498</v>
      </c>
      <c r="C940" s="94" t="s">
        <v>11501</v>
      </c>
      <c r="D940" s="95" t="s">
        <v>11503</v>
      </c>
      <c r="E940" s="96" t="str">
        <f>IFERROR(__xludf.DUMMYFUNCTION("GOOGLETRANSLATE(D940,""zh-CN"",""vi"")"),"Anh ta đã ăn trộm một miếng sô cô la.")</f>
        <v>Anh ta đã ăn trộm một miếng sô cô la.</v>
      </c>
      <c r="F940" s="101" t="s">
        <v>11496</v>
      </c>
      <c r="G940" s="98" t="b">
        <f t="shared" si="1"/>
        <v>1</v>
      </c>
      <c r="H940" s="99" t="b">
        <v>0</v>
      </c>
      <c r="I940" s="99" t="b">
        <v>0</v>
      </c>
      <c r="J940" s="99" t="b">
        <v>0</v>
      </c>
      <c r="K940" s="99" t="b">
        <v>0</v>
      </c>
      <c r="L940" s="99" t="b">
        <v>0</v>
      </c>
      <c r="M940" s="99" t="b">
        <v>0</v>
      </c>
      <c r="N940" s="99" t="b">
        <v>0</v>
      </c>
      <c r="O940" s="99" t="b">
        <v>0</v>
      </c>
      <c r="P940" s="99" t="b">
        <v>0</v>
      </c>
      <c r="Q940" s="99" t="b">
        <v>0</v>
      </c>
      <c r="R940" s="14"/>
      <c r="S940" s="14"/>
      <c r="T940" s="14"/>
      <c r="U940" s="14"/>
      <c r="V940" s="14"/>
      <c r="W940" s="14"/>
    </row>
    <row r="941" ht="35.25" customHeight="1">
      <c r="A941" s="92" t="s">
        <v>11508</v>
      </c>
      <c r="B941" s="93" t="s">
        <v>11509</v>
      </c>
      <c r="C941" s="94" t="s">
        <v>11510</v>
      </c>
      <c r="D941" s="95" t="s">
        <v>11511</v>
      </c>
      <c r="E941" s="96" t="str">
        <f>IFERROR(__xludf.DUMMYFUNCTION("GOOGLETRANSLATE(D941,""zh-CN"",""vi"")"),"Cô ấy dốc hết tâm huyết vào công việc.")</f>
        <v>Cô ấy dốc hết tâm huyết vào công việc.</v>
      </c>
      <c r="F941" s="101" t="s">
        <v>11508</v>
      </c>
      <c r="G941" s="98" t="b">
        <f t="shared" si="1"/>
        <v>1</v>
      </c>
      <c r="H941" s="99" t="b">
        <v>0</v>
      </c>
      <c r="I941" s="99" t="b">
        <v>0</v>
      </c>
      <c r="J941" s="99" t="b">
        <v>0</v>
      </c>
      <c r="K941" s="99" t="b">
        <v>0</v>
      </c>
      <c r="L941" s="99" t="b">
        <v>0</v>
      </c>
      <c r="M941" s="99" t="b">
        <v>0</v>
      </c>
      <c r="N941" s="99" t="b">
        <v>0</v>
      </c>
      <c r="O941" s="99" t="b">
        <v>0</v>
      </c>
      <c r="P941" s="99" t="b">
        <v>0</v>
      </c>
      <c r="Q941" s="99" t="b">
        <v>0</v>
      </c>
      <c r="R941" s="14"/>
      <c r="S941" s="14"/>
      <c r="T941" s="14"/>
      <c r="U941" s="14"/>
      <c r="V941" s="14"/>
      <c r="W941" s="14"/>
    </row>
    <row r="942" ht="35.25" customHeight="1">
      <c r="A942" s="92" t="s">
        <v>11516</v>
      </c>
      <c r="B942" s="93" t="s">
        <v>11517</v>
      </c>
      <c r="C942" s="94" t="s">
        <v>11518</v>
      </c>
      <c r="D942" s="95" t="s">
        <v>11519</v>
      </c>
      <c r="E942" s="96" t="str">
        <f>IFERROR(__xludf.DUMMYFUNCTION("GOOGLETRANSLATE(D942,""zh-CN"",""vi"")"),"Công ty đã quyết định đầu tư vào một dự án mới.")</f>
        <v>Công ty đã quyết định đầu tư vào một dự án mới.</v>
      </c>
      <c r="F942" s="101" t="s">
        <v>11516</v>
      </c>
      <c r="G942" s="98" t="b">
        <f t="shared" si="1"/>
        <v>1</v>
      </c>
      <c r="H942" s="99" t="b">
        <v>0</v>
      </c>
      <c r="I942" s="99" t="b">
        <v>0</v>
      </c>
      <c r="J942" s="99" t="b">
        <v>0</v>
      </c>
      <c r="K942" s="99" t="b">
        <v>0</v>
      </c>
      <c r="L942" s="99" t="b">
        <v>0</v>
      </c>
      <c r="M942" s="99" t="b">
        <v>0</v>
      </c>
      <c r="N942" s="99" t="b">
        <v>0</v>
      </c>
      <c r="O942" s="99" t="b">
        <v>0</v>
      </c>
      <c r="P942" s="99" t="b">
        <v>0</v>
      </c>
      <c r="Q942" s="99" t="b">
        <v>0</v>
      </c>
      <c r="R942" s="14"/>
      <c r="S942" s="14"/>
      <c r="T942" s="14"/>
      <c r="U942" s="14"/>
      <c r="V942" s="14"/>
      <c r="W942" s="14"/>
    </row>
    <row r="943" ht="35.25" customHeight="1">
      <c r="A943" s="92" t="s">
        <v>11528</v>
      </c>
      <c r="B943" s="93" t="s">
        <v>11529</v>
      </c>
      <c r="C943" s="94" t="s">
        <v>11530</v>
      </c>
      <c r="D943" s="95" t="s">
        <v>11531</v>
      </c>
      <c r="E943" s="96" t="str">
        <f>IFERROR(__xludf.DUMMYFUNCTION("GOOGLETRANSLATE(D943,""zh-CN"",""vi"")"),"Chất liệu của chiếc áo này rất trong suốt.")</f>
        <v>Chất liệu của chiếc áo này rất trong suốt.</v>
      </c>
      <c r="F943" s="101" t="s">
        <v>11528</v>
      </c>
      <c r="G943" s="98"/>
      <c r="H943" s="99" t="b">
        <v>0</v>
      </c>
      <c r="I943" s="99" t="b">
        <v>0</v>
      </c>
      <c r="J943" s="99" t="b">
        <v>0</v>
      </c>
      <c r="K943" s="99" t="b">
        <v>0</v>
      </c>
      <c r="L943" s="99" t="b">
        <v>0</v>
      </c>
      <c r="M943" s="99" t="b">
        <v>0</v>
      </c>
      <c r="N943" s="99" t="b">
        <v>0</v>
      </c>
      <c r="O943" s="99" t="b">
        <v>0</v>
      </c>
      <c r="P943" s="99" t="b">
        <v>0</v>
      </c>
      <c r="Q943" s="99" t="b">
        <v>0</v>
      </c>
      <c r="R943" s="14"/>
      <c r="S943" s="14"/>
      <c r="T943" s="14"/>
      <c r="U943" s="14"/>
      <c r="V943" s="14"/>
      <c r="W943" s="14"/>
    </row>
    <row r="944" ht="35.25" customHeight="1">
      <c r="A944" s="92" t="s">
        <v>11532</v>
      </c>
      <c r="B944" s="93" t="s">
        <v>11533</v>
      </c>
      <c r="C944" s="94" t="s">
        <v>11534</v>
      </c>
      <c r="D944" s="95" t="s">
        <v>11535</v>
      </c>
      <c r="E944" s="96" t="str">
        <f>IFERROR(__xludf.DUMMYFUNCTION("GOOGLETRANSLATE(D944,""zh-CN"",""vi"")"),"Quan điểm của ông đã được nêu bật trong bài phát biểu.")</f>
        <v>Quan điểm của ông đã được nêu bật trong bài phát biểu.</v>
      </c>
      <c r="F944" s="101" t="s">
        <v>11532</v>
      </c>
      <c r="G944" s="98" t="b">
        <f t="shared" ref="G944:G1296" si="2">EXACT(A944,F944)</f>
        <v>1</v>
      </c>
      <c r="H944" s="99" t="b">
        <v>0</v>
      </c>
      <c r="I944" s="99" t="b">
        <v>0</v>
      </c>
      <c r="J944" s="99" t="b">
        <v>0</v>
      </c>
      <c r="K944" s="99" t="b">
        <v>0</v>
      </c>
      <c r="L944" s="99" t="b">
        <v>0</v>
      </c>
      <c r="M944" s="99" t="b">
        <v>0</v>
      </c>
      <c r="N944" s="99" t="b">
        <v>0</v>
      </c>
      <c r="O944" s="99" t="b">
        <v>0</v>
      </c>
      <c r="P944" s="99" t="b">
        <v>0</v>
      </c>
      <c r="Q944" s="99" t="b">
        <v>0</v>
      </c>
      <c r="R944" s="14"/>
      <c r="S944" s="14"/>
      <c r="T944" s="14"/>
      <c r="U944" s="14"/>
      <c r="V944" s="14"/>
      <c r="W944" s="14"/>
    </row>
    <row r="945" ht="35.25" customHeight="1">
      <c r="A945" s="92" t="s">
        <v>11538</v>
      </c>
      <c r="B945" s="93" t="s">
        <v>11540</v>
      </c>
      <c r="C945" s="94" t="s">
        <v>11542</v>
      </c>
      <c r="D945" s="95" t="s">
        <v>11543</v>
      </c>
      <c r="E945" s="96" t="str">
        <f>IFERROR(__xludf.DUMMYFUNCTION("GOOGLETRANSLATE(D945,""zh-CN"",""vi"")"),"Vùng đất này rất màu mỡ.")</f>
        <v>Vùng đất này rất màu mỡ.</v>
      </c>
      <c r="F945" s="101" t="s">
        <v>11538</v>
      </c>
      <c r="G945" s="98" t="b">
        <f t="shared" si="2"/>
        <v>1</v>
      </c>
      <c r="H945" s="99" t="b">
        <v>0</v>
      </c>
      <c r="I945" s="99" t="b">
        <v>0</v>
      </c>
      <c r="J945" s="99" t="b">
        <v>0</v>
      </c>
      <c r="K945" s="99" t="b">
        <v>0</v>
      </c>
      <c r="L945" s="99" t="b">
        <v>0</v>
      </c>
      <c r="M945" s="99" t="b">
        <v>0</v>
      </c>
      <c r="N945" s="99" t="b">
        <v>0</v>
      </c>
      <c r="O945" s="99" t="b">
        <v>0</v>
      </c>
      <c r="P945" s="99" t="b">
        <v>0</v>
      </c>
      <c r="Q945" s="99" t="b">
        <v>0</v>
      </c>
      <c r="R945" s="14"/>
      <c r="S945" s="14"/>
      <c r="T945" s="14"/>
      <c r="U945" s="14"/>
      <c r="V945" s="14"/>
      <c r="W945" s="14"/>
    </row>
    <row r="946" ht="35.25" customHeight="1">
      <c r="A946" s="92" t="s">
        <v>11548</v>
      </c>
      <c r="B946" s="93" t="s">
        <v>11549</v>
      </c>
      <c r="C946" s="94" t="s">
        <v>11550</v>
      </c>
      <c r="D946" s="95" t="s">
        <v>11551</v>
      </c>
      <c r="E946" s="96" t="str">
        <f>IFERROR(__xludf.DUMMYFUNCTION("GOOGLETRANSLATE(D946,""zh-CN"",""vi"")"),"Anh ấy đã mua rất nhiều khoai tây.")</f>
        <v>Anh ấy đã mua rất nhiều khoai tây.</v>
      </c>
      <c r="F946" s="101" t="s">
        <v>11548</v>
      </c>
      <c r="G946" s="98" t="b">
        <f t="shared" si="2"/>
        <v>1</v>
      </c>
      <c r="H946" s="99" t="b">
        <v>1</v>
      </c>
      <c r="I946" s="99" t="b">
        <v>0</v>
      </c>
      <c r="J946" s="99" t="b">
        <v>0</v>
      </c>
      <c r="K946" s="99" t="b">
        <v>0</v>
      </c>
      <c r="L946" s="99" t="b">
        <v>0</v>
      </c>
      <c r="M946" s="99" t="b">
        <v>0</v>
      </c>
      <c r="N946" s="99" t="b">
        <v>0</v>
      </c>
      <c r="O946" s="99" t="b">
        <v>0</v>
      </c>
      <c r="P946" s="99" t="b">
        <v>0</v>
      </c>
      <c r="Q946" s="99" t="b">
        <v>0</v>
      </c>
      <c r="R946" s="14"/>
      <c r="S946" s="14"/>
      <c r="T946" s="14"/>
      <c r="U946" s="14"/>
      <c r="V946" s="14"/>
      <c r="W946" s="14"/>
    </row>
    <row r="947" ht="35.25" customHeight="1">
      <c r="A947" s="92" t="s">
        <v>11556</v>
      </c>
      <c r="B947" s="93" t="s">
        <v>11558</v>
      </c>
      <c r="C947" s="94" t="s">
        <v>11560</v>
      </c>
      <c r="D947" s="95" t="s">
        <v>11562</v>
      </c>
      <c r="E947" s="96" t="str">
        <f>IFERROR(__xludf.DUMMYFUNCTION("GOOGLETRANSLATE(D947,""zh-CN"",""vi"")"),"Anh ta nôn mửa nhiều lần.")</f>
        <v>Anh ta nôn mửa nhiều lần.</v>
      </c>
      <c r="F947" s="101" t="s">
        <v>11556</v>
      </c>
      <c r="G947" s="98" t="b">
        <f t="shared" si="2"/>
        <v>1</v>
      </c>
      <c r="H947" s="99" t="b">
        <v>1</v>
      </c>
      <c r="I947" s="99" t="b">
        <v>0</v>
      </c>
      <c r="J947" s="99" t="b">
        <v>0</v>
      </c>
      <c r="K947" s="99" t="b">
        <v>0</v>
      </c>
      <c r="L947" s="99" t="b">
        <v>0</v>
      </c>
      <c r="M947" s="99" t="b">
        <v>0</v>
      </c>
      <c r="N947" s="99" t="b">
        <v>0</v>
      </c>
      <c r="O947" s="99" t="b">
        <v>0</v>
      </c>
      <c r="P947" s="99" t="b">
        <v>0</v>
      </c>
      <c r="Q947" s="99" t="b">
        <v>0</v>
      </c>
      <c r="R947" s="14"/>
      <c r="S947" s="14"/>
      <c r="T947" s="14"/>
      <c r="U947" s="14"/>
      <c r="V947" s="14"/>
      <c r="W947" s="14"/>
    </row>
    <row r="948" ht="35.25" customHeight="1">
      <c r="A948" s="92" t="s">
        <v>11568</v>
      </c>
      <c r="B948" s="93" t="s">
        <v>11569</v>
      </c>
      <c r="C948" s="94" t="s">
        <v>11570</v>
      </c>
      <c r="D948" s="95" t="s">
        <v>11571</v>
      </c>
      <c r="E948" s="96" t="str">
        <f>IFERROR(__xludf.DUMMYFUNCTION("GOOGLETRANSLATE(D948,""zh-CN"",""vi"")"),"Con thỏ chạy nhảy trên bãi cỏ.")</f>
        <v>Con thỏ chạy nhảy trên bãi cỏ.</v>
      </c>
      <c r="F948" s="101" t="s">
        <v>11568</v>
      </c>
      <c r="G948" s="98" t="b">
        <f t="shared" si="2"/>
        <v>1</v>
      </c>
      <c r="H948" s="99" t="b">
        <v>1</v>
      </c>
      <c r="I948" s="99" t="b">
        <v>0</v>
      </c>
      <c r="J948" s="99" t="b">
        <v>0</v>
      </c>
      <c r="K948" s="99" t="b">
        <v>0</v>
      </c>
      <c r="L948" s="99" t="b">
        <v>0</v>
      </c>
      <c r="M948" s="99" t="b">
        <v>0</v>
      </c>
      <c r="N948" s="99" t="b">
        <v>0</v>
      </c>
      <c r="O948" s="99" t="b">
        <v>0</v>
      </c>
      <c r="P948" s="99" t="b">
        <v>0</v>
      </c>
      <c r="Q948" s="99" t="b">
        <v>0</v>
      </c>
      <c r="R948" s="14"/>
      <c r="S948" s="14"/>
      <c r="T948" s="14"/>
      <c r="U948" s="14"/>
      <c r="V948" s="14"/>
      <c r="W948" s="14"/>
    </row>
    <row r="949" ht="35.25" customHeight="1">
      <c r="A949" s="92" t="s">
        <v>11578</v>
      </c>
      <c r="B949" s="93" t="s">
        <v>11580</v>
      </c>
      <c r="C949" s="94" t="s">
        <v>11582</v>
      </c>
      <c r="D949" s="95" t="s">
        <v>11583</v>
      </c>
      <c r="E949" s="96" t="str">
        <f>IFERROR(__xludf.DUMMYFUNCTION("GOOGLETRANSLATE(D949,""zh-CN"",""vi"")"),"Đứa bé nhỏ này dễ thương quá!")</f>
        <v>Đứa bé nhỏ này dễ thương quá!</v>
      </c>
      <c r="F949" s="101" t="s">
        <v>11578</v>
      </c>
      <c r="G949" s="98" t="b">
        <f t="shared" si="2"/>
        <v>1</v>
      </c>
      <c r="H949" s="99" t="b">
        <v>1</v>
      </c>
      <c r="I949" s="99" t="b">
        <v>0</v>
      </c>
      <c r="J949" s="99" t="b">
        <v>0</v>
      </c>
      <c r="K949" s="99" t="b">
        <v>0</v>
      </c>
      <c r="L949" s="99" t="b">
        <v>0</v>
      </c>
      <c r="M949" s="99" t="b">
        <v>0</v>
      </c>
      <c r="N949" s="99" t="b">
        <v>0</v>
      </c>
      <c r="O949" s="99" t="b">
        <v>0</v>
      </c>
      <c r="P949" s="99" t="b">
        <v>0</v>
      </c>
      <c r="Q949" s="99" t="b">
        <v>0</v>
      </c>
      <c r="R949" s="14"/>
      <c r="S949" s="14"/>
      <c r="T949" s="14"/>
      <c r="U949" s="14"/>
      <c r="V949" s="14"/>
      <c r="W949" s="14"/>
    </row>
    <row r="950" ht="35.25" customHeight="1">
      <c r="A950" s="92" t="s">
        <v>11588</v>
      </c>
      <c r="B950" s="93" t="s">
        <v>11589</v>
      </c>
      <c r="C950" s="94" t="s">
        <v>2924</v>
      </c>
      <c r="D950" s="95" t="s">
        <v>11590</v>
      </c>
      <c r="E950" s="96" t="str">
        <f>IFERROR(__xludf.DUMMYFUNCTION("GOOGLETRANSLATE(D950,""zh-CN"",""vi"")"),"Ông ấy đã từ chối lời mời của chúng tôi.")</f>
        <v>Ông ấy đã từ chối lời mời của chúng tôi.</v>
      </c>
      <c r="F950" s="101" t="s">
        <v>11588</v>
      </c>
      <c r="G950" s="98" t="b">
        <f t="shared" si="2"/>
        <v>1</v>
      </c>
      <c r="H950" s="99" t="b">
        <v>1</v>
      </c>
      <c r="I950" s="99" t="b">
        <v>0</v>
      </c>
      <c r="J950" s="99" t="b">
        <v>0</v>
      </c>
      <c r="K950" s="99" t="b">
        <v>0</v>
      </c>
      <c r="L950" s="99" t="b">
        <v>0</v>
      </c>
      <c r="M950" s="99" t="b">
        <v>0</v>
      </c>
      <c r="N950" s="99" t="b">
        <v>0</v>
      </c>
      <c r="O950" s="99" t="b">
        <v>0</v>
      </c>
      <c r="P950" s="99" t="b">
        <v>0</v>
      </c>
      <c r="Q950" s="99" t="b">
        <v>0</v>
      </c>
      <c r="R950" s="14"/>
      <c r="S950" s="14"/>
      <c r="T950" s="14"/>
      <c r="U950" s="14"/>
      <c r="V950" s="14"/>
      <c r="W950" s="14"/>
    </row>
    <row r="951" ht="35.25" customHeight="1">
      <c r="A951" s="92" t="s">
        <v>11597</v>
      </c>
      <c r="B951" s="93" t="s">
        <v>11599</v>
      </c>
      <c r="C951" s="94" t="s">
        <v>11601</v>
      </c>
      <c r="D951" s="95" t="s">
        <v>11602</v>
      </c>
      <c r="E951" s="96" t="str">
        <f>IFERROR(__xludf.DUMMYFUNCTION("GOOGLETRANSLATE(D951,""zh-CN"",""vi"")"),"Việc quảng bá sản phẩm này đã rất thành công.")</f>
        <v>Việc quảng bá sản phẩm này đã rất thành công.</v>
      </c>
      <c r="F951" s="101" t="s">
        <v>11597</v>
      </c>
      <c r="G951" s="98" t="b">
        <f t="shared" si="2"/>
        <v>1</v>
      </c>
      <c r="H951" s="99" t="b">
        <v>1</v>
      </c>
      <c r="I951" s="99" t="b">
        <v>0</v>
      </c>
      <c r="J951" s="99" t="b">
        <v>0</v>
      </c>
      <c r="K951" s="99" t="b">
        <v>0</v>
      </c>
      <c r="L951" s="99" t="b">
        <v>0</v>
      </c>
      <c r="M951" s="99" t="b">
        <v>0</v>
      </c>
      <c r="N951" s="99" t="b">
        <v>0</v>
      </c>
      <c r="O951" s="99" t="b">
        <v>0</v>
      </c>
      <c r="P951" s="99" t="b">
        <v>0</v>
      </c>
      <c r="Q951" s="99" t="b">
        <v>0</v>
      </c>
      <c r="R951" s="14"/>
      <c r="S951" s="14"/>
      <c r="T951" s="14"/>
      <c r="U951" s="14"/>
      <c r="V951" s="14"/>
      <c r="W951" s="14"/>
    </row>
    <row r="952" ht="35.25" customHeight="1">
      <c r="A952" s="92" t="s">
        <v>11607</v>
      </c>
      <c r="B952" s="93" t="s">
        <v>11608</v>
      </c>
      <c r="C952" s="102" t="s">
        <v>11609</v>
      </c>
      <c r="D952" s="95" t="s">
        <v>11610</v>
      </c>
      <c r="E952" s="96" t="str">
        <f>IFERROR(__xludf.DUMMYFUNCTION("GOOGLETRANSLATE(D952,""zh-CN"",""vi"")"),"Chúng tôi khuyên bạn nên đọc cuốn sách này.")</f>
        <v>Chúng tôi khuyên bạn nên đọc cuốn sách này.</v>
      </c>
      <c r="F952" s="101" t="s">
        <v>11607</v>
      </c>
      <c r="G952" s="98" t="b">
        <f t="shared" si="2"/>
        <v>1</v>
      </c>
      <c r="H952" s="99" t="b">
        <v>1</v>
      </c>
      <c r="I952" s="99" t="b">
        <v>0</v>
      </c>
      <c r="J952" s="99" t="b">
        <v>0</v>
      </c>
      <c r="K952" s="99" t="b">
        <v>0</v>
      </c>
      <c r="L952" s="99" t="b">
        <v>0</v>
      </c>
      <c r="M952" s="99" t="b">
        <v>0</v>
      </c>
      <c r="N952" s="99" t="b">
        <v>0</v>
      </c>
      <c r="O952" s="99" t="b">
        <v>0</v>
      </c>
      <c r="P952" s="99" t="b">
        <v>0</v>
      </c>
      <c r="Q952" s="99" t="b">
        <v>0</v>
      </c>
      <c r="R952" s="14"/>
      <c r="S952" s="14"/>
      <c r="T952" s="14"/>
      <c r="U952" s="14"/>
      <c r="V952" s="14"/>
      <c r="W952" s="14"/>
    </row>
    <row r="953" ht="35.25" customHeight="1">
      <c r="A953" s="92" t="s">
        <v>11618</v>
      </c>
      <c r="B953" s="93" t="s">
        <v>11619</v>
      </c>
      <c r="C953" s="94" t="s">
        <v>11620</v>
      </c>
      <c r="D953" s="95" t="s">
        <v>11621</v>
      </c>
      <c r="E953" s="96" t="str">
        <f>IFERROR(__xludf.DUMMYFUNCTION("GOOGLETRANSLATE(D953,""zh-CN"",""vi"")"),"Cô ấy quyết định trả lại món hàng.")</f>
        <v>Cô ấy quyết định trả lại món hàng.</v>
      </c>
      <c r="F953" s="101" t="s">
        <v>11618</v>
      </c>
      <c r="G953" s="98" t="b">
        <f t="shared" si="2"/>
        <v>1</v>
      </c>
      <c r="H953" s="99" t="b">
        <v>1</v>
      </c>
      <c r="I953" s="99" t="b">
        <v>0</v>
      </c>
      <c r="J953" s="99" t="b">
        <v>0</v>
      </c>
      <c r="K953" s="99" t="b">
        <v>0</v>
      </c>
      <c r="L953" s="99" t="b">
        <v>0</v>
      </c>
      <c r="M953" s="99" t="b">
        <v>0</v>
      </c>
      <c r="N953" s="99" t="b">
        <v>0</v>
      </c>
      <c r="O953" s="99" t="b">
        <v>0</v>
      </c>
      <c r="P953" s="99" t="b">
        <v>0</v>
      </c>
      <c r="Q953" s="99" t="b">
        <v>0</v>
      </c>
      <c r="R953" s="14"/>
      <c r="S953" s="14"/>
      <c r="T953" s="14"/>
      <c r="U953" s="14"/>
      <c r="V953" s="14"/>
      <c r="W953" s="14"/>
    </row>
    <row r="954" ht="35.25" customHeight="1">
      <c r="A954" s="92" t="s">
        <v>11626</v>
      </c>
      <c r="B954" s="93" t="s">
        <v>11627</v>
      </c>
      <c r="C954" s="94" t="s">
        <v>11628</v>
      </c>
      <c r="D954" s="95" t="s">
        <v>11629</v>
      </c>
      <c r="E954" s="96" t="str">
        <f>IFERROR(__xludf.DUMMYFUNCTION("GOOGLETRANSLATE(D954,""zh-CN"",""vi"")"),"Anh ấy vô tình bị thoái lui về trạng thái trước đó.")</f>
        <v>Anh ấy vô tình bị thoái lui về trạng thái trước đó.</v>
      </c>
      <c r="F954" s="101" t="s">
        <v>11626</v>
      </c>
      <c r="G954" s="98" t="b">
        <f t="shared" si="2"/>
        <v>1</v>
      </c>
      <c r="H954" s="99" t="b">
        <v>1</v>
      </c>
      <c r="I954" s="99" t="b">
        <v>0</v>
      </c>
      <c r="J954" s="99" t="b">
        <v>0</v>
      </c>
      <c r="K954" s="99" t="b">
        <v>0</v>
      </c>
      <c r="L954" s="99" t="b">
        <v>0</v>
      </c>
      <c r="M954" s="99" t="b">
        <v>0</v>
      </c>
      <c r="N954" s="99" t="b">
        <v>0</v>
      </c>
      <c r="O954" s="99" t="b">
        <v>0</v>
      </c>
      <c r="P954" s="99" t="b">
        <v>0</v>
      </c>
      <c r="Q954" s="99" t="b">
        <v>0</v>
      </c>
      <c r="R954" s="14"/>
      <c r="S954" s="14"/>
      <c r="T954" s="14"/>
      <c r="U954" s="14"/>
      <c r="V954" s="14"/>
      <c r="W954" s="14"/>
    </row>
    <row r="955" ht="35.25" customHeight="1">
      <c r="A955" s="92" t="s">
        <v>11638</v>
      </c>
      <c r="B955" s="93" t="s">
        <v>11639</v>
      </c>
      <c r="C955" s="94" t="s">
        <v>11640</v>
      </c>
      <c r="D955" s="95" t="s">
        <v>11641</v>
      </c>
      <c r="E955" s="96" t="str">
        <f>IFERROR(__xludf.DUMMYFUNCTION("GOOGLETRANSLATE(D955,""zh-CN"",""vi"")"),"Ông ấy đã nghỉ hưu rồi.")</f>
        <v>Ông ấy đã nghỉ hưu rồi.</v>
      </c>
      <c r="F955" s="101" t="s">
        <v>11638</v>
      </c>
      <c r="G955" s="98" t="b">
        <f t="shared" si="2"/>
        <v>1</v>
      </c>
      <c r="H955" s="99" t="b">
        <v>1</v>
      </c>
      <c r="I955" s="99" t="b">
        <v>0</v>
      </c>
      <c r="J955" s="99" t="b">
        <v>0</v>
      </c>
      <c r="K955" s="99" t="b">
        <v>0</v>
      </c>
      <c r="L955" s="99" t="b">
        <v>0</v>
      </c>
      <c r="M955" s="99" t="b">
        <v>0</v>
      </c>
      <c r="N955" s="99" t="b">
        <v>0</v>
      </c>
      <c r="O955" s="99" t="b">
        <v>0</v>
      </c>
      <c r="P955" s="99" t="b">
        <v>0</v>
      </c>
      <c r="Q955" s="99" t="b">
        <v>0</v>
      </c>
      <c r="R955" s="14"/>
      <c r="S955" s="14"/>
      <c r="T955" s="14"/>
      <c r="U955" s="14"/>
      <c r="V955" s="14"/>
      <c r="W955" s="14"/>
    </row>
    <row r="956" ht="35.25" customHeight="1">
      <c r="A956" s="92" t="s">
        <v>11644</v>
      </c>
      <c r="B956" s="93" t="s">
        <v>11645</v>
      </c>
      <c r="C956" s="94" t="s">
        <v>11646</v>
      </c>
      <c r="D956" s="95" t="s">
        <v>11647</v>
      </c>
      <c r="E956" s="96" t="str">
        <f>IFERROR(__xludf.DUMMYFUNCTION("GOOGLETRANSLATE(D956,""zh-CN"",""vi"")"),"Anh ta đặt chiếc ghế lệch.")</f>
        <v>Anh ta đặt chiếc ghế lệch.</v>
      </c>
      <c r="F956" s="101" t="s">
        <v>11644</v>
      </c>
      <c r="G956" s="98" t="b">
        <f t="shared" si="2"/>
        <v>1</v>
      </c>
      <c r="H956" s="99" t="b">
        <v>1</v>
      </c>
      <c r="I956" s="99" t="b">
        <v>0</v>
      </c>
      <c r="J956" s="99" t="b">
        <v>0</v>
      </c>
      <c r="K956" s="99" t="b">
        <v>0</v>
      </c>
      <c r="L956" s="99" t="b">
        <v>0</v>
      </c>
      <c r="M956" s="99" t="b">
        <v>0</v>
      </c>
      <c r="N956" s="99" t="b">
        <v>0</v>
      </c>
      <c r="O956" s="99" t="b">
        <v>0</v>
      </c>
      <c r="P956" s="99" t="b">
        <v>0</v>
      </c>
      <c r="Q956" s="99" t="b">
        <v>0</v>
      </c>
      <c r="R956" s="14"/>
      <c r="S956" s="14"/>
      <c r="T956" s="14"/>
      <c r="U956" s="14"/>
      <c r="V956" s="14"/>
      <c r="W956" s="14"/>
    </row>
    <row r="957" ht="35.25" customHeight="1">
      <c r="A957" s="92" t="s">
        <v>11652</v>
      </c>
      <c r="B957" s="93" t="s">
        <v>11653</v>
      </c>
      <c r="C957" s="94" t="s">
        <v>11655</v>
      </c>
      <c r="D957" s="95" t="s">
        <v>11656</v>
      </c>
      <c r="E957" s="96" t="str">
        <f>IFERROR(__xludf.DUMMYFUNCTION("GOOGLETRANSLATE(D957,""zh-CN"",""vi"")"),"Chúng tôi đến nhà ông ngoại tôi chơi.")</f>
        <v>Chúng tôi đến nhà ông ngoại tôi chơi.</v>
      </c>
      <c r="F957" s="101" t="s">
        <v>11652</v>
      </c>
      <c r="G957" s="98" t="b">
        <f t="shared" si="2"/>
        <v>1</v>
      </c>
      <c r="H957" s="99" t="b">
        <v>1</v>
      </c>
      <c r="I957" s="99" t="b">
        <v>0</v>
      </c>
      <c r="J957" s="99" t="b">
        <v>0</v>
      </c>
      <c r="K957" s="99" t="b">
        <v>0</v>
      </c>
      <c r="L957" s="99" t="b">
        <v>0</v>
      </c>
      <c r="M957" s="99" t="b">
        <v>0</v>
      </c>
      <c r="N957" s="99" t="b">
        <v>0</v>
      </c>
      <c r="O957" s="99" t="b">
        <v>0</v>
      </c>
      <c r="P957" s="99" t="b">
        <v>0</v>
      </c>
      <c r="Q957" s="99" t="b">
        <v>0</v>
      </c>
      <c r="R957" s="14"/>
      <c r="S957" s="14"/>
      <c r="T957" s="14"/>
      <c r="U957" s="14"/>
      <c r="V957" s="14"/>
      <c r="W957" s="14"/>
    </row>
    <row r="958" ht="35.25" customHeight="1">
      <c r="A958" s="92" t="s">
        <v>11663</v>
      </c>
      <c r="B958" s="93" t="s">
        <v>11664</v>
      </c>
      <c r="C958" s="94" t="s">
        <v>11665</v>
      </c>
      <c r="D958" s="95" t="s">
        <v>11666</v>
      </c>
      <c r="E958" s="96" t="str">
        <f>IFERROR(__xludf.DUMMYFUNCTION("GOOGLETRANSLATE(D958,""zh-CN"",""vi"")"),"Các nhà ngoại giao phát biểu tại cuộc họp.")</f>
        <v>Các nhà ngoại giao phát biểu tại cuộc họp.</v>
      </c>
      <c r="F958" s="101" t="s">
        <v>11663</v>
      </c>
      <c r="G958" s="98" t="b">
        <f t="shared" si="2"/>
        <v>1</v>
      </c>
      <c r="H958" s="99" t="b">
        <v>1</v>
      </c>
      <c r="I958" s="99" t="b">
        <v>0</v>
      </c>
      <c r="J958" s="99" t="b">
        <v>0</v>
      </c>
      <c r="K958" s="99" t="b">
        <v>0</v>
      </c>
      <c r="L958" s="99" t="b">
        <v>0</v>
      </c>
      <c r="M958" s="99" t="b">
        <v>0</v>
      </c>
      <c r="N958" s="99" t="b">
        <v>0</v>
      </c>
      <c r="O958" s="99" t="b">
        <v>0</v>
      </c>
      <c r="P958" s="99" t="b">
        <v>0</v>
      </c>
      <c r="Q958" s="99" t="b">
        <v>0</v>
      </c>
      <c r="R958" s="14"/>
      <c r="S958" s="14"/>
      <c r="T958" s="14"/>
      <c r="U958" s="14"/>
      <c r="V958" s="14"/>
      <c r="W958" s="14"/>
    </row>
    <row r="959" ht="35.25" customHeight="1">
      <c r="A959" s="92" t="s">
        <v>11671</v>
      </c>
      <c r="B959" s="93" t="s">
        <v>11672</v>
      </c>
      <c r="C959" s="94" t="s">
        <v>11673</v>
      </c>
      <c r="D959" s="95" t="s">
        <v>11674</v>
      </c>
      <c r="E959" s="96" t="str">
        <f>IFERROR(__xludf.DUMMYFUNCTION("GOOGLETRANSLATE(D959,""zh-CN"",""vi"")"),"Bộ phim này thật tuyệt vời.")</f>
        <v>Bộ phim này thật tuyệt vời.</v>
      </c>
      <c r="F959" s="101" t="s">
        <v>11671</v>
      </c>
      <c r="G959" s="98" t="b">
        <f t="shared" si="2"/>
        <v>1</v>
      </c>
      <c r="H959" s="99" t="b">
        <v>1</v>
      </c>
      <c r="I959" s="99" t="b">
        <v>0</v>
      </c>
      <c r="J959" s="99" t="b">
        <v>0</v>
      </c>
      <c r="K959" s="99" t="b">
        <v>0</v>
      </c>
      <c r="L959" s="99" t="b">
        <v>0</v>
      </c>
      <c r="M959" s="99" t="b">
        <v>0</v>
      </c>
      <c r="N959" s="99" t="b">
        <v>0</v>
      </c>
      <c r="O959" s="99" t="b">
        <v>0</v>
      </c>
      <c r="P959" s="99" t="b">
        <v>0</v>
      </c>
      <c r="Q959" s="99" t="b">
        <v>0</v>
      </c>
      <c r="R959" s="14"/>
      <c r="S959" s="14"/>
      <c r="T959" s="14"/>
      <c r="U959" s="14"/>
      <c r="V959" s="14"/>
      <c r="W959" s="14"/>
    </row>
    <row r="960" ht="35.25" customHeight="1">
      <c r="A960" s="92" t="s">
        <v>11683</v>
      </c>
      <c r="B960" s="93" t="s">
        <v>11684</v>
      </c>
      <c r="C960" s="94" t="s">
        <v>11685</v>
      </c>
      <c r="D960" s="95" t="s">
        <v>11686</v>
      </c>
      <c r="E960" s="96" t="str">
        <f>IFERROR(__xludf.DUMMYFUNCTION("GOOGLETRANSLATE(D960,""zh-CN"",""vi"")"),"Chúng ta cần cải thiện kế hoạch này.")</f>
        <v>Chúng ta cần cải thiện kế hoạch này.</v>
      </c>
      <c r="F960" s="101" t="s">
        <v>11683</v>
      </c>
      <c r="G960" s="98" t="b">
        <f t="shared" si="2"/>
        <v>1</v>
      </c>
      <c r="H960" s="99" t="b">
        <v>1</v>
      </c>
      <c r="I960" s="99" t="b">
        <v>0</v>
      </c>
      <c r="J960" s="99" t="b">
        <v>0</v>
      </c>
      <c r="K960" s="99" t="b">
        <v>0</v>
      </c>
      <c r="L960" s="99" t="b">
        <v>0</v>
      </c>
      <c r="M960" s="99" t="b">
        <v>0</v>
      </c>
      <c r="N960" s="99" t="b">
        <v>0</v>
      </c>
      <c r="O960" s="99" t="b">
        <v>0</v>
      </c>
      <c r="P960" s="99" t="b">
        <v>0</v>
      </c>
      <c r="Q960" s="99" t="b">
        <v>0</v>
      </c>
      <c r="R960" s="14"/>
      <c r="S960" s="14"/>
      <c r="T960" s="14"/>
      <c r="U960" s="14"/>
      <c r="V960" s="14"/>
      <c r="W960" s="14"/>
    </row>
    <row r="961" ht="35.25" customHeight="1">
      <c r="A961" s="92" t="s">
        <v>11691</v>
      </c>
      <c r="B961" s="93" t="s">
        <v>11692</v>
      </c>
      <c r="C961" s="94" t="s">
        <v>11693</v>
      </c>
      <c r="D961" s="95" t="s">
        <v>11695</v>
      </c>
      <c r="E961" s="96" t="str">
        <f>IFERROR(__xludf.DUMMYFUNCTION("GOOGLETRANSLATE(D961,""zh-CN"",""vi"")"),"Cuốn sách này rất đầy đủ.")</f>
        <v>Cuốn sách này rất đầy đủ.</v>
      </c>
      <c r="F961" s="101" t="s">
        <v>11691</v>
      </c>
      <c r="G961" s="98" t="b">
        <f t="shared" si="2"/>
        <v>1</v>
      </c>
      <c r="H961" s="99" t="b">
        <v>1</v>
      </c>
      <c r="I961" s="99" t="b">
        <v>0</v>
      </c>
      <c r="J961" s="99" t="b">
        <v>0</v>
      </c>
      <c r="K961" s="99" t="b">
        <v>0</v>
      </c>
      <c r="L961" s="99" t="b">
        <v>0</v>
      </c>
      <c r="M961" s="99" t="b">
        <v>0</v>
      </c>
      <c r="N961" s="99" t="b">
        <v>0</v>
      </c>
      <c r="O961" s="99" t="b">
        <v>0</v>
      </c>
      <c r="P961" s="99" t="b">
        <v>0</v>
      </c>
      <c r="Q961" s="99" t="b">
        <v>0</v>
      </c>
      <c r="R961" s="14"/>
      <c r="S961" s="14"/>
      <c r="T961" s="14"/>
      <c r="U961" s="14"/>
      <c r="V961" s="14"/>
      <c r="W961" s="14"/>
    </row>
    <row r="962" ht="35.25" customHeight="1">
      <c r="A962" s="92" t="s">
        <v>11703</v>
      </c>
      <c r="B962" s="93" t="s">
        <v>11704</v>
      </c>
      <c r="C962" s="94" t="s">
        <v>11705</v>
      </c>
      <c r="D962" s="95" t="s">
        <v>11706</v>
      </c>
      <c r="E962" s="96" t="str">
        <f>IFERROR(__xludf.DUMMYFUNCTION("GOOGLETRANSLATE(D962,""zh-CN"",""vi"")"),"Trẻ em rất thích đồ chơi.")</f>
        <v>Trẻ em rất thích đồ chơi.</v>
      </c>
      <c r="F962" s="101" t="s">
        <v>11703</v>
      </c>
      <c r="G962" s="98" t="b">
        <f t="shared" si="2"/>
        <v>1</v>
      </c>
      <c r="H962" s="99" t="b">
        <v>1</v>
      </c>
      <c r="I962" s="99" t="b">
        <v>0</v>
      </c>
      <c r="J962" s="99" t="b">
        <v>0</v>
      </c>
      <c r="K962" s="99" t="b">
        <v>0</v>
      </c>
      <c r="L962" s="99" t="b">
        <v>0</v>
      </c>
      <c r="M962" s="99" t="b">
        <v>0</v>
      </c>
      <c r="N962" s="99" t="b">
        <v>0</v>
      </c>
      <c r="O962" s="99" t="b">
        <v>0</v>
      </c>
      <c r="P962" s="99" t="b">
        <v>0</v>
      </c>
      <c r="Q962" s="99" t="b">
        <v>0</v>
      </c>
      <c r="R962" s="14"/>
      <c r="S962" s="14"/>
      <c r="T962" s="14"/>
      <c r="U962" s="14"/>
      <c r="V962" s="14"/>
      <c r="W962" s="14"/>
    </row>
    <row r="963" ht="35.25" customHeight="1">
      <c r="A963" s="92" t="s">
        <v>11711</v>
      </c>
      <c r="B963" s="93" t="s">
        <v>11712</v>
      </c>
      <c r="C963" s="94" t="s">
        <v>11713</v>
      </c>
      <c r="D963" s="95" t="s">
        <v>11716</v>
      </c>
      <c r="E963" s="96" t="str">
        <f>IFERROR(__xludf.DUMMYFUNCTION("GOOGLETRANSLATE(D963,""zh-CN"",""vi"")"),"Nếu gặp khó khăn, chúng ta có thể tìm kiếm sự giúp đỡ.")</f>
        <v>Nếu gặp khó khăn, chúng ta có thể tìm kiếm sự giúp đỡ.</v>
      </c>
      <c r="F963" s="101" t="s">
        <v>11711</v>
      </c>
      <c r="G963" s="98" t="b">
        <f t="shared" si="2"/>
        <v>1</v>
      </c>
      <c r="H963" s="99" t="b">
        <v>1</v>
      </c>
      <c r="I963" s="99" t="b">
        <v>0</v>
      </c>
      <c r="J963" s="99" t="b">
        <v>0</v>
      </c>
      <c r="K963" s="99" t="b">
        <v>0</v>
      </c>
      <c r="L963" s="99" t="b">
        <v>0</v>
      </c>
      <c r="M963" s="99" t="b">
        <v>0</v>
      </c>
      <c r="N963" s="99" t="b">
        <v>0</v>
      </c>
      <c r="O963" s="99" t="b">
        <v>0</v>
      </c>
      <c r="P963" s="99" t="b">
        <v>0</v>
      </c>
      <c r="Q963" s="99" t="b">
        <v>0</v>
      </c>
      <c r="R963" s="14"/>
      <c r="S963" s="14"/>
      <c r="T963" s="14"/>
      <c r="U963" s="14"/>
      <c r="V963" s="14"/>
      <c r="W963" s="14"/>
    </row>
    <row r="964" ht="35.25" customHeight="1">
      <c r="A964" s="92" t="s">
        <v>11719</v>
      </c>
      <c r="B964" s="93" t="s">
        <v>11721</v>
      </c>
      <c r="C964" s="94" t="s">
        <v>11723</v>
      </c>
      <c r="D964" s="95" t="s">
        <v>11725</v>
      </c>
      <c r="E964" s="96" t="str">
        <f>IFERROR(__xludf.DUMMYFUNCTION("GOOGLETRANSLATE(D964,""zh-CN"",""vi"")"),"Hoàng tử sống trong một lâu đài.")</f>
        <v>Hoàng tử sống trong một lâu đài.</v>
      </c>
      <c r="F964" s="101" t="s">
        <v>11719</v>
      </c>
      <c r="G964" s="98" t="b">
        <f t="shared" si="2"/>
        <v>1</v>
      </c>
      <c r="H964" s="99" t="b">
        <v>1</v>
      </c>
      <c r="I964" s="99" t="b">
        <v>0</v>
      </c>
      <c r="J964" s="99" t="b">
        <v>0</v>
      </c>
      <c r="K964" s="99" t="b">
        <v>0</v>
      </c>
      <c r="L964" s="99" t="b">
        <v>0</v>
      </c>
      <c r="M964" s="99" t="b">
        <v>0</v>
      </c>
      <c r="N964" s="99" t="b">
        <v>0</v>
      </c>
      <c r="O964" s="99" t="b">
        <v>0</v>
      </c>
      <c r="P964" s="99" t="b">
        <v>0</v>
      </c>
      <c r="Q964" s="99" t="b">
        <v>0</v>
      </c>
      <c r="R964" s="14"/>
      <c r="S964" s="14"/>
      <c r="T964" s="14"/>
      <c r="U964" s="14"/>
      <c r="V964" s="14"/>
      <c r="W964" s="14"/>
    </row>
    <row r="965" ht="35.25" customHeight="1">
      <c r="A965" s="92" t="s">
        <v>11730</v>
      </c>
      <c r="B965" s="93" t="s">
        <v>11731</v>
      </c>
      <c r="C965" s="94" t="s">
        <v>2148</v>
      </c>
      <c r="D965" s="95" t="s">
        <v>11732</v>
      </c>
      <c r="E965" s="96" t="str">
        <f>IFERROR(__xludf.DUMMYFUNCTION("GOOGLETRANSLATE(D965,""zh-CN"",""vi"")"),"Internet giúp việc giao tiếp trở nên thuận tiện hơn.")</f>
        <v>Internet giúp việc giao tiếp trở nên thuận tiện hơn.</v>
      </c>
      <c r="F965" s="101" t="s">
        <v>11730</v>
      </c>
      <c r="G965" s="98" t="b">
        <f t="shared" si="2"/>
        <v>1</v>
      </c>
      <c r="H965" s="99" t="b">
        <v>1</v>
      </c>
      <c r="I965" s="99" t="b">
        <v>0</v>
      </c>
      <c r="J965" s="99" t="b">
        <v>0</v>
      </c>
      <c r="K965" s="99" t="b">
        <v>0</v>
      </c>
      <c r="L965" s="99" t="b">
        <v>0</v>
      </c>
      <c r="M965" s="99" t="b">
        <v>0</v>
      </c>
      <c r="N965" s="99" t="b">
        <v>0</v>
      </c>
      <c r="O965" s="99" t="b">
        <v>0</v>
      </c>
      <c r="P965" s="99" t="b">
        <v>0</v>
      </c>
      <c r="Q965" s="99" t="b">
        <v>0</v>
      </c>
      <c r="R965" s="14"/>
      <c r="S965" s="14"/>
      <c r="T965" s="14"/>
      <c r="U965" s="14"/>
      <c r="V965" s="14"/>
      <c r="W965" s="14"/>
    </row>
    <row r="966" ht="35.25" customHeight="1">
      <c r="A966" s="92" t="s">
        <v>11737</v>
      </c>
      <c r="B966" s="93" t="s">
        <v>11738</v>
      </c>
      <c r="C966" s="94" t="s">
        <v>11739</v>
      </c>
      <c r="D966" s="95" t="s">
        <v>11740</v>
      </c>
      <c r="E966" s="96" t="str">
        <f>IFERROR(__xludf.DUMMYFUNCTION("GOOGLETRANSLATE(D966,""zh-CN"",""vi"")"),"Ông ấy đi lại giữa hai thành phố mỗi ngày.")</f>
        <v>Ông ấy đi lại giữa hai thành phố mỗi ngày.</v>
      </c>
      <c r="F966" s="101" t="s">
        <v>11737</v>
      </c>
      <c r="G966" s="98" t="b">
        <f t="shared" si="2"/>
        <v>1</v>
      </c>
      <c r="H966" s="99" t="b">
        <v>1</v>
      </c>
      <c r="I966" s="99" t="b">
        <v>0</v>
      </c>
      <c r="J966" s="99" t="b">
        <v>0</v>
      </c>
      <c r="K966" s="99" t="b">
        <v>0</v>
      </c>
      <c r="L966" s="99" t="b">
        <v>0</v>
      </c>
      <c r="M966" s="99" t="b">
        <v>0</v>
      </c>
      <c r="N966" s="99" t="b">
        <v>0</v>
      </c>
      <c r="O966" s="99" t="b">
        <v>0</v>
      </c>
      <c r="P966" s="99" t="b">
        <v>0</v>
      </c>
      <c r="Q966" s="99" t="b">
        <v>0</v>
      </c>
      <c r="R966" s="14"/>
      <c r="S966" s="14"/>
      <c r="T966" s="14"/>
      <c r="U966" s="14"/>
      <c r="V966" s="14"/>
      <c r="W966" s="14"/>
    </row>
    <row r="967" ht="35.25" customHeight="1">
      <c r="A967" s="92" t="s">
        <v>11744</v>
      </c>
      <c r="B967" s="93" t="s">
        <v>11745</v>
      </c>
      <c r="C967" s="94" t="s">
        <v>11746</v>
      </c>
      <c r="D967" s="95" t="s">
        <v>11747</v>
      </c>
      <c r="E967" s="96" t="str">
        <f>IFERROR(__xludf.DUMMYFUNCTION("GOOGLETRANSLATE(D967,""zh-CN"",""vi"")"),"Hút thuốc lá có hại cho sức khỏe.")</f>
        <v>Hút thuốc lá có hại cho sức khỏe.</v>
      </c>
      <c r="F967" s="101" t="s">
        <v>11744</v>
      </c>
      <c r="G967" s="98" t="b">
        <f t="shared" si="2"/>
        <v>1</v>
      </c>
      <c r="H967" s="99" t="b">
        <v>1</v>
      </c>
      <c r="I967" s="99" t="b">
        <v>0</v>
      </c>
      <c r="J967" s="99" t="b">
        <v>0</v>
      </c>
      <c r="K967" s="99" t="b">
        <v>0</v>
      </c>
      <c r="L967" s="99" t="b">
        <v>0</v>
      </c>
      <c r="M967" s="99" t="b">
        <v>0</v>
      </c>
      <c r="N967" s="99" t="b">
        <v>0</v>
      </c>
      <c r="O967" s="99" t="b">
        <v>0</v>
      </c>
      <c r="P967" s="99" t="b">
        <v>0</v>
      </c>
      <c r="Q967" s="99" t="b">
        <v>0</v>
      </c>
      <c r="R967" s="14"/>
      <c r="S967" s="14"/>
      <c r="T967" s="14"/>
      <c r="U967" s="14"/>
      <c r="V967" s="14"/>
      <c r="W967" s="14"/>
    </row>
    <row r="968" ht="35.25" customHeight="1">
      <c r="A968" s="92" t="s">
        <v>11752</v>
      </c>
      <c r="B968" s="93" t="s">
        <v>11753</v>
      </c>
      <c r="C968" s="94" t="s">
        <v>11754</v>
      </c>
      <c r="D968" s="95" t="s">
        <v>11755</v>
      </c>
      <c r="E968" s="96" t="str">
        <f>IFERROR(__xludf.DUMMYFUNCTION("GOOGLETRANSLATE(D968,""zh-CN"",""vi"")"),"Hành động của anh ta gây ra mối đe dọa cho chúng ta.")</f>
        <v>Hành động của anh ta gây ra mối đe dọa cho chúng ta.</v>
      </c>
      <c r="F968" s="101" t="s">
        <v>11752</v>
      </c>
      <c r="G968" s="98" t="b">
        <f t="shared" si="2"/>
        <v>1</v>
      </c>
      <c r="H968" s="99" t="b">
        <v>1</v>
      </c>
      <c r="I968" s="99" t="b">
        <v>0</v>
      </c>
      <c r="J968" s="99" t="b">
        <v>0</v>
      </c>
      <c r="K968" s="99" t="b">
        <v>0</v>
      </c>
      <c r="L968" s="99" t="b">
        <v>0</v>
      </c>
      <c r="M968" s="99" t="b">
        <v>0</v>
      </c>
      <c r="N968" s="99" t="b">
        <v>0</v>
      </c>
      <c r="O968" s="99" t="b">
        <v>0</v>
      </c>
      <c r="P968" s="99" t="b">
        <v>0</v>
      </c>
      <c r="Q968" s="99" t="b">
        <v>0</v>
      </c>
      <c r="R968" s="14"/>
      <c r="S968" s="14"/>
      <c r="T968" s="14"/>
      <c r="U968" s="14"/>
      <c r="V968" s="14"/>
      <c r="W968" s="14"/>
    </row>
    <row r="969" ht="35.25" customHeight="1">
      <c r="A969" s="92" t="s">
        <v>11764</v>
      </c>
      <c r="B969" s="93" t="s">
        <v>11765</v>
      </c>
      <c r="C969" s="94" t="s">
        <v>11766</v>
      </c>
      <c r="D969" s="95" t="s">
        <v>11767</v>
      </c>
      <c r="E969" s="96" t="str">
        <f>IFERROR(__xludf.DUMMYFUNCTION("GOOGLETRANSLATE(D969,""zh-CN"",""vi"")"),"Cô ấy mỉm cười với tôi.")</f>
        <v>Cô ấy mỉm cười với tôi.</v>
      </c>
      <c r="F969" s="101" t="s">
        <v>11764</v>
      </c>
      <c r="G969" s="98" t="b">
        <f t="shared" si="2"/>
        <v>1</v>
      </c>
      <c r="H969" s="99" t="b">
        <v>1</v>
      </c>
      <c r="I969" s="99" t="b">
        <v>0</v>
      </c>
      <c r="J969" s="99" t="b">
        <v>0</v>
      </c>
      <c r="K969" s="99" t="b">
        <v>0</v>
      </c>
      <c r="L969" s="99" t="b">
        <v>0</v>
      </c>
      <c r="M969" s="99" t="b">
        <v>0</v>
      </c>
      <c r="N969" s="99" t="b">
        <v>0</v>
      </c>
      <c r="O969" s="99" t="b">
        <v>0</v>
      </c>
      <c r="P969" s="99" t="b">
        <v>0</v>
      </c>
      <c r="Q969" s="99" t="b">
        <v>0</v>
      </c>
      <c r="R969" s="14"/>
      <c r="S969" s="14"/>
      <c r="T969" s="14"/>
      <c r="U969" s="14"/>
      <c r="V969" s="14"/>
      <c r="W969" s="14"/>
    </row>
    <row r="970" ht="35.25" customHeight="1">
      <c r="A970" s="92" t="s">
        <v>11772</v>
      </c>
      <c r="B970" s="93" t="s">
        <v>11773</v>
      </c>
      <c r="C970" s="94" t="s">
        <v>11774</v>
      </c>
      <c r="D970" s="95" t="s">
        <v>11775</v>
      </c>
      <c r="E970" s="96" t="str">
        <f>IFERROR(__xludf.DUMMYFUNCTION("GOOGLETRANSLATE(D970,""zh-CN"",""vi"")"),"Họ đã vi phạm luật.")</f>
        <v>Họ đã vi phạm luật.</v>
      </c>
      <c r="F970" s="101" t="s">
        <v>11772</v>
      </c>
      <c r="G970" s="98" t="b">
        <f t="shared" si="2"/>
        <v>1</v>
      </c>
      <c r="H970" s="99" t="b">
        <v>1</v>
      </c>
      <c r="I970" s="99" t="b">
        <v>0</v>
      </c>
      <c r="J970" s="99" t="b">
        <v>0</v>
      </c>
      <c r="K970" s="99" t="b">
        <v>0</v>
      </c>
      <c r="L970" s="99" t="b">
        <v>0</v>
      </c>
      <c r="M970" s="99" t="b">
        <v>0</v>
      </c>
      <c r="N970" s="99" t="b">
        <v>0</v>
      </c>
      <c r="O970" s="99" t="b">
        <v>0</v>
      </c>
      <c r="P970" s="99" t="b">
        <v>0</v>
      </c>
      <c r="Q970" s="99" t="b">
        <v>0</v>
      </c>
      <c r="R970" s="14"/>
      <c r="S970" s="14"/>
      <c r="T970" s="14"/>
      <c r="U970" s="14"/>
      <c r="V970" s="14"/>
      <c r="W970" s="14"/>
    </row>
    <row r="971" ht="35.25" customHeight="1">
      <c r="A971" s="92" t="s">
        <v>11780</v>
      </c>
      <c r="B971" s="93" t="s">
        <v>11781</v>
      </c>
      <c r="C971" s="94" t="s">
        <v>11782</v>
      </c>
      <c r="D971" s="95" t="s">
        <v>11783</v>
      </c>
      <c r="E971" s="96" t="str">
        <f>IFERROR(__xludf.DUMMYFUNCTION("GOOGLETRANSLATE(D971,""zh-CN"",""vi"")"),"Cô ấy đang quàng một chiếc khăn rất đẹp.")</f>
        <v>Cô ấy đang quàng một chiếc khăn rất đẹp.</v>
      </c>
      <c r="F971" s="101" t="s">
        <v>11780</v>
      </c>
      <c r="G971" s="98" t="b">
        <f t="shared" si="2"/>
        <v>1</v>
      </c>
      <c r="H971" s="99" t="b">
        <v>1</v>
      </c>
      <c r="I971" s="99" t="b">
        <v>0</v>
      </c>
      <c r="J971" s="99" t="b">
        <v>0</v>
      </c>
      <c r="K971" s="99" t="b">
        <v>0</v>
      </c>
      <c r="L971" s="99" t="b">
        <v>0</v>
      </c>
      <c r="M971" s="99" t="b">
        <v>0</v>
      </c>
      <c r="N971" s="99" t="b">
        <v>0</v>
      </c>
      <c r="O971" s="99" t="b">
        <v>0</v>
      </c>
      <c r="P971" s="99" t="b">
        <v>0</v>
      </c>
      <c r="Q971" s="99" t="b">
        <v>0</v>
      </c>
      <c r="R971" s="14"/>
      <c r="S971" s="14"/>
      <c r="T971" s="14"/>
      <c r="U971" s="14"/>
      <c r="V971" s="14"/>
      <c r="W971" s="14"/>
    </row>
    <row r="972" ht="35.25" customHeight="1">
      <c r="A972" s="92" t="s">
        <v>11788</v>
      </c>
      <c r="B972" s="93" t="s">
        <v>11789</v>
      </c>
      <c r="C972" s="94" t="s">
        <v>11791</v>
      </c>
      <c r="D972" s="95" t="s">
        <v>11793</v>
      </c>
      <c r="E972" s="96" t="str">
        <f>IFERROR(__xludf.DUMMYFUNCTION("GOOGLETRANSLATE(D972,""zh-CN"",""vi"")"),"Chúng tôi đã thảo luận vấn đề này rất lâu.")</f>
        <v>Chúng tôi đã thảo luận vấn đề này rất lâu.</v>
      </c>
      <c r="F972" s="101" t="s">
        <v>11788</v>
      </c>
      <c r="G972" s="98" t="b">
        <f t="shared" si="2"/>
        <v>1</v>
      </c>
      <c r="H972" s="99" t="b">
        <v>1</v>
      </c>
      <c r="I972" s="99" t="b">
        <v>0</v>
      </c>
      <c r="J972" s="99" t="b">
        <v>0</v>
      </c>
      <c r="K972" s="99" t="b">
        <v>0</v>
      </c>
      <c r="L972" s="99" t="b">
        <v>0</v>
      </c>
      <c r="M972" s="99" t="b">
        <v>0</v>
      </c>
      <c r="N972" s="99" t="b">
        <v>0</v>
      </c>
      <c r="O972" s="99" t="b">
        <v>0</v>
      </c>
      <c r="P972" s="99" t="b">
        <v>0</v>
      </c>
      <c r="Q972" s="99" t="b">
        <v>0</v>
      </c>
      <c r="R972" s="14"/>
      <c r="S972" s="14"/>
      <c r="T972" s="14"/>
      <c r="U972" s="14"/>
      <c r="V972" s="14"/>
      <c r="W972" s="14"/>
    </row>
    <row r="973" ht="35.25" customHeight="1">
      <c r="A973" s="92" t="s">
        <v>11800</v>
      </c>
      <c r="B973" s="93" t="s">
        <v>11801</v>
      </c>
      <c r="C973" s="94" t="s">
        <v>11802</v>
      </c>
      <c r="D973" s="95" t="s">
        <v>11803</v>
      </c>
      <c r="E973" s="96" t="str">
        <f>IFERROR(__xludf.DUMMYFUNCTION("GOOGLETRANSLATE(D973,""zh-CN"",""vi"")"),"Đây là cơ hội duy nhất của tôi.")</f>
        <v>Đây là cơ hội duy nhất của tôi.</v>
      </c>
      <c r="F973" s="101" t="s">
        <v>11800</v>
      </c>
      <c r="G973" s="98" t="b">
        <f t="shared" si="2"/>
        <v>1</v>
      </c>
      <c r="H973" s="99" t="b">
        <v>1</v>
      </c>
      <c r="I973" s="99" t="b">
        <v>0</v>
      </c>
      <c r="J973" s="99" t="b">
        <v>0</v>
      </c>
      <c r="K973" s="99" t="b">
        <v>0</v>
      </c>
      <c r="L973" s="99" t="b">
        <v>0</v>
      </c>
      <c r="M973" s="99" t="b">
        <v>0</v>
      </c>
      <c r="N973" s="99" t="b">
        <v>0</v>
      </c>
      <c r="O973" s="99" t="b">
        <v>0</v>
      </c>
      <c r="P973" s="99" t="b">
        <v>0</v>
      </c>
      <c r="Q973" s="99" t="b">
        <v>0</v>
      </c>
      <c r="R973" s="14"/>
      <c r="S973" s="14"/>
      <c r="T973" s="14"/>
      <c r="U973" s="14"/>
      <c r="V973" s="14"/>
      <c r="W973" s="14"/>
    </row>
    <row r="974" ht="35.25" customHeight="1">
      <c r="A974" s="92" t="s">
        <v>11808</v>
      </c>
      <c r="B974" s="93" t="s">
        <v>11809</v>
      </c>
      <c r="C974" s="94" t="s">
        <v>4214</v>
      </c>
      <c r="D974" s="95" t="s">
        <v>11810</v>
      </c>
      <c r="E974" s="96" t="str">
        <f>IFERROR(__xludf.DUMMYFUNCTION("GOOGLETRANSLATE(D974,""zh-CN"",""vi"")"),"Máy này cần sửa chữa.")</f>
        <v>Máy này cần sửa chữa.</v>
      </c>
      <c r="F974" s="101" t="s">
        <v>11808</v>
      </c>
      <c r="G974" s="98" t="b">
        <f t="shared" si="2"/>
        <v>1</v>
      </c>
      <c r="H974" s="99" t="b">
        <v>1</v>
      </c>
      <c r="I974" s="99" t="b">
        <v>0</v>
      </c>
      <c r="J974" s="99" t="b">
        <v>0</v>
      </c>
      <c r="K974" s="99" t="b">
        <v>0</v>
      </c>
      <c r="L974" s="99" t="b">
        <v>0</v>
      </c>
      <c r="M974" s="99" t="b">
        <v>0</v>
      </c>
      <c r="N974" s="99" t="b">
        <v>0</v>
      </c>
      <c r="O974" s="99" t="b">
        <v>0</v>
      </c>
      <c r="P974" s="99" t="b">
        <v>0</v>
      </c>
      <c r="Q974" s="99" t="b">
        <v>0</v>
      </c>
      <c r="R974" s="14"/>
      <c r="S974" s="14"/>
      <c r="T974" s="14"/>
      <c r="U974" s="14"/>
      <c r="V974" s="14"/>
      <c r="W974" s="14"/>
    </row>
    <row r="975" ht="35.25" customHeight="1">
      <c r="A975" s="92" t="s">
        <v>11817</v>
      </c>
      <c r="B975" s="93" t="s">
        <v>11820</v>
      </c>
      <c r="C975" s="94" t="s">
        <v>11821</v>
      </c>
      <c r="D975" s="95" t="s">
        <v>11822</v>
      </c>
      <c r="E975" s="96" t="str">
        <f>IFERROR(__xludf.DUMMYFUNCTION("GOOGLETRANSLATE(D975,""zh-CN"",""vi"")"),"Ông ấy là một nhà khoa học vĩ đại.")</f>
        <v>Ông ấy là một nhà khoa học vĩ đại.</v>
      </c>
      <c r="F975" s="101" t="s">
        <v>11817</v>
      </c>
      <c r="G975" s="98" t="b">
        <f t="shared" si="2"/>
        <v>1</v>
      </c>
      <c r="H975" s="99" t="b">
        <v>1</v>
      </c>
      <c r="I975" s="99" t="b">
        <v>0</v>
      </c>
      <c r="J975" s="99" t="b">
        <v>0</v>
      </c>
      <c r="K975" s="99" t="b">
        <v>0</v>
      </c>
      <c r="L975" s="99" t="b">
        <v>0</v>
      </c>
      <c r="M975" s="99" t="b">
        <v>0</v>
      </c>
      <c r="N975" s="99" t="b">
        <v>0</v>
      </c>
      <c r="O975" s="99" t="b">
        <v>0</v>
      </c>
      <c r="P975" s="99" t="b">
        <v>0</v>
      </c>
      <c r="Q975" s="99" t="b">
        <v>0</v>
      </c>
      <c r="R975" s="14"/>
      <c r="S975" s="14"/>
      <c r="T975" s="14"/>
      <c r="U975" s="14"/>
      <c r="V975" s="14"/>
      <c r="W975" s="14"/>
    </row>
    <row r="976" ht="35.25" customHeight="1">
      <c r="A976" s="92" t="s">
        <v>11827</v>
      </c>
      <c r="B976" s="93" t="s">
        <v>11828</v>
      </c>
      <c r="C976" s="94" t="s">
        <v>11829</v>
      </c>
      <c r="D976" s="95" t="s">
        <v>11830</v>
      </c>
      <c r="E976" s="96" t="str">
        <f>IFERROR(__xludf.DUMMYFUNCTION("GOOGLETRANSLATE(D976,""zh-CN"",""vi"")"),"Đuôi của chú cún con vẫy rất nhanh.")</f>
        <v>Đuôi của chú cún con vẫy rất nhanh.</v>
      </c>
      <c r="F976" s="101" t="s">
        <v>11827</v>
      </c>
      <c r="G976" s="98" t="b">
        <f t="shared" si="2"/>
        <v>1</v>
      </c>
      <c r="H976" s="99" t="b">
        <v>1</v>
      </c>
      <c r="I976" s="99" t="b">
        <v>0</v>
      </c>
      <c r="J976" s="99" t="b">
        <v>0</v>
      </c>
      <c r="K976" s="99" t="b">
        <v>0</v>
      </c>
      <c r="L976" s="99" t="b">
        <v>0</v>
      </c>
      <c r="M976" s="99" t="b">
        <v>0</v>
      </c>
      <c r="N976" s="99" t="b">
        <v>0</v>
      </c>
      <c r="O976" s="99" t="b">
        <v>0</v>
      </c>
      <c r="P976" s="99" t="b">
        <v>0</v>
      </c>
      <c r="Q976" s="99" t="b">
        <v>0</v>
      </c>
      <c r="R976" s="14"/>
      <c r="S976" s="14"/>
      <c r="T976" s="14"/>
      <c r="U976" s="14"/>
      <c r="V976" s="14"/>
      <c r="W976" s="14"/>
    </row>
    <row r="977" ht="35.25" customHeight="1">
      <c r="A977" s="92" t="s">
        <v>11835</v>
      </c>
      <c r="B977" s="93" t="s">
        <v>11836</v>
      </c>
      <c r="C977" s="94" t="s">
        <v>11837</v>
      </c>
      <c r="D977" s="95" t="s">
        <v>11839</v>
      </c>
      <c r="E977" s="96" t="str">
        <f>IFERROR(__xludf.DUMMYFUNCTION("GOOGLETRANSLATE(D977,""zh-CN"",""vi"")"),"Anh ấy cảm thấy mình bị đối xử bất công.")</f>
        <v>Anh ấy cảm thấy mình bị đối xử bất công.</v>
      </c>
      <c r="F977" s="101" t="s">
        <v>11835</v>
      </c>
      <c r="G977" s="98" t="b">
        <f t="shared" si="2"/>
        <v>1</v>
      </c>
      <c r="H977" s="99" t="b">
        <v>1</v>
      </c>
      <c r="I977" s="99" t="b">
        <v>0</v>
      </c>
      <c r="J977" s="99" t="b">
        <v>0</v>
      </c>
      <c r="K977" s="99" t="b">
        <v>0</v>
      </c>
      <c r="L977" s="99" t="b">
        <v>0</v>
      </c>
      <c r="M977" s="99" t="b">
        <v>0</v>
      </c>
      <c r="N977" s="99" t="b">
        <v>0</v>
      </c>
      <c r="O977" s="99" t="b">
        <v>0</v>
      </c>
      <c r="P977" s="99" t="b">
        <v>0</v>
      </c>
      <c r="Q977" s="99" t="b">
        <v>0</v>
      </c>
      <c r="R977" s="14"/>
      <c r="S977" s="14"/>
      <c r="T977" s="14"/>
      <c r="U977" s="14"/>
      <c r="V977" s="14"/>
      <c r="W977" s="14"/>
    </row>
    <row r="978" ht="35.25" customHeight="1">
      <c r="A978" s="92" t="s">
        <v>11843</v>
      </c>
      <c r="B978" s="93" t="s">
        <v>11844</v>
      </c>
      <c r="C978" s="94" t="s">
        <v>4870</v>
      </c>
      <c r="D978" s="95" t="s">
        <v>11846</v>
      </c>
      <c r="E978" s="96" t="str">
        <f>IFERROR(__xludf.DUMMYFUNCTION("GOOGLETRANSLATE(D978,""zh-CN"",""vi"")"),"Có lẽ đây không phải là một ý kiến ​​hay.")</f>
        <v>Có lẽ đây không phải là một ý kiến ​​hay.</v>
      </c>
      <c r="F978" s="101" t="s">
        <v>11843</v>
      </c>
      <c r="G978" s="98" t="b">
        <f t="shared" si="2"/>
        <v>1</v>
      </c>
      <c r="H978" s="99" t="b">
        <v>1</v>
      </c>
      <c r="I978" s="99" t="b">
        <v>0</v>
      </c>
      <c r="J978" s="99" t="b">
        <v>0</v>
      </c>
      <c r="K978" s="99" t="b">
        <v>0</v>
      </c>
      <c r="L978" s="99" t="b">
        <v>0</v>
      </c>
      <c r="M978" s="99" t="b">
        <v>0</v>
      </c>
      <c r="N978" s="99" t="b">
        <v>0</v>
      </c>
      <c r="O978" s="99" t="b">
        <v>0</v>
      </c>
      <c r="P978" s="99" t="b">
        <v>0</v>
      </c>
      <c r="Q978" s="99" t="b">
        <v>0</v>
      </c>
      <c r="R978" s="14"/>
      <c r="S978" s="14"/>
      <c r="T978" s="14"/>
      <c r="U978" s="14"/>
      <c r="V978" s="14"/>
      <c r="W978" s="14"/>
    </row>
    <row r="979" ht="35.25" customHeight="1">
      <c r="A979" s="92" t="s">
        <v>11850</v>
      </c>
      <c r="B979" s="93" t="s">
        <v>11851</v>
      </c>
      <c r="C979" s="94" t="s">
        <v>2491</v>
      </c>
      <c r="D979" s="95" t="s">
        <v>11853</v>
      </c>
      <c r="E979" s="96" t="str">
        <f>IFERROR(__xludf.DUMMYFUNCTION("GOOGLETRANSLATE(D979,""zh-CN"",""vi"")"),"Tương lai của chúng ta tràn đầy hy vọng.")</f>
        <v>Tương lai của chúng ta tràn đầy hy vọng.</v>
      </c>
      <c r="F979" s="101" t="s">
        <v>11850</v>
      </c>
      <c r="G979" s="98" t="b">
        <f t="shared" si="2"/>
        <v>1</v>
      </c>
      <c r="H979" s="99" t="b">
        <v>1</v>
      </c>
      <c r="I979" s="99" t="b">
        <v>0</v>
      </c>
      <c r="J979" s="99" t="b">
        <v>0</v>
      </c>
      <c r="K979" s="99" t="b">
        <v>0</v>
      </c>
      <c r="L979" s="99" t="b">
        <v>0</v>
      </c>
      <c r="M979" s="99" t="b">
        <v>0</v>
      </c>
      <c r="N979" s="99" t="b">
        <v>0</v>
      </c>
      <c r="O979" s="99" t="b">
        <v>0</v>
      </c>
      <c r="P979" s="99" t="b">
        <v>0</v>
      </c>
      <c r="Q979" s="99" t="b">
        <v>0</v>
      </c>
      <c r="R979" s="14"/>
      <c r="S979" s="14"/>
      <c r="T979" s="14"/>
      <c r="U979" s="14"/>
      <c r="V979" s="14"/>
      <c r="W979" s="14"/>
    </row>
    <row r="980" ht="35.25" customHeight="1">
      <c r="A980" s="92" t="s">
        <v>11857</v>
      </c>
      <c r="B980" s="93" t="s">
        <v>11858</v>
      </c>
      <c r="C980" s="94" t="s">
        <v>11860</v>
      </c>
      <c r="D980" s="95" t="s">
        <v>11862</v>
      </c>
      <c r="E980" s="96" t="str">
        <f>IFERROR(__xludf.DUMMYFUNCTION("GOOGLETRANSLATE(D980,""zh-CN"",""vi"")"),"Công ty này nằm ở trung tâm thành phố.")</f>
        <v>Công ty này nằm ở trung tâm thành phố.</v>
      </c>
      <c r="F980" s="101" t="s">
        <v>11857</v>
      </c>
      <c r="G980" s="98" t="b">
        <f t="shared" si="2"/>
        <v>1</v>
      </c>
      <c r="H980" s="99" t="b">
        <v>1</v>
      </c>
      <c r="I980" s="99" t="b">
        <v>0</v>
      </c>
      <c r="J980" s="99" t="b">
        <v>0</v>
      </c>
      <c r="K980" s="99" t="b">
        <v>0</v>
      </c>
      <c r="L980" s="99" t="b">
        <v>0</v>
      </c>
      <c r="M980" s="99" t="b">
        <v>0</v>
      </c>
      <c r="N980" s="99" t="b">
        <v>0</v>
      </c>
      <c r="O980" s="99" t="b">
        <v>0</v>
      </c>
      <c r="P980" s="99" t="b">
        <v>0</v>
      </c>
      <c r="Q980" s="99" t="b">
        <v>0</v>
      </c>
      <c r="R980" s="14"/>
      <c r="S980" s="14"/>
      <c r="T980" s="14"/>
      <c r="U980" s="14"/>
      <c r="V980" s="14"/>
      <c r="W980" s="14"/>
    </row>
    <row r="981" ht="35.25" customHeight="1">
      <c r="A981" s="92" t="s">
        <v>11868</v>
      </c>
      <c r="B981" s="93" t="s">
        <v>11870</v>
      </c>
      <c r="C981" s="94" t="s">
        <v>11871</v>
      </c>
      <c r="D981" s="95" t="s">
        <v>11872</v>
      </c>
      <c r="E981" s="96" t="str">
        <f>IFERROR(__xludf.DUMMYFUNCTION("GOOGLETRANSLATE(D981,""zh-CN"",""vi"")"),"Vị trí này rất quan trọng.")</f>
        <v>Vị trí này rất quan trọng.</v>
      </c>
      <c r="F981" s="101" t="s">
        <v>11868</v>
      </c>
      <c r="G981" s="98" t="b">
        <f t="shared" si="2"/>
        <v>1</v>
      </c>
      <c r="H981" s="99" t="b">
        <v>1</v>
      </c>
      <c r="I981" s="99" t="b">
        <v>0</v>
      </c>
      <c r="J981" s="99" t="b">
        <v>0</v>
      </c>
      <c r="K981" s="99" t="b">
        <v>0</v>
      </c>
      <c r="L981" s="99" t="b">
        <v>0</v>
      </c>
      <c r="M981" s="99" t="b">
        <v>0</v>
      </c>
      <c r="N981" s="99" t="b">
        <v>0</v>
      </c>
      <c r="O981" s="99" t="b">
        <v>0</v>
      </c>
      <c r="P981" s="99" t="b">
        <v>0</v>
      </c>
      <c r="Q981" s="99" t="b">
        <v>0</v>
      </c>
      <c r="R981" s="14"/>
      <c r="S981" s="14"/>
      <c r="T981" s="14"/>
      <c r="U981" s="14"/>
      <c r="V981" s="14"/>
      <c r="W981" s="14"/>
    </row>
    <row r="982" ht="35.25" customHeight="1">
      <c r="A982" s="92" t="s">
        <v>11877</v>
      </c>
      <c r="B982" s="93" t="s">
        <v>1680</v>
      </c>
      <c r="C982" s="94" t="s">
        <v>11878</v>
      </c>
      <c r="D982" s="95" t="s">
        <v>11879</v>
      </c>
      <c r="E982" s="96" t="str">
        <f>IFERROR(__xludf.DUMMYFUNCTION("GOOGLETRANSLATE(D982,""zh-CN"",""vi"")"),"Anh ấy cảm thấy rất khó chịu trong bụng.")</f>
        <v>Anh ấy cảm thấy rất khó chịu trong bụng.</v>
      </c>
      <c r="F982" s="101" t="s">
        <v>11877</v>
      </c>
      <c r="G982" s="98" t="b">
        <f t="shared" si="2"/>
        <v>1</v>
      </c>
      <c r="H982" s="99" t="b">
        <v>1</v>
      </c>
      <c r="I982" s="99" t="b">
        <v>0</v>
      </c>
      <c r="J982" s="99" t="b">
        <v>0</v>
      </c>
      <c r="K982" s="99" t="b">
        <v>0</v>
      </c>
      <c r="L982" s="99" t="b">
        <v>0</v>
      </c>
      <c r="M982" s="99" t="b">
        <v>0</v>
      </c>
      <c r="N982" s="99" t="b">
        <v>0</v>
      </c>
      <c r="O982" s="99" t="b">
        <v>0</v>
      </c>
      <c r="P982" s="99" t="b">
        <v>0</v>
      </c>
      <c r="Q982" s="99" t="b">
        <v>0</v>
      </c>
      <c r="R982" s="14"/>
      <c r="S982" s="14"/>
      <c r="T982" s="14"/>
      <c r="U982" s="14"/>
      <c r="V982" s="14"/>
      <c r="W982" s="14"/>
    </row>
    <row r="983" ht="35.25" customHeight="1">
      <c r="A983" s="92" t="s">
        <v>11884</v>
      </c>
      <c r="B983" s="93" t="s">
        <v>11885</v>
      </c>
      <c r="C983" s="94" t="s">
        <v>8456</v>
      </c>
      <c r="D983" s="95" t="s">
        <v>11888</v>
      </c>
      <c r="E983" s="96" t="str">
        <f>IFERROR(__xludf.DUMMYFUNCTION("GOOGLETRANSLATE(D983,""zh-CN"",""vi"")"),"Món ăn này rất ngon miệng.")</f>
        <v>Món ăn này rất ngon miệng.</v>
      </c>
      <c r="F983" s="101" t="s">
        <v>11884</v>
      </c>
      <c r="G983" s="98" t="b">
        <f t="shared" si="2"/>
        <v>1</v>
      </c>
      <c r="H983" s="99" t="b">
        <v>1</v>
      </c>
      <c r="I983" s="99" t="b">
        <v>0</v>
      </c>
      <c r="J983" s="99" t="b">
        <v>0</v>
      </c>
      <c r="K983" s="99" t="b">
        <v>0</v>
      </c>
      <c r="L983" s="99" t="b">
        <v>0</v>
      </c>
      <c r="M983" s="99" t="b">
        <v>0</v>
      </c>
      <c r="N983" s="99" t="b">
        <v>0</v>
      </c>
      <c r="O983" s="99" t="b">
        <v>0</v>
      </c>
      <c r="P983" s="99" t="b">
        <v>0</v>
      </c>
      <c r="Q983" s="99" t="b">
        <v>0</v>
      </c>
      <c r="R983" s="14"/>
      <c r="S983" s="14"/>
      <c r="T983" s="14"/>
      <c r="U983" s="14"/>
      <c r="V983" s="14"/>
      <c r="W983" s="14"/>
    </row>
    <row r="984" ht="35.25" customHeight="1">
      <c r="A984" s="92" t="s">
        <v>11895</v>
      </c>
      <c r="B984" s="93" t="s">
        <v>11896</v>
      </c>
      <c r="C984" s="94" t="s">
        <v>3492</v>
      </c>
      <c r="D984" s="95" t="s">
        <v>11897</v>
      </c>
      <c r="E984" s="96" t="str">
        <f>IFERROR(__xludf.DUMMYFUNCTION("GOOGLETRANSLATE(D984,""zh-CN"",""vi"")"),"Cô ấy thích thời tiết ấm áp.")</f>
        <v>Cô ấy thích thời tiết ấm áp.</v>
      </c>
      <c r="F984" s="101" t="s">
        <v>11895</v>
      </c>
      <c r="G984" s="98" t="b">
        <f t="shared" si="2"/>
        <v>1</v>
      </c>
      <c r="H984" s="99" t="b">
        <v>1</v>
      </c>
      <c r="I984" s="99" t="b">
        <v>0</v>
      </c>
      <c r="J984" s="99" t="b">
        <v>0</v>
      </c>
      <c r="K984" s="99" t="b">
        <v>0</v>
      </c>
      <c r="L984" s="99" t="b">
        <v>0</v>
      </c>
      <c r="M984" s="99" t="b">
        <v>0</v>
      </c>
      <c r="N984" s="99" t="b">
        <v>0</v>
      </c>
      <c r="O984" s="99" t="b">
        <v>0</v>
      </c>
      <c r="P984" s="99" t="b">
        <v>0</v>
      </c>
      <c r="Q984" s="99" t="b">
        <v>0</v>
      </c>
      <c r="R984" s="14"/>
      <c r="S984" s="14"/>
      <c r="T984" s="14"/>
      <c r="U984" s="14"/>
      <c r="V984" s="14"/>
      <c r="W984" s="14"/>
    </row>
    <row r="985" ht="35.25" customHeight="1">
      <c r="A985" s="92" t="s">
        <v>11902</v>
      </c>
      <c r="B985" s="93" t="s">
        <v>11903</v>
      </c>
      <c r="C985" s="94" t="s">
        <v>11904</v>
      </c>
      <c r="D985" s="95" t="s">
        <v>11905</v>
      </c>
      <c r="E985" s="96" t="str">
        <f>IFERROR(__xludf.DUMMYFUNCTION("GOOGLETRANSLATE(D985,""zh-CN"",""vi"")"),"Ông ấy nói bằng giọng nhẹ nhàng.")</f>
        <v>Ông ấy nói bằng giọng nhẹ nhàng.</v>
      </c>
      <c r="F985" s="101" t="s">
        <v>11902</v>
      </c>
      <c r="G985" s="98" t="b">
        <f t="shared" si="2"/>
        <v>1</v>
      </c>
      <c r="H985" s="99" t="b">
        <v>1</v>
      </c>
      <c r="I985" s="99" t="b">
        <v>0</v>
      </c>
      <c r="J985" s="99" t="b">
        <v>0</v>
      </c>
      <c r="K985" s="99" t="b">
        <v>0</v>
      </c>
      <c r="L985" s="99" t="b">
        <v>0</v>
      </c>
      <c r="M985" s="99" t="b">
        <v>0</v>
      </c>
      <c r="N985" s="99" t="b">
        <v>0</v>
      </c>
      <c r="O985" s="99" t="b">
        <v>0</v>
      </c>
      <c r="P985" s="99" t="b">
        <v>0</v>
      </c>
      <c r="Q985" s="99" t="b">
        <v>0</v>
      </c>
      <c r="R985" s="14"/>
      <c r="S985" s="14"/>
      <c r="T985" s="14"/>
      <c r="U985" s="14"/>
      <c r="V985" s="14"/>
      <c r="W985" s="14"/>
    </row>
    <row r="986" ht="35.25" customHeight="1">
      <c r="A986" s="92" t="s">
        <v>11912</v>
      </c>
      <c r="B986" s="93" t="s">
        <v>11914</v>
      </c>
      <c r="C986" s="102" t="s">
        <v>11916</v>
      </c>
      <c r="D986" s="95" t="s">
        <v>11917</v>
      </c>
      <c r="E986" s="96" t="str">
        <f>IFERROR(__xludf.DUMMYFUNCTION("GOOGLETRANSLATE(D986,""zh-CN"",""vi"")"),"Chúng ta cần chuẩn bị một số giấy tờ.")</f>
        <v>Chúng ta cần chuẩn bị một số giấy tờ.</v>
      </c>
      <c r="F986" s="101" t="s">
        <v>11912</v>
      </c>
      <c r="G986" s="98" t="b">
        <f t="shared" si="2"/>
        <v>1</v>
      </c>
      <c r="H986" s="99" t="b">
        <v>1</v>
      </c>
      <c r="I986" s="99" t="b">
        <v>0</v>
      </c>
      <c r="J986" s="99" t="b">
        <v>0</v>
      </c>
      <c r="K986" s="99" t="b">
        <v>0</v>
      </c>
      <c r="L986" s="99" t="b">
        <v>0</v>
      </c>
      <c r="M986" s="99" t="b">
        <v>0</v>
      </c>
      <c r="N986" s="99" t="b">
        <v>0</v>
      </c>
      <c r="O986" s="99" t="b">
        <v>0</v>
      </c>
      <c r="P986" s="99" t="b">
        <v>0</v>
      </c>
      <c r="Q986" s="99" t="b">
        <v>0</v>
      </c>
      <c r="R986" s="14"/>
      <c r="S986" s="14"/>
      <c r="T986" s="14"/>
      <c r="U986" s="14"/>
      <c r="V986" s="14"/>
      <c r="W986" s="14"/>
    </row>
    <row r="987" ht="35.25" customHeight="1">
      <c r="A987" s="92" t="s">
        <v>11922</v>
      </c>
      <c r="B987" s="93" t="s">
        <v>11923</v>
      </c>
      <c r="C987" s="94" t="s">
        <v>11924</v>
      </c>
      <c r="D987" s="95" t="s">
        <v>11925</v>
      </c>
      <c r="E987" s="96" t="str">
        <f>IFERROR(__xludf.DUMMYFUNCTION("GOOGLETRANSLATE(D987,""zh-CN"",""vi"")"),"Tôi đã mua một số văn phòng phẩm.")</f>
        <v>Tôi đã mua một số văn phòng phẩm.</v>
      </c>
      <c r="F987" s="101" t="s">
        <v>11922</v>
      </c>
      <c r="G987" s="98" t="b">
        <f t="shared" si="2"/>
        <v>1</v>
      </c>
      <c r="H987" s="99" t="b">
        <v>1</v>
      </c>
      <c r="I987" s="99" t="b">
        <v>0</v>
      </c>
      <c r="J987" s="99" t="b">
        <v>0</v>
      </c>
      <c r="K987" s="99" t="b">
        <v>0</v>
      </c>
      <c r="L987" s="99" t="b">
        <v>0</v>
      </c>
      <c r="M987" s="99" t="b">
        <v>0</v>
      </c>
      <c r="N987" s="99" t="b">
        <v>0</v>
      </c>
      <c r="O987" s="99" t="b">
        <v>0</v>
      </c>
      <c r="P987" s="99" t="b">
        <v>0</v>
      </c>
      <c r="Q987" s="99" t="b">
        <v>0</v>
      </c>
      <c r="R987" s="14"/>
      <c r="S987" s="14"/>
      <c r="T987" s="14"/>
      <c r="U987" s="14"/>
      <c r="V987" s="14"/>
      <c r="W987" s="14"/>
    </row>
    <row r="988" ht="35.25" customHeight="1">
      <c r="A988" s="92" t="s">
        <v>11930</v>
      </c>
      <c r="B988" s="93" t="s">
        <v>11931</v>
      </c>
      <c r="C988" s="94" t="s">
        <v>11934</v>
      </c>
      <c r="D988" s="95" t="s">
        <v>11936</v>
      </c>
      <c r="E988" s="96" t="str">
        <f>IFERROR(__xludf.DUMMYFUNCTION("GOOGLETRANSLATE(D988,""zh-CN"",""vi"")"),"Thành phố này có một lịch sử văn minh lâu đời.")</f>
        <v>Thành phố này có một lịch sử văn minh lâu đời.</v>
      </c>
      <c r="F988" s="101" t="s">
        <v>11930</v>
      </c>
      <c r="G988" s="98" t="b">
        <f t="shared" si="2"/>
        <v>1</v>
      </c>
      <c r="H988" s="99" t="b">
        <v>1</v>
      </c>
      <c r="I988" s="99" t="b">
        <v>0</v>
      </c>
      <c r="J988" s="99" t="b">
        <v>0</v>
      </c>
      <c r="K988" s="99" t="b">
        <v>0</v>
      </c>
      <c r="L988" s="99" t="b">
        <v>0</v>
      </c>
      <c r="M988" s="99" t="b">
        <v>0</v>
      </c>
      <c r="N988" s="99" t="b">
        <v>0</v>
      </c>
      <c r="O988" s="99" t="b">
        <v>0</v>
      </c>
      <c r="P988" s="99" t="b">
        <v>0</v>
      </c>
      <c r="Q988" s="99" t="b">
        <v>0</v>
      </c>
      <c r="R988" s="14"/>
      <c r="S988" s="14"/>
      <c r="T988" s="14"/>
      <c r="U988" s="14"/>
      <c r="V988" s="14"/>
      <c r="W988" s="14"/>
    </row>
    <row r="989" ht="35.25" customHeight="1">
      <c r="A989" s="92" t="s">
        <v>11942</v>
      </c>
      <c r="B989" s="93" t="s">
        <v>11943</v>
      </c>
      <c r="C989" s="94" t="s">
        <v>11944</v>
      </c>
      <c r="D989" s="95" t="s">
        <v>11945</v>
      </c>
      <c r="E989" s="96" t="str">
        <f>IFERROR(__xludf.DUMMYFUNCTION("GOOGLETRANSLATE(D989,""zh-CN"",""vi"")"),"Tôi đang học văn học Trung Quốc.")</f>
        <v>Tôi đang học văn học Trung Quốc.</v>
      </c>
      <c r="F989" s="101" t="s">
        <v>11942</v>
      </c>
      <c r="G989" s="98" t="b">
        <f t="shared" si="2"/>
        <v>1</v>
      </c>
      <c r="H989" s="99" t="b">
        <v>1</v>
      </c>
      <c r="I989" s="99" t="b">
        <v>0</v>
      </c>
      <c r="J989" s="99" t="b">
        <v>0</v>
      </c>
      <c r="K989" s="99" t="b">
        <v>0</v>
      </c>
      <c r="L989" s="99" t="b">
        <v>0</v>
      </c>
      <c r="M989" s="99" t="b">
        <v>0</v>
      </c>
      <c r="N989" s="99" t="b">
        <v>0</v>
      </c>
      <c r="O989" s="99" t="b">
        <v>0</v>
      </c>
      <c r="P989" s="99" t="b">
        <v>0</v>
      </c>
      <c r="Q989" s="99" t="b">
        <v>0</v>
      </c>
      <c r="R989" s="14"/>
      <c r="S989" s="14"/>
      <c r="T989" s="14"/>
      <c r="U989" s="14"/>
      <c r="V989" s="14"/>
      <c r="W989" s="14"/>
    </row>
    <row r="990" ht="35.25" customHeight="1">
      <c r="A990" s="92" t="s">
        <v>11950</v>
      </c>
      <c r="B990" s="93" t="s">
        <v>11951</v>
      </c>
      <c r="C990" s="94" t="s">
        <v>11952</v>
      </c>
      <c r="D990" s="95" t="s">
        <v>11953</v>
      </c>
      <c r="E990" s="96" t="str">
        <f>IFERROR(__xludf.DUMMYFUNCTION("GOOGLETRANSLATE(D990,""zh-CN"",""vi"")"),"Văn phong của anh ấy rất hay.")</f>
        <v>Văn phong của anh ấy rất hay.</v>
      </c>
      <c r="F990" s="101" t="s">
        <v>11950</v>
      </c>
      <c r="G990" s="98" t="b">
        <f t="shared" si="2"/>
        <v>1</v>
      </c>
      <c r="H990" s="99" t="b">
        <v>1</v>
      </c>
      <c r="I990" s="99" t="b">
        <v>0</v>
      </c>
      <c r="J990" s="99" t="b">
        <v>0</v>
      </c>
      <c r="K990" s="99" t="b">
        <v>0</v>
      </c>
      <c r="L990" s="99" t="b">
        <v>0</v>
      </c>
      <c r="M990" s="99" t="b">
        <v>0</v>
      </c>
      <c r="N990" s="99" t="b">
        <v>0</v>
      </c>
      <c r="O990" s="99" t="b">
        <v>0</v>
      </c>
      <c r="P990" s="99" t="b">
        <v>0</v>
      </c>
      <c r="Q990" s="99" t="b">
        <v>0</v>
      </c>
      <c r="R990" s="14"/>
      <c r="S990" s="14"/>
      <c r="T990" s="14"/>
      <c r="U990" s="14"/>
      <c r="V990" s="14"/>
      <c r="W990" s="14"/>
    </row>
    <row r="991" ht="35.25" customHeight="1">
      <c r="A991" s="92" t="s">
        <v>11958</v>
      </c>
      <c r="B991" s="93" t="s">
        <v>11959</v>
      </c>
      <c r="C991" s="94" t="s">
        <v>11960</v>
      </c>
      <c r="D991" s="95" t="s">
        <v>11961</v>
      </c>
      <c r="E991" s="96" t="str">
        <f>IFERROR(__xludf.DUMMYFUNCTION("GOOGLETRANSLATE(D991,""zh-CN"",""vi"")"),"Cô ngửi thấy mùi hương của hoa.")</f>
        <v>Cô ngửi thấy mùi hương của hoa.</v>
      </c>
      <c r="F991" s="101" t="s">
        <v>11958</v>
      </c>
      <c r="G991" s="98" t="b">
        <f t="shared" si="2"/>
        <v>1</v>
      </c>
      <c r="H991" s="99" t="b">
        <v>1</v>
      </c>
      <c r="I991" s="99" t="b">
        <v>0</v>
      </c>
      <c r="J991" s="99" t="b">
        <v>0</v>
      </c>
      <c r="K991" s="99" t="b">
        <v>0</v>
      </c>
      <c r="L991" s="99" t="b">
        <v>0</v>
      </c>
      <c r="M991" s="99" t="b">
        <v>0</v>
      </c>
      <c r="N991" s="99" t="b">
        <v>0</v>
      </c>
      <c r="O991" s="99" t="b">
        <v>0</v>
      </c>
      <c r="P991" s="99" t="b">
        <v>0</v>
      </c>
      <c r="Q991" s="99" t="b">
        <v>0</v>
      </c>
      <c r="R991" s="14"/>
      <c r="S991" s="14"/>
      <c r="T991" s="14"/>
      <c r="U991" s="14"/>
      <c r="V991" s="14"/>
      <c r="W991" s="14"/>
    </row>
    <row r="992" ht="35.25" customHeight="1">
      <c r="A992" s="92" t="s">
        <v>11968</v>
      </c>
      <c r="B992" s="93" t="s">
        <v>11969</v>
      </c>
      <c r="C992" s="94" t="s">
        <v>11971</v>
      </c>
      <c r="D992" s="95" t="s">
        <v>11972</v>
      </c>
      <c r="E992" s="96" t="str">
        <f>IFERROR(__xludf.DUMMYFUNCTION("GOOGLETRANSLATE(D992,""zh-CN"",""vi"")"),"Anh ấy hôn lên trán đứa trẻ.")</f>
        <v>Anh ấy hôn lên trán đứa trẻ.</v>
      </c>
      <c r="F992" s="101" t="s">
        <v>11968</v>
      </c>
      <c r="G992" s="98" t="b">
        <f t="shared" si="2"/>
        <v>1</v>
      </c>
      <c r="H992" s="99" t="b">
        <v>1</v>
      </c>
      <c r="I992" s="99" t="b">
        <v>0</v>
      </c>
      <c r="J992" s="99" t="b">
        <v>0</v>
      </c>
      <c r="K992" s="99" t="b">
        <v>0</v>
      </c>
      <c r="L992" s="99" t="b">
        <v>0</v>
      </c>
      <c r="M992" s="99" t="b">
        <v>0</v>
      </c>
      <c r="N992" s="99" t="b">
        <v>0</v>
      </c>
      <c r="O992" s="99" t="b">
        <v>0</v>
      </c>
      <c r="P992" s="99" t="b">
        <v>0</v>
      </c>
      <c r="Q992" s="99" t="b">
        <v>0</v>
      </c>
      <c r="R992" s="14"/>
      <c r="S992" s="14"/>
      <c r="T992" s="14"/>
      <c r="U992" s="14"/>
      <c r="V992" s="14"/>
      <c r="W992" s="14"/>
    </row>
    <row r="993" ht="35.25" customHeight="1">
      <c r="A993" s="92" t="s">
        <v>11977</v>
      </c>
      <c r="B993" s="93" t="s">
        <v>11978</v>
      </c>
      <c r="C993" s="94" t="s">
        <v>11979</v>
      </c>
      <c r="D993" s="95" t="s">
        <v>11980</v>
      </c>
      <c r="E993" s="96" t="str">
        <f>IFERROR(__xludf.DUMMYFUNCTION("GOOGLETRANSLATE(D993,""zh-CN"",""vi"")"),"Cấu trúc của ngôi nhà này rất vững chắc.")</f>
        <v>Cấu trúc của ngôi nhà này rất vững chắc.</v>
      </c>
      <c r="F993" s="101" t="s">
        <v>11977</v>
      </c>
      <c r="G993" s="98" t="b">
        <f t="shared" si="2"/>
        <v>1</v>
      </c>
      <c r="H993" s="99" t="b">
        <v>1</v>
      </c>
      <c r="I993" s="99" t="b">
        <v>0</v>
      </c>
      <c r="J993" s="99" t="b">
        <v>0</v>
      </c>
      <c r="K993" s="99" t="b">
        <v>0</v>
      </c>
      <c r="L993" s="99" t="b">
        <v>0</v>
      </c>
      <c r="M993" s="99" t="b">
        <v>0</v>
      </c>
      <c r="N993" s="99" t="b">
        <v>0</v>
      </c>
      <c r="O993" s="99" t="b">
        <v>0</v>
      </c>
      <c r="P993" s="99" t="b">
        <v>0</v>
      </c>
      <c r="Q993" s="99" t="b">
        <v>0</v>
      </c>
      <c r="R993" s="14"/>
      <c r="S993" s="14"/>
      <c r="T993" s="14"/>
      <c r="U993" s="14"/>
      <c r="V993" s="14"/>
      <c r="W993" s="14"/>
    </row>
    <row r="994" ht="35.25" customHeight="1">
      <c r="A994" s="92" t="s">
        <v>11985</v>
      </c>
      <c r="B994" s="93" t="s">
        <v>11986</v>
      </c>
      <c r="C994" s="94" t="s">
        <v>5443</v>
      </c>
      <c r="D994" s="95" t="s">
        <v>11987</v>
      </c>
      <c r="E994" s="96" t="str">
        <f>IFERROR(__xludf.DUMMYFUNCTION("GOOGLETRANSLATE(D994,""zh-CN"",""vi"")"),"Chúng tôi gửi lời chào đến bạn.")</f>
        <v>Chúng tôi gửi lời chào đến bạn.</v>
      </c>
      <c r="F994" s="101" t="s">
        <v>11985</v>
      </c>
      <c r="G994" s="98" t="b">
        <f t="shared" si="2"/>
        <v>1</v>
      </c>
      <c r="H994" s="99" t="b">
        <v>1</v>
      </c>
      <c r="I994" s="99" t="b">
        <v>0</v>
      </c>
      <c r="J994" s="99" t="b">
        <v>0</v>
      </c>
      <c r="K994" s="99" t="b">
        <v>0</v>
      </c>
      <c r="L994" s="99" t="b">
        <v>0</v>
      </c>
      <c r="M994" s="99" t="b">
        <v>0</v>
      </c>
      <c r="N994" s="99" t="b">
        <v>0</v>
      </c>
      <c r="O994" s="99" t="b">
        <v>0</v>
      </c>
      <c r="P994" s="99" t="b">
        <v>0</v>
      </c>
      <c r="Q994" s="99" t="b">
        <v>0</v>
      </c>
      <c r="R994" s="14"/>
      <c r="S994" s="14"/>
      <c r="T994" s="14"/>
      <c r="U994" s="14"/>
      <c r="V994" s="14"/>
      <c r="W994" s="14"/>
    </row>
    <row r="995" ht="35.25" customHeight="1">
      <c r="A995" s="92" t="s">
        <v>11988</v>
      </c>
      <c r="B995" s="93" t="s">
        <v>11989</v>
      </c>
      <c r="C995" s="94" t="s">
        <v>11990</v>
      </c>
      <c r="D995" s="95" t="s">
        <v>11991</v>
      </c>
      <c r="E995" s="96" t="str">
        <f>IFERROR(__xludf.DUMMYFUNCTION("GOOGLETRANSLATE(D995,""zh-CN"",""vi"")"),"Anh ấy đang nghỉ ngơi trong phòng ngủ.")</f>
        <v>Anh ấy đang nghỉ ngơi trong phòng ngủ.</v>
      </c>
      <c r="F995" s="101" t="s">
        <v>11988</v>
      </c>
      <c r="G995" s="98" t="b">
        <f t="shared" si="2"/>
        <v>1</v>
      </c>
      <c r="H995" s="99" t="b">
        <v>1</v>
      </c>
      <c r="I995" s="99" t="b">
        <v>0</v>
      </c>
      <c r="J995" s="99" t="b">
        <v>0</v>
      </c>
      <c r="K995" s="99" t="b">
        <v>0</v>
      </c>
      <c r="L995" s="99" t="b">
        <v>0</v>
      </c>
      <c r="M995" s="99" t="b">
        <v>0</v>
      </c>
      <c r="N995" s="99" t="b">
        <v>0</v>
      </c>
      <c r="O995" s="99" t="b">
        <v>0</v>
      </c>
      <c r="P995" s="99" t="b">
        <v>0</v>
      </c>
      <c r="Q995" s="99" t="b">
        <v>0</v>
      </c>
      <c r="R995" s="14"/>
      <c r="S995" s="14"/>
      <c r="T995" s="14"/>
      <c r="U995" s="14"/>
      <c r="V995" s="14"/>
      <c r="W995" s="14"/>
    </row>
    <row r="996" ht="35.25" customHeight="1">
      <c r="A996" s="92" t="s">
        <v>11992</v>
      </c>
      <c r="B996" s="93" t="s">
        <v>11993</v>
      </c>
      <c r="C996" s="94" t="s">
        <v>11994</v>
      </c>
      <c r="D996" s="95" t="s">
        <v>11995</v>
      </c>
      <c r="E996" s="96" t="str">
        <f>IFERROR(__xludf.DUMMYFUNCTION("GOOGLETRANSLATE(D996,""zh-CN"",""vi"")"),"Chúng tôi bắt tay và nói lời tạm biệt.")</f>
        <v>Chúng tôi bắt tay và nói lời tạm biệt.</v>
      </c>
      <c r="F996" s="101" t="s">
        <v>11992</v>
      </c>
      <c r="G996" s="98" t="b">
        <f t="shared" si="2"/>
        <v>1</v>
      </c>
      <c r="H996" s="99" t="b">
        <v>1</v>
      </c>
      <c r="I996" s="99" t="b">
        <v>0</v>
      </c>
      <c r="J996" s="99" t="b">
        <v>0</v>
      </c>
      <c r="K996" s="99" t="b">
        <v>0</v>
      </c>
      <c r="L996" s="99" t="b">
        <v>0</v>
      </c>
      <c r="M996" s="99" t="b">
        <v>0</v>
      </c>
      <c r="N996" s="99" t="b">
        <v>0</v>
      </c>
      <c r="O996" s="99" t="b">
        <v>0</v>
      </c>
      <c r="P996" s="99" t="b">
        <v>0</v>
      </c>
      <c r="Q996" s="99" t="b">
        <v>0</v>
      </c>
      <c r="R996" s="14"/>
      <c r="S996" s="14"/>
      <c r="T996" s="14"/>
      <c r="U996" s="14"/>
      <c r="V996" s="14"/>
      <c r="W996" s="14"/>
    </row>
    <row r="997" ht="35.25" customHeight="1">
      <c r="A997" s="92" t="s">
        <v>11999</v>
      </c>
      <c r="B997" s="93" t="s">
        <v>12000</v>
      </c>
      <c r="C997" s="94" t="s">
        <v>12001</v>
      </c>
      <c r="D997" s="95" t="s">
        <v>12002</v>
      </c>
      <c r="E997" s="96" t="str">
        <f>IFERROR(__xludf.DUMMYFUNCTION("GOOGLETRANSLATE(D997,""zh-CN"",""vi"")"),"Căn phòng này rất ấm cúng.")</f>
        <v>Căn phòng này rất ấm cúng.</v>
      </c>
      <c r="F997" s="101" t="s">
        <v>11999</v>
      </c>
      <c r="G997" s="98" t="b">
        <f t="shared" si="2"/>
        <v>1</v>
      </c>
      <c r="H997" s="99" t="b">
        <v>1</v>
      </c>
      <c r="I997" s="99" t="b">
        <v>0</v>
      </c>
      <c r="J997" s="99" t="b">
        <v>0</v>
      </c>
      <c r="K997" s="99" t="b">
        <v>0</v>
      </c>
      <c r="L997" s="99" t="b">
        <v>0</v>
      </c>
      <c r="M997" s="99" t="b">
        <v>0</v>
      </c>
      <c r="N997" s="99" t="b">
        <v>0</v>
      </c>
      <c r="O997" s="99" t="b">
        <v>0</v>
      </c>
      <c r="P997" s="99" t="b">
        <v>0</v>
      </c>
      <c r="Q997" s="99" t="b">
        <v>0</v>
      </c>
      <c r="R997" s="14"/>
      <c r="S997" s="14"/>
      <c r="T997" s="14"/>
      <c r="U997" s="14"/>
      <c r="V997" s="14"/>
      <c r="W997" s="14"/>
    </row>
    <row r="998" ht="35.25" customHeight="1">
      <c r="A998" s="92" t="s">
        <v>12007</v>
      </c>
      <c r="B998" s="93" t="s">
        <v>12009</v>
      </c>
      <c r="C998" s="94" t="s">
        <v>12012</v>
      </c>
      <c r="D998" s="95" t="s">
        <v>12014</v>
      </c>
      <c r="E998" s="96" t="str">
        <f>IFERROR(__xludf.DUMMYFUNCTION("GOOGLETRANSLATE(D998,""zh-CN"",""vi"")"),"Anh ta lắc đầu bất lực.")</f>
        <v>Anh ta lắc đầu bất lực.</v>
      </c>
      <c r="F998" s="101" t="s">
        <v>12007</v>
      </c>
      <c r="G998" s="98" t="b">
        <f t="shared" si="2"/>
        <v>1</v>
      </c>
      <c r="H998" s="99" t="b">
        <v>1</v>
      </c>
      <c r="I998" s="99" t="b">
        <v>0</v>
      </c>
      <c r="J998" s="99" t="b">
        <v>0</v>
      </c>
      <c r="K998" s="99" t="b">
        <v>0</v>
      </c>
      <c r="L998" s="99" t="b">
        <v>0</v>
      </c>
      <c r="M998" s="99" t="b">
        <v>0</v>
      </c>
      <c r="N998" s="99" t="b">
        <v>0</v>
      </c>
      <c r="O998" s="99" t="b">
        <v>0</v>
      </c>
      <c r="P998" s="99" t="b">
        <v>0</v>
      </c>
      <c r="Q998" s="99" t="b">
        <v>0</v>
      </c>
      <c r="R998" s="14"/>
      <c r="S998" s="14"/>
      <c r="T998" s="14"/>
      <c r="U998" s="14"/>
      <c r="V998" s="14"/>
      <c r="W998" s="14"/>
    </row>
    <row r="999" ht="35.25" customHeight="1">
      <c r="A999" s="92" t="s">
        <v>12019</v>
      </c>
      <c r="B999" s="93" t="s">
        <v>12020</v>
      </c>
      <c r="C999" s="94" t="s">
        <v>12021</v>
      </c>
      <c r="D999" s="95" t="s">
        <v>12022</v>
      </c>
      <c r="E999" s="96" t="str">
        <f>IFERROR(__xludf.DUMMYFUNCTION("GOOGLETRANSLATE(D999,""zh-CN"",""vi"")"),"Nơi đây có vô số ngôi sao.")</f>
        <v>Nơi đây có vô số ngôi sao.</v>
      </c>
      <c r="F999" s="101" t="s">
        <v>12019</v>
      </c>
      <c r="G999" s="98" t="b">
        <f t="shared" si="2"/>
        <v>1</v>
      </c>
      <c r="H999" s="99" t="b">
        <v>1</v>
      </c>
      <c r="I999" s="99" t="b">
        <v>0</v>
      </c>
      <c r="J999" s="99" t="b">
        <v>0</v>
      </c>
      <c r="K999" s="99" t="b">
        <v>0</v>
      </c>
      <c r="L999" s="99" t="b">
        <v>0</v>
      </c>
      <c r="M999" s="99" t="b">
        <v>0</v>
      </c>
      <c r="N999" s="99" t="b">
        <v>0</v>
      </c>
      <c r="O999" s="99" t="b">
        <v>0</v>
      </c>
      <c r="P999" s="99" t="b">
        <v>0</v>
      </c>
      <c r="Q999" s="99" t="b">
        <v>0</v>
      </c>
      <c r="R999" s="14"/>
      <c r="S999" s="14"/>
      <c r="T999" s="14"/>
      <c r="U999" s="14"/>
      <c r="V999" s="14"/>
      <c r="W999" s="14"/>
    </row>
    <row r="1000" ht="35.25" customHeight="1">
      <c r="A1000" s="92" t="s">
        <v>12027</v>
      </c>
      <c r="B1000" s="93" t="s">
        <v>12028</v>
      </c>
      <c r="C1000" s="94" t="s">
        <v>12029</v>
      </c>
      <c r="D1000" s="95" t="s">
        <v>12030</v>
      </c>
      <c r="E1000" s="96" t="str">
        <f>IFERROR(__xludf.DUMMYFUNCTION("GOOGLETRANSLATE(D1000,""zh-CN"",""vi"")"),"Tôi không quan tâm.")</f>
        <v>Tôi không quan tâm.</v>
      </c>
      <c r="F1000" s="101" t="s">
        <v>12027</v>
      </c>
      <c r="G1000" s="98" t="b">
        <f t="shared" si="2"/>
        <v>1</v>
      </c>
      <c r="H1000" s="99" t="b">
        <v>1</v>
      </c>
      <c r="I1000" s="99" t="b">
        <v>0</v>
      </c>
      <c r="J1000" s="99" t="b">
        <v>0</v>
      </c>
      <c r="K1000" s="99" t="b">
        <v>0</v>
      </c>
      <c r="L1000" s="99" t="b">
        <v>0</v>
      </c>
      <c r="M1000" s="99" t="b">
        <v>0</v>
      </c>
      <c r="N1000" s="99" t="b">
        <v>0</v>
      </c>
      <c r="O1000" s="99" t="b">
        <v>0</v>
      </c>
      <c r="P1000" s="99" t="b">
        <v>0</v>
      </c>
      <c r="Q1000" s="99" t="b">
        <v>0</v>
      </c>
      <c r="R1000" s="14"/>
      <c r="S1000" s="14"/>
      <c r="T1000" s="14"/>
      <c r="U1000" s="14"/>
      <c r="V1000" s="14"/>
      <c r="W1000" s="14"/>
    </row>
    <row r="1001" ht="35.25" customHeight="1">
      <c r="A1001" s="92" t="s">
        <v>12033</v>
      </c>
      <c r="B1001" s="93" t="s">
        <v>12034</v>
      </c>
      <c r="C1001" s="94" t="s">
        <v>12035</v>
      </c>
      <c r="D1001" s="95" t="s">
        <v>12037</v>
      </c>
      <c r="E1001" s="96" t="str">
        <f>IFERROR(__xludf.DUMMYFUNCTION("GOOGLETRANSLATE(D1001,""zh-CN"",""vi"")"),"Anh ấy đã luyện tập võ thuật trong nhiều năm.")</f>
        <v>Anh ấy đã luyện tập võ thuật trong nhiều năm.</v>
      </c>
      <c r="F1001" s="101" t="s">
        <v>12033</v>
      </c>
      <c r="G1001" s="98" t="b">
        <f t="shared" si="2"/>
        <v>1</v>
      </c>
      <c r="H1001" s="99" t="b">
        <v>1</v>
      </c>
      <c r="I1001" s="99" t="b">
        <v>0</v>
      </c>
      <c r="J1001" s="99" t="b">
        <v>0</v>
      </c>
      <c r="K1001" s="99" t="b">
        <v>0</v>
      </c>
      <c r="L1001" s="99" t="b">
        <v>0</v>
      </c>
      <c r="M1001" s="99" t="b">
        <v>0</v>
      </c>
      <c r="N1001" s="99" t="b">
        <v>0</v>
      </c>
      <c r="O1001" s="99" t="b">
        <v>0</v>
      </c>
      <c r="P1001" s="99" t="b">
        <v>0</v>
      </c>
      <c r="Q1001" s="99" t="b">
        <v>0</v>
      </c>
      <c r="R1001" s="14"/>
      <c r="S1001" s="14"/>
      <c r="T1001" s="14"/>
      <c r="U1001" s="14"/>
      <c r="V1001" s="14"/>
      <c r="W1001" s="14"/>
    </row>
    <row r="1002" ht="35.25" customHeight="1">
      <c r="A1002" s="92" t="s">
        <v>12043</v>
      </c>
      <c r="B1002" s="93" t="s">
        <v>12046</v>
      </c>
      <c r="C1002" s="94" t="s">
        <v>12047</v>
      </c>
      <c r="D1002" s="95" t="s">
        <v>12048</v>
      </c>
      <c r="E1002" s="96" t="str">
        <f>IFERROR(__xludf.DUMMYFUNCTION("GOOGLETRANSLATE(D1002,""zh-CN"",""vi"")"),"Xin đừng làm phiền.")</f>
        <v>Xin đừng làm phiền.</v>
      </c>
      <c r="F1002" s="101" t="s">
        <v>12043</v>
      </c>
      <c r="G1002" s="98" t="b">
        <f t="shared" si="2"/>
        <v>1</v>
      </c>
      <c r="H1002" s="99" t="b">
        <v>1</v>
      </c>
      <c r="I1002" s="99" t="b">
        <v>0</v>
      </c>
      <c r="J1002" s="99" t="b">
        <v>0</v>
      </c>
      <c r="K1002" s="99" t="b">
        <v>0</v>
      </c>
      <c r="L1002" s="99" t="b">
        <v>0</v>
      </c>
      <c r="M1002" s="99" t="b">
        <v>0</v>
      </c>
      <c r="N1002" s="99" t="b">
        <v>0</v>
      </c>
      <c r="O1002" s="99" t="b">
        <v>0</v>
      </c>
      <c r="P1002" s="99" t="b">
        <v>0</v>
      </c>
      <c r="Q1002" s="99" t="b">
        <v>0</v>
      </c>
      <c r="R1002" s="14"/>
      <c r="S1002" s="14"/>
      <c r="T1002" s="14"/>
      <c r="U1002" s="14"/>
      <c r="V1002" s="14"/>
      <c r="W1002" s="14"/>
    </row>
    <row r="1003" ht="35.25" customHeight="1">
      <c r="A1003" s="92" t="s">
        <v>12053</v>
      </c>
      <c r="B1003" s="93" t="s">
        <v>12054</v>
      </c>
      <c r="C1003" s="94" t="s">
        <v>12055</v>
      </c>
      <c r="D1003" s="95" t="s">
        <v>12056</v>
      </c>
      <c r="E1003" s="96" t="str">
        <f>IFERROR(__xludf.DUMMYFUNCTION("GOOGLETRANSLATE(D1003,""zh-CN"",""vi"")"),"Vật lý là một môn học vô cùng hấp dẫn.")</f>
        <v>Vật lý là một môn học vô cùng hấp dẫn.</v>
      </c>
      <c r="F1003" s="101" t="s">
        <v>12053</v>
      </c>
      <c r="G1003" s="98" t="b">
        <f t="shared" si="2"/>
        <v>1</v>
      </c>
      <c r="H1003" s="99" t="b">
        <v>1</v>
      </c>
      <c r="I1003" s="99" t="b">
        <v>0</v>
      </c>
      <c r="J1003" s="99" t="b">
        <v>0</v>
      </c>
      <c r="K1003" s="99" t="b">
        <v>0</v>
      </c>
      <c r="L1003" s="99" t="b">
        <v>0</v>
      </c>
      <c r="M1003" s="99" t="b">
        <v>0</v>
      </c>
      <c r="N1003" s="99" t="b">
        <v>0</v>
      </c>
      <c r="O1003" s="99" t="b">
        <v>0</v>
      </c>
      <c r="P1003" s="99" t="b">
        <v>0</v>
      </c>
      <c r="Q1003" s="99" t="b">
        <v>0</v>
      </c>
      <c r="R1003" s="14"/>
      <c r="S1003" s="14"/>
      <c r="T1003" s="14"/>
      <c r="U1003" s="14"/>
      <c r="V1003" s="14"/>
      <c r="W1003" s="14"/>
    </row>
    <row r="1004" ht="35.25" customHeight="1">
      <c r="A1004" s="92" t="s">
        <v>12061</v>
      </c>
      <c r="B1004" s="93" t="s">
        <v>12062</v>
      </c>
      <c r="C1004" s="94" t="s">
        <v>12065</v>
      </c>
      <c r="D1004" s="95" t="s">
        <v>12067</v>
      </c>
      <c r="E1004" s="96" t="str">
        <f>IFERROR(__xludf.DUMMYFUNCTION("GOOGLETRANSLATE(D1004,""zh-CN"",""vi"")"),"Vật liệu này cực kỳ cứng.")</f>
        <v>Vật liệu này cực kỳ cứng.</v>
      </c>
      <c r="F1004" s="101" t="s">
        <v>12061</v>
      </c>
      <c r="G1004" s="98" t="b">
        <f t="shared" si="2"/>
        <v>1</v>
      </c>
      <c r="H1004" s="99" t="b">
        <v>1</v>
      </c>
      <c r="I1004" s="99" t="b">
        <v>0</v>
      </c>
      <c r="J1004" s="99" t="b">
        <v>0</v>
      </c>
      <c r="K1004" s="99" t="b">
        <v>0</v>
      </c>
      <c r="L1004" s="99" t="b">
        <v>0</v>
      </c>
      <c r="M1004" s="99" t="b">
        <v>0</v>
      </c>
      <c r="N1004" s="99" t="b">
        <v>0</v>
      </c>
      <c r="O1004" s="99" t="b">
        <v>0</v>
      </c>
      <c r="P1004" s="99" t="b">
        <v>0</v>
      </c>
      <c r="Q1004" s="99" t="b">
        <v>0</v>
      </c>
      <c r="R1004" s="14"/>
      <c r="S1004" s="14"/>
      <c r="T1004" s="14"/>
      <c r="U1004" s="14"/>
      <c r="V1004" s="14"/>
      <c r="W1004" s="14"/>
    </row>
    <row r="1005" ht="35.25" customHeight="1">
      <c r="A1005" s="92" t="s">
        <v>12073</v>
      </c>
      <c r="B1005" s="93" t="s">
        <v>12046</v>
      </c>
      <c r="C1005" s="94" t="s">
        <v>12074</v>
      </c>
      <c r="D1005" s="95" t="s">
        <v>12075</v>
      </c>
      <c r="E1005" s="96" t="str">
        <f>IFERROR(__xludf.DUMMYFUNCTION("GOOGLETRANSLATE(D1005,""zh-CN"",""vi"")"),"Bên ngoài trời có một lớp sương mù.")</f>
        <v>Bên ngoài trời có một lớp sương mù.</v>
      </c>
      <c r="F1005" s="101" t="s">
        <v>12073</v>
      </c>
      <c r="G1005" s="98" t="b">
        <f t="shared" si="2"/>
        <v>1</v>
      </c>
      <c r="H1005" s="99" t="b">
        <v>1</v>
      </c>
      <c r="I1005" s="99" t="b">
        <v>0</v>
      </c>
      <c r="J1005" s="99" t="b">
        <v>0</v>
      </c>
      <c r="K1005" s="99" t="b">
        <v>0</v>
      </c>
      <c r="L1005" s="99" t="b">
        <v>0</v>
      </c>
      <c r="M1005" s="99" t="b">
        <v>0</v>
      </c>
      <c r="N1005" s="99" t="b">
        <v>0</v>
      </c>
      <c r="O1005" s="99" t="b">
        <v>0</v>
      </c>
      <c r="P1005" s="99" t="b">
        <v>0</v>
      </c>
      <c r="Q1005" s="99" t="b">
        <v>0</v>
      </c>
      <c r="R1005" s="14"/>
      <c r="S1005" s="14"/>
      <c r="T1005" s="14"/>
      <c r="U1005" s="14"/>
      <c r="V1005" s="14"/>
      <c r="W1005" s="14"/>
    </row>
    <row r="1006" ht="35.25" customHeight="1">
      <c r="A1006" s="92" t="s">
        <v>12080</v>
      </c>
      <c r="B1006" s="93" t="s">
        <v>12081</v>
      </c>
      <c r="C1006" s="94" t="s">
        <v>12082</v>
      </c>
      <c r="D1006" s="95" t="s">
        <v>12083</v>
      </c>
      <c r="E1006" s="96" t="str">
        <f>IFERROR(__xludf.DUMMYFUNCTION("GOOGLETRANSLATE(D1006,""zh-CN"",""vi"")"),"Anh ấy đã rút kinh nghiệm từ thất bại của mình.")</f>
        <v>Anh ấy đã rút kinh nghiệm từ thất bại của mình.</v>
      </c>
      <c r="F1006" s="101" t="s">
        <v>12080</v>
      </c>
      <c r="G1006" s="98" t="b">
        <f t="shared" si="2"/>
        <v>1</v>
      </c>
      <c r="H1006" s="99" t="b">
        <v>1</v>
      </c>
      <c r="I1006" s="99" t="b">
        <v>0</v>
      </c>
      <c r="J1006" s="99" t="b">
        <v>0</v>
      </c>
      <c r="K1006" s="99" t="b">
        <v>0</v>
      </c>
      <c r="L1006" s="99" t="b">
        <v>0</v>
      </c>
      <c r="M1006" s="99" t="b">
        <v>0</v>
      </c>
      <c r="N1006" s="99" t="b">
        <v>0</v>
      </c>
      <c r="O1006" s="99" t="b">
        <v>0</v>
      </c>
      <c r="P1006" s="99" t="b">
        <v>0</v>
      </c>
      <c r="Q1006" s="99" t="b">
        <v>0</v>
      </c>
      <c r="R1006" s="14"/>
      <c r="S1006" s="14"/>
      <c r="T1006" s="14"/>
      <c r="U1006" s="14"/>
      <c r="V1006" s="14"/>
      <c r="W1006" s="14"/>
    </row>
    <row r="1007" ht="35.25" customHeight="1">
      <c r="A1007" s="92" t="s">
        <v>12088</v>
      </c>
      <c r="B1007" s="93" t="s">
        <v>12089</v>
      </c>
      <c r="C1007" s="94" t="s">
        <v>12090</v>
      </c>
      <c r="D1007" s="95" t="s">
        <v>12091</v>
      </c>
      <c r="E1007" s="96" t="str">
        <f>IFERROR(__xludf.DUMMYFUNCTION("GOOGLETRANSLATE(D1007,""zh-CN"",""vi"")"),"Máy này có khả năng hấp thụ năng lượng hiệu quả.")</f>
        <v>Máy này có khả năng hấp thụ năng lượng hiệu quả.</v>
      </c>
      <c r="F1007" s="101" t="s">
        <v>12088</v>
      </c>
      <c r="G1007" s="98" t="b">
        <f t="shared" si="2"/>
        <v>1</v>
      </c>
      <c r="H1007" s="99" t="b">
        <v>1</v>
      </c>
      <c r="I1007" s="99" t="b">
        <v>0</v>
      </c>
      <c r="J1007" s="99" t="b">
        <v>0</v>
      </c>
      <c r="K1007" s="99" t="b">
        <v>0</v>
      </c>
      <c r="L1007" s="99" t="b">
        <v>0</v>
      </c>
      <c r="M1007" s="99" t="b">
        <v>0</v>
      </c>
      <c r="N1007" s="99" t="b">
        <v>0</v>
      </c>
      <c r="O1007" s="99" t="b">
        <v>0</v>
      </c>
      <c r="P1007" s="99" t="b">
        <v>0</v>
      </c>
      <c r="Q1007" s="99" t="b">
        <v>0</v>
      </c>
      <c r="R1007" s="14"/>
      <c r="S1007" s="14"/>
      <c r="T1007" s="14"/>
      <c r="U1007" s="14"/>
      <c r="V1007" s="14"/>
      <c r="W1007" s="14"/>
    </row>
    <row r="1008" ht="35.25" customHeight="1">
      <c r="A1008" s="92" t="s">
        <v>12099</v>
      </c>
      <c r="B1008" s="93" t="s">
        <v>12100</v>
      </c>
      <c r="C1008" s="94" t="s">
        <v>12102</v>
      </c>
      <c r="D1008" s="95" t="s">
        <v>12103</v>
      </c>
      <c r="E1008" s="96" t="str">
        <f>IFERROR(__xludf.DUMMYFUNCTION("GOOGLETRANSLATE(D1008,""zh-CN"",""vi"")"),"Cô ấy rất yêu thích kịch nghệ.")</f>
        <v>Cô ấy rất yêu thích kịch nghệ.</v>
      </c>
      <c r="F1008" s="101" t="s">
        <v>12099</v>
      </c>
      <c r="G1008" s="98" t="b">
        <f t="shared" si="2"/>
        <v>1</v>
      </c>
      <c r="H1008" s="99" t="b">
        <v>1</v>
      </c>
      <c r="I1008" s="99" t="b">
        <v>0</v>
      </c>
      <c r="J1008" s="99" t="b">
        <v>0</v>
      </c>
      <c r="K1008" s="99" t="b">
        <v>0</v>
      </c>
      <c r="L1008" s="99" t="b">
        <v>0</v>
      </c>
      <c r="M1008" s="99" t="b">
        <v>0</v>
      </c>
      <c r="N1008" s="99" t="b">
        <v>0</v>
      </c>
      <c r="O1008" s="99" t="b">
        <v>0</v>
      </c>
      <c r="P1008" s="99" t="b">
        <v>0</v>
      </c>
      <c r="Q1008" s="99" t="b">
        <v>0</v>
      </c>
      <c r="R1008" s="14"/>
      <c r="S1008" s="14"/>
      <c r="T1008" s="14"/>
      <c r="U1008" s="14"/>
      <c r="V1008" s="14"/>
      <c r="W1008" s="14"/>
    </row>
    <row r="1009" ht="35.25" customHeight="1">
      <c r="A1009" s="92" t="s">
        <v>12108</v>
      </c>
      <c r="B1009" s="93" t="s">
        <v>12109</v>
      </c>
      <c r="C1009" s="94" t="s">
        <v>12110</v>
      </c>
      <c r="D1009" s="95" t="s">
        <v>12111</v>
      </c>
      <c r="E1009" s="96" t="str">
        <f>IFERROR(__xludf.DUMMYFUNCTION("GOOGLETRANSLATE(D1009,""zh-CN"",""vi"")"),"Chúng tôi thắt dây an toàn.")</f>
        <v>Chúng tôi thắt dây an toàn.</v>
      </c>
      <c r="F1009" s="101" t="s">
        <v>12108</v>
      </c>
      <c r="G1009" s="98" t="b">
        <f t="shared" si="2"/>
        <v>1</v>
      </c>
      <c r="H1009" s="99" t="b">
        <v>1</v>
      </c>
      <c r="I1009" s="99" t="b">
        <v>0</v>
      </c>
      <c r="J1009" s="99" t="b">
        <v>0</v>
      </c>
      <c r="K1009" s="99" t="b">
        <v>0</v>
      </c>
      <c r="L1009" s="99" t="b">
        <v>0</v>
      </c>
      <c r="M1009" s="99" t="b">
        <v>0</v>
      </c>
      <c r="N1009" s="99" t="b">
        <v>0</v>
      </c>
      <c r="O1009" s="99" t="b">
        <v>0</v>
      </c>
      <c r="P1009" s="99" t="b">
        <v>0</v>
      </c>
      <c r="Q1009" s="99" t="b">
        <v>0</v>
      </c>
      <c r="R1009" s="14"/>
      <c r="S1009" s="14"/>
      <c r="T1009" s="14"/>
      <c r="U1009" s="14"/>
      <c r="V1009" s="14"/>
      <c r="W1009" s="14"/>
    </row>
    <row r="1010" ht="35.25" customHeight="1">
      <c r="A1010" s="92" t="s">
        <v>12114</v>
      </c>
      <c r="B1010" s="93" t="s">
        <v>12115</v>
      </c>
      <c r="C1010" s="94" t="s">
        <v>12116</v>
      </c>
      <c r="D1010" s="95" t="s">
        <v>12117</v>
      </c>
      <c r="E1010" s="96" t="str">
        <f>IFERROR(__xludf.DUMMYFUNCTION("GOOGLETRANSLATE(D1010,""zh-CN"",""vi"")"),"Hệ thống này rất phức tạp.")</f>
        <v>Hệ thống này rất phức tạp.</v>
      </c>
      <c r="F1010" s="101" t="s">
        <v>12114</v>
      </c>
      <c r="G1010" s="98" t="b">
        <f t="shared" si="2"/>
        <v>1</v>
      </c>
      <c r="H1010" s="99" t="b">
        <v>1</v>
      </c>
      <c r="I1010" s="99" t="b">
        <v>0</v>
      </c>
      <c r="J1010" s="99" t="b">
        <v>0</v>
      </c>
      <c r="K1010" s="99" t="b">
        <v>0</v>
      </c>
      <c r="L1010" s="99" t="b">
        <v>0</v>
      </c>
      <c r="M1010" s="99" t="b">
        <v>0</v>
      </c>
      <c r="N1010" s="99" t="b">
        <v>0</v>
      </c>
      <c r="O1010" s="99" t="b">
        <v>0</v>
      </c>
      <c r="P1010" s="99" t="b">
        <v>0</v>
      </c>
      <c r="Q1010" s="99" t="b">
        <v>0</v>
      </c>
      <c r="R1010" s="14"/>
      <c r="S1010" s="14"/>
      <c r="T1010" s="14"/>
      <c r="U1010" s="14"/>
      <c r="V1010" s="14"/>
      <c r="W1010" s="14"/>
    </row>
    <row r="1011" ht="35.25" customHeight="1">
      <c r="A1011" s="92" t="s">
        <v>12125</v>
      </c>
      <c r="B1011" s="93" t="s">
        <v>12126</v>
      </c>
      <c r="C1011" s="94" t="s">
        <v>12127</v>
      </c>
      <c r="D1011" s="95" t="s">
        <v>12128</v>
      </c>
      <c r="E1011" s="96" t="str">
        <f>IFERROR(__xludf.DUMMYFUNCTION("GOOGLETRANSLATE(D1011,""zh-CN"",""vi"")"),"Thành công hay thất bại phụ thuộc vào từng chi tiết nhỏ.")</f>
        <v>Thành công hay thất bại phụ thuộc vào từng chi tiết nhỏ.</v>
      </c>
      <c r="F1011" s="101" t="s">
        <v>12125</v>
      </c>
      <c r="G1011" s="98" t="b">
        <f t="shared" si="2"/>
        <v>1</v>
      </c>
      <c r="H1011" s="99" t="b">
        <v>1</v>
      </c>
      <c r="I1011" s="99" t="b">
        <v>0</v>
      </c>
      <c r="J1011" s="99" t="b">
        <v>0</v>
      </c>
      <c r="K1011" s="99" t="b">
        <v>0</v>
      </c>
      <c r="L1011" s="99" t="b">
        <v>0</v>
      </c>
      <c r="M1011" s="99" t="b">
        <v>0</v>
      </c>
      <c r="N1011" s="99" t="b">
        <v>0</v>
      </c>
      <c r="O1011" s="99" t="b">
        <v>0</v>
      </c>
      <c r="P1011" s="99" t="b">
        <v>0</v>
      </c>
      <c r="Q1011" s="99" t="b">
        <v>0</v>
      </c>
      <c r="R1011" s="14"/>
      <c r="S1011" s="14"/>
      <c r="T1011" s="14"/>
      <c r="U1011" s="14"/>
      <c r="V1011" s="14"/>
      <c r="W1011" s="14"/>
    </row>
    <row r="1012" ht="35.25" customHeight="1">
      <c r="A1012" s="92" t="s">
        <v>12133</v>
      </c>
      <c r="B1012" s="93" t="s">
        <v>12134</v>
      </c>
      <c r="C1012" s="94" t="s">
        <v>12135</v>
      </c>
      <c r="D1012" s="95" t="s">
        <v>12136</v>
      </c>
      <c r="E1012" s="96" t="str">
        <f>IFERROR(__xludf.DUMMYFUNCTION("GOOGLETRANSLATE(D1012,""zh-CN"",""vi"")"),"Mắt phải của anh ấy bị mù.")</f>
        <v>Mắt phải của anh ấy bị mù.</v>
      </c>
      <c r="F1012" s="101" t="s">
        <v>12133</v>
      </c>
      <c r="G1012" s="98" t="b">
        <f t="shared" si="2"/>
        <v>1</v>
      </c>
      <c r="H1012" s="99" t="b">
        <v>1</v>
      </c>
      <c r="I1012" s="99" t="b">
        <v>0</v>
      </c>
      <c r="J1012" s="99" t="b">
        <v>0</v>
      </c>
      <c r="K1012" s="99" t="b">
        <v>0</v>
      </c>
      <c r="L1012" s="99" t="b">
        <v>0</v>
      </c>
      <c r="M1012" s="99" t="b">
        <v>0</v>
      </c>
      <c r="N1012" s="99" t="b">
        <v>0</v>
      </c>
      <c r="O1012" s="99" t="b">
        <v>0</v>
      </c>
      <c r="P1012" s="99" t="b">
        <v>0</v>
      </c>
      <c r="Q1012" s="99" t="b">
        <v>0</v>
      </c>
      <c r="R1012" s="14"/>
      <c r="S1012" s="14"/>
      <c r="T1012" s="14"/>
      <c r="U1012" s="14"/>
      <c r="V1012" s="14"/>
      <c r="W1012" s="14"/>
    </row>
    <row r="1013" ht="35.25" customHeight="1">
      <c r="A1013" s="92" t="s">
        <v>12143</v>
      </c>
      <c r="B1013" s="93" t="s">
        <v>12145</v>
      </c>
      <c r="C1013" s="102" t="s">
        <v>12147</v>
      </c>
      <c r="D1013" s="95" t="s">
        <v>12148</v>
      </c>
      <c r="E1013" s="96" t="str">
        <f>IFERROR(__xludf.DUMMYFUNCTION("GOOGLETRANSLATE(D1013,""zh-CN"",""vi"")"),"Tôi cần tải xuống tập tin này.")</f>
        <v>Tôi cần tải xuống tập tin này.</v>
      </c>
      <c r="F1013" s="101" t="s">
        <v>12143</v>
      </c>
      <c r="G1013" s="98" t="b">
        <f t="shared" si="2"/>
        <v>1</v>
      </c>
      <c r="H1013" s="99" t="b">
        <v>1</v>
      </c>
      <c r="I1013" s="99" t="b">
        <v>0</v>
      </c>
      <c r="J1013" s="99" t="b">
        <v>0</v>
      </c>
      <c r="K1013" s="99" t="b">
        <v>0</v>
      </c>
      <c r="L1013" s="99" t="b">
        <v>0</v>
      </c>
      <c r="M1013" s="99" t="b">
        <v>0</v>
      </c>
      <c r="N1013" s="99" t="b">
        <v>0</v>
      </c>
      <c r="O1013" s="99" t="b">
        <v>0</v>
      </c>
      <c r="P1013" s="99" t="b">
        <v>0</v>
      </c>
      <c r="Q1013" s="99" t="b">
        <v>0</v>
      </c>
      <c r="R1013" s="14"/>
      <c r="S1013" s="14"/>
      <c r="T1013" s="14"/>
      <c r="U1013" s="14"/>
      <c r="V1013" s="14"/>
      <c r="W1013" s="14"/>
    </row>
    <row r="1014" ht="35.25" customHeight="1">
      <c r="A1014" s="92" t="s">
        <v>12153</v>
      </c>
      <c r="B1014" s="93" t="s">
        <v>1779</v>
      </c>
      <c r="C1014" s="94" t="s">
        <v>12154</v>
      </c>
      <c r="D1014" s="95" t="s">
        <v>12155</v>
      </c>
      <c r="E1014" s="96" t="str">
        <f>IFERROR(__xludf.DUMMYFUNCTION("GOOGLETRANSLATE(D1014,""zh-CN"",""vi"")"),"Âm thanh đó làm tôi giật mình.")</f>
        <v>Âm thanh đó làm tôi giật mình.</v>
      </c>
      <c r="F1014" s="101" t="s">
        <v>12153</v>
      </c>
      <c r="G1014" s="98" t="b">
        <f t="shared" si="2"/>
        <v>1</v>
      </c>
      <c r="H1014" s="99" t="b">
        <v>1</v>
      </c>
      <c r="I1014" s="99" t="b">
        <v>0</v>
      </c>
      <c r="J1014" s="99" t="b">
        <v>0</v>
      </c>
      <c r="K1014" s="99" t="b">
        <v>0</v>
      </c>
      <c r="L1014" s="99" t="b">
        <v>0</v>
      </c>
      <c r="M1014" s="99" t="b">
        <v>0</v>
      </c>
      <c r="N1014" s="99" t="b">
        <v>0</v>
      </c>
      <c r="O1014" s="99" t="b">
        <v>0</v>
      </c>
      <c r="P1014" s="99" t="b">
        <v>0</v>
      </c>
      <c r="Q1014" s="99" t="b">
        <v>0</v>
      </c>
      <c r="R1014" s="14"/>
      <c r="S1014" s="14"/>
      <c r="T1014" s="14"/>
      <c r="U1014" s="14"/>
      <c r="V1014" s="14"/>
      <c r="W1014" s="14"/>
    </row>
    <row r="1015" ht="35.25" customHeight="1">
      <c r="A1015" s="92" t="s">
        <v>12160</v>
      </c>
      <c r="B1015" s="93" t="s">
        <v>12161</v>
      </c>
      <c r="C1015" s="94" t="s">
        <v>12162</v>
      </c>
      <c r="D1015" s="95" t="s">
        <v>12163</v>
      </c>
      <c r="E1015" s="96" t="str">
        <f>IFERROR(__xludf.DUMMYFUNCTION("GOOGLETRANSLATE(D1015,""zh-CN"",""vi"")"),"Đi trại hè thôi nào!")</f>
        <v>Đi trại hè thôi nào!</v>
      </c>
      <c r="F1015" s="101" t="s">
        <v>12160</v>
      </c>
      <c r="G1015" s="98" t="b">
        <f t="shared" si="2"/>
        <v>1</v>
      </c>
      <c r="H1015" s="99" t="b">
        <v>1</v>
      </c>
      <c r="I1015" s="99" t="b">
        <v>0</v>
      </c>
      <c r="J1015" s="99" t="b">
        <v>0</v>
      </c>
      <c r="K1015" s="99" t="b">
        <v>0</v>
      </c>
      <c r="L1015" s="99" t="b">
        <v>0</v>
      </c>
      <c r="M1015" s="99" t="b">
        <v>0</v>
      </c>
      <c r="N1015" s="99" t="b">
        <v>0</v>
      </c>
      <c r="O1015" s="99" t="b">
        <v>0</v>
      </c>
      <c r="P1015" s="99" t="b">
        <v>0</v>
      </c>
      <c r="Q1015" s="99" t="b">
        <v>0</v>
      </c>
      <c r="R1015" s="14"/>
      <c r="S1015" s="14"/>
      <c r="T1015" s="14"/>
      <c r="U1015" s="14"/>
      <c r="V1015" s="14"/>
      <c r="W1015" s="14"/>
    </row>
    <row r="1016" ht="35.25" customHeight="1">
      <c r="A1016" s="92" t="s">
        <v>12168</v>
      </c>
      <c r="B1016" s="93" t="s">
        <v>12169</v>
      </c>
      <c r="C1016" s="94" t="s">
        <v>12170</v>
      </c>
      <c r="D1016" s="95" t="s">
        <v>12171</v>
      </c>
      <c r="E1016" s="96" t="str">
        <f>IFERROR(__xludf.DUMMYFUNCTION("GOOGLETRANSLATE(D1016,""zh-CN"",""vi"")"),"Cô ấy mặc một chiếc váy màu sắc tươi sáng.")</f>
        <v>Cô ấy mặc một chiếc váy màu sắc tươi sáng.</v>
      </c>
      <c r="F1016" s="101" t="s">
        <v>12168</v>
      </c>
      <c r="G1016" s="98" t="b">
        <f t="shared" si="2"/>
        <v>1</v>
      </c>
      <c r="H1016" s="99" t="b">
        <v>1</v>
      </c>
      <c r="I1016" s="99" t="b">
        <v>0</v>
      </c>
      <c r="J1016" s="99" t="b">
        <v>0</v>
      </c>
      <c r="K1016" s="99" t="b">
        <v>0</v>
      </c>
      <c r="L1016" s="99" t="b">
        <v>0</v>
      </c>
      <c r="M1016" s="99" t="b">
        <v>0</v>
      </c>
      <c r="N1016" s="99" t="b">
        <v>0</v>
      </c>
      <c r="O1016" s="99" t="b">
        <v>0</v>
      </c>
      <c r="P1016" s="99" t="b">
        <v>0</v>
      </c>
      <c r="Q1016" s="99" t="b">
        <v>0</v>
      </c>
      <c r="R1016" s="14"/>
      <c r="S1016" s="14"/>
      <c r="T1016" s="14"/>
      <c r="U1016" s="14"/>
      <c r="V1016" s="14"/>
      <c r="W1016" s="14"/>
    </row>
    <row r="1017" ht="35.25" customHeight="1">
      <c r="A1017" s="92" t="s">
        <v>12175</v>
      </c>
      <c r="B1017" s="93" t="s">
        <v>12176</v>
      </c>
      <c r="C1017" s="94" t="s">
        <v>12177</v>
      </c>
      <c r="D1017" s="95" t="s">
        <v>12178</v>
      </c>
      <c r="E1017" s="96" t="str">
        <f>IFERROR(__xludf.DUMMYFUNCTION("GOOGLETRANSLATE(D1017,""zh-CN"",""vi"")"),"Anh ấy trông có vẻ rất lo lắng.")</f>
        <v>Anh ấy trông có vẻ rất lo lắng.</v>
      </c>
      <c r="F1017" s="101" t="s">
        <v>12175</v>
      </c>
      <c r="G1017" s="98" t="b">
        <f t="shared" si="2"/>
        <v>1</v>
      </c>
      <c r="H1017" s="99" t="b">
        <v>1</v>
      </c>
      <c r="I1017" s="99" t="b">
        <v>0</v>
      </c>
      <c r="J1017" s="99" t="b">
        <v>0</v>
      </c>
      <c r="K1017" s="99" t="b">
        <v>0</v>
      </c>
      <c r="L1017" s="99" t="b">
        <v>0</v>
      </c>
      <c r="M1017" s="99" t="b">
        <v>0</v>
      </c>
      <c r="N1017" s="99" t="b">
        <v>0</v>
      </c>
      <c r="O1017" s="99" t="b">
        <v>0</v>
      </c>
      <c r="P1017" s="99" t="b">
        <v>0</v>
      </c>
      <c r="Q1017" s="99" t="b">
        <v>0</v>
      </c>
      <c r="R1017" s="14"/>
      <c r="S1017" s="14"/>
      <c r="T1017" s="14"/>
      <c r="U1017" s="14"/>
      <c r="V1017" s="14"/>
      <c r="W1017" s="14"/>
    </row>
    <row r="1018" ht="35.25" customHeight="1">
      <c r="A1018" s="92" t="s">
        <v>12183</v>
      </c>
      <c r="B1018" s="93" t="s">
        <v>12184</v>
      </c>
      <c r="C1018" s="94" t="s">
        <v>12185</v>
      </c>
      <c r="D1018" s="95" t="s">
        <v>12186</v>
      </c>
      <c r="E1018" s="96" t="str">
        <f>IFERROR(__xludf.DUMMYFUNCTION("GOOGLETRANSLATE(D1018,""zh-CN"",""vi"")"),"Rõ ràng là cô ấy đã biết tin rồi.")</f>
        <v>Rõ ràng là cô ấy đã biết tin rồi.</v>
      </c>
      <c r="F1018" s="101" t="s">
        <v>12183</v>
      </c>
      <c r="G1018" s="98" t="b">
        <f t="shared" si="2"/>
        <v>1</v>
      </c>
      <c r="H1018" s="99" t="b">
        <v>1</v>
      </c>
      <c r="I1018" s="99" t="b">
        <v>0</v>
      </c>
      <c r="J1018" s="99" t="b">
        <v>0</v>
      </c>
      <c r="K1018" s="99" t="b">
        <v>0</v>
      </c>
      <c r="L1018" s="99" t="b">
        <v>0</v>
      </c>
      <c r="M1018" s="99" t="b">
        <v>0</v>
      </c>
      <c r="N1018" s="99" t="b">
        <v>0</v>
      </c>
      <c r="O1018" s="99" t="b">
        <v>0</v>
      </c>
      <c r="P1018" s="99" t="b">
        <v>0</v>
      </c>
      <c r="Q1018" s="99" t="b">
        <v>0</v>
      </c>
      <c r="R1018" s="14"/>
      <c r="S1018" s="14"/>
      <c r="T1018" s="14"/>
      <c r="U1018" s="14"/>
      <c r="V1018" s="14"/>
      <c r="W1018" s="14"/>
    </row>
    <row r="1019" ht="35.25" customHeight="1">
      <c r="A1019" s="92" t="s">
        <v>12191</v>
      </c>
      <c r="B1019" s="93" t="s">
        <v>12192</v>
      </c>
      <c r="C1019" s="94" t="s">
        <v>12193</v>
      </c>
      <c r="D1019" s="95" t="s">
        <v>12195</v>
      </c>
      <c r="E1019" s="96" t="str">
        <f>IFERROR(__xludf.DUMMYFUNCTION("GOOGLETRANSLATE(D1019,""zh-CN"",""vi"")"),"Màn hình máy tính có độ phân giải cao.")</f>
        <v>Màn hình máy tính có độ phân giải cao.</v>
      </c>
      <c r="F1019" s="101" t="s">
        <v>12191</v>
      </c>
      <c r="G1019" s="98" t="b">
        <f t="shared" si="2"/>
        <v>1</v>
      </c>
      <c r="H1019" s="99" t="b">
        <v>1</v>
      </c>
      <c r="I1019" s="99" t="b">
        <v>0</v>
      </c>
      <c r="J1019" s="99" t="b">
        <v>0</v>
      </c>
      <c r="K1019" s="99" t="b">
        <v>0</v>
      </c>
      <c r="L1019" s="99" t="b">
        <v>0</v>
      </c>
      <c r="M1019" s="99" t="b">
        <v>0</v>
      </c>
      <c r="N1019" s="99" t="b">
        <v>0</v>
      </c>
      <c r="O1019" s="99" t="b">
        <v>0</v>
      </c>
      <c r="P1019" s="99" t="b">
        <v>0</v>
      </c>
      <c r="Q1019" s="99" t="b">
        <v>0</v>
      </c>
      <c r="R1019" s="14"/>
      <c r="S1019" s="14"/>
      <c r="T1019" s="14"/>
      <c r="U1019" s="14"/>
      <c r="V1019" s="14"/>
      <c r="W1019" s="14"/>
    </row>
    <row r="1020" ht="35.25" customHeight="1">
      <c r="A1020" s="92" t="s">
        <v>12199</v>
      </c>
      <c r="B1020" s="93" t="s">
        <v>12200</v>
      </c>
      <c r="C1020" s="94" t="s">
        <v>12201</v>
      </c>
      <c r="D1020" s="95" t="s">
        <v>12203</v>
      </c>
      <c r="E1020" s="96" t="str">
        <f>IFERROR(__xludf.DUMMYFUNCTION("GOOGLETRANSLATE(D1020,""zh-CN"",""vi"")"),"Chúng tôi sống ở một thị trấn thuộc quận.")</f>
        <v>Chúng tôi sống ở một thị trấn thuộc quận.</v>
      </c>
      <c r="F1020" s="101" t="s">
        <v>12199</v>
      </c>
      <c r="G1020" s="98" t="b">
        <f t="shared" si="2"/>
        <v>1</v>
      </c>
      <c r="H1020" s="99" t="b">
        <v>1</v>
      </c>
      <c r="I1020" s="99" t="b">
        <v>0</v>
      </c>
      <c r="J1020" s="99" t="b">
        <v>0</v>
      </c>
      <c r="K1020" s="99" t="b">
        <v>0</v>
      </c>
      <c r="L1020" s="99" t="b">
        <v>0</v>
      </c>
      <c r="M1020" s="99" t="b">
        <v>0</v>
      </c>
      <c r="N1020" s="99" t="b">
        <v>0</v>
      </c>
      <c r="O1020" s="99" t="b">
        <v>0</v>
      </c>
      <c r="P1020" s="99" t="b">
        <v>0</v>
      </c>
      <c r="Q1020" s="99" t="b">
        <v>0</v>
      </c>
      <c r="R1020" s="14"/>
      <c r="S1020" s="14"/>
      <c r="T1020" s="14"/>
      <c r="U1020" s="14"/>
      <c r="V1020" s="14"/>
      <c r="W1020" s="14"/>
    </row>
    <row r="1021" ht="35.25" customHeight="1">
      <c r="A1021" s="92" t="s">
        <v>12207</v>
      </c>
      <c r="B1021" s="93" t="s">
        <v>12208</v>
      </c>
      <c r="C1021" s="94" t="s">
        <v>12210</v>
      </c>
      <c r="D1021" s="95" t="s">
        <v>12212</v>
      </c>
      <c r="E1021" s="96" t="str">
        <f>IFERROR(__xludf.DUMMYFUNCTION("GOOGLETRANSLATE(D1021,""zh-CN"",""vi"")"),"Công nghệ hiện đại đang thay đổi thế giới.")</f>
        <v>Công nghệ hiện đại đang thay đổi thế giới.</v>
      </c>
      <c r="F1021" s="101" t="s">
        <v>12207</v>
      </c>
      <c r="G1021" s="98" t="b">
        <f t="shared" si="2"/>
        <v>1</v>
      </c>
      <c r="H1021" s="99" t="b">
        <v>1</v>
      </c>
      <c r="I1021" s="99" t="b">
        <v>0</v>
      </c>
      <c r="J1021" s="99" t="b">
        <v>0</v>
      </c>
      <c r="K1021" s="99" t="b">
        <v>0</v>
      </c>
      <c r="L1021" s="99" t="b">
        <v>0</v>
      </c>
      <c r="M1021" s="99" t="b">
        <v>0</v>
      </c>
      <c r="N1021" s="99" t="b">
        <v>0</v>
      </c>
      <c r="O1021" s="99" t="b">
        <v>0</v>
      </c>
      <c r="P1021" s="99" t="b">
        <v>0</v>
      </c>
      <c r="Q1021" s="99" t="b">
        <v>0</v>
      </c>
      <c r="R1021" s="14"/>
      <c r="S1021" s="14"/>
      <c r="T1021" s="14"/>
      <c r="U1021" s="14"/>
      <c r="V1021" s="14"/>
      <c r="W1021" s="14"/>
    </row>
    <row r="1022" ht="35.25" customHeight="1">
      <c r="A1022" s="92" t="s">
        <v>12215</v>
      </c>
      <c r="B1022" s="93" t="s">
        <v>12217</v>
      </c>
      <c r="C1022" s="94" t="s">
        <v>12219</v>
      </c>
      <c r="D1022" s="95" t="s">
        <v>12221</v>
      </c>
      <c r="E1022" s="96" t="str">
        <f>IFERROR(__xludf.DUMMYFUNCTION("GOOGLETRANSLATE(D1022,""zh-CN"",""vi"")"),"Thực tế phức tạp hơn chúng ta tưởng tượng.")</f>
        <v>Thực tế phức tạp hơn chúng ta tưởng tượng.</v>
      </c>
      <c r="F1022" s="101" t="s">
        <v>12215</v>
      </c>
      <c r="G1022" s="98" t="b">
        <f t="shared" si="2"/>
        <v>1</v>
      </c>
      <c r="H1022" s="99" t="b">
        <v>1</v>
      </c>
      <c r="I1022" s="99" t="b">
        <v>0</v>
      </c>
      <c r="J1022" s="99" t="b">
        <v>0</v>
      </c>
      <c r="K1022" s="99" t="b">
        <v>0</v>
      </c>
      <c r="L1022" s="99" t="b">
        <v>0</v>
      </c>
      <c r="M1022" s="99" t="b">
        <v>0</v>
      </c>
      <c r="N1022" s="99" t="b">
        <v>0</v>
      </c>
      <c r="O1022" s="99" t="b">
        <v>0</v>
      </c>
      <c r="P1022" s="99" t="b">
        <v>0</v>
      </c>
      <c r="Q1022" s="99" t="b">
        <v>0</v>
      </c>
      <c r="R1022" s="14"/>
      <c r="S1022" s="14"/>
      <c r="T1022" s="14"/>
      <c r="U1022" s="14"/>
      <c r="V1022" s="14"/>
      <c r="W1022" s="14"/>
    </row>
    <row r="1023" ht="35.25" customHeight="1">
      <c r="A1023" s="92" t="s">
        <v>12224</v>
      </c>
      <c r="B1023" s="93" t="s">
        <v>12226</v>
      </c>
      <c r="C1023" s="94" t="s">
        <v>12228</v>
      </c>
      <c r="D1023" s="95" t="s">
        <v>12230</v>
      </c>
      <c r="E1023" s="96" t="str">
        <f>IFERROR(__xludf.DUMMYFUNCTION("GOOGLETRANSLATE(D1023,""zh-CN"",""vi"")"),"Hiện tượng này có thể được quan sát thấy ở nhiều nơi.")</f>
        <v>Hiện tượng này có thể được quan sát thấy ở nhiều nơi.</v>
      </c>
      <c r="F1023" s="101" t="s">
        <v>12224</v>
      </c>
      <c r="G1023" s="98" t="b">
        <f t="shared" si="2"/>
        <v>1</v>
      </c>
      <c r="H1023" s="99" t="b">
        <v>1</v>
      </c>
      <c r="I1023" s="99" t="b">
        <v>0</v>
      </c>
      <c r="J1023" s="99" t="b">
        <v>0</v>
      </c>
      <c r="K1023" s="99" t="b">
        <v>0</v>
      </c>
      <c r="L1023" s="99" t="b">
        <v>0</v>
      </c>
      <c r="M1023" s="99" t="b">
        <v>0</v>
      </c>
      <c r="N1023" s="99" t="b">
        <v>0</v>
      </c>
      <c r="O1023" s="99" t="b">
        <v>0</v>
      </c>
      <c r="P1023" s="99" t="b">
        <v>0</v>
      </c>
      <c r="Q1023" s="99" t="b">
        <v>0</v>
      </c>
      <c r="R1023" s="14"/>
      <c r="S1023" s="14"/>
      <c r="T1023" s="14"/>
      <c r="U1023" s="14"/>
      <c r="V1023" s="14"/>
      <c r="W1023" s="14"/>
    </row>
    <row r="1024" ht="35.25" customHeight="1">
      <c r="A1024" s="92" t="s">
        <v>12234</v>
      </c>
      <c r="B1024" s="93" t="s">
        <v>12236</v>
      </c>
      <c r="C1024" s="94" t="s">
        <v>12237</v>
      </c>
      <c r="D1024" s="95" t="s">
        <v>12238</v>
      </c>
      <c r="E1024" s="96" t="str">
        <f>IFERROR(__xludf.DUMMYFUNCTION("GOOGLETRANSLATE(D1024,""zh-CN"",""vi"")"),"Trên con đường này có quy định về tốc độ giới hạn.")</f>
        <v>Trên con đường này có quy định về tốc độ giới hạn.</v>
      </c>
      <c r="F1024" s="101" t="s">
        <v>12234</v>
      </c>
      <c r="G1024" s="98" t="b">
        <f t="shared" si="2"/>
        <v>1</v>
      </c>
      <c r="H1024" s="99" t="b">
        <v>1</v>
      </c>
      <c r="I1024" s="99" t="b">
        <v>0</v>
      </c>
      <c r="J1024" s="99" t="b">
        <v>0</v>
      </c>
      <c r="K1024" s="99" t="b">
        <v>0</v>
      </c>
      <c r="L1024" s="99" t="b">
        <v>0</v>
      </c>
      <c r="M1024" s="99" t="b">
        <v>0</v>
      </c>
      <c r="N1024" s="99" t="b">
        <v>0</v>
      </c>
      <c r="O1024" s="99" t="b">
        <v>0</v>
      </c>
      <c r="P1024" s="99" t="b">
        <v>0</v>
      </c>
      <c r="Q1024" s="99" t="b">
        <v>0</v>
      </c>
      <c r="R1024" s="14"/>
      <c r="S1024" s="14"/>
      <c r="T1024" s="14"/>
      <c r="U1024" s="14"/>
      <c r="V1024" s="14"/>
      <c r="W1024" s="14"/>
    </row>
    <row r="1025" ht="35.25" customHeight="1">
      <c r="A1025" s="92" t="s">
        <v>12243</v>
      </c>
      <c r="B1025" s="93" t="s">
        <v>12244</v>
      </c>
      <c r="C1025" s="94" t="s">
        <v>12245</v>
      </c>
      <c r="D1025" s="95" t="s">
        <v>12246</v>
      </c>
      <c r="E1025" s="96" t="str">
        <f>IFERROR(__xludf.DUMMYFUNCTION("GOOGLETRANSLATE(D1025,""zh-CN"",""vi"")"),"Chúng tôi rất hợp nhau.")</f>
        <v>Chúng tôi rất hợp nhau.</v>
      </c>
      <c r="F1025" s="101" t="s">
        <v>12243</v>
      </c>
      <c r="G1025" s="98" t="b">
        <f t="shared" si="2"/>
        <v>1</v>
      </c>
      <c r="H1025" s="99" t="b">
        <v>1</v>
      </c>
      <c r="I1025" s="99" t="b">
        <v>0</v>
      </c>
      <c r="J1025" s="99" t="b">
        <v>0</v>
      </c>
      <c r="K1025" s="99" t="b">
        <v>0</v>
      </c>
      <c r="L1025" s="99" t="b">
        <v>0</v>
      </c>
      <c r="M1025" s="99" t="b">
        <v>0</v>
      </c>
      <c r="N1025" s="99" t="b">
        <v>0</v>
      </c>
      <c r="O1025" s="99" t="b">
        <v>0</v>
      </c>
      <c r="P1025" s="99" t="b">
        <v>0</v>
      </c>
      <c r="Q1025" s="99" t="b">
        <v>0</v>
      </c>
      <c r="R1025" s="14"/>
      <c r="S1025" s="14"/>
      <c r="T1025" s="14"/>
      <c r="U1025" s="14"/>
      <c r="V1025" s="14"/>
      <c r="W1025" s="14"/>
    </row>
    <row r="1026" ht="35.25" customHeight="1">
      <c r="A1026" s="92" t="s">
        <v>12248</v>
      </c>
      <c r="B1026" s="93" t="s">
        <v>12250</v>
      </c>
      <c r="C1026" s="94" t="s">
        <v>12252</v>
      </c>
      <c r="D1026" s="95" t="s">
        <v>12254</v>
      </c>
      <c r="E1026" s="96" t="str">
        <f>IFERROR(__xludf.DUMMYFUNCTION("GOOGLETRANSLATE(D1026,""zh-CN"",""vi"")"),"Món này khá cay.")</f>
        <v>Món này khá cay.</v>
      </c>
      <c r="F1026" s="101" t="s">
        <v>12248</v>
      </c>
      <c r="G1026" s="98" t="b">
        <f t="shared" si="2"/>
        <v>1</v>
      </c>
      <c r="H1026" s="99" t="b">
        <v>1</v>
      </c>
      <c r="I1026" s="99" t="b">
        <v>0</v>
      </c>
      <c r="J1026" s="99" t="b">
        <v>0</v>
      </c>
      <c r="K1026" s="99" t="b">
        <v>0</v>
      </c>
      <c r="L1026" s="99" t="b">
        <v>0</v>
      </c>
      <c r="M1026" s="99" t="b">
        <v>0</v>
      </c>
      <c r="N1026" s="99" t="b">
        <v>0</v>
      </c>
      <c r="O1026" s="99" t="b">
        <v>0</v>
      </c>
      <c r="P1026" s="99" t="b">
        <v>0</v>
      </c>
      <c r="Q1026" s="99" t="b">
        <v>0</v>
      </c>
      <c r="R1026" s="14"/>
      <c r="S1026" s="14"/>
      <c r="T1026" s="14"/>
      <c r="U1026" s="14"/>
      <c r="V1026" s="14"/>
      <c r="W1026" s="14"/>
    </row>
    <row r="1027" ht="35.25" customHeight="1">
      <c r="A1027" s="92" t="s">
        <v>12255</v>
      </c>
      <c r="B1027" s="93" t="s">
        <v>12257</v>
      </c>
      <c r="C1027" s="94" t="s">
        <v>12252</v>
      </c>
      <c r="D1027" s="95" t="s">
        <v>12260</v>
      </c>
      <c r="E1027" s="96" t="str">
        <f>IFERROR(__xludf.DUMMYFUNCTION("GOOGLETRANSLATE(D1027,""zh-CN"",""vi"")"),"Vấn đề này tương đối đơn giản.")</f>
        <v>Vấn đề này tương đối đơn giản.</v>
      </c>
      <c r="F1027" s="101" t="s">
        <v>12255</v>
      </c>
      <c r="G1027" s="98" t="b">
        <f t="shared" si="2"/>
        <v>1</v>
      </c>
      <c r="H1027" s="99" t="b">
        <v>1</v>
      </c>
      <c r="I1027" s="99" t="b">
        <v>0</v>
      </c>
      <c r="J1027" s="99" t="b">
        <v>0</v>
      </c>
      <c r="K1027" s="99" t="b">
        <v>0</v>
      </c>
      <c r="L1027" s="99" t="b">
        <v>0</v>
      </c>
      <c r="M1027" s="99" t="b">
        <v>0</v>
      </c>
      <c r="N1027" s="99" t="b">
        <v>0</v>
      </c>
      <c r="O1027" s="99" t="b">
        <v>0</v>
      </c>
      <c r="P1027" s="99" t="b">
        <v>0</v>
      </c>
      <c r="Q1027" s="99" t="b">
        <v>0</v>
      </c>
      <c r="R1027" s="14"/>
      <c r="S1027" s="14"/>
      <c r="T1027" s="14"/>
      <c r="U1027" s="14"/>
      <c r="V1027" s="14"/>
      <c r="W1027" s="14"/>
    </row>
    <row r="1028" ht="35.25" customHeight="1">
      <c r="A1028" s="92" t="s">
        <v>12262</v>
      </c>
      <c r="B1028" s="93" t="s">
        <v>12264</v>
      </c>
      <c r="C1028" s="94" t="s">
        <v>12266</v>
      </c>
      <c r="D1028" s="95" t="s">
        <v>12268</v>
      </c>
      <c r="E1028" s="96" t="str">
        <f>IFERROR(__xludf.DUMMYFUNCTION("GOOGLETRANSLATE(D1028,""zh-CN"",""vi"")"),"Những vấn đề này có liên quan đến nhau.")</f>
        <v>Những vấn đề này có liên quan đến nhau.</v>
      </c>
      <c r="F1028" s="101" t="s">
        <v>12262</v>
      </c>
      <c r="G1028" s="98" t="b">
        <f t="shared" si="2"/>
        <v>1</v>
      </c>
      <c r="H1028" s="99" t="b">
        <v>1</v>
      </c>
      <c r="I1028" s="99" t="b">
        <v>0</v>
      </c>
      <c r="J1028" s="99" t="b">
        <v>0</v>
      </c>
      <c r="K1028" s="99" t="b">
        <v>0</v>
      </c>
      <c r="L1028" s="99" t="b">
        <v>0</v>
      </c>
      <c r="M1028" s="99" t="b">
        <v>0</v>
      </c>
      <c r="N1028" s="99" t="b">
        <v>0</v>
      </c>
      <c r="O1028" s="99" t="b">
        <v>0</v>
      </c>
      <c r="P1028" s="99" t="b">
        <v>0</v>
      </c>
      <c r="Q1028" s="99" t="b">
        <v>0</v>
      </c>
      <c r="R1028" s="14"/>
      <c r="S1028" s="14"/>
      <c r="T1028" s="14"/>
      <c r="U1028" s="14"/>
      <c r="V1028" s="14"/>
      <c r="W1028" s="14"/>
    </row>
    <row r="1029" ht="35.25" customHeight="1">
      <c r="A1029" s="92" t="s">
        <v>12271</v>
      </c>
      <c r="B1029" s="93" t="s">
        <v>12274</v>
      </c>
      <c r="C1029" s="94" t="s">
        <v>3119</v>
      </c>
      <c r="D1029" s="95" t="s">
        <v>12276</v>
      </c>
      <c r="E1029" s="96" t="str">
        <f>IFERROR(__xludf.DUMMYFUNCTION("GOOGLETRANSLATE(D1029,""zh-CN"",""vi"")"),"Hai câu hỏi này rất giống nhau.")</f>
        <v>Hai câu hỏi này rất giống nhau.</v>
      </c>
      <c r="F1029" s="101" t="s">
        <v>12271</v>
      </c>
      <c r="G1029" s="98" t="b">
        <f t="shared" si="2"/>
        <v>1</v>
      </c>
      <c r="H1029" s="99" t="b">
        <v>1</v>
      </c>
      <c r="I1029" s="99" t="b">
        <v>0</v>
      </c>
      <c r="J1029" s="99" t="b">
        <v>0</v>
      </c>
      <c r="K1029" s="99" t="b">
        <v>0</v>
      </c>
      <c r="L1029" s="99" t="b">
        <v>0</v>
      </c>
      <c r="M1029" s="99" t="b">
        <v>0</v>
      </c>
      <c r="N1029" s="99" t="b">
        <v>0</v>
      </c>
      <c r="O1029" s="99" t="b">
        <v>0</v>
      </c>
      <c r="P1029" s="99" t="b">
        <v>0</v>
      </c>
      <c r="Q1029" s="99" t="b">
        <v>0</v>
      </c>
      <c r="R1029" s="14"/>
      <c r="S1029" s="14"/>
      <c r="T1029" s="14"/>
      <c r="U1029" s="14"/>
      <c r="V1029" s="14"/>
      <c r="W1029" s="14"/>
    </row>
    <row r="1030" ht="35.25" customHeight="1">
      <c r="A1030" s="92" t="s">
        <v>12280</v>
      </c>
      <c r="B1030" s="93" t="s">
        <v>12282</v>
      </c>
      <c r="C1030" s="94" t="s">
        <v>12283</v>
      </c>
      <c r="D1030" s="95" t="s">
        <v>12284</v>
      </c>
      <c r="E1030" s="96" t="str">
        <f>IFERROR(__xludf.DUMMYFUNCTION("GOOGLETRANSLATE(D1030,""zh-CN"",""vi"")"),"Xúc xích này ngon tuyệt.")</f>
        <v>Xúc xích này ngon tuyệt.</v>
      </c>
      <c r="F1030" s="101" t="s">
        <v>12280</v>
      </c>
      <c r="G1030" s="98" t="b">
        <f t="shared" si="2"/>
        <v>1</v>
      </c>
      <c r="H1030" s="99" t="b">
        <v>1</v>
      </c>
      <c r="I1030" s="99" t="b">
        <v>0</v>
      </c>
      <c r="J1030" s="99" t="b">
        <v>0</v>
      </c>
      <c r="K1030" s="99" t="b">
        <v>0</v>
      </c>
      <c r="L1030" s="99" t="b">
        <v>0</v>
      </c>
      <c r="M1030" s="99" t="b">
        <v>0</v>
      </c>
      <c r="N1030" s="99" t="b">
        <v>0</v>
      </c>
      <c r="O1030" s="99" t="b">
        <v>0</v>
      </c>
      <c r="P1030" s="99" t="b">
        <v>0</v>
      </c>
      <c r="Q1030" s="99" t="b">
        <v>0</v>
      </c>
      <c r="R1030" s="14"/>
      <c r="S1030" s="14"/>
      <c r="T1030" s="14"/>
      <c r="U1030" s="14"/>
      <c r="V1030" s="14"/>
      <c r="W1030" s="14"/>
    </row>
    <row r="1031" ht="35.25" customHeight="1">
      <c r="A1031" s="92" t="s">
        <v>12289</v>
      </c>
      <c r="B1031" s="93" t="s">
        <v>12294</v>
      </c>
      <c r="C1031" s="94" t="s">
        <v>12298</v>
      </c>
      <c r="D1031" s="95" t="s">
        <v>12299</v>
      </c>
      <c r="E1031" s="96" t="str">
        <f>IFERROR(__xludf.DUMMYFUNCTION("GOOGLETRANSLATE(D1031,""zh-CN"",""vi"")"),"Tôi đã tận hưởng kỳ nghỉ này một cách trọn vẹn.")</f>
        <v>Tôi đã tận hưởng kỳ nghỉ này một cách trọn vẹn.</v>
      </c>
      <c r="F1031" s="101" t="s">
        <v>12289</v>
      </c>
      <c r="G1031" s="98" t="b">
        <f t="shared" si="2"/>
        <v>1</v>
      </c>
      <c r="H1031" s="99" t="b">
        <v>1</v>
      </c>
      <c r="I1031" s="99" t="b">
        <v>0</v>
      </c>
      <c r="J1031" s="99" t="b">
        <v>0</v>
      </c>
      <c r="K1031" s="99" t="b">
        <v>0</v>
      </c>
      <c r="L1031" s="99" t="b">
        <v>0</v>
      </c>
      <c r="M1031" s="99" t="b">
        <v>0</v>
      </c>
      <c r="N1031" s="99" t="b">
        <v>0</v>
      </c>
      <c r="O1031" s="99" t="b">
        <v>0</v>
      </c>
      <c r="P1031" s="99" t="b">
        <v>0</v>
      </c>
      <c r="Q1031" s="99" t="b">
        <v>0</v>
      </c>
      <c r="R1031" s="14"/>
      <c r="S1031" s="14"/>
      <c r="T1031" s="14"/>
      <c r="U1031" s="14"/>
      <c r="V1031" s="14"/>
      <c r="W1031" s="14"/>
    </row>
    <row r="1032" ht="35.25" customHeight="1">
      <c r="A1032" s="92" t="s">
        <v>12324</v>
      </c>
      <c r="B1032" s="93" t="s">
        <v>12325</v>
      </c>
      <c r="C1032" s="94" t="s">
        <v>12326</v>
      </c>
      <c r="D1032" s="95" t="s">
        <v>12327</v>
      </c>
      <c r="E1032" s="96" t="str">
        <f>IFERROR(__xludf.DUMMYFUNCTION("GOOGLETRANSLATE(D1032,""zh-CN"",""vi"")"),"Tôi nhớ bạn nhiều lắm.")</f>
        <v>Tôi nhớ bạn nhiều lắm.</v>
      </c>
      <c r="F1032" s="101" t="s">
        <v>12324</v>
      </c>
      <c r="G1032" s="98" t="b">
        <f t="shared" si="2"/>
        <v>1</v>
      </c>
      <c r="H1032" s="99" t="b">
        <v>1</v>
      </c>
      <c r="I1032" s="99" t="b">
        <v>0</v>
      </c>
      <c r="J1032" s="99" t="b">
        <v>0</v>
      </c>
      <c r="K1032" s="99" t="b">
        <v>0</v>
      </c>
      <c r="L1032" s="99" t="b">
        <v>0</v>
      </c>
      <c r="M1032" s="99" t="b">
        <v>0</v>
      </c>
      <c r="N1032" s="99" t="b">
        <v>0</v>
      </c>
      <c r="O1032" s="99" t="b">
        <v>0</v>
      </c>
      <c r="P1032" s="99" t="b">
        <v>0</v>
      </c>
      <c r="Q1032" s="99" t="b">
        <v>0</v>
      </c>
      <c r="R1032" s="14"/>
      <c r="S1032" s="14"/>
      <c r="T1032" s="14"/>
      <c r="U1032" s="14"/>
      <c r="V1032" s="14"/>
      <c r="W1032" s="14"/>
    </row>
    <row r="1033" ht="35.25" customHeight="1">
      <c r="A1033" s="92" t="s">
        <v>12336</v>
      </c>
      <c r="B1033" s="93" t="s">
        <v>12337</v>
      </c>
      <c r="C1033" s="94" t="s">
        <v>12338</v>
      </c>
      <c r="D1033" s="95" t="s">
        <v>12339</v>
      </c>
      <c r="E1033" s="96" t="str">
        <f>IFERROR(__xludf.DUMMYFUNCTION("GOOGLETRANSLATE(D1033,""zh-CN"",""vi"")"),"Anh ấy rất giỏi trong việc sử dụng trí tưởng tượng của mình.")</f>
        <v>Anh ấy rất giỏi trong việc sử dụng trí tưởng tượng của mình.</v>
      </c>
      <c r="F1033" s="101" t="s">
        <v>12336</v>
      </c>
      <c r="G1033" s="98" t="b">
        <f t="shared" si="2"/>
        <v>1</v>
      </c>
      <c r="H1033" s="99" t="b">
        <v>1</v>
      </c>
      <c r="I1033" s="99" t="b">
        <v>0</v>
      </c>
      <c r="J1033" s="99" t="b">
        <v>0</v>
      </c>
      <c r="K1033" s="99" t="b">
        <v>0</v>
      </c>
      <c r="L1033" s="99" t="b">
        <v>0</v>
      </c>
      <c r="M1033" s="99" t="b">
        <v>0</v>
      </c>
      <c r="N1033" s="99" t="b">
        <v>0</v>
      </c>
      <c r="O1033" s="99" t="b">
        <v>0</v>
      </c>
      <c r="P1033" s="99" t="b">
        <v>0</v>
      </c>
      <c r="Q1033" s="99" t="b">
        <v>0</v>
      </c>
      <c r="R1033" s="14"/>
      <c r="S1033" s="14"/>
      <c r="T1033" s="14"/>
      <c r="U1033" s="14"/>
      <c r="V1033" s="14"/>
      <c r="W1033" s="14"/>
    </row>
    <row r="1034" ht="35.25" customHeight="1">
      <c r="A1034" s="92" t="s">
        <v>12343</v>
      </c>
      <c r="B1034" s="93" t="s">
        <v>2433</v>
      </c>
      <c r="C1034" s="94" t="s">
        <v>12344</v>
      </c>
      <c r="D1034" s="95" t="s">
        <v>12346</v>
      </c>
      <c r="E1034" s="96" t="str">
        <f>IFERROR(__xludf.DUMMYFUNCTION("GOOGLETRANSLATE(D1034,""zh-CN"",""vi"")"),"Chúng ta cần hoàn thành nhiệm vụ này.")</f>
        <v>Chúng ta cần hoàn thành nhiệm vụ này.</v>
      </c>
      <c r="F1034" s="101" t="s">
        <v>12343</v>
      </c>
      <c r="G1034" s="98" t="b">
        <f t="shared" si="2"/>
        <v>1</v>
      </c>
      <c r="H1034" s="99" t="b">
        <v>1</v>
      </c>
      <c r="I1034" s="99" t="b">
        <v>0</v>
      </c>
      <c r="J1034" s="99" t="b">
        <v>0</v>
      </c>
      <c r="K1034" s="99" t="b">
        <v>0</v>
      </c>
      <c r="L1034" s="99" t="b">
        <v>0</v>
      </c>
      <c r="M1034" s="99" t="b">
        <v>0</v>
      </c>
      <c r="N1034" s="99" t="b">
        <v>0</v>
      </c>
      <c r="O1034" s="99" t="b">
        <v>0</v>
      </c>
      <c r="P1034" s="99" t="b">
        <v>0</v>
      </c>
      <c r="Q1034" s="99" t="b">
        <v>0</v>
      </c>
      <c r="R1034" s="14"/>
      <c r="S1034" s="14"/>
      <c r="T1034" s="14"/>
      <c r="U1034" s="14"/>
      <c r="V1034" s="14"/>
      <c r="W1034" s="14"/>
    </row>
    <row r="1035" ht="35.25" customHeight="1">
      <c r="A1035" s="92" t="s">
        <v>12351</v>
      </c>
      <c r="B1035" s="93" t="s">
        <v>12353</v>
      </c>
      <c r="C1035" s="94" t="s">
        <v>12354</v>
      </c>
      <c r="D1035" s="95" t="s">
        <v>12355</v>
      </c>
      <c r="E1035" s="96" t="str">
        <f>IFERROR(__xludf.DUMMYFUNCTION("GOOGLETRANSLATE(D1035,""zh-CN"",""vi"")"),"Cô ấy đeo một chiếc vòng cổ rất đẹp.")</f>
        <v>Cô ấy đeo một chiếc vòng cổ rất đẹp.</v>
      </c>
      <c r="F1035" s="101" t="s">
        <v>12351</v>
      </c>
      <c r="G1035" s="98" t="b">
        <f t="shared" si="2"/>
        <v>1</v>
      </c>
      <c r="H1035" s="99" t="b">
        <v>1</v>
      </c>
      <c r="I1035" s="99" t="b">
        <v>0</v>
      </c>
      <c r="J1035" s="99" t="b">
        <v>0</v>
      </c>
      <c r="K1035" s="99" t="b">
        <v>0</v>
      </c>
      <c r="L1035" s="99" t="b">
        <v>0</v>
      </c>
      <c r="M1035" s="99" t="b">
        <v>0</v>
      </c>
      <c r="N1035" s="99" t="b">
        <v>0</v>
      </c>
      <c r="O1035" s="99" t="b">
        <v>0</v>
      </c>
      <c r="P1035" s="99" t="b">
        <v>0</v>
      </c>
      <c r="Q1035" s="99" t="b">
        <v>0</v>
      </c>
      <c r="R1035" s="14"/>
      <c r="S1035" s="14"/>
      <c r="T1035" s="14"/>
      <c r="U1035" s="14"/>
      <c r="V1035" s="14"/>
      <c r="W1035" s="14"/>
    </row>
    <row r="1036" ht="35.25" customHeight="1">
      <c r="A1036" s="92" t="s">
        <v>12364</v>
      </c>
      <c r="B1036" s="93" t="s">
        <v>12365</v>
      </c>
      <c r="C1036" s="94" t="s">
        <v>12366</v>
      </c>
      <c r="D1036" s="95" t="s">
        <v>12367</v>
      </c>
      <c r="E1036" s="96" t="str">
        <f>IFERROR(__xludf.DUMMYFUNCTION("GOOGLETRANSLATE(D1036,""zh-CN"",""vi"")"),"Dự án này rất quan trọng.")</f>
        <v>Dự án này rất quan trọng.</v>
      </c>
      <c r="F1036" s="101" t="s">
        <v>12364</v>
      </c>
      <c r="G1036" s="98" t="b">
        <f t="shared" si="2"/>
        <v>1</v>
      </c>
      <c r="H1036" s="99" t="b">
        <v>1</v>
      </c>
      <c r="I1036" s="99" t="b">
        <v>0</v>
      </c>
      <c r="J1036" s="99" t="b">
        <v>0</v>
      </c>
      <c r="K1036" s="99" t="b">
        <v>0</v>
      </c>
      <c r="L1036" s="99" t="b">
        <v>0</v>
      </c>
      <c r="M1036" s="99" t="b">
        <v>0</v>
      </c>
      <c r="N1036" s="99" t="b">
        <v>0</v>
      </c>
      <c r="O1036" s="99" t="b">
        <v>0</v>
      </c>
      <c r="P1036" s="99" t="b">
        <v>0</v>
      </c>
      <c r="Q1036" s="99" t="b">
        <v>0</v>
      </c>
      <c r="R1036" s="14"/>
      <c r="S1036" s="14"/>
      <c r="T1036" s="14"/>
      <c r="U1036" s="14"/>
      <c r="V1036" s="14"/>
      <c r="W1036" s="14"/>
    </row>
    <row r="1037" ht="35.25" customHeight="1">
      <c r="A1037" s="92" t="s">
        <v>12376</v>
      </c>
      <c r="B1037" s="93" t="s">
        <v>12377</v>
      </c>
      <c r="C1037" s="94" t="s">
        <v>12378</v>
      </c>
      <c r="D1037" s="95" t="s">
        <v>12379</v>
      </c>
      <c r="E1037" s="96" t="str">
        <f>IFERROR(__xludf.DUMMYFUNCTION("GOOGLETRANSLATE(D1037,""zh-CN"",""vi"")"),"Tôi thích chơi cờ vua.")</f>
        <v>Tôi thích chơi cờ vua.</v>
      </c>
      <c r="F1037" s="101" t="s">
        <v>12376</v>
      </c>
      <c r="G1037" s="98" t="b">
        <f t="shared" si="2"/>
        <v>1</v>
      </c>
      <c r="H1037" s="99" t="b">
        <v>1</v>
      </c>
      <c r="I1037" s="99" t="b">
        <v>0</v>
      </c>
      <c r="J1037" s="99" t="b">
        <v>0</v>
      </c>
      <c r="K1037" s="99" t="b">
        <v>0</v>
      </c>
      <c r="L1037" s="99" t="b">
        <v>0</v>
      </c>
      <c r="M1037" s="99" t="b">
        <v>0</v>
      </c>
      <c r="N1037" s="99" t="b">
        <v>0</v>
      </c>
      <c r="O1037" s="99" t="b">
        <v>0</v>
      </c>
      <c r="P1037" s="99" t="b">
        <v>0</v>
      </c>
      <c r="Q1037" s="99" t="b">
        <v>0</v>
      </c>
      <c r="R1037" s="14"/>
      <c r="S1037" s="14"/>
      <c r="T1037" s="14"/>
      <c r="U1037" s="14"/>
      <c r="V1037" s="14"/>
      <c r="W1037" s="14"/>
    </row>
    <row r="1038" ht="35.25" customHeight="1">
      <c r="A1038" s="92" t="s">
        <v>12385</v>
      </c>
      <c r="B1038" s="93" t="s">
        <v>12388</v>
      </c>
      <c r="C1038" s="94" t="s">
        <v>12389</v>
      </c>
      <c r="D1038" s="95" t="s">
        <v>12390</v>
      </c>
      <c r="E1038" s="96" t="str">
        <f>IFERROR(__xludf.DUMMYFUNCTION("GOOGLETRANSLATE(D1038,""zh-CN"",""vi"")"),"Chim bồ câu tượng trưng cho hòa bình.")</f>
        <v>Chim bồ câu tượng trưng cho hòa bình.</v>
      </c>
      <c r="F1038" s="101" t="s">
        <v>12385</v>
      </c>
      <c r="G1038" s="98" t="b">
        <f t="shared" si="2"/>
        <v>1</v>
      </c>
      <c r="H1038" s="99" t="b">
        <v>1</v>
      </c>
      <c r="I1038" s="99" t="b">
        <v>0</v>
      </c>
      <c r="J1038" s="99" t="b">
        <v>0</v>
      </c>
      <c r="K1038" s="99" t="b">
        <v>0</v>
      </c>
      <c r="L1038" s="99" t="b">
        <v>0</v>
      </c>
      <c r="M1038" s="99" t="b">
        <v>0</v>
      </c>
      <c r="N1038" s="99" t="b">
        <v>0</v>
      </c>
      <c r="O1038" s="99" t="b">
        <v>0</v>
      </c>
      <c r="P1038" s="99" t="b">
        <v>0</v>
      </c>
      <c r="Q1038" s="99" t="b">
        <v>0</v>
      </c>
      <c r="R1038" s="14"/>
      <c r="S1038" s="14"/>
      <c r="T1038" s="14"/>
      <c r="U1038" s="14"/>
      <c r="V1038" s="14"/>
      <c r="W1038" s="14"/>
    </row>
    <row r="1039" ht="35.25" customHeight="1">
      <c r="A1039" s="92" t="s">
        <v>12396</v>
      </c>
      <c r="B1039" s="93" t="s">
        <v>12398</v>
      </c>
      <c r="C1039" s="94" t="s">
        <v>12401</v>
      </c>
      <c r="D1039" s="95" t="s">
        <v>12402</v>
      </c>
      <c r="E1039" s="96" t="str">
        <f>IFERROR(__xludf.DUMMYFUNCTION("GOOGLETRANSLATE(D1039,""zh-CN"",""vi"")"),"Chúng ta cần tiết kiệm chi phí tiêu thụ.")</f>
        <v>Chúng ta cần tiết kiệm chi phí tiêu thụ.</v>
      </c>
      <c r="F1039" s="101" t="s">
        <v>12396</v>
      </c>
      <c r="G1039" s="98" t="b">
        <f t="shared" si="2"/>
        <v>1</v>
      </c>
      <c r="H1039" s="99" t="b">
        <v>1</v>
      </c>
      <c r="I1039" s="99" t="b">
        <v>0</v>
      </c>
      <c r="J1039" s="99" t="b">
        <v>0</v>
      </c>
      <c r="K1039" s="99" t="b">
        <v>0</v>
      </c>
      <c r="L1039" s="99" t="b">
        <v>0</v>
      </c>
      <c r="M1039" s="99" t="b">
        <v>0</v>
      </c>
      <c r="N1039" s="99" t="b">
        <v>0</v>
      </c>
      <c r="O1039" s="99" t="b">
        <v>0</v>
      </c>
      <c r="P1039" s="99" t="b">
        <v>0</v>
      </c>
      <c r="Q1039" s="99" t="b">
        <v>0</v>
      </c>
      <c r="R1039" s="14"/>
      <c r="S1039" s="14"/>
      <c r="T1039" s="14"/>
      <c r="U1039" s="14"/>
      <c r="V1039" s="14"/>
      <c r="W1039" s="14"/>
    </row>
    <row r="1040" ht="35.25" customHeight="1">
      <c r="A1040" s="92" t="s">
        <v>12407</v>
      </c>
      <c r="B1040" s="93" t="s">
        <v>12408</v>
      </c>
      <c r="C1040" s="94" t="s">
        <v>12409</v>
      </c>
      <c r="D1040" s="95" t="s">
        <v>12410</v>
      </c>
      <c r="E1040" s="96" t="str">
        <f>IFERROR(__xludf.DUMMYFUNCTION("GOOGLETRANSLATE(D1040,""zh-CN"",""vi"")"),"Quá trình tiêu hóa rất phức tạp.")</f>
        <v>Quá trình tiêu hóa rất phức tạp.</v>
      </c>
      <c r="F1040" s="101" t="s">
        <v>12407</v>
      </c>
      <c r="G1040" s="98" t="b">
        <f t="shared" si="2"/>
        <v>1</v>
      </c>
      <c r="H1040" s="99" t="b">
        <v>1</v>
      </c>
      <c r="I1040" s="99" t="b">
        <v>0</v>
      </c>
      <c r="J1040" s="99" t="b">
        <v>0</v>
      </c>
      <c r="K1040" s="99" t="b">
        <v>0</v>
      </c>
      <c r="L1040" s="99" t="b">
        <v>0</v>
      </c>
      <c r="M1040" s="99" t="b">
        <v>0</v>
      </c>
      <c r="N1040" s="99" t="b">
        <v>0</v>
      </c>
      <c r="O1040" s="99" t="b">
        <v>0</v>
      </c>
      <c r="P1040" s="99" t="b">
        <v>0</v>
      </c>
      <c r="Q1040" s="99" t="b">
        <v>0</v>
      </c>
      <c r="R1040" s="14"/>
      <c r="S1040" s="14"/>
      <c r="T1040" s="14"/>
      <c r="U1040" s="14"/>
      <c r="V1040" s="14"/>
      <c r="W1040" s="14"/>
    </row>
    <row r="1041" ht="35.25" customHeight="1">
      <c r="A1041" s="92" t="s">
        <v>12416</v>
      </c>
      <c r="B1041" s="93" t="s">
        <v>12419</v>
      </c>
      <c r="C1041" s="94" t="s">
        <v>12421</v>
      </c>
      <c r="D1041" s="95" t="s">
        <v>12422</v>
      </c>
      <c r="E1041" s="96" t="str">
        <f>IFERROR(__xludf.DUMMYFUNCTION("GOOGLETRANSLATE(D1041,""zh-CN"",""vi"")"),"Cô ấy đã bác bỏ những lời bình luận tiêu cực đó.")</f>
        <v>Cô ấy đã bác bỏ những lời bình luận tiêu cực đó.</v>
      </c>
      <c r="F1041" s="101" t="s">
        <v>12416</v>
      </c>
      <c r="G1041" s="98" t="b">
        <f t="shared" si="2"/>
        <v>1</v>
      </c>
      <c r="H1041" s="99" t="b">
        <v>1</v>
      </c>
      <c r="I1041" s="99" t="b">
        <v>0</v>
      </c>
      <c r="J1041" s="99" t="b">
        <v>0</v>
      </c>
      <c r="K1041" s="99" t="b">
        <v>0</v>
      </c>
      <c r="L1041" s="99" t="b">
        <v>0</v>
      </c>
      <c r="M1041" s="99" t="b">
        <v>0</v>
      </c>
      <c r="N1041" s="99" t="b">
        <v>0</v>
      </c>
      <c r="O1041" s="99" t="b">
        <v>0</v>
      </c>
      <c r="P1041" s="99" t="b">
        <v>0</v>
      </c>
      <c r="Q1041" s="99" t="b">
        <v>0</v>
      </c>
      <c r="R1041" s="14"/>
      <c r="S1041" s="14"/>
      <c r="T1041" s="14"/>
      <c r="U1041" s="14"/>
      <c r="V1041" s="14"/>
      <c r="W1041" s="14"/>
    </row>
    <row r="1042" ht="35.25" customHeight="1">
      <c r="A1042" s="92" t="s">
        <v>12424</v>
      </c>
      <c r="B1042" s="93" t="s">
        <v>12425</v>
      </c>
      <c r="C1042" s="94" t="s">
        <v>12426</v>
      </c>
      <c r="D1042" s="95" t="s">
        <v>12427</v>
      </c>
      <c r="E1042" s="96" t="str">
        <f>IFERROR(__xludf.DUMMYFUNCTION("GOOGLETRANSLATE(D1042,""zh-CN"",""vi"")"),"Tệp đó đã biến mất.")</f>
        <v>Tệp đó đã biến mất.</v>
      </c>
      <c r="F1042" s="101" t="s">
        <v>12424</v>
      </c>
      <c r="G1042" s="98" t="b">
        <f t="shared" si="2"/>
        <v>1</v>
      </c>
      <c r="H1042" s="99" t="b">
        <v>1</v>
      </c>
      <c r="I1042" s="99" t="b">
        <v>0</v>
      </c>
      <c r="J1042" s="99" t="b">
        <v>0</v>
      </c>
      <c r="K1042" s="99" t="b">
        <v>0</v>
      </c>
      <c r="L1042" s="99" t="b">
        <v>0</v>
      </c>
      <c r="M1042" s="99" t="b">
        <v>0</v>
      </c>
      <c r="N1042" s="99" t="b">
        <v>0</v>
      </c>
      <c r="O1042" s="99" t="b">
        <v>0</v>
      </c>
      <c r="P1042" s="99" t="b">
        <v>0</v>
      </c>
      <c r="Q1042" s="99" t="b">
        <v>0</v>
      </c>
      <c r="R1042" s="14"/>
      <c r="S1042" s="14"/>
      <c r="T1042" s="14"/>
      <c r="U1042" s="14"/>
      <c r="V1042" s="14"/>
      <c r="W1042" s="14"/>
    </row>
    <row r="1043" ht="35.25" customHeight="1">
      <c r="A1043" s="92" t="s">
        <v>12436</v>
      </c>
      <c r="B1043" s="93" t="s">
        <v>12437</v>
      </c>
      <c r="C1043" s="94" t="s">
        <v>1484</v>
      </c>
      <c r="D1043" s="95" t="s">
        <v>12438</v>
      </c>
      <c r="E1043" s="96" t="str">
        <f>IFERROR(__xludf.DUMMYFUNCTION("GOOGLETRANSLATE(D1043,""zh-CN"",""vi"")"),"Cửa hàng này có doanh thu rất cao.")</f>
        <v>Cửa hàng này có doanh thu rất cao.</v>
      </c>
      <c r="F1043" s="101" t="s">
        <v>12436</v>
      </c>
      <c r="G1043" s="98" t="b">
        <f t="shared" si="2"/>
        <v>1</v>
      </c>
      <c r="H1043" s="99" t="b">
        <v>1</v>
      </c>
      <c r="I1043" s="99" t="b">
        <v>0</v>
      </c>
      <c r="J1043" s="99" t="b">
        <v>0</v>
      </c>
      <c r="K1043" s="99" t="b">
        <v>0</v>
      </c>
      <c r="L1043" s="99" t="b">
        <v>0</v>
      </c>
      <c r="M1043" s="99" t="b">
        <v>0</v>
      </c>
      <c r="N1043" s="99" t="b">
        <v>0</v>
      </c>
      <c r="O1043" s="99" t="b">
        <v>0</v>
      </c>
      <c r="P1043" s="99" t="b">
        <v>0</v>
      </c>
      <c r="Q1043" s="99" t="b">
        <v>0</v>
      </c>
      <c r="R1043" s="14"/>
      <c r="S1043" s="14"/>
      <c r="T1043" s="14"/>
      <c r="U1043" s="14"/>
      <c r="V1043" s="14"/>
      <c r="W1043" s="14"/>
    </row>
    <row r="1044" ht="35.25" customHeight="1">
      <c r="A1044" s="92" t="s">
        <v>12443</v>
      </c>
      <c r="B1044" s="93" t="s">
        <v>12444</v>
      </c>
      <c r="C1044" s="94" t="s">
        <v>12445</v>
      </c>
      <c r="D1044" s="95" t="s">
        <v>12446</v>
      </c>
      <c r="E1044" s="96" t="str">
        <f>IFERROR(__xludf.DUMMYFUNCTION("GOOGLETRANSLATE(D1044,""zh-CN"",""vi"")"),"Chúng tôi đã trồng rất nhiều lúa mì.")</f>
        <v>Chúng tôi đã trồng rất nhiều lúa mì.</v>
      </c>
      <c r="F1044" s="101" t="s">
        <v>12443</v>
      </c>
      <c r="G1044" s="98" t="b">
        <f t="shared" si="2"/>
        <v>1</v>
      </c>
      <c r="H1044" s="99" t="b">
        <v>1</v>
      </c>
      <c r="I1044" s="99" t="b">
        <v>0</v>
      </c>
      <c r="J1044" s="99" t="b">
        <v>0</v>
      </c>
      <c r="K1044" s="99" t="b">
        <v>0</v>
      </c>
      <c r="L1044" s="99" t="b">
        <v>0</v>
      </c>
      <c r="M1044" s="99" t="b">
        <v>0</v>
      </c>
      <c r="N1044" s="99" t="b">
        <v>0</v>
      </c>
      <c r="O1044" s="99" t="b">
        <v>0</v>
      </c>
      <c r="P1044" s="99" t="b">
        <v>0</v>
      </c>
      <c r="Q1044" s="99" t="b">
        <v>0</v>
      </c>
      <c r="R1044" s="14"/>
      <c r="S1044" s="14"/>
      <c r="T1044" s="14"/>
      <c r="U1044" s="14"/>
      <c r="V1044" s="14"/>
      <c r="W1044" s="14"/>
    </row>
    <row r="1045" ht="35.25" customHeight="1">
      <c r="A1045" s="92" t="s">
        <v>12450</v>
      </c>
      <c r="B1045" s="93" t="s">
        <v>12451</v>
      </c>
      <c r="C1045" s="94" t="s">
        <v>12452</v>
      </c>
      <c r="D1045" s="95" t="s">
        <v>12455</v>
      </c>
      <c r="E1045" s="96" t="str">
        <f>IFERROR(__xludf.DUMMYFUNCTION("GOOGLETRANSLATE(D1045,""zh-CN"",""vi"")"),"Anh ấy hơi keo kiệt.")</f>
        <v>Anh ấy hơi keo kiệt.</v>
      </c>
      <c r="F1045" s="101" t="s">
        <v>12450</v>
      </c>
      <c r="G1045" s="98" t="b">
        <f t="shared" si="2"/>
        <v>1</v>
      </c>
      <c r="H1045" s="99" t="b">
        <v>1</v>
      </c>
      <c r="I1045" s="99" t="b">
        <v>0</v>
      </c>
      <c r="J1045" s="99" t="b">
        <v>0</v>
      </c>
      <c r="K1045" s="99" t="b">
        <v>0</v>
      </c>
      <c r="L1045" s="99" t="b">
        <v>0</v>
      </c>
      <c r="M1045" s="99" t="b">
        <v>0</v>
      </c>
      <c r="N1045" s="99" t="b">
        <v>0</v>
      </c>
      <c r="O1045" s="99" t="b">
        <v>0</v>
      </c>
      <c r="P1045" s="99" t="b">
        <v>0</v>
      </c>
      <c r="Q1045" s="99" t="b">
        <v>0</v>
      </c>
      <c r="R1045" s="14"/>
      <c r="S1045" s="14"/>
      <c r="T1045" s="14"/>
      <c r="U1045" s="14"/>
      <c r="V1045" s="14"/>
      <c r="W1045" s="14"/>
    </row>
    <row r="1046" ht="35.25" customHeight="1">
      <c r="A1046" s="92" t="s">
        <v>12460</v>
      </c>
      <c r="B1046" s="93" t="s">
        <v>12462</v>
      </c>
      <c r="C1046" s="94" t="s">
        <v>12464</v>
      </c>
      <c r="D1046" s="95" t="s">
        <v>12465</v>
      </c>
      <c r="E1046" s="96" t="str">
        <f>IFERROR(__xludf.DUMMYFUNCTION("GOOGLETRANSLATE(D1046,""zh-CN"",""vi"")"),"Anh ấy là một người con hiếu thảo.")</f>
        <v>Anh ấy là một người con hiếu thảo.</v>
      </c>
      <c r="F1046" s="101" t="s">
        <v>12460</v>
      </c>
      <c r="G1046" s="98" t="b">
        <f t="shared" si="2"/>
        <v>1</v>
      </c>
      <c r="H1046" s="99" t="b">
        <v>1</v>
      </c>
      <c r="I1046" s="99" t="b">
        <v>0</v>
      </c>
      <c r="J1046" s="99" t="b">
        <v>0</v>
      </c>
      <c r="K1046" s="99" t="b">
        <v>0</v>
      </c>
      <c r="L1046" s="99" t="b">
        <v>0</v>
      </c>
      <c r="M1046" s="99" t="b">
        <v>0</v>
      </c>
      <c r="N1046" s="99" t="b">
        <v>0</v>
      </c>
      <c r="O1046" s="99" t="b">
        <v>0</v>
      </c>
      <c r="P1046" s="99" t="b">
        <v>0</v>
      </c>
      <c r="Q1046" s="99" t="b">
        <v>0</v>
      </c>
      <c r="R1046" s="14"/>
      <c r="S1046" s="14"/>
      <c r="T1046" s="14"/>
      <c r="U1046" s="14"/>
      <c r="V1046" s="14"/>
      <c r="W1046" s="14"/>
    </row>
    <row r="1047" ht="35.25" customHeight="1">
      <c r="A1047" s="92" t="s">
        <v>12468</v>
      </c>
      <c r="B1047" s="93" t="s">
        <v>12470</v>
      </c>
      <c r="C1047" s="102" t="s">
        <v>12472</v>
      </c>
      <c r="D1047" s="95" t="s">
        <v>12473</v>
      </c>
      <c r="E1047" s="96" t="str">
        <f>IFERROR(__xludf.DUMMYFUNCTION("GOOGLETRANSLATE(D1047,""zh-CN"",""vi"")"),"Mục tiêu của chúng tôi là nâng cao hiệu quả.")</f>
        <v>Mục tiêu của chúng tôi là nâng cao hiệu quả.</v>
      </c>
      <c r="F1047" s="101" t="s">
        <v>12468</v>
      </c>
      <c r="G1047" s="98" t="b">
        <f t="shared" si="2"/>
        <v>1</v>
      </c>
      <c r="H1047" s="99" t="b">
        <v>1</v>
      </c>
      <c r="I1047" s="99" t="b">
        <v>0</v>
      </c>
      <c r="J1047" s="99" t="b">
        <v>0</v>
      </c>
      <c r="K1047" s="99" t="b">
        <v>0</v>
      </c>
      <c r="L1047" s="99" t="b">
        <v>0</v>
      </c>
      <c r="M1047" s="99" t="b">
        <v>0</v>
      </c>
      <c r="N1047" s="99" t="b">
        <v>0</v>
      </c>
      <c r="O1047" s="99" t="b">
        <v>0</v>
      </c>
      <c r="P1047" s="99" t="b">
        <v>0</v>
      </c>
      <c r="Q1047" s="99" t="b">
        <v>0</v>
      </c>
      <c r="R1047" s="14"/>
      <c r="S1047" s="14"/>
      <c r="T1047" s="14"/>
      <c r="U1047" s="14"/>
      <c r="V1047" s="14"/>
      <c r="W1047" s="14"/>
    </row>
    <row r="1048" ht="35.25" customHeight="1">
      <c r="A1048" s="92" t="s">
        <v>12478</v>
      </c>
      <c r="B1048" s="93" t="s">
        <v>1942</v>
      </c>
      <c r="C1048" s="94" t="s">
        <v>2524</v>
      </c>
      <c r="D1048" s="95" t="s">
        <v>12479</v>
      </c>
      <c r="E1048" s="96" t="str">
        <f>IFERROR(__xludf.DUMMYFUNCTION("GOOGLETRANSLATE(D1048,""zh-CN"",""vi"")"),"Anh ấy cần nghỉ ngơi một lát.")</f>
        <v>Anh ấy cần nghỉ ngơi một lát.</v>
      </c>
      <c r="F1048" s="101" t="s">
        <v>12478</v>
      </c>
      <c r="G1048" s="98" t="b">
        <f t="shared" si="2"/>
        <v>1</v>
      </c>
      <c r="H1048" s="99" t="b">
        <v>1</v>
      </c>
      <c r="I1048" s="99" t="b">
        <v>0</v>
      </c>
      <c r="J1048" s="99" t="b">
        <v>0</v>
      </c>
      <c r="K1048" s="99" t="b">
        <v>0</v>
      </c>
      <c r="L1048" s="99" t="b">
        <v>0</v>
      </c>
      <c r="M1048" s="99" t="b">
        <v>0</v>
      </c>
      <c r="N1048" s="99" t="b">
        <v>0</v>
      </c>
      <c r="O1048" s="99" t="b">
        <v>0</v>
      </c>
      <c r="P1048" s="99" t="b">
        <v>0</v>
      </c>
      <c r="Q1048" s="99" t="b">
        <v>0</v>
      </c>
      <c r="R1048" s="14"/>
      <c r="S1048" s="14"/>
      <c r="T1048" s="14"/>
      <c r="U1048" s="14"/>
      <c r="V1048" s="14"/>
      <c r="W1048" s="14"/>
    </row>
    <row r="1049" ht="35.25" customHeight="1">
      <c r="A1049" s="92" t="s">
        <v>12484</v>
      </c>
      <c r="B1049" s="93" t="s">
        <v>3137</v>
      </c>
      <c r="C1049" s="94" t="s">
        <v>12485</v>
      </c>
      <c r="D1049" s="95" t="s">
        <v>12486</v>
      </c>
      <c r="E1049" s="96" t="str">
        <f>IFERROR(__xludf.DUMMYFUNCTION("GOOGLETRANSLATE(D1049,""zh-CN"",""vi"")"),"Con đường này hơi dốc.")</f>
        <v>Con đường này hơi dốc.</v>
      </c>
      <c r="F1049" s="101" t="s">
        <v>12484</v>
      </c>
      <c r="G1049" s="98" t="b">
        <f t="shared" si="2"/>
        <v>1</v>
      </c>
      <c r="H1049" s="99" t="b">
        <v>1</v>
      </c>
      <c r="I1049" s="99" t="b">
        <v>0</v>
      </c>
      <c r="J1049" s="99" t="b">
        <v>0</v>
      </c>
      <c r="K1049" s="99" t="b">
        <v>0</v>
      </c>
      <c r="L1049" s="99" t="b">
        <v>0</v>
      </c>
      <c r="M1049" s="99" t="b">
        <v>0</v>
      </c>
      <c r="N1049" s="99" t="b">
        <v>0</v>
      </c>
      <c r="O1049" s="99" t="b">
        <v>0</v>
      </c>
      <c r="P1049" s="99" t="b">
        <v>0</v>
      </c>
      <c r="Q1049" s="99" t="b">
        <v>0</v>
      </c>
      <c r="R1049" s="14"/>
      <c r="S1049" s="14"/>
      <c r="T1049" s="14"/>
      <c r="U1049" s="14"/>
      <c r="V1049" s="14"/>
      <c r="W1049" s="14"/>
    </row>
    <row r="1050" ht="35.25" customHeight="1">
      <c r="A1050" s="92" t="s">
        <v>12491</v>
      </c>
      <c r="B1050" s="93" t="s">
        <v>12493</v>
      </c>
      <c r="C1050" s="94" t="s">
        <v>1963</v>
      </c>
      <c r="D1050" s="95" t="s">
        <v>12497</v>
      </c>
      <c r="E1050" s="96" t="str">
        <f>IFERROR(__xludf.DUMMYFUNCTION("GOOGLETRANSLATE(D1050,""zh-CN"",""vi"")"),"Cô ấy viết rất giỏi.")</f>
        <v>Cô ấy viết rất giỏi.</v>
      </c>
      <c r="F1050" s="101" t="s">
        <v>12491</v>
      </c>
      <c r="G1050" s="98" t="b">
        <f t="shared" si="2"/>
        <v>1</v>
      </c>
      <c r="H1050" s="99" t="b">
        <v>1</v>
      </c>
      <c r="I1050" s="99" t="b">
        <v>0</v>
      </c>
      <c r="J1050" s="99" t="b">
        <v>0</v>
      </c>
      <c r="K1050" s="99" t="b">
        <v>0</v>
      </c>
      <c r="L1050" s="99" t="b">
        <v>0</v>
      </c>
      <c r="M1050" s="99" t="b">
        <v>0</v>
      </c>
      <c r="N1050" s="99" t="b">
        <v>0</v>
      </c>
      <c r="O1050" s="99" t="b">
        <v>0</v>
      </c>
      <c r="P1050" s="99" t="b">
        <v>0</v>
      </c>
      <c r="Q1050" s="99" t="b">
        <v>0</v>
      </c>
      <c r="R1050" s="14"/>
      <c r="S1050" s="14"/>
      <c r="T1050" s="14"/>
      <c r="U1050" s="14"/>
      <c r="V1050" s="14"/>
      <c r="W1050" s="14"/>
    </row>
    <row r="1051" ht="35.25" customHeight="1">
      <c r="A1051" s="92" t="s">
        <v>12502</v>
      </c>
      <c r="B1051" s="93" t="s">
        <v>1960</v>
      </c>
      <c r="C1051" s="94" t="s">
        <v>12503</v>
      </c>
      <c r="D1051" s="95" t="s">
        <v>12504</v>
      </c>
      <c r="E1051" s="96" t="str">
        <f>IFERROR(__xludf.DUMMYFUNCTION("GOOGLETRANSLATE(D1051,""zh-CN"",""vi"")"),"Tuần hoàn máu rất quan trọng đối với sức khỏe.")</f>
        <v>Tuần hoàn máu rất quan trọng đối với sức khỏe.</v>
      </c>
      <c r="F1051" s="101" t="s">
        <v>12502</v>
      </c>
      <c r="G1051" s="98" t="b">
        <f t="shared" si="2"/>
        <v>1</v>
      </c>
      <c r="H1051" s="99" t="b">
        <v>0</v>
      </c>
      <c r="I1051" s="99" t="b">
        <v>0</v>
      </c>
      <c r="J1051" s="99" t="b">
        <v>0</v>
      </c>
      <c r="K1051" s="99" t="b">
        <v>0</v>
      </c>
      <c r="L1051" s="99" t="b">
        <v>0</v>
      </c>
      <c r="M1051" s="99" t="b">
        <v>0</v>
      </c>
      <c r="N1051" s="99" t="b">
        <v>0</v>
      </c>
      <c r="O1051" s="99" t="b">
        <v>0</v>
      </c>
      <c r="P1051" s="99" t="b">
        <v>0</v>
      </c>
      <c r="Q1051" s="99" t="b">
        <v>0</v>
      </c>
      <c r="R1051" s="14"/>
      <c r="S1051" s="14"/>
      <c r="T1051" s="14"/>
      <c r="U1051" s="14"/>
      <c r="V1051" s="14"/>
      <c r="W1051" s="14"/>
    </row>
    <row r="1052" ht="35.25" customHeight="1">
      <c r="A1052" s="92" t="s">
        <v>12511</v>
      </c>
      <c r="B1052" s="93" t="s">
        <v>12514</v>
      </c>
      <c r="C1052" s="94" t="s">
        <v>12515</v>
      </c>
      <c r="D1052" s="95" t="s">
        <v>12516</v>
      </c>
      <c r="E1052" s="96" t="str">
        <f>IFERROR(__xludf.DUMMYFUNCTION("GOOGLETRANSLATE(D1052,""zh-CN"",""vi"")"),"Sức khỏe tâm thần có tác động đáng kể đến chất lượng cuộc sống.")</f>
        <v>Sức khỏe tâm thần có tác động đáng kể đến chất lượng cuộc sống.</v>
      </c>
      <c r="F1052" s="101" t="s">
        <v>12511</v>
      </c>
      <c r="G1052" s="98" t="b">
        <f t="shared" si="2"/>
        <v>1</v>
      </c>
      <c r="H1052" s="99" t="b">
        <v>0</v>
      </c>
      <c r="I1052" s="99" t="b">
        <v>0</v>
      </c>
      <c r="J1052" s="99" t="b">
        <v>0</v>
      </c>
      <c r="K1052" s="99" t="b">
        <v>0</v>
      </c>
      <c r="L1052" s="99" t="b">
        <v>0</v>
      </c>
      <c r="M1052" s="99" t="b">
        <v>0</v>
      </c>
      <c r="N1052" s="99" t="b">
        <v>0</v>
      </c>
      <c r="O1052" s="99" t="b">
        <v>0</v>
      </c>
      <c r="P1052" s="99" t="b">
        <v>0</v>
      </c>
      <c r="Q1052" s="99" t="b">
        <v>0</v>
      </c>
      <c r="R1052" s="14"/>
      <c r="S1052" s="14"/>
      <c r="T1052" s="14"/>
      <c r="U1052" s="14"/>
      <c r="V1052" s="14"/>
      <c r="W1052" s="14"/>
    </row>
    <row r="1053" ht="35.25" customHeight="1">
      <c r="A1053" s="92" t="s">
        <v>12521</v>
      </c>
      <c r="B1053" s="93" t="s">
        <v>12522</v>
      </c>
      <c r="C1053" s="94" t="s">
        <v>12523</v>
      </c>
      <c r="D1053" s="95" t="s">
        <v>12524</v>
      </c>
      <c r="E1053" s="96" t="str">
        <f>IFERROR(__xludf.DUMMYFUNCTION("GOOGLETRANSLATE(D1053,""zh-CN"",""vi"")"),"Tim là một trong những cơ quan quan trọng nhất trong cơ thể con người.")</f>
        <v>Tim là một trong những cơ quan quan trọng nhất trong cơ thể con người.</v>
      </c>
      <c r="F1053" s="101" t="s">
        <v>12521</v>
      </c>
      <c r="G1053" s="98" t="b">
        <f t="shared" si="2"/>
        <v>1</v>
      </c>
      <c r="H1053" s="99" t="b">
        <v>0</v>
      </c>
      <c r="I1053" s="99" t="b">
        <v>0</v>
      </c>
      <c r="J1053" s="99" t="b">
        <v>0</v>
      </c>
      <c r="K1053" s="99" t="b">
        <v>0</v>
      </c>
      <c r="L1053" s="99" t="b">
        <v>0</v>
      </c>
      <c r="M1053" s="99" t="b">
        <v>0</v>
      </c>
      <c r="N1053" s="99" t="b">
        <v>0</v>
      </c>
      <c r="O1053" s="99" t="b">
        <v>0</v>
      </c>
      <c r="P1053" s="99" t="b">
        <v>0</v>
      </c>
      <c r="Q1053" s="99" t="b">
        <v>0</v>
      </c>
      <c r="R1053" s="14"/>
      <c r="S1053" s="14"/>
      <c r="T1053" s="14"/>
      <c r="U1053" s="14"/>
      <c r="V1053" s="14"/>
      <c r="W1053" s="14"/>
    </row>
    <row r="1054" ht="35.25" customHeight="1">
      <c r="A1054" s="92" t="s">
        <v>12532</v>
      </c>
      <c r="B1054" s="93" t="s">
        <v>12533</v>
      </c>
      <c r="C1054" s="94" t="s">
        <v>12534</v>
      </c>
      <c r="D1054" s="95" t="s">
        <v>12535</v>
      </c>
      <c r="E1054" s="96" t="str">
        <f>IFERROR(__xludf.DUMMYFUNCTION("GOOGLETRANSLATE(D1054,""zh-CN"",""vi"")"),"Tôi rất ngưỡng mộ tinh thần làm việc của bạn.")</f>
        <v>Tôi rất ngưỡng mộ tinh thần làm việc của bạn.</v>
      </c>
      <c r="F1054" s="101" t="s">
        <v>12532</v>
      </c>
      <c r="G1054" s="98" t="b">
        <f t="shared" si="2"/>
        <v>1</v>
      </c>
      <c r="H1054" s="99" t="b">
        <v>0</v>
      </c>
      <c r="I1054" s="99" t="b">
        <v>0</v>
      </c>
      <c r="J1054" s="99" t="b">
        <v>0</v>
      </c>
      <c r="K1054" s="99" t="b">
        <v>0</v>
      </c>
      <c r="L1054" s="99" t="b">
        <v>0</v>
      </c>
      <c r="M1054" s="99" t="b">
        <v>0</v>
      </c>
      <c r="N1054" s="99" t="b">
        <v>0</v>
      </c>
      <c r="O1054" s="99" t="b">
        <v>0</v>
      </c>
      <c r="P1054" s="99" t="b">
        <v>0</v>
      </c>
      <c r="Q1054" s="99" t="b">
        <v>0</v>
      </c>
      <c r="R1054" s="14"/>
      <c r="S1054" s="14"/>
      <c r="T1054" s="14"/>
      <c r="U1054" s="14"/>
      <c r="V1054" s="14"/>
      <c r="W1054" s="14"/>
    </row>
    <row r="1055" ht="35.25" customHeight="1">
      <c r="A1055" s="92" t="s">
        <v>12538</v>
      </c>
      <c r="B1055" s="93" t="s">
        <v>12539</v>
      </c>
      <c r="C1055" s="94" t="s">
        <v>12540</v>
      </c>
      <c r="D1055" s="95" t="s">
        <v>12541</v>
      </c>
      <c r="E1055" s="96" t="str">
        <f>IFERROR(__xludf.DUMMYFUNCTION("GOOGLETRANSLATE(D1055,""zh-CN"",""vi"")"),"Tín hiệu yếu; sóng điện thoại kém.")</f>
        <v>Tín hiệu yếu; sóng điện thoại kém.</v>
      </c>
      <c r="F1055" s="101" t="s">
        <v>12538</v>
      </c>
      <c r="G1055" s="98" t="b">
        <f t="shared" si="2"/>
        <v>1</v>
      </c>
      <c r="H1055" s="99" t="b">
        <v>0</v>
      </c>
      <c r="I1055" s="99" t="b">
        <v>0</v>
      </c>
      <c r="J1055" s="99" t="b">
        <v>0</v>
      </c>
      <c r="K1055" s="99" t="b">
        <v>0</v>
      </c>
      <c r="L1055" s="99" t="b">
        <v>0</v>
      </c>
      <c r="M1055" s="99" t="b">
        <v>0</v>
      </c>
      <c r="N1055" s="99" t="b">
        <v>0</v>
      </c>
      <c r="O1055" s="99" t="b">
        <v>0</v>
      </c>
      <c r="P1055" s="99" t="b">
        <v>0</v>
      </c>
      <c r="Q1055" s="99" t="b">
        <v>0</v>
      </c>
      <c r="R1055" s="14"/>
      <c r="S1055" s="14"/>
      <c r="T1055" s="14"/>
      <c r="U1055" s="14"/>
      <c r="V1055" s="14"/>
      <c r="W1055" s="14"/>
    </row>
    <row r="1056" ht="35.25" customHeight="1">
      <c r="A1056" s="92" t="s">
        <v>12544</v>
      </c>
      <c r="B1056" s="93" t="s">
        <v>12545</v>
      </c>
      <c r="C1056" s="102" t="s">
        <v>12546</v>
      </c>
      <c r="D1056" s="95" t="s">
        <v>12547</v>
      </c>
      <c r="E1056" s="96" t="str">
        <f>IFERROR(__xludf.DUMMYFUNCTION("GOOGLETRANSLATE(D1056,""zh-CN"",""vi"")"),"Tôi tin tưởng bạn sẽ hoàn thành nhiệm vụ này.")</f>
        <v>Tôi tin tưởng bạn sẽ hoàn thành nhiệm vụ này.</v>
      </c>
      <c r="F1056" s="101" t="s">
        <v>12544</v>
      </c>
      <c r="G1056" s="98" t="b">
        <f t="shared" si="2"/>
        <v>1</v>
      </c>
      <c r="H1056" s="99" t="b">
        <v>0</v>
      </c>
      <c r="I1056" s="99" t="b">
        <v>0</v>
      </c>
      <c r="J1056" s="99" t="b">
        <v>0</v>
      </c>
      <c r="K1056" s="99" t="b">
        <v>0</v>
      </c>
      <c r="L1056" s="99" t="b">
        <v>0</v>
      </c>
      <c r="M1056" s="99" t="b">
        <v>0</v>
      </c>
      <c r="N1056" s="99" t="b">
        <v>0</v>
      </c>
      <c r="O1056" s="99" t="b">
        <v>0</v>
      </c>
      <c r="P1056" s="99" t="b">
        <v>0</v>
      </c>
      <c r="Q1056" s="99" t="b">
        <v>0</v>
      </c>
      <c r="R1056" s="14"/>
      <c r="S1056" s="14"/>
      <c r="T1056" s="14"/>
      <c r="U1056" s="14"/>
      <c r="V1056" s="14"/>
      <c r="W1056" s="14"/>
    </row>
    <row r="1057" ht="35.25" customHeight="1">
      <c r="A1057" s="92" t="s">
        <v>12552</v>
      </c>
      <c r="B1057" s="93" t="s">
        <v>12553</v>
      </c>
      <c r="C1057" s="94" t="s">
        <v>12554</v>
      </c>
      <c r="D1057" s="95" t="s">
        <v>12556</v>
      </c>
      <c r="E1057" s="96" t="str">
        <f>IFERROR(__xludf.DUMMYFUNCTION("GOOGLETRANSLATE(D1057,""zh-CN"",""vi"")"),"Hành động của anh ta rất nhanh chóng.")</f>
        <v>Hành động của anh ta rất nhanh chóng.</v>
      </c>
      <c r="F1057" s="101" t="s">
        <v>12552</v>
      </c>
      <c r="G1057" s="98" t="b">
        <f t="shared" si="2"/>
        <v>1</v>
      </c>
      <c r="H1057" s="99" t="b">
        <v>0</v>
      </c>
      <c r="I1057" s="99" t="b">
        <v>0</v>
      </c>
      <c r="J1057" s="99" t="b">
        <v>0</v>
      </c>
      <c r="K1057" s="99" t="b">
        <v>0</v>
      </c>
      <c r="L1057" s="99" t="b">
        <v>0</v>
      </c>
      <c r="M1057" s="99" t="b">
        <v>0</v>
      </c>
      <c r="N1057" s="99" t="b">
        <v>0</v>
      </c>
      <c r="O1057" s="99" t="b">
        <v>0</v>
      </c>
      <c r="P1057" s="99" t="b">
        <v>0</v>
      </c>
      <c r="Q1057" s="99" t="b">
        <v>0</v>
      </c>
      <c r="R1057" s="14"/>
      <c r="S1057" s="14"/>
      <c r="T1057" s="14"/>
      <c r="U1057" s="14"/>
      <c r="V1057" s="14"/>
      <c r="W1057" s="14"/>
    </row>
    <row r="1058" ht="35.25" customHeight="1">
      <c r="A1058" s="92" t="s">
        <v>12560</v>
      </c>
      <c r="B1058" s="93" t="s">
        <v>12561</v>
      </c>
      <c r="C1058" s="94" t="s">
        <v>12562</v>
      </c>
      <c r="D1058" s="95" t="s">
        <v>12563</v>
      </c>
      <c r="E1058" s="96" t="str">
        <f>IFERROR(__xludf.DUMMYFUNCTION("GOOGLETRANSLATE(D1058,""zh-CN"",""vi"")"),"Người đi bộ vui lòng tuân thủ luật giao thông.")</f>
        <v>Người đi bộ vui lòng tuân thủ luật giao thông.</v>
      </c>
      <c r="F1058" s="101" t="s">
        <v>12560</v>
      </c>
      <c r="G1058" s="98" t="b">
        <f t="shared" si="2"/>
        <v>1</v>
      </c>
      <c r="H1058" s="99" t="b">
        <v>0</v>
      </c>
      <c r="I1058" s="99" t="b">
        <v>0</v>
      </c>
      <c r="J1058" s="99" t="b">
        <v>0</v>
      </c>
      <c r="K1058" s="99" t="b">
        <v>0</v>
      </c>
      <c r="L1058" s="99" t="b">
        <v>0</v>
      </c>
      <c r="M1058" s="99" t="b">
        <v>0</v>
      </c>
      <c r="N1058" s="99" t="b">
        <v>0</v>
      </c>
      <c r="O1058" s="99" t="b">
        <v>0</v>
      </c>
      <c r="P1058" s="99" t="b">
        <v>0</v>
      </c>
      <c r="Q1058" s="99" t="b">
        <v>0</v>
      </c>
      <c r="R1058" s="14"/>
      <c r="S1058" s="14"/>
      <c r="T1058" s="14"/>
      <c r="U1058" s="14"/>
      <c r="V1058" s="14"/>
      <c r="W1058" s="14"/>
    </row>
    <row r="1059" ht="35.25" customHeight="1">
      <c r="A1059" s="92" t="s">
        <v>12568</v>
      </c>
      <c r="B1059" s="93" t="s">
        <v>12569</v>
      </c>
      <c r="C1059" s="94" t="s">
        <v>12570</v>
      </c>
      <c r="D1059" s="95" t="s">
        <v>12571</v>
      </c>
      <c r="E1059" s="96" t="str">
        <f>IFERROR(__xludf.DUMMYFUNCTION("GOOGLETRANSLATE(D1059,""zh-CN"",""vi"")"),"Hành vi này không được phép.")</f>
        <v>Hành vi này không được phép.</v>
      </c>
      <c r="F1059" s="101" t="s">
        <v>12568</v>
      </c>
      <c r="G1059" s="98" t="b">
        <f t="shared" si="2"/>
        <v>1</v>
      </c>
      <c r="H1059" s="99" t="b">
        <v>0</v>
      </c>
      <c r="I1059" s="99" t="b">
        <v>0</v>
      </c>
      <c r="J1059" s="99" t="b">
        <v>0</v>
      </c>
      <c r="K1059" s="99" t="b">
        <v>0</v>
      </c>
      <c r="L1059" s="99" t="b">
        <v>0</v>
      </c>
      <c r="M1059" s="99" t="b">
        <v>0</v>
      </c>
      <c r="N1059" s="99" t="b">
        <v>0</v>
      </c>
      <c r="O1059" s="99" t="b">
        <v>0</v>
      </c>
      <c r="P1059" s="99" t="b">
        <v>0</v>
      </c>
      <c r="Q1059" s="99" t="b">
        <v>0</v>
      </c>
      <c r="R1059" s="14"/>
      <c r="S1059" s="14"/>
      <c r="T1059" s="14"/>
      <c r="U1059" s="14"/>
      <c r="V1059" s="14"/>
      <c r="W1059" s="14"/>
    </row>
    <row r="1060" ht="35.25" customHeight="1">
      <c r="A1060" s="92" t="s">
        <v>12576</v>
      </c>
      <c r="B1060" s="93" t="s">
        <v>12577</v>
      </c>
      <c r="C1060" s="94" t="s">
        <v>12578</v>
      </c>
      <c r="D1060" s="95" t="s">
        <v>12581</v>
      </c>
      <c r="E1060" s="96" t="str">
        <f>IFERROR(__xludf.DUMMYFUNCTION("GOOGLETRANSLATE(D1060,""zh-CN"",""vi"")"),"Việc thực hiện kế hoạch này sẽ tạo ra một thị trường mới.")</f>
        <v>Việc thực hiện kế hoạch này sẽ tạo ra một thị trường mới.</v>
      </c>
      <c r="F1060" s="101" t="s">
        <v>12576</v>
      </c>
      <c r="G1060" s="98" t="b">
        <f t="shared" si="2"/>
        <v>1</v>
      </c>
      <c r="H1060" s="99" t="b">
        <v>0</v>
      </c>
      <c r="I1060" s="99" t="b">
        <v>0</v>
      </c>
      <c r="J1060" s="99" t="b">
        <v>0</v>
      </c>
      <c r="K1060" s="99" t="b">
        <v>0</v>
      </c>
      <c r="L1060" s="99" t="b">
        <v>0</v>
      </c>
      <c r="M1060" s="99" t="b">
        <v>0</v>
      </c>
      <c r="N1060" s="99" t="b">
        <v>0</v>
      </c>
      <c r="O1060" s="99" t="b">
        <v>0</v>
      </c>
      <c r="P1060" s="99" t="b">
        <v>0</v>
      </c>
      <c r="Q1060" s="99" t="b">
        <v>0</v>
      </c>
      <c r="R1060" s="14"/>
      <c r="S1060" s="14"/>
      <c r="T1060" s="14"/>
      <c r="U1060" s="14"/>
      <c r="V1060" s="14"/>
      <c r="W1060" s="14"/>
    </row>
    <row r="1061" ht="35.25" customHeight="1">
      <c r="A1061" s="92" t="s">
        <v>12587</v>
      </c>
      <c r="B1061" s="93" t="s">
        <v>12588</v>
      </c>
      <c r="C1061" s="94" t="s">
        <v>12589</v>
      </c>
      <c r="D1061" s="95" t="s">
        <v>12590</v>
      </c>
      <c r="E1061" s="96" t="str">
        <f>IFERROR(__xludf.DUMMYFUNCTION("GOOGLETRANSLATE(D1061,""zh-CN"",""vi"")"),"Cô ấy đã mô tả trải nghiệm tuyệt vời của chuyến đi đó.")</f>
        <v>Cô ấy đã mô tả trải nghiệm tuyệt vời của chuyến đi đó.</v>
      </c>
      <c r="F1061" s="101" t="s">
        <v>12587</v>
      </c>
      <c r="G1061" s="98" t="b">
        <f t="shared" si="2"/>
        <v>1</v>
      </c>
      <c r="H1061" s="99" t="b">
        <v>0</v>
      </c>
      <c r="I1061" s="99" t="b">
        <v>0</v>
      </c>
      <c r="J1061" s="99" t="b">
        <v>0</v>
      </c>
      <c r="K1061" s="99" t="b">
        <v>0</v>
      </c>
      <c r="L1061" s="99" t="b">
        <v>0</v>
      </c>
      <c r="M1061" s="99" t="b">
        <v>0</v>
      </c>
      <c r="N1061" s="99" t="b">
        <v>0</v>
      </c>
      <c r="O1061" s="99" t="b">
        <v>0</v>
      </c>
      <c r="P1061" s="99" t="b">
        <v>0</v>
      </c>
      <c r="Q1061" s="99" t="b">
        <v>0</v>
      </c>
      <c r="R1061" s="14"/>
      <c r="S1061" s="14"/>
      <c r="T1061" s="14"/>
      <c r="U1061" s="14"/>
      <c r="V1061" s="14"/>
      <c r="W1061" s="14"/>
    </row>
    <row r="1062" ht="35.25" customHeight="1">
      <c r="A1062" s="92" t="s">
        <v>12594</v>
      </c>
      <c r="B1062" s="93" t="s">
        <v>12595</v>
      </c>
      <c r="C1062" s="94" t="s">
        <v>12596</v>
      </c>
      <c r="D1062" s="95" t="s">
        <v>12597</v>
      </c>
      <c r="E1062" s="96" t="str">
        <f>IFERROR(__xludf.DUMMYFUNCTION("GOOGLETRANSLATE(D1062,""zh-CN"",""vi"")"),"Họ đã áp dụng những phương pháp mới để giải quyết vấn đề.")</f>
        <v>Họ đã áp dụng những phương pháp mới để giải quyết vấn đề.</v>
      </c>
      <c r="F1062" s="101" t="s">
        <v>12594</v>
      </c>
      <c r="G1062" s="98" t="b">
        <f t="shared" si="2"/>
        <v>1</v>
      </c>
      <c r="H1062" s="99" t="b">
        <v>0</v>
      </c>
      <c r="I1062" s="99" t="b">
        <v>0</v>
      </c>
      <c r="J1062" s="99" t="b">
        <v>0</v>
      </c>
      <c r="K1062" s="99" t="b">
        <v>0</v>
      </c>
      <c r="L1062" s="99" t="b">
        <v>0</v>
      </c>
      <c r="M1062" s="99" t="b">
        <v>0</v>
      </c>
      <c r="N1062" s="99" t="b">
        <v>0</v>
      </c>
      <c r="O1062" s="99" t="b">
        <v>0</v>
      </c>
      <c r="P1062" s="99" t="b">
        <v>0</v>
      </c>
      <c r="Q1062" s="99" t="b">
        <v>0</v>
      </c>
      <c r="R1062" s="14"/>
      <c r="S1062" s="14"/>
      <c r="T1062" s="14"/>
      <c r="U1062" s="14"/>
      <c r="V1062" s="14"/>
      <c r="W1062" s="14"/>
    </row>
    <row r="1063" ht="35.25" customHeight="1">
      <c r="A1063" s="92" t="s">
        <v>12602</v>
      </c>
      <c r="B1063" s="93" t="s">
        <v>12595</v>
      </c>
      <c r="C1063" s="94" t="s">
        <v>3670</v>
      </c>
      <c r="D1063" s="95" t="s">
        <v>12603</v>
      </c>
      <c r="E1063" s="96" t="str">
        <f>IFERROR(__xludf.DUMMYFUNCTION("GOOGLETRANSLATE(D1063,""zh-CN"",""vi"")"),"Tình hình hiện tại khá phức tạp.")</f>
        <v>Tình hình hiện tại khá phức tạp.</v>
      </c>
      <c r="F1063" s="101" t="s">
        <v>12602</v>
      </c>
      <c r="G1063" s="98" t="b">
        <f t="shared" si="2"/>
        <v>1</v>
      </c>
      <c r="H1063" s="99" t="b">
        <v>0</v>
      </c>
      <c r="I1063" s="99" t="b">
        <v>0</v>
      </c>
      <c r="J1063" s="99" t="b">
        <v>0</v>
      </c>
      <c r="K1063" s="99" t="b">
        <v>0</v>
      </c>
      <c r="L1063" s="99" t="b">
        <v>0</v>
      </c>
      <c r="M1063" s="99" t="b">
        <v>0</v>
      </c>
      <c r="N1063" s="99" t="b">
        <v>0</v>
      </c>
      <c r="O1063" s="99" t="b">
        <v>0</v>
      </c>
      <c r="P1063" s="99" t="b">
        <v>0</v>
      </c>
      <c r="Q1063" s="99" t="b">
        <v>0</v>
      </c>
      <c r="R1063" s="14"/>
      <c r="S1063" s="14"/>
      <c r="T1063" s="14"/>
      <c r="U1063" s="14"/>
      <c r="V1063" s="14"/>
      <c r="W1063" s="14"/>
    </row>
    <row r="1064" ht="35.25" customHeight="1">
      <c r="A1064" s="92" t="s">
        <v>12608</v>
      </c>
      <c r="B1064" s="93" t="s">
        <v>12609</v>
      </c>
      <c r="C1064" s="94" t="s">
        <v>12610</v>
      </c>
      <c r="D1064" s="95" t="s">
        <v>12611</v>
      </c>
      <c r="E1064" s="96" t="str">
        <f>IFERROR(__xludf.DUMMYFUNCTION("GOOGLETRANSLATE(D1064,""zh-CN"",""vi"")"),"Anh ấy có hình ảnh rất dễ gần.")</f>
        <v>Anh ấy có hình ảnh rất dễ gần.</v>
      </c>
      <c r="F1064" s="101" t="s">
        <v>12608</v>
      </c>
      <c r="G1064" s="98" t="b">
        <f t="shared" si="2"/>
        <v>1</v>
      </c>
      <c r="H1064" s="99" t="b">
        <v>0</v>
      </c>
      <c r="I1064" s="99" t="b">
        <v>0</v>
      </c>
      <c r="J1064" s="99" t="b">
        <v>0</v>
      </c>
      <c r="K1064" s="99" t="b">
        <v>0</v>
      </c>
      <c r="L1064" s="99" t="b">
        <v>0</v>
      </c>
      <c r="M1064" s="99" t="b">
        <v>0</v>
      </c>
      <c r="N1064" s="99" t="b">
        <v>0</v>
      </c>
      <c r="O1064" s="99" t="b">
        <v>0</v>
      </c>
      <c r="P1064" s="99" t="b">
        <v>0</v>
      </c>
      <c r="Q1064" s="99" t="b">
        <v>0</v>
      </c>
      <c r="R1064" s="14"/>
      <c r="S1064" s="14"/>
      <c r="T1064" s="14"/>
      <c r="U1064" s="14"/>
      <c r="V1064" s="14"/>
      <c r="W1064" s="14"/>
    </row>
    <row r="1065" ht="35.25" customHeight="1">
      <c r="A1065" s="92" t="s">
        <v>12616</v>
      </c>
      <c r="B1065" s="93" t="s">
        <v>12617</v>
      </c>
      <c r="C1065" s="94" t="s">
        <v>12619</v>
      </c>
      <c r="D1065" s="95" t="s">
        <v>12621</v>
      </c>
      <c r="E1065" s="96" t="str">
        <f>IFERROR(__xludf.DUMMYFUNCTION("GOOGLETRANSLATE(D1065,""zh-CN"",""vi"")"),"Hình dạng của viên đá này rất đặc biệt.")</f>
        <v>Hình dạng của viên đá này rất đặc biệt.</v>
      </c>
      <c r="F1065" s="101" t="s">
        <v>12616</v>
      </c>
      <c r="G1065" s="98" t="b">
        <f t="shared" si="2"/>
        <v>1</v>
      </c>
      <c r="H1065" s="99" t="b">
        <v>0</v>
      </c>
      <c r="I1065" s="99" t="b">
        <v>0</v>
      </c>
      <c r="J1065" s="99" t="b">
        <v>0</v>
      </c>
      <c r="K1065" s="99" t="b">
        <v>0</v>
      </c>
      <c r="L1065" s="99" t="b">
        <v>0</v>
      </c>
      <c r="M1065" s="99" t="b">
        <v>0</v>
      </c>
      <c r="N1065" s="99" t="b">
        <v>0</v>
      </c>
      <c r="O1065" s="99" t="b">
        <v>0</v>
      </c>
      <c r="P1065" s="99" t="b">
        <v>0</v>
      </c>
      <c r="Q1065" s="99" t="b">
        <v>0</v>
      </c>
      <c r="R1065" s="14"/>
      <c r="S1065" s="14"/>
      <c r="T1065" s="14"/>
      <c r="U1065" s="14"/>
      <c r="V1065" s="14"/>
      <c r="W1065" s="14"/>
    </row>
    <row r="1066" ht="35.25" customHeight="1">
      <c r="A1066" s="92" t="s">
        <v>12628</v>
      </c>
      <c r="B1066" s="93" t="s">
        <v>12629</v>
      </c>
      <c r="C1066" s="94" t="s">
        <v>12630</v>
      </c>
      <c r="D1066" s="95" t="s">
        <v>12631</v>
      </c>
      <c r="E1066" s="96" t="str">
        <f>IFERROR(__xludf.DUMMYFUNCTION("GOOGLETRANSLATE(D1066,""zh-CN"",""vi"")"),"May mắn thay, chúng tôi đã chuẩn bị trước.")</f>
        <v>May mắn thay, chúng tôi đã chuẩn bị trước.</v>
      </c>
      <c r="F1066" s="101" t="s">
        <v>12628</v>
      </c>
      <c r="G1066" s="98" t="b">
        <f t="shared" si="2"/>
        <v>1</v>
      </c>
      <c r="H1066" s="99" t="b">
        <v>0</v>
      </c>
      <c r="I1066" s="99" t="b">
        <v>0</v>
      </c>
      <c r="J1066" s="99" t="b">
        <v>0</v>
      </c>
      <c r="K1066" s="99" t="b">
        <v>0</v>
      </c>
      <c r="L1066" s="99" t="b">
        <v>0</v>
      </c>
      <c r="M1066" s="99" t="b">
        <v>0</v>
      </c>
      <c r="N1066" s="99" t="b">
        <v>0</v>
      </c>
      <c r="O1066" s="99" t="b">
        <v>0</v>
      </c>
      <c r="P1066" s="99" t="b">
        <v>0</v>
      </c>
      <c r="Q1066" s="99" t="b">
        <v>0</v>
      </c>
      <c r="R1066" s="14"/>
      <c r="S1066" s="14"/>
      <c r="T1066" s="14"/>
      <c r="U1066" s="14"/>
      <c r="V1066" s="14"/>
      <c r="W1066" s="14"/>
    </row>
    <row r="1067" ht="35.25" customHeight="1">
      <c r="A1067" s="92" t="s">
        <v>12636</v>
      </c>
      <c r="B1067" s="93" t="s">
        <v>12637</v>
      </c>
      <c r="C1067" s="94" t="s">
        <v>12638</v>
      </c>
      <c r="D1067" s="95" t="s">
        <v>12639</v>
      </c>
      <c r="E1067" s="96" t="str">
        <f>IFERROR(__xludf.DUMMYFUNCTION("GOOGLETRANSLATE(D1067,""zh-CN"",""vi"")"),"Anh ấy luôn gặp may mắn.")</f>
        <v>Anh ấy luôn gặp may mắn.</v>
      </c>
      <c r="F1067" s="101" t="s">
        <v>12636</v>
      </c>
      <c r="G1067" s="98" t="b">
        <f t="shared" si="2"/>
        <v>1</v>
      </c>
      <c r="H1067" s="99" t="b">
        <v>0</v>
      </c>
      <c r="I1067" s="99" t="b">
        <v>0</v>
      </c>
      <c r="J1067" s="99" t="b">
        <v>0</v>
      </c>
      <c r="K1067" s="99" t="b">
        <v>0</v>
      </c>
      <c r="L1067" s="99" t="b">
        <v>0</v>
      </c>
      <c r="M1067" s="99" t="b">
        <v>0</v>
      </c>
      <c r="N1067" s="99" t="b">
        <v>0</v>
      </c>
      <c r="O1067" s="99" t="b">
        <v>0</v>
      </c>
      <c r="P1067" s="99" t="b">
        <v>0</v>
      </c>
      <c r="Q1067" s="99" t="b">
        <v>0</v>
      </c>
      <c r="R1067" s="14"/>
      <c r="S1067" s="14"/>
      <c r="T1067" s="14"/>
      <c r="U1067" s="14"/>
      <c r="V1067" s="14"/>
      <c r="W1067" s="14"/>
    </row>
    <row r="1068" ht="35.25" customHeight="1">
      <c r="A1068" s="92" t="s">
        <v>12648</v>
      </c>
      <c r="B1068" s="93" t="s">
        <v>12649</v>
      </c>
      <c r="C1068" s="94" t="s">
        <v>12650</v>
      </c>
      <c r="D1068" s="95" t="s">
        <v>12651</v>
      </c>
      <c r="E1068" s="96" t="str">
        <f>IFERROR(__xludf.DUMMYFUNCTION("GOOGLETRANSLATE(D1068,""zh-CN"",""vi"")"),"Vấn đề này có tính chất rất đặc biệt.")</f>
        <v>Vấn đề này có tính chất rất đặc biệt.</v>
      </c>
      <c r="F1068" s="101" t="s">
        <v>12648</v>
      </c>
      <c r="G1068" s="98" t="b">
        <f t="shared" si="2"/>
        <v>1</v>
      </c>
      <c r="H1068" s="99" t="b">
        <v>0</v>
      </c>
      <c r="I1068" s="99" t="b">
        <v>0</v>
      </c>
      <c r="J1068" s="99" t="b">
        <v>0</v>
      </c>
      <c r="K1068" s="99" t="b">
        <v>0</v>
      </c>
      <c r="L1068" s="99" t="b">
        <v>0</v>
      </c>
      <c r="M1068" s="99" t="b">
        <v>0</v>
      </c>
      <c r="N1068" s="99" t="b">
        <v>0</v>
      </c>
      <c r="O1068" s="99" t="b">
        <v>0</v>
      </c>
      <c r="P1068" s="99" t="b">
        <v>0</v>
      </c>
      <c r="Q1068" s="99" t="b">
        <v>0</v>
      </c>
      <c r="R1068" s="14"/>
      <c r="S1068" s="14"/>
      <c r="T1068" s="14"/>
      <c r="U1068" s="14"/>
      <c r="V1068" s="14"/>
      <c r="W1068" s="14"/>
    </row>
    <row r="1069" ht="35.25" customHeight="1">
      <c r="A1069" s="92" t="s">
        <v>12658</v>
      </c>
      <c r="B1069" s="93" t="s">
        <v>12661</v>
      </c>
      <c r="C1069" s="94" t="s">
        <v>12662</v>
      </c>
      <c r="D1069" s="95" t="s">
        <v>12663</v>
      </c>
      <c r="E1069" s="96" t="str">
        <f>IFERROR(__xludf.DUMMYFUNCTION("GOOGLETRANSLATE(D1069,""zh-CN"",""vi"")"),"Anh ấy là anh trai ruột của tôi.")</f>
        <v>Anh ấy là anh trai ruột của tôi.</v>
      </c>
      <c r="F1069" s="101" t="s">
        <v>12658</v>
      </c>
      <c r="G1069" s="98" t="b">
        <f t="shared" si="2"/>
        <v>1</v>
      </c>
      <c r="H1069" s="99" t="b">
        <v>0</v>
      </c>
      <c r="I1069" s="99" t="b">
        <v>0</v>
      </c>
      <c r="J1069" s="99" t="b">
        <v>0</v>
      </c>
      <c r="K1069" s="99" t="b">
        <v>0</v>
      </c>
      <c r="L1069" s="99" t="b">
        <v>0</v>
      </c>
      <c r="M1069" s="99" t="b">
        <v>0</v>
      </c>
      <c r="N1069" s="99" t="b">
        <v>0</v>
      </c>
      <c r="O1069" s="99" t="b">
        <v>0</v>
      </c>
      <c r="P1069" s="99" t="b">
        <v>0</v>
      </c>
      <c r="Q1069" s="99" t="b">
        <v>0</v>
      </c>
      <c r="R1069" s="14"/>
      <c r="S1069" s="14"/>
      <c r="T1069" s="14"/>
      <c r="U1069" s="14"/>
      <c r="V1069" s="14"/>
      <c r="W1069" s="14"/>
    </row>
    <row r="1070" ht="35.25" customHeight="1">
      <c r="A1070" s="92" t="s">
        <v>12668</v>
      </c>
      <c r="B1070" s="93" t="s">
        <v>12669</v>
      </c>
      <c r="C1070" s="94" t="s">
        <v>12670</v>
      </c>
      <c r="D1070" s="95" t="s">
        <v>12671</v>
      </c>
      <c r="E1070" s="96" t="str">
        <f>IFERROR(__xludf.DUMMYFUNCTION("GOOGLETRANSLATE(D1070,""zh-CN"",""vi"")"),"Cô ấy có bộ ngực lớn.")</f>
        <v>Cô ấy có bộ ngực lớn.</v>
      </c>
      <c r="F1070" s="101" t="s">
        <v>12668</v>
      </c>
      <c r="G1070" s="98" t="b">
        <f t="shared" si="2"/>
        <v>1</v>
      </c>
      <c r="H1070" s="99" t="b">
        <v>0</v>
      </c>
      <c r="I1070" s="99" t="b">
        <v>0</v>
      </c>
      <c r="J1070" s="99" t="b">
        <v>0</v>
      </c>
      <c r="K1070" s="99" t="b">
        <v>0</v>
      </c>
      <c r="L1070" s="99" t="b">
        <v>0</v>
      </c>
      <c r="M1070" s="99" t="b">
        <v>0</v>
      </c>
      <c r="N1070" s="99" t="b">
        <v>0</v>
      </c>
      <c r="O1070" s="99" t="b">
        <v>0</v>
      </c>
      <c r="P1070" s="99" t="b">
        <v>0</v>
      </c>
      <c r="Q1070" s="99" t="b">
        <v>0</v>
      </c>
      <c r="R1070" s="14"/>
      <c r="S1070" s="14"/>
      <c r="T1070" s="14"/>
      <c r="U1070" s="14"/>
      <c r="V1070" s="14"/>
      <c r="W1070" s="14"/>
    </row>
    <row r="1071" ht="35.25" customHeight="1">
      <c r="A1071" s="92" t="s">
        <v>12676</v>
      </c>
      <c r="B1071" s="93" t="s">
        <v>12677</v>
      </c>
      <c r="C1071" s="94" t="s">
        <v>12678</v>
      </c>
      <c r="D1071" s="95" t="s">
        <v>12679</v>
      </c>
      <c r="E1071" s="96" t="str">
        <f>IFERROR(__xludf.DUMMYFUNCTION("GOOGLETRANSLATE(D1071,""zh-CN"",""vi"")"),"Tôi thích các hoạt động giải trí.")</f>
        <v>Tôi thích các hoạt động giải trí.</v>
      </c>
      <c r="F1071" s="101" t="s">
        <v>12676</v>
      </c>
      <c r="G1071" s="98" t="b">
        <f t="shared" si="2"/>
        <v>1</v>
      </c>
      <c r="H1071" s="99" t="b">
        <v>0</v>
      </c>
      <c r="I1071" s="99" t="b">
        <v>0</v>
      </c>
      <c r="J1071" s="99" t="b">
        <v>0</v>
      </c>
      <c r="K1071" s="99" t="b">
        <v>0</v>
      </c>
      <c r="L1071" s="99" t="b">
        <v>0</v>
      </c>
      <c r="M1071" s="99" t="b">
        <v>0</v>
      </c>
      <c r="N1071" s="99" t="b">
        <v>0</v>
      </c>
      <c r="O1071" s="99" t="b">
        <v>0</v>
      </c>
      <c r="P1071" s="99" t="b">
        <v>0</v>
      </c>
      <c r="Q1071" s="99" t="b">
        <v>0</v>
      </c>
      <c r="R1071" s="14"/>
      <c r="S1071" s="14"/>
      <c r="T1071" s="14"/>
      <c r="U1071" s="14"/>
      <c r="V1071" s="14"/>
      <c r="W1071" s="14"/>
    </row>
    <row r="1072" ht="35.25" customHeight="1">
      <c r="A1072" s="92" t="s">
        <v>12684</v>
      </c>
      <c r="B1072" s="93" t="s">
        <v>12685</v>
      </c>
      <c r="C1072" s="94" t="s">
        <v>12687</v>
      </c>
      <c r="D1072" s="95" t="s">
        <v>12690</v>
      </c>
      <c r="E1072" s="96" t="str">
        <f>IFERROR(__xludf.DUMMYFUNCTION("GOOGLETRANSLATE(D1072,""zh-CN"",""vi"")"),"Bạn có thể chỉnh sửa báo cáo này.")</f>
        <v>Bạn có thể chỉnh sửa báo cáo này.</v>
      </c>
      <c r="F1072" s="101" t="s">
        <v>12684</v>
      </c>
      <c r="G1072" s="98" t="b">
        <f t="shared" si="2"/>
        <v>1</v>
      </c>
      <c r="H1072" s="99" t="b">
        <v>0</v>
      </c>
      <c r="I1072" s="99" t="b">
        <v>0</v>
      </c>
      <c r="J1072" s="99" t="b">
        <v>0</v>
      </c>
      <c r="K1072" s="99" t="b">
        <v>0</v>
      </c>
      <c r="L1072" s="99" t="b">
        <v>0</v>
      </c>
      <c r="M1072" s="99" t="b">
        <v>0</v>
      </c>
      <c r="N1072" s="99" t="b">
        <v>0</v>
      </c>
      <c r="O1072" s="99" t="b">
        <v>0</v>
      </c>
      <c r="P1072" s="99" t="b">
        <v>0</v>
      </c>
      <c r="Q1072" s="99" t="b">
        <v>0</v>
      </c>
      <c r="R1072" s="14"/>
      <c r="S1072" s="14"/>
      <c r="T1072" s="14"/>
      <c r="U1072" s="14"/>
      <c r="V1072" s="14"/>
      <c r="W1072" s="14"/>
    </row>
    <row r="1073" ht="35.25" customHeight="1">
      <c r="A1073" s="92" t="s">
        <v>12696</v>
      </c>
      <c r="B1073" s="93" t="s">
        <v>12697</v>
      </c>
      <c r="C1073" s="94" t="s">
        <v>9804</v>
      </c>
      <c r="D1073" s="95" t="s">
        <v>12698</v>
      </c>
      <c r="E1073" s="96" t="str">
        <f>IFERROR(__xludf.DUMMYFUNCTION("GOOGLETRANSLATE(D1073,""zh-CN"",""vi"")"),"Anh ấy luôn khiêm tốn đón nhận ý kiến ​​của người khác.")</f>
        <v>Anh ấy luôn khiêm tốn đón nhận ý kiến ​​của người khác.</v>
      </c>
      <c r="F1073" s="101" t="s">
        <v>12696</v>
      </c>
      <c r="G1073" s="98" t="b">
        <f t="shared" si="2"/>
        <v>1</v>
      </c>
      <c r="H1073" s="99" t="b">
        <v>0</v>
      </c>
      <c r="I1073" s="99" t="b">
        <v>0</v>
      </c>
      <c r="J1073" s="99" t="b">
        <v>0</v>
      </c>
      <c r="K1073" s="99" t="b">
        <v>0</v>
      </c>
      <c r="L1073" s="99" t="b">
        <v>0</v>
      </c>
      <c r="M1073" s="99" t="b">
        <v>0</v>
      </c>
      <c r="N1073" s="99" t="b">
        <v>0</v>
      </c>
      <c r="O1073" s="99" t="b">
        <v>0</v>
      </c>
      <c r="P1073" s="99" t="b">
        <v>0</v>
      </c>
      <c r="Q1073" s="99" t="b">
        <v>0</v>
      </c>
      <c r="R1073" s="14"/>
      <c r="S1073" s="14"/>
      <c r="T1073" s="14"/>
      <c r="U1073" s="14"/>
      <c r="V1073" s="14"/>
      <c r="W1073" s="14"/>
    </row>
    <row r="1074" ht="35.25" customHeight="1">
      <c r="A1074" s="92" t="s">
        <v>12704</v>
      </c>
      <c r="B1074" s="93" t="s">
        <v>12705</v>
      </c>
      <c r="C1074" s="94" t="s">
        <v>12706</v>
      </c>
      <c r="D1074" s="95" t="s">
        <v>12707</v>
      </c>
      <c r="E1074" s="96" t="str">
        <f>IFERROR(__xludf.DUMMYFUNCTION("GOOGLETRANSLATE(D1074,""zh-CN"",""vi"")"),"Chúng ta cần thuật lại những gì đã xảy ra.")</f>
        <v>Chúng ta cần thuật lại những gì đã xảy ra.</v>
      </c>
      <c r="F1074" s="101" t="s">
        <v>12704</v>
      </c>
      <c r="G1074" s="98" t="b">
        <f t="shared" si="2"/>
        <v>1</v>
      </c>
      <c r="H1074" s="99" t="b">
        <v>0</v>
      </c>
      <c r="I1074" s="99" t="b">
        <v>0</v>
      </c>
      <c r="J1074" s="99" t="b">
        <v>0</v>
      </c>
      <c r="K1074" s="99" t="b">
        <v>0</v>
      </c>
      <c r="L1074" s="99" t="b">
        <v>0</v>
      </c>
      <c r="M1074" s="99" t="b">
        <v>0</v>
      </c>
      <c r="N1074" s="99" t="b">
        <v>0</v>
      </c>
      <c r="O1074" s="99" t="b">
        <v>0</v>
      </c>
      <c r="P1074" s="99" t="b">
        <v>0</v>
      </c>
      <c r="Q1074" s="99" t="b">
        <v>0</v>
      </c>
      <c r="R1074" s="14"/>
      <c r="S1074" s="14"/>
      <c r="T1074" s="14"/>
      <c r="U1074" s="14"/>
      <c r="V1074" s="14"/>
      <c r="W1074" s="14"/>
    </row>
    <row r="1075" ht="35.25" customHeight="1">
      <c r="A1075" s="92" t="s">
        <v>12714</v>
      </c>
      <c r="B1075" s="93" t="s">
        <v>12717</v>
      </c>
      <c r="C1075" s="94" t="s">
        <v>12718</v>
      </c>
      <c r="D1075" s="95" t="s">
        <v>12719</v>
      </c>
      <c r="E1075" s="96" t="str">
        <f>IFERROR(__xludf.DUMMYFUNCTION("GOOGLETRANSLATE(D1075,""zh-CN"",""vi"")"),"Công ty vừa công bố một chính sách mới.")</f>
        <v>Công ty vừa công bố một chính sách mới.</v>
      </c>
      <c r="F1075" s="101" t="s">
        <v>12714</v>
      </c>
      <c r="G1075" s="98" t="b">
        <f t="shared" si="2"/>
        <v>1</v>
      </c>
      <c r="H1075" s="99" t="b">
        <v>0</v>
      </c>
      <c r="I1075" s="99" t="b">
        <v>0</v>
      </c>
      <c r="J1075" s="99" t="b">
        <v>0</v>
      </c>
      <c r="K1075" s="99" t="b">
        <v>0</v>
      </c>
      <c r="L1075" s="99" t="b">
        <v>0</v>
      </c>
      <c r="M1075" s="99" t="b">
        <v>0</v>
      </c>
      <c r="N1075" s="99" t="b">
        <v>0</v>
      </c>
      <c r="O1075" s="99" t="b">
        <v>0</v>
      </c>
      <c r="P1075" s="99" t="b">
        <v>0</v>
      </c>
      <c r="Q1075" s="99" t="b">
        <v>0</v>
      </c>
      <c r="R1075" s="14"/>
      <c r="S1075" s="14"/>
      <c r="T1075" s="14"/>
      <c r="U1075" s="14"/>
      <c r="V1075" s="14"/>
      <c r="W1075" s="14"/>
    </row>
    <row r="1076" ht="35.25" customHeight="1">
      <c r="A1076" s="92" t="s">
        <v>12723</v>
      </c>
      <c r="B1076" s="93" t="s">
        <v>12724</v>
      </c>
      <c r="C1076" s="94" t="s">
        <v>12725</v>
      </c>
      <c r="D1076" s="95" t="s">
        <v>12726</v>
      </c>
      <c r="E1076" s="96" t="str">
        <f>IFERROR(__xludf.DUMMYFUNCTION("GOOGLETRANSLATE(D1076,""zh-CN"",""vi"")"),"Chúng ta cần quảng bá sự kiện này.")</f>
        <v>Chúng ta cần quảng bá sự kiện này.</v>
      </c>
      <c r="F1076" s="101" t="s">
        <v>12723</v>
      </c>
      <c r="G1076" s="98" t="b">
        <f t="shared" si="2"/>
        <v>1</v>
      </c>
      <c r="H1076" s="99" t="b">
        <v>0</v>
      </c>
      <c r="I1076" s="99" t="b">
        <v>0</v>
      </c>
      <c r="J1076" s="99" t="b">
        <v>0</v>
      </c>
      <c r="K1076" s="99" t="b">
        <v>0</v>
      </c>
      <c r="L1076" s="99" t="b">
        <v>0</v>
      </c>
      <c r="M1076" s="99" t="b">
        <v>0</v>
      </c>
      <c r="N1076" s="99" t="b">
        <v>0</v>
      </c>
      <c r="O1076" s="99" t="b">
        <v>0</v>
      </c>
      <c r="P1076" s="99" t="b">
        <v>0</v>
      </c>
      <c r="Q1076" s="99" t="b">
        <v>0</v>
      </c>
      <c r="R1076" s="14"/>
      <c r="S1076" s="14"/>
      <c r="T1076" s="14"/>
      <c r="U1076" s="14"/>
      <c r="V1076" s="14"/>
      <c r="W1076" s="14"/>
    </row>
    <row r="1077" ht="35.25" customHeight="1">
      <c r="A1077" s="92" t="s">
        <v>12733</v>
      </c>
      <c r="B1077" s="93" t="s">
        <v>12735</v>
      </c>
      <c r="C1077" s="94" t="s">
        <v>2853</v>
      </c>
      <c r="D1077" s="95" t="s">
        <v>12737</v>
      </c>
      <c r="E1077" s="96" t="str">
        <f>IFERROR(__xludf.DUMMYFUNCTION("GOOGLETRANSLATE(D1077,""zh-CN"",""vi"")"),"Cô ấy có trình độ học vấn cao.")</f>
        <v>Cô ấy có trình độ học vấn cao.</v>
      </c>
      <c r="F1077" s="101" t="s">
        <v>12733</v>
      </c>
      <c r="G1077" s="98" t="b">
        <f t="shared" si="2"/>
        <v>1</v>
      </c>
      <c r="H1077" s="99" t="b">
        <v>0</v>
      </c>
      <c r="I1077" s="99" t="b">
        <v>0</v>
      </c>
      <c r="J1077" s="99" t="b">
        <v>0</v>
      </c>
      <c r="K1077" s="99" t="b">
        <v>0</v>
      </c>
      <c r="L1077" s="99" t="b">
        <v>0</v>
      </c>
      <c r="M1077" s="99" t="b">
        <v>0</v>
      </c>
      <c r="N1077" s="99" t="b">
        <v>0</v>
      </c>
      <c r="O1077" s="99" t="b">
        <v>0</v>
      </c>
      <c r="P1077" s="99" t="b">
        <v>0</v>
      </c>
      <c r="Q1077" s="99" t="b">
        <v>0</v>
      </c>
      <c r="R1077" s="14"/>
      <c r="S1077" s="14"/>
      <c r="T1077" s="14"/>
      <c r="U1077" s="14"/>
      <c r="V1077" s="14"/>
      <c r="W1077" s="14"/>
    </row>
    <row r="1078" ht="35.25" customHeight="1">
      <c r="A1078" s="92" t="s">
        <v>12742</v>
      </c>
      <c r="B1078" s="93" t="s">
        <v>12743</v>
      </c>
      <c r="C1078" s="94" t="s">
        <v>12744</v>
      </c>
      <c r="D1078" s="95" t="s">
        <v>12745</v>
      </c>
      <c r="E1078" s="96" t="str">
        <f>IFERROR(__xludf.DUMMYFUNCTION("GOOGLETRANSLATE(D1078,""zh-CN"",""vi"")"),"Bài báo này đề cập đến nhiều vấn đề học thuật.")</f>
        <v>Bài báo này đề cập đến nhiều vấn đề học thuật.</v>
      </c>
      <c r="F1078" s="101" t="s">
        <v>12742</v>
      </c>
      <c r="G1078" s="98" t="b">
        <f t="shared" si="2"/>
        <v>1</v>
      </c>
      <c r="H1078" s="99" t="b">
        <v>0</v>
      </c>
      <c r="I1078" s="99" t="b">
        <v>0</v>
      </c>
      <c r="J1078" s="99" t="b">
        <v>0</v>
      </c>
      <c r="K1078" s="99" t="b">
        <v>0</v>
      </c>
      <c r="L1078" s="99" t="b">
        <v>0</v>
      </c>
      <c r="M1078" s="99" t="b">
        <v>0</v>
      </c>
      <c r="N1078" s="99" t="b">
        <v>0</v>
      </c>
      <c r="O1078" s="99" t="b">
        <v>0</v>
      </c>
      <c r="P1078" s="99" t="b">
        <v>0</v>
      </c>
      <c r="Q1078" s="99" t="b">
        <v>0</v>
      </c>
      <c r="R1078" s="14"/>
      <c r="S1078" s="14"/>
      <c r="T1078" s="14"/>
      <c r="U1078" s="14"/>
      <c r="V1078" s="14"/>
      <c r="W1078" s="14"/>
    </row>
    <row r="1079" ht="35.25" customHeight="1">
      <c r="A1079" s="92" t="s">
        <v>12754</v>
      </c>
      <c r="B1079" s="93" t="s">
        <v>12755</v>
      </c>
      <c r="C1079" s="94" t="s">
        <v>12756</v>
      </c>
      <c r="D1079" s="95" t="s">
        <v>12757</v>
      </c>
      <c r="E1079" s="96" t="str">
        <f>IFERROR(__xludf.DUMMYFUNCTION("GOOGLETRANSLATE(D1079,""zh-CN"",""vi"")"),"Ông ấy có kiến ​​thức vô cùng sâu rộng.")</f>
        <v>Ông ấy có kiến ​​thức vô cùng sâu rộng.</v>
      </c>
      <c r="F1079" s="101" t="s">
        <v>12754</v>
      </c>
      <c r="G1079" s="98" t="b">
        <f t="shared" si="2"/>
        <v>1</v>
      </c>
      <c r="H1079" s="99" t="b">
        <v>0</v>
      </c>
      <c r="I1079" s="99" t="b">
        <v>0</v>
      </c>
      <c r="J1079" s="99" t="b">
        <v>0</v>
      </c>
      <c r="K1079" s="99" t="b">
        <v>0</v>
      </c>
      <c r="L1079" s="99" t="b">
        <v>0</v>
      </c>
      <c r="M1079" s="99" t="b">
        <v>0</v>
      </c>
      <c r="N1079" s="99" t="b">
        <v>0</v>
      </c>
      <c r="O1079" s="99" t="b">
        <v>0</v>
      </c>
      <c r="P1079" s="99" t="b">
        <v>0</v>
      </c>
      <c r="Q1079" s="99" t="b">
        <v>0</v>
      </c>
      <c r="R1079" s="14"/>
      <c r="S1079" s="14"/>
      <c r="T1079" s="14"/>
      <c r="U1079" s="14"/>
      <c r="V1079" s="14"/>
      <c r="W1079" s="14"/>
    </row>
    <row r="1080" ht="35.25" customHeight="1">
      <c r="A1080" s="92" t="s">
        <v>12764</v>
      </c>
      <c r="B1080" s="93" t="s">
        <v>12767</v>
      </c>
      <c r="C1080" s="94" t="s">
        <v>11103</v>
      </c>
      <c r="D1080" s="95" t="s">
        <v>12768</v>
      </c>
      <c r="E1080" s="96" t="str">
        <f>IFERROR(__xludf.DUMMYFUNCTION("GOOGLETRANSLATE(D1080,""zh-CN"",""vi"")"),"Chúng tôi đang tìm kiếm một giải pháp phù hợp.")</f>
        <v>Chúng tôi đang tìm kiếm một giải pháp phù hợp.</v>
      </c>
      <c r="F1080" s="101" t="s">
        <v>12764</v>
      </c>
      <c r="G1080" s="98" t="b">
        <f t="shared" si="2"/>
        <v>1</v>
      </c>
      <c r="H1080" s="99" t="b">
        <v>0</v>
      </c>
      <c r="I1080" s="99" t="b">
        <v>0</v>
      </c>
      <c r="J1080" s="99" t="b">
        <v>0</v>
      </c>
      <c r="K1080" s="99" t="b">
        <v>0</v>
      </c>
      <c r="L1080" s="99" t="b">
        <v>0</v>
      </c>
      <c r="M1080" s="99" t="b">
        <v>0</v>
      </c>
      <c r="N1080" s="99" t="b">
        <v>0</v>
      </c>
      <c r="O1080" s="99" t="b">
        <v>0</v>
      </c>
      <c r="P1080" s="99" t="b">
        <v>0</v>
      </c>
      <c r="Q1080" s="99" t="b">
        <v>0</v>
      </c>
      <c r="R1080" s="14"/>
      <c r="S1080" s="14"/>
      <c r="T1080" s="14"/>
      <c r="U1080" s="14"/>
      <c r="V1080" s="14"/>
      <c r="W1080" s="14"/>
    </row>
    <row r="1081" ht="35.25" customHeight="1">
      <c r="A1081" s="92" t="s">
        <v>12773</v>
      </c>
      <c r="B1081" s="93" t="s">
        <v>12774</v>
      </c>
      <c r="C1081" s="94" t="s">
        <v>12775</v>
      </c>
      <c r="D1081" s="95" t="s">
        <v>12776</v>
      </c>
      <c r="E1081" s="96" t="str">
        <f>IFERROR(__xludf.DUMMYFUNCTION("GOOGLETRANSLATE(D1081,""zh-CN"",""vi"")"),"Hãy hỏi thêm về câu hỏi đó.")</f>
        <v>Hãy hỏi thêm về câu hỏi đó.</v>
      </c>
      <c r="F1081" s="101" t="s">
        <v>12773</v>
      </c>
      <c r="G1081" s="98" t="b">
        <f t="shared" si="2"/>
        <v>1</v>
      </c>
      <c r="H1081" s="99" t="b">
        <v>0</v>
      </c>
      <c r="I1081" s="99" t="b">
        <v>0</v>
      </c>
      <c r="J1081" s="99" t="b">
        <v>0</v>
      </c>
      <c r="K1081" s="99" t="b">
        <v>0</v>
      </c>
      <c r="L1081" s="99" t="b">
        <v>0</v>
      </c>
      <c r="M1081" s="99" t="b">
        <v>0</v>
      </c>
      <c r="N1081" s="99" t="b">
        <v>0</v>
      </c>
      <c r="O1081" s="99" t="b">
        <v>0</v>
      </c>
      <c r="P1081" s="99" t="b">
        <v>0</v>
      </c>
      <c r="Q1081" s="99" t="b">
        <v>0</v>
      </c>
      <c r="R1081" s="14"/>
      <c r="S1081" s="14"/>
      <c r="T1081" s="14"/>
      <c r="U1081" s="14"/>
      <c r="V1081" s="14"/>
      <c r="W1081" s="14"/>
    </row>
    <row r="1082" ht="35.25" customHeight="1">
      <c r="A1082" s="92" t="s">
        <v>12781</v>
      </c>
      <c r="B1082" s="93" t="s">
        <v>12782</v>
      </c>
      <c r="C1082" s="94" t="s">
        <v>12783</v>
      </c>
      <c r="D1082" s="95" t="s">
        <v>12784</v>
      </c>
      <c r="E1082" s="96" t="str">
        <f>IFERROR(__xludf.DUMMYFUNCTION("GOOGLETRANSLATE(D1082,""zh-CN"",""vi"")"),"Chúng tôi đang rèn luyện để nâng cao năng lực của mình.")</f>
        <v>Chúng tôi đang rèn luyện để nâng cao năng lực của mình.</v>
      </c>
      <c r="F1082" s="101" t="s">
        <v>12781</v>
      </c>
      <c r="G1082" s="98" t="b">
        <f t="shared" si="2"/>
        <v>1</v>
      </c>
      <c r="H1082" s="99" t="b">
        <v>0</v>
      </c>
      <c r="I1082" s="99" t="b">
        <v>0</v>
      </c>
      <c r="J1082" s="99" t="b">
        <v>0</v>
      </c>
      <c r="K1082" s="99" t="b">
        <v>0</v>
      </c>
      <c r="L1082" s="99" t="b">
        <v>0</v>
      </c>
      <c r="M1082" s="99" t="b">
        <v>0</v>
      </c>
      <c r="N1082" s="99" t="b">
        <v>0</v>
      </c>
      <c r="O1082" s="99" t="b">
        <v>0</v>
      </c>
      <c r="P1082" s="99" t="b">
        <v>0</v>
      </c>
      <c r="Q1082" s="99" t="b">
        <v>0</v>
      </c>
      <c r="R1082" s="14"/>
      <c r="S1082" s="14"/>
      <c r="T1082" s="14"/>
      <c r="U1082" s="14"/>
      <c r="V1082" s="14"/>
      <c r="W1082" s="14"/>
    </row>
    <row r="1083" ht="35.25" customHeight="1">
      <c r="A1083" s="92" t="s">
        <v>12789</v>
      </c>
      <c r="B1083" s="93" t="s">
        <v>12790</v>
      </c>
      <c r="C1083" s="94" t="s">
        <v>12791</v>
      </c>
      <c r="D1083" s="95" t="s">
        <v>12792</v>
      </c>
      <c r="E1083" s="96" t="str">
        <f>IFERROR(__xludf.DUMMYFUNCTION("GOOGLETRANSLATE(D1083,""zh-CN"",""vi"")"),"Anh ấy giải quyết vấn đề rất nhanh chóng.")</f>
        <v>Anh ấy giải quyết vấn đề rất nhanh chóng.</v>
      </c>
      <c r="F1083" s="101" t="s">
        <v>12789</v>
      </c>
      <c r="G1083" s="98" t="b">
        <f t="shared" si="2"/>
        <v>1</v>
      </c>
      <c r="H1083" s="99" t="b">
        <v>0</v>
      </c>
      <c r="I1083" s="99" t="b">
        <v>0</v>
      </c>
      <c r="J1083" s="99" t="b">
        <v>0</v>
      </c>
      <c r="K1083" s="99" t="b">
        <v>0</v>
      </c>
      <c r="L1083" s="99" t="b">
        <v>0</v>
      </c>
      <c r="M1083" s="99" t="b">
        <v>0</v>
      </c>
      <c r="N1083" s="99" t="b">
        <v>0</v>
      </c>
      <c r="O1083" s="99" t="b">
        <v>0</v>
      </c>
      <c r="P1083" s="99" t="b">
        <v>0</v>
      </c>
      <c r="Q1083" s="99" t="b">
        <v>0</v>
      </c>
      <c r="R1083" s="14"/>
      <c r="S1083" s="14"/>
      <c r="T1083" s="14"/>
      <c r="U1083" s="14"/>
      <c r="V1083" s="14"/>
      <c r="W1083" s="14"/>
    </row>
    <row r="1084" ht="35.25" customHeight="1">
      <c r="A1084" s="92" t="s">
        <v>12798</v>
      </c>
      <c r="B1084" s="93" t="s">
        <v>12800</v>
      </c>
      <c r="C1084" s="94" t="s">
        <v>12802</v>
      </c>
      <c r="D1084" s="95" t="s">
        <v>12804</v>
      </c>
      <c r="E1084" s="96" t="str">
        <f>IFERROR(__xludf.DUMMYFUNCTION("GOOGLETRANSLATE(D1084,""zh-CN"",""vi"")"),"Vui lòng thanh toán tiền đặt cọc trước.")</f>
        <v>Vui lòng thanh toán tiền đặt cọc trước.</v>
      </c>
      <c r="F1084" s="101" t="s">
        <v>12798</v>
      </c>
      <c r="G1084" s="98" t="b">
        <f t="shared" si="2"/>
        <v>1</v>
      </c>
      <c r="H1084" s="99" t="b">
        <v>0</v>
      </c>
      <c r="I1084" s="99" t="b">
        <v>0</v>
      </c>
      <c r="J1084" s="99" t="b">
        <v>0</v>
      </c>
      <c r="K1084" s="99" t="b">
        <v>0</v>
      </c>
      <c r="L1084" s="99" t="b">
        <v>0</v>
      </c>
      <c r="M1084" s="99" t="b">
        <v>0</v>
      </c>
      <c r="N1084" s="99" t="b">
        <v>0</v>
      </c>
      <c r="O1084" s="99" t="b">
        <v>0</v>
      </c>
      <c r="P1084" s="99" t="b">
        <v>0</v>
      </c>
      <c r="Q1084" s="99" t="b">
        <v>0</v>
      </c>
      <c r="R1084" s="14"/>
      <c r="S1084" s="14"/>
      <c r="T1084" s="14"/>
      <c r="U1084" s="14"/>
      <c r="V1084" s="14"/>
      <c r="W1084" s="14"/>
    </row>
    <row r="1085" ht="35.25" customHeight="1">
      <c r="A1085" s="92" t="s">
        <v>12809</v>
      </c>
      <c r="B1085" s="93" t="s">
        <v>12810</v>
      </c>
      <c r="C1085" s="94" t="s">
        <v>12811</v>
      </c>
      <c r="D1085" s="95" t="s">
        <v>12812</v>
      </c>
      <c r="E1085" s="96" t="str">
        <f>IFERROR(__xludf.DUMMYFUNCTION("GOOGLETRANSLATE(D1085,""zh-CN"",""vi"")"),"Tôi cần kiểm tra răng của bạn.")</f>
        <v>Tôi cần kiểm tra răng của bạn.</v>
      </c>
      <c r="F1085" s="101" t="s">
        <v>12809</v>
      </c>
      <c r="G1085" s="98" t="b">
        <f t="shared" si="2"/>
        <v>1</v>
      </c>
      <c r="H1085" s="99" t="b">
        <v>0</v>
      </c>
      <c r="I1085" s="99" t="b">
        <v>0</v>
      </c>
      <c r="J1085" s="99" t="b">
        <v>0</v>
      </c>
      <c r="K1085" s="99" t="b">
        <v>0</v>
      </c>
      <c r="L1085" s="99" t="b">
        <v>0</v>
      </c>
      <c r="M1085" s="99" t="b">
        <v>0</v>
      </c>
      <c r="N1085" s="99" t="b">
        <v>0</v>
      </c>
      <c r="O1085" s="99" t="b">
        <v>0</v>
      </c>
      <c r="P1085" s="99" t="b">
        <v>0</v>
      </c>
      <c r="Q1085" s="99" t="b">
        <v>0</v>
      </c>
      <c r="R1085" s="14"/>
      <c r="S1085" s="14"/>
      <c r="T1085" s="14"/>
      <c r="U1085" s="14"/>
      <c r="V1085" s="14"/>
      <c r="W1085" s="14"/>
    </row>
    <row r="1086" ht="35.25" customHeight="1">
      <c r="A1086" s="92" t="s">
        <v>12817</v>
      </c>
      <c r="B1086" s="93" t="s">
        <v>12818</v>
      </c>
      <c r="C1086" s="94" t="s">
        <v>12819</v>
      </c>
      <c r="D1086" s="95" t="s">
        <v>12820</v>
      </c>
      <c r="E1086" s="96" t="str">
        <f>IFERROR(__xludf.DUMMYFUNCTION("GOOGLETRANSLATE(D1086,""zh-CN"",""vi"")"),"Chúng ta cần gia hạn thời hạn.")</f>
        <v>Chúng ta cần gia hạn thời hạn.</v>
      </c>
      <c r="F1086" s="101" t="s">
        <v>12817</v>
      </c>
      <c r="G1086" s="98" t="b">
        <f t="shared" si="2"/>
        <v>1</v>
      </c>
      <c r="H1086" s="99" t="b">
        <v>0</v>
      </c>
      <c r="I1086" s="99" t="b">
        <v>0</v>
      </c>
      <c r="J1086" s="99" t="b">
        <v>0</v>
      </c>
      <c r="K1086" s="99" t="b">
        <v>0</v>
      </c>
      <c r="L1086" s="99" t="b">
        <v>0</v>
      </c>
      <c r="M1086" s="99" t="b">
        <v>0</v>
      </c>
      <c r="N1086" s="99" t="b">
        <v>0</v>
      </c>
      <c r="O1086" s="99" t="b">
        <v>0</v>
      </c>
      <c r="P1086" s="99" t="b">
        <v>0</v>
      </c>
      <c r="Q1086" s="99" t="b">
        <v>0</v>
      </c>
      <c r="R1086" s="14"/>
      <c r="S1086" s="14"/>
      <c r="T1086" s="14"/>
      <c r="U1086" s="14"/>
      <c r="V1086" s="14"/>
      <c r="W1086" s="14"/>
    </row>
    <row r="1087" ht="35.25" customHeight="1">
      <c r="A1087" s="92" t="s">
        <v>12825</v>
      </c>
      <c r="B1087" s="93" t="s">
        <v>12826</v>
      </c>
      <c r="C1087" s="94" t="s">
        <v>2692</v>
      </c>
      <c r="D1087" s="95" t="s">
        <v>12831</v>
      </c>
      <c r="E1087" s="96" t="str">
        <f>IFERROR(__xludf.DUMMYFUNCTION("GOOGLETRANSLATE(D1087,""zh-CN"",""vi"")"),"Ông ấy tỏ ra rất nghiêm túc trong suốt cuộc họp.")</f>
        <v>Ông ấy tỏ ra rất nghiêm túc trong suốt cuộc họp.</v>
      </c>
      <c r="F1087" s="101" t="s">
        <v>12825</v>
      </c>
      <c r="G1087" s="98" t="b">
        <f t="shared" si="2"/>
        <v>1</v>
      </c>
      <c r="H1087" s="99" t="b">
        <v>0</v>
      </c>
      <c r="I1087" s="99" t="b">
        <v>0</v>
      </c>
      <c r="J1087" s="99" t="b">
        <v>0</v>
      </c>
      <c r="K1087" s="99" t="b">
        <v>0</v>
      </c>
      <c r="L1087" s="99" t="b">
        <v>0</v>
      </c>
      <c r="M1087" s="99" t="b">
        <v>0</v>
      </c>
      <c r="N1087" s="99" t="b">
        <v>0</v>
      </c>
      <c r="O1087" s="99" t="b">
        <v>0</v>
      </c>
      <c r="P1087" s="99" t="b">
        <v>0</v>
      </c>
      <c r="Q1087" s="99" t="b">
        <v>0</v>
      </c>
      <c r="R1087" s="14"/>
      <c r="S1087" s="14"/>
      <c r="T1087" s="14"/>
      <c r="U1087" s="14"/>
      <c r="V1087" s="14"/>
      <c r="W1087" s="14"/>
    </row>
    <row r="1088" ht="35.25" customHeight="1">
      <c r="A1088" s="92" t="s">
        <v>12836</v>
      </c>
      <c r="B1088" s="93" t="s">
        <v>12837</v>
      </c>
      <c r="C1088" s="94" t="s">
        <v>12838</v>
      </c>
      <c r="D1088" s="95" t="s">
        <v>12839</v>
      </c>
      <c r="E1088" s="96" t="str">
        <f>IFERROR(__xludf.DUMMYFUNCTION("GOOGLETRANSLATE(D1088,""zh-CN"",""vi"")"),"Cô ấy đã kể lại những trải nghiệm của mình trong bài phát biểu.")</f>
        <v>Cô ấy đã kể lại những trải nghiệm của mình trong bài phát biểu.</v>
      </c>
      <c r="F1088" s="101" t="s">
        <v>12836</v>
      </c>
      <c r="G1088" s="98" t="b">
        <f t="shared" si="2"/>
        <v>1</v>
      </c>
      <c r="H1088" s="99" t="b">
        <v>0</v>
      </c>
      <c r="I1088" s="99" t="b">
        <v>0</v>
      </c>
      <c r="J1088" s="99" t="b">
        <v>0</v>
      </c>
      <c r="K1088" s="99" t="b">
        <v>0</v>
      </c>
      <c r="L1088" s="99" t="b">
        <v>0</v>
      </c>
      <c r="M1088" s="99" t="b">
        <v>0</v>
      </c>
      <c r="N1088" s="99" t="b">
        <v>0</v>
      </c>
      <c r="O1088" s="99" t="b">
        <v>0</v>
      </c>
      <c r="P1088" s="99" t="b">
        <v>0</v>
      </c>
      <c r="Q1088" s="99" t="b">
        <v>0</v>
      </c>
      <c r="R1088" s="14"/>
      <c r="S1088" s="14"/>
      <c r="T1088" s="14"/>
      <c r="U1088" s="14"/>
      <c r="V1088" s="14"/>
      <c r="W1088" s="14"/>
    </row>
    <row r="1089" ht="35.25" customHeight="1">
      <c r="A1089" s="92" t="s">
        <v>12848</v>
      </c>
      <c r="B1089" s="93" t="s">
        <v>12849</v>
      </c>
      <c r="C1089" s="94" t="s">
        <v>12850</v>
      </c>
      <c r="D1089" s="95" t="s">
        <v>12851</v>
      </c>
      <c r="E1089" s="96" t="str">
        <f>IFERROR(__xludf.DUMMYFUNCTION("GOOGLETRANSLATE(D1089,""zh-CN"",""vi"")"),"Chúng tôi đã có một buổi tối thú vị tại bữa tiệc.")</f>
        <v>Chúng tôi đã có một buổi tối thú vị tại bữa tiệc.</v>
      </c>
      <c r="F1089" s="101" t="s">
        <v>12848</v>
      </c>
      <c r="G1089" s="98" t="b">
        <f t="shared" si="2"/>
        <v>1</v>
      </c>
      <c r="H1089" s="99" t="b">
        <v>0</v>
      </c>
      <c r="I1089" s="99" t="b">
        <v>0</v>
      </c>
      <c r="J1089" s="99" t="b">
        <v>0</v>
      </c>
      <c r="K1089" s="99" t="b">
        <v>0</v>
      </c>
      <c r="L1089" s="99" t="b">
        <v>0</v>
      </c>
      <c r="M1089" s="99" t="b">
        <v>0</v>
      </c>
      <c r="N1089" s="99" t="b">
        <v>0</v>
      </c>
      <c r="O1089" s="99" t="b">
        <v>0</v>
      </c>
      <c r="P1089" s="99" t="b">
        <v>0</v>
      </c>
      <c r="Q1089" s="99" t="b">
        <v>0</v>
      </c>
      <c r="R1089" s="14"/>
      <c r="S1089" s="14"/>
      <c r="T1089" s="14"/>
      <c r="U1089" s="14"/>
      <c r="V1089" s="14"/>
      <c r="W1089" s="14"/>
    </row>
    <row r="1090" ht="35.25" customHeight="1">
      <c r="A1090" s="92" t="s">
        <v>12859</v>
      </c>
      <c r="B1090" s="93" t="s">
        <v>12861</v>
      </c>
      <c r="C1090" s="94" t="s">
        <v>12862</v>
      </c>
      <c r="D1090" s="95" t="s">
        <v>12863</v>
      </c>
      <c r="E1090" s="96" t="str">
        <f>IFERROR(__xludf.DUMMYFUNCTION("GOOGLETRANSLATE(D1090,""zh-CN"",""vi"")"),"Chúng ta có thể uống cà phê ở ban công.")</f>
        <v>Chúng ta có thể uống cà phê ở ban công.</v>
      </c>
      <c r="F1090" s="101" t="s">
        <v>12859</v>
      </c>
      <c r="G1090" s="98" t="b">
        <f t="shared" si="2"/>
        <v>1</v>
      </c>
      <c r="H1090" s="99" t="b">
        <v>0</v>
      </c>
      <c r="I1090" s="99" t="b">
        <v>0</v>
      </c>
      <c r="J1090" s="99" t="b">
        <v>0</v>
      </c>
      <c r="K1090" s="99" t="b">
        <v>0</v>
      </c>
      <c r="L1090" s="99" t="b">
        <v>0</v>
      </c>
      <c r="M1090" s="99" t="b">
        <v>0</v>
      </c>
      <c r="N1090" s="99" t="b">
        <v>0</v>
      </c>
      <c r="O1090" s="99" t="b">
        <v>0</v>
      </c>
      <c r="P1090" s="99" t="b">
        <v>0</v>
      </c>
      <c r="Q1090" s="99" t="b">
        <v>0</v>
      </c>
      <c r="R1090" s="14"/>
      <c r="S1090" s="14"/>
      <c r="T1090" s="14"/>
      <c r="U1090" s="14"/>
      <c r="V1090" s="14"/>
      <c r="W1090" s="14"/>
    </row>
    <row r="1091" ht="35.25" customHeight="1">
      <c r="A1091" s="92" t="s">
        <v>12868</v>
      </c>
      <c r="B1091" s="93" t="s">
        <v>12869</v>
      </c>
      <c r="C1091" s="94" t="s">
        <v>12870</v>
      </c>
      <c r="D1091" s="95" t="s">
        <v>12871</v>
      </c>
      <c r="E1091" s="96" t="str">
        <f>IFERROR(__xludf.DUMMYFUNCTION("GOOGLETRANSLATE(D1091,""zh-CN"",""vi"")"),"Da tôi hơi ngứa.")</f>
        <v>Da tôi hơi ngứa.</v>
      </c>
      <c r="F1091" s="101" t="s">
        <v>12868</v>
      </c>
      <c r="G1091" s="98" t="b">
        <f t="shared" si="2"/>
        <v>1</v>
      </c>
      <c r="H1091" s="99" t="b">
        <v>0</v>
      </c>
      <c r="I1091" s="99" t="b">
        <v>0</v>
      </c>
      <c r="J1091" s="99" t="b">
        <v>0</v>
      </c>
      <c r="K1091" s="99" t="b">
        <v>0</v>
      </c>
      <c r="L1091" s="99" t="b">
        <v>0</v>
      </c>
      <c r="M1091" s="99" t="b">
        <v>0</v>
      </c>
      <c r="N1091" s="99" t="b">
        <v>0</v>
      </c>
      <c r="O1091" s="99" t="b">
        <v>0</v>
      </c>
      <c r="P1091" s="99" t="b">
        <v>0</v>
      </c>
      <c r="Q1091" s="99" t="b">
        <v>0</v>
      </c>
      <c r="R1091" s="14"/>
      <c r="S1091" s="14"/>
      <c r="T1091" s="14"/>
      <c r="U1091" s="14"/>
      <c r="V1091" s="14"/>
      <c r="W1091" s="14"/>
    </row>
    <row r="1092" ht="35.25" customHeight="1">
      <c r="A1092" s="92" t="s">
        <v>12876</v>
      </c>
      <c r="B1092" s="93" t="s">
        <v>12877</v>
      </c>
      <c r="C1092" s="94" t="s">
        <v>12880</v>
      </c>
      <c r="D1092" s="95" t="s">
        <v>12883</v>
      </c>
      <c r="E1092" s="96" t="str">
        <f>IFERROR(__xludf.DUMMYFUNCTION("GOOGLETRANSLATE(D1092,""zh-CN"",""vi"")"),"Phong cách thiết kế này rất hiện đại.")</f>
        <v>Phong cách thiết kế này rất hiện đại.</v>
      </c>
      <c r="F1092" s="101" t="s">
        <v>12876</v>
      </c>
      <c r="G1092" s="98" t="b">
        <f t="shared" si="2"/>
        <v>1</v>
      </c>
      <c r="H1092" s="99" t="b">
        <v>0</v>
      </c>
      <c r="I1092" s="99" t="b">
        <v>0</v>
      </c>
      <c r="J1092" s="99" t="b">
        <v>0</v>
      </c>
      <c r="K1092" s="99" t="b">
        <v>0</v>
      </c>
      <c r="L1092" s="99" t="b">
        <v>0</v>
      </c>
      <c r="M1092" s="99" t="b">
        <v>0</v>
      </c>
      <c r="N1092" s="99" t="b">
        <v>0</v>
      </c>
      <c r="O1092" s="99" t="b">
        <v>0</v>
      </c>
      <c r="P1092" s="99" t="b">
        <v>0</v>
      </c>
      <c r="Q1092" s="99" t="b">
        <v>0</v>
      </c>
      <c r="R1092" s="14"/>
      <c r="S1092" s="14"/>
      <c r="T1092" s="14"/>
      <c r="U1092" s="14"/>
      <c r="V1092" s="14"/>
      <c r="W1092" s="14"/>
    </row>
    <row r="1093" ht="35.25" customHeight="1">
      <c r="A1093" s="92" t="s">
        <v>12888</v>
      </c>
      <c r="B1093" s="93" t="s">
        <v>12889</v>
      </c>
      <c r="C1093" s="94" t="s">
        <v>12890</v>
      </c>
      <c r="D1093" s="95" t="s">
        <v>12891</v>
      </c>
      <c r="E1093" s="96" t="str">
        <f>IFERROR(__xludf.DUMMYFUNCTION("GOOGLETRANSLATE(D1093,""zh-CN"",""vi"")"),"Eo của cô ấy rất nhỏ.")</f>
        <v>Eo của cô ấy rất nhỏ.</v>
      </c>
      <c r="F1093" s="101" t="s">
        <v>12888</v>
      </c>
      <c r="G1093" s="98" t="b">
        <f t="shared" si="2"/>
        <v>1</v>
      </c>
      <c r="H1093" s="99" t="b">
        <v>0</v>
      </c>
      <c r="I1093" s="99" t="b">
        <v>0</v>
      </c>
      <c r="J1093" s="99" t="b">
        <v>0</v>
      </c>
      <c r="K1093" s="99" t="b">
        <v>0</v>
      </c>
      <c r="L1093" s="99" t="b">
        <v>0</v>
      </c>
      <c r="M1093" s="99" t="b">
        <v>0</v>
      </c>
      <c r="N1093" s="99" t="b">
        <v>0</v>
      </c>
      <c r="O1093" s="99" t="b">
        <v>0</v>
      </c>
      <c r="P1093" s="99" t="b">
        <v>0</v>
      </c>
      <c r="Q1093" s="99" t="b">
        <v>0</v>
      </c>
      <c r="R1093" s="14"/>
      <c r="S1093" s="14"/>
      <c r="T1093" s="14"/>
      <c r="U1093" s="14"/>
      <c r="V1093" s="14"/>
      <c r="W1093" s="14"/>
    </row>
    <row r="1094" ht="35.25" customHeight="1">
      <c r="A1094" s="92" t="s">
        <v>12895</v>
      </c>
      <c r="B1094" s="93" t="s">
        <v>12896</v>
      </c>
      <c r="C1094" s="94" t="s">
        <v>12898</v>
      </c>
      <c r="D1094" s="95" t="s">
        <v>12900</v>
      </c>
      <c r="E1094" s="96" t="str">
        <f>IFERROR(__xludf.DUMMYFUNCTION("GOOGLETRANSLATE(D1094,""zh-CN"",""vi"")"),"Ông lắc đầu tỏ vẻ không đồng ý.")</f>
        <v>Ông lắc đầu tỏ vẻ không đồng ý.</v>
      </c>
      <c r="F1094" s="101" t="s">
        <v>12895</v>
      </c>
      <c r="G1094" s="98" t="b">
        <f t="shared" si="2"/>
        <v>1</v>
      </c>
      <c r="H1094" s="99" t="b">
        <v>0</v>
      </c>
      <c r="I1094" s="99" t="b">
        <v>0</v>
      </c>
      <c r="J1094" s="99" t="b">
        <v>0</v>
      </c>
      <c r="K1094" s="99" t="b">
        <v>0</v>
      </c>
      <c r="L1094" s="99" t="b">
        <v>0</v>
      </c>
      <c r="M1094" s="99" t="b">
        <v>0</v>
      </c>
      <c r="N1094" s="99" t="b">
        <v>0</v>
      </c>
      <c r="O1094" s="99" t="b">
        <v>0</v>
      </c>
      <c r="P1094" s="99" t="b">
        <v>0</v>
      </c>
      <c r="Q1094" s="99" t="b">
        <v>0</v>
      </c>
      <c r="R1094" s="14"/>
      <c r="S1094" s="14"/>
      <c r="T1094" s="14"/>
      <c r="U1094" s="14"/>
      <c r="V1094" s="14"/>
      <c r="W1094" s="14"/>
    </row>
    <row r="1095" ht="35.25" customHeight="1">
      <c r="A1095" s="92" t="s">
        <v>12905</v>
      </c>
      <c r="B1095" s="93" t="s">
        <v>12907</v>
      </c>
      <c r="C1095" s="94" t="s">
        <v>12909</v>
      </c>
      <c r="D1095" s="95" t="s">
        <v>12910</v>
      </c>
      <c r="E1095" s="96" t="str">
        <f>IFERROR(__xludf.DUMMYFUNCTION("GOOGLETRANSLATE(D1095,""zh-CN"",""vi"")"),"Cô ấy cắn một miếng táo.")</f>
        <v>Cô ấy cắn một miếng táo.</v>
      </c>
      <c r="F1095" s="101" t="s">
        <v>12905</v>
      </c>
      <c r="G1095" s="98" t="b">
        <f t="shared" si="2"/>
        <v>1</v>
      </c>
      <c r="H1095" s="99" t="b">
        <v>1</v>
      </c>
      <c r="I1095" s="99" t="b">
        <v>0</v>
      </c>
      <c r="J1095" s="99" t="b">
        <v>0</v>
      </c>
      <c r="K1095" s="99" t="b">
        <v>0</v>
      </c>
      <c r="L1095" s="99" t="b">
        <v>0</v>
      </c>
      <c r="M1095" s="99" t="b">
        <v>0</v>
      </c>
      <c r="N1095" s="99" t="b">
        <v>0</v>
      </c>
      <c r="O1095" s="99" t="b">
        <v>0</v>
      </c>
      <c r="P1095" s="99" t="b">
        <v>0</v>
      </c>
      <c r="Q1095" s="99" t="b">
        <v>0</v>
      </c>
      <c r="R1095" s="14"/>
      <c r="S1095" s="14"/>
      <c r="T1095" s="14"/>
      <c r="U1095" s="14"/>
      <c r="V1095" s="14"/>
      <c r="W1095" s="14"/>
    </row>
    <row r="1096" ht="35.25" customHeight="1">
      <c r="A1096" s="92" t="s">
        <v>12915</v>
      </c>
      <c r="B1096" s="93" t="s">
        <v>12916</v>
      </c>
      <c r="C1096" s="94" t="s">
        <v>1533</v>
      </c>
      <c r="D1096" s="95" t="s">
        <v>12917</v>
      </c>
      <c r="E1096" s="96" t="str">
        <f>IFERROR(__xludf.DUMMYFUNCTION("GOOGLETRANSLATE(D1096,""zh-CN"",""vi"")"),"Hay là mình đi xem phim nhé?")</f>
        <v>Hay là mình đi xem phim nhé?</v>
      </c>
      <c r="F1096" s="101" t="s">
        <v>12915</v>
      </c>
      <c r="G1096" s="98" t="b">
        <f t="shared" si="2"/>
        <v>1</v>
      </c>
      <c r="H1096" s="99" t="b">
        <v>1</v>
      </c>
      <c r="I1096" s="99" t="b">
        <v>0</v>
      </c>
      <c r="J1096" s="99" t="b">
        <v>0</v>
      </c>
      <c r="K1096" s="99" t="b">
        <v>0</v>
      </c>
      <c r="L1096" s="99" t="b">
        <v>0</v>
      </c>
      <c r="M1096" s="99" t="b">
        <v>0</v>
      </c>
      <c r="N1096" s="99" t="b">
        <v>0</v>
      </c>
      <c r="O1096" s="99" t="b">
        <v>0</v>
      </c>
      <c r="P1096" s="99" t="b">
        <v>0</v>
      </c>
      <c r="Q1096" s="99" t="b">
        <v>0</v>
      </c>
      <c r="R1096" s="14"/>
      <c r="S1096" s="14"/>
      <c r="T1096" s="14"/>
      <c r="U1096" s="14"/>
      <c r="V1096" s="14"/>
      <c r="W1096" s="14"/>
    </row>
    <row r="1097" ht="35.25" customHeight="1">
      <c r="A1097" s="92" t="s">
        <v>12925</v>
      </c>
      <c r="B1097" s="93" t="s">
        <v>12927</v>
      </c>
      <c r="C1097" s="94" t="s">
        <v>12928</v>
      </c>
      <c r="D1097" s="95" t="s">
        <v>12929</v>
      </c>
      <c r="E1097" s="96" t="str">
        <f>IFERROR(__xludf.DUMMYFUNCTION("GOOGLETRANSLATE(D1097,""zh-CN"",""vi"")"),"Anh ấy phụ trách phát triển kinh doanh tại công ty.")</f>
        <v>Anh ấy phụ trách phát triển kinh doanh tại công ty.</v>
      </c>
      <c r="F1097" s="101" t="s">
        <v>12925</v>
      </c>
      <c r="G1097" s="98" t="b">
        <f t="shared" si="2"/>
        <v>1</v>
      </c>
      <c r="H1097" s="99" t="b">
        <v>1</v>
      </c>
      <c r="I1097" s="99" t="b">
        <v>0</v>
      </c>
      <c r="J1097" s="99" t="b">
        <v>0</v>
      </c>
      <c r="K1097" s="99" t="b">
        <v>0</v>
      </c>
      <c r="L1097" s="99" t="b">
        <v>0</v>
      </c>
      <c r="M1097" s="99" t="b">
        <v>0</v>
      </c>
      <c r="N1097" s="99" t="b">
        <v>0</v>
      </c>
      <c r="O1097" s="99" t="b">
        <v>0</v>
      </c>
      <c r="P1097" s="99" t="b">
        <v>0</v>
      </c>
      <c r="Q1097" s="99" t="b">
        <v>0</v>
      </c>
      <c r="R1097" s="14"/>
      <c r="S1097" s="14"/>
      <c r="T1097" s="14"/>
      <c r="U1097" s="14"/>
      <c r="V1097" s="14"/>
      <c r="W1097" s="14"/>
    </row>
    <row r="1098" ht="35.25" customHeight="1">
      <c r="A1098" s="92" t="s">
        <v>12934</v>
      </c>
      <c r="B1098" s="93" t="s">
        <v>12935</v>
      </c>
      <c r="C1098" s="94" t="s">
        <v>12936</v>
      </c>
      <c r="D1098" s="95" t="s">
        <v>12937</v>
      </c>
      <c r="E1098" s="96" t="str">
        <f>IFERROR(__xludf.DUMMYFUNCTION("GOOGLETRANSLATE(D1098,""zh-CN"",""vi"")"),"Anh ấy có rất nhiều sở thích.")</f>
        <v>Anh ấy có rất nhiều sở thích.</v>
      </c>
      <c r="F1098" s="101" t="s">
        <v>12934</v>
      </c>
      <c r="G1098" s="98" t="b">
        <f t="shared" si="2"/>
        <v>1</v>
      </c>
      <c r="H1098" s="99" t="b">
        <v>1</v>
      </c>
      <c r="I1098" s="99" t="b">
        <v>0</v>
      </c>
      <c r="J1098" s="99" t="b">
        <v>0</v>
      </c>
      <c r="K1098" s="99" t="b">
        <v>0</v>
      </c>
      <c r="L1098" s="99" t="b">
        <v>0</v>
      </c>
      <c r="M1098" s="99" t="b">
        <v>0</v>
      </c>
      <c r="N1098" s="99" t="b">
        <v>0</v>
      </c>
      <c r="O1098" s="99" t="b">
        <v>0</v>
      </c>
      <c r="P1098" s="99" t="b">
        <v>0</v>
      </c>
      <c r="Q1098" s="99" t="b">
        <v>0</v>
      </c>
      <c r="R1098" s="14"/>
      <c r="S1098" s="14"/>
      <c r="T1098" s="14"/>
      <c r="U1098" s="14"/>
      <c r="V1098" s="14"/>
      <c r="W1098" s="14"/>
    </row>
    <row r="1099" ht="35.25" customHeight="1">
      <c r="A1099" s="92" t="s">
        <v>12942</v>
      </c>
      <c r="B1099" s="93" t="s">
        <v>4305</v>
      </c>
      <c r="C1099" s="94" t="s">
        <v>12943</v>
      </c>
      <c r="D1099" s="95" t="s">
        <v>12944</v>
      </c>
      <c r="E1099" s="96" t="str">
        <f>IFERROR(__xludf.DUMMYFUNCTION("GOOGLETRANSLATE(D1099,""zh-CN"",""vi"")"),"Gió đêm mát lạnh.")</f>
        <v>Gió đêm mát lạnh.</v>
      </c>
      <c r="F1099" s="101" t="s">
        <v>12942</v>
      </c>
      <c r="G1099" s="98" t="b">
        <f t="shared" si="2"/>
        <v>1</v>
      </c>
      <c r="H1099" s="99" t="b">
        <v>1</v>
      </c>
      <c r="I1099" s="99" t="b">
        <v>0</v>
      </c>
      <c r="J1099" s="99" t="b">
        <v>0</v>
      </c>
      <c r="K1099" s="99" t="b">
        <v>0</v>
      </c>
      <c r="L1099" s="99" t="b">
        <v>0</v>
      </c>
      <c r="M1099" s="99" t="b">
        <v>0</v>
      </c>
      <c r="N1099" s="99" t="b">
        <v>0</v>
      </c>
      <c r="O1099" s="99" t="b">
        <v>0</v>
      </c>
      <c r="P1099" s="99" t="b">
        <v>0</v>
      </c>
      <c r="Q1099" s="99" t="b">
        <v>0</v>
      </c>
      <c r="R1099" s="14"/>
      <c r="S1099" s="14"/>
      <c r="T1099" s="14"/>
      <c r="U1099" s="14"/>
      <c r="V1099" s="14"/>
      <c r="W1099" s="14"/>
    </row>
    <row r="1100" ht="35.25" customHeight="1">
      <c r="A1100" s="92" t="s">
        <v>12952</v>
      </c>
      <c r="B1100" s="93" t="s">
        <v>12954</v>
      </c>
      <c r="C1100" s="94" t="s">
        <v>12955</v>
      </c>
      <c r="D1100" s="95" t="s">
        <v>12956</v>
      </c>
      <c r="E1100" s="96" t="str">
        <f>IFERROR(__xludf.DUMMYFUNCTION("GOOGLETRANSLATE(D1100,""zh-CN"",""vi"")"),"Tôi hy vọng sẽ sống một cuộc đời tốt đẹp cho đến hết đời.")</f>
        <v>Tôi hy vọng sẽ sống một cuộc đời tốt đẹp cho đến hết đời.</v>
      </c>
      <c r="F1100" s="101" t="s">
        <v>12952</v>
      </c>
      <c r="G1100" s="98" t="b">
        <f t="shared" si="2"/>
        <v>1</v>
      </c>
      <c r="H1100" s="99" t="b">
        <v>1</v>
      </c>
      <c r="I1100" s="99" t="b">
        <v>0</v>
      </c>
      <c r="J1100" s="99" t="b">
        <v>0</v>
      </c>
      <c r="K1100" s="99" t="b">
        <v>0</v>
      </c>
      <c r="L1100" s="99" t="b">
        <v>0</v>
      </c>
      <c r="M1100" s="99" t="b">
        <v>0</v>
      </c>
      <c r="N1100" s="99" t="b">
        <v>0</v>
      </c>
      <c r="O1100" s="99" t="b">
        <v>0</v>
      </c>
      <c r="P1100" s="99" t="b">
        <v>0</v>
      </c>
      <c r="Q1100" s="99" t="b">
        <v>0</v>
      </c>
      <c r="R1100" s="14"/>
      <c r="S1100" s="14"/>
      <c r="T1100" s="14"/>
      <c r="U1100" s="14"/>
      <c r="V1100" s="14"/>
      <c r="W1100" s="14"/>
    </row>
    <row r="1101" ht="35.25" customHeight="1">
      <c r="A1101" s="92" t="s">
        <v>12969</v>
      </c>
      <c r="B1101" s="93" t="s">
        <v>12970</v>
      </c>
      <c r="C1101" s="94" t="s">
        <v>12971</v>
      </c>
      <c r="D1101" s="95" t="s">
        <v>12972</v>
      </c>
      <c r="E1101" s="96" t="str">
        <f>IFERROR(__xludf.DUMMYFUNCTION("GOOGLETRANSLATE(D1101,""zh-CN"",""vi"")"),"Một khi đã bắt đầu, bạn phải kiên trì đến cùng.")</f>
        <v>Một khi đã bắt đầu, bạn phải kiên trì đến cùng.</v>
      </c>
      <c r="F1101" s="101" t="s">
        <v>12969</v>
      </c>
      <c r="G1101" s="98" t="b">
        <f t="shared" si="2"/>
        <v>1</v>
      </c>
      <c r="H1101" s="99" t="b">
        <v>1</v>
      </c>
      <c r="I1101" s="99" t="b">
        <v>0</v>
      </c>
      <c r="J1101" s="99" t="b">
        <v>0</v>
      </c>
      <c r="K1101" s="99" t="b">
        <v>0</v>
      </c>
      <c r="L1101" s="99" t="b">
        <v>0</v>
      </c>
      <c r="M1101" s="99" t="b">
        <v>0</v>
      </c>
      <c r="N1101" s="99" t="b">
        <v>0</v>
      </c>
      <c r="O1101" s="99" t="b">
        <v>0</v>
      </c>
      <c r="P1101" s="99" t="b">
        <v>0</v>
      </c>
      <c r="Q1101" s="99" t="b">
        <v>0</v>
      </c>
      <c r="R1101" s="14"/>
      <c r="S1101" s="14"/>
      <c r="T1101" s="14"/>
      <c r="U1101" s="14"/>
      <c r="V1101" s="14"/>
      <c r="W1101" s="14"/>
    </row>
    <row r="1102" ht="35.25" customHeight="1">
      <c r="A1102" s="92" t="s">
        <v>12977</v>
      </c>
      <c r="B1102" s="93" t="s">
        <v>12978</v>
      </c>
      <c r="C1102" s="94" t="s">
        <v>12979</v>
      </c>
      <c r="D1102" s="95" t="s">
        <v>12980</v>
      </c>
      <c r="E1102" s="96" t="str">
        <f>IFERROR(__xludf.DUMMYFUNCTION("GOOGLETRANSLATE(D1102,""zh-CN"",""vi"")"),"Ý kiến ​​của họ đều nhất trí.")</f>
        <v>Ý kiến ​​của họ đều nhất trí.</v>
      </c>
      <c r="F1102" s="101" t="s">
        <v>12977</v>
      </c>
      <c r="G1102" s="98" t="b">
        <f t="shared" si="2"/>
        <v>1</v>
      </c>
      <c r="H1102" s="99" t="b">
        <v>1</v>
      </c>
      <c r="I1102" s="99" t="b">
        <v>0</v>
      </c>
      <c r="J1102" s="99" t="b">
        <v>0</v>
      </c>
      <c r="K1102" s="99" t="b">
        <v>0</v>
      </c>
      <c r="L1102" s="99" t="b">
        <v>0</v>
      </c>
      <c r="M1102" s="99" t="b">
        <v>0</v>
      </c>
      <c r="N1102" s="99" t="b">
        <v>0</v>
      </c>
      <c r="O1102" s="99" t="b">
        <v>0</v>
      </c>
      <c r="P1102" s="99" t="b">
        <v>0</v>
      </c>
      <c r="Q1102" s="99" t="b">
        <v>0</v>
      </c>
      <c r="R1102" s="14"/>
      <c r="S1102" s="14"/>
      <c r="T1102" s="14"/>
      <c r="U1102" s="14"/>
      <c r="V1102" s="14"/>
      <c r="W1102" s="14"/>
    </row>
    <row r="1103" ht="35.25" customHeight="1">
      <c r="A1103" s="92" t="s">
        <v>12985</v>
      </c>
      <c r="B1103" s="93" t="s">
        <v>12987</v>
      </c>
      <c r="C1103" s="94" t="s">
        <v>12990</v>
      </c>
      <c r="D1103" s="95" t="s">
        <v>12992</v>
      </c>
      <c r="E1103" s="96" t="str">
        <f>IFERROR(__xludf.DUMMYFUNCTION("GOOGLETRANSLATE(D1103,""zh-CN"",""vi"")"),"Ông liên tục nhấn mạnh tầm quan trọng của vấn đề này.")</f>
        <v>Ông liên tục nhấn mạnh tầm quan trọng của vấn đề này.</v>
      </c>
      <c r="F1103" s="101" t="s">
        <v>12985</v>
      </c>
      <c r="G1103" s="98" t="b">
        <f t="shared" si="2"/>
        <v>1</v>
      </c>
      <c r="H1103" s="99" t="b">
        <v>1</v>
      </c>
      <c r="I1103" s="99" t="b">
        <v>0</v>
      </c>
      <c r="J1103" s="99" t="b">
        <v>0</v>
      </c>
      <c r="K1103" s="99" t="b">
        <v>0</v>
      </c>
      <c r="L1103" s="99" t="b">
        <v>0</v>
      </c>
      <c r="M1103" s="99" t="b">
        <v>0</v>
      </c>
      <c r="N1103" s="99" t="b">
        <v>0</v>
      </c>
      <c r="O1103" s="99" t="b">
        <v>0</v>
      </c>
      <c r="P1103" s="99" t="b">
        <v>0</v>
      </c>
      <c r="Q1103" s="99" t="b">
        <v>0</v>
      </c>
      <c r="R1103" s="14"/>
      <c r="S1103" s="14"/>
      <c r="T1103" s="14"/>
      <c r="U1103" s="14"/>
      <c r="V1103" s="14"/>
      <c r="W1103" s="14"/>
    </row>
    <row r="1104" ht="35.25" customHeight="1">
      <c r="A1104" s="92" t="s">
        <v>12997</v>
      </c>
      <c r="B1104" s="93" t="s">
        <v>12998</v>
      </c>
      <c r="C1104" s="94" t="s">
        <v>11478</v>
      </c>
      <c r="D1104" s="95" t="s">
        <v>12999</v>
      </c>
      <c r="E1104" s="96" t="str">
        <f>IFERROR(__xludf.DUMMYFUNCTION("GOOGLETRANSLATE(D1104,""zh-CN"",""vi"")"),"Quan điểm của họ giống với quan điểm của tôi.")</f>
        <v>Quan điểm của họ giống với quan điểm của tôi.</v>
      </c>
      <c r="F1104" s="101" t="s">
        <v>12997</v>
      </c>
      <c r="G1104" s="98" t="b">
        <f t="shared" si="2"/>
        <v>1</v>
      </c>
      <c r="H1104" s="99" t="b">
        <v>1</v>
      </c>
      <c r="I1104" s="99" t="b">
        <v>0</v>
      </c>
      <c r="J1104" s="99" t="b">
        <v>0</v>
      </c>
      <c r="K1104" s="99" t="b">
        <v>0</v>
      </c>
      <c r="L1104" s="99" t="b">
        <v>0</v>
      </c>
      <c r="M1104" s="99" t="b">
        <v>0</v>
      </c>
      <c r="N1104" s="99" t="b">
        <v>0</v>
      </c>
      <c r="O1104" s="99" t="b">
        <v>0</v>
      </c>
      <c r="P1104" s="99" t="b">
        <v>0</v>
      </c>
      <c r="Q1104" s="99" t="b">
        <v>0</v>
      </c>
      <c r="R1104" s="14"/>
      <c r="S1104" s="14"/>
      <c r="T1104" s="14"/>
      <c r="U1104" s="14"/>
      <c r="V1104" s="14"/>
      <c r="W1104" s="14"/>
    </row>
    <row r="1105" ht="35.25" customHeight="1">
      <c r="A1105" s="92" t="s">
        <v>13004</v>
      </c>
      <c r="B1105" s="93" t="s">
        <v>13007</v>
      </c>
      <c r="C1105" s="94" t="s">
        <v>13009</v>
      </c>
      <c r="D1105" s="95" t="s">
        <v>13011</v>
      </c>
      <c r="E1105" s="96" t="str">
        <f>IFERROR(__xludf.DUMMYFUNCTION("GOOGLETRANSLATE(D1105,""zh-CN"",""vi"")"),"Bất chấp tình hình khó khăn, chúng tôi vẫn kiên trì.")</f>
        <v>Bất chấp tình hình khó khăn, chúng tôi vẫn kiên trì.</v>
      </c>
      <c r="F1105" s="101" t="s">
        <v>13004</v>
      </c>
      <c r="G1105" s="98" t="b">
        <f t="shared" si="2"/>
        <v>1</v>
      </c>
      <c r="H1105" s="99" t="b">
        <v>1</v>
      </c>
      <c r="I1105" s="99" t="b">
        <v>0</v>
      </c>
      <c r="J1105" s="99" t="b">
        <v>0</v>
      </c>
      <c r="K1105" s="99" t="b">
        <v>0</v>
      </c>
      <c r="L1105" s="99" t="b">
        <v>0</v>
      </c>
      <c r="M1105" s="99" t="b">
        <v>0</v>
      </c>
      <c r="N1105" s="99" t="b">
        <v>0</v>
      </c>
      <c r="O1105" s="99" t="b">
        <v>0</v>
      </c>
      <c r="P1105" s="99" t="b">
        <v>0</v>
      </c>
      <c r="Q1105" s="99" t="b">
        <v>0</v>
      </c>
      <c r="R1105" s="14"/>
      <c r="S1105" s="14"/>
      <c r="T1105" s="14"/>
      <c r="U1105" s="14"/>
      <c r="V1105" s="14"/>
      <c r="W1105" s="14"/>
    </row>
    <row r="1106" ht="35.25" customHeight="1">
      <c r="A1106" s="92" t="s">
        <v>13016</v>
      </c>
      <c r="B1106" s="93" t="s">
        <v>13017</v>
      </c>
      <c r="C1106" s="94" t="s">
        <v>13018</v>
      </c>
      <c r="D1106" s="95" t="s">
        <v>13019</v>
      </c>
      <c r="E1106" s="96" t="str">
        <f>IFERROR(__xludf.DUMMYFUNCTION("GOOGLETRANSLATE(D1106,""zh-CN"",""vi"")"),"Chúng ta cần di chuyển những món đồ nội thất này.")</f>
        <v>Chúng ta cần di chuyển những món đồ nội thất này.</v>
      </c>
      <c r="F1106" s="101" t="s">
        <v>13016</v>
      </c>
      <c r="G1106" s="98" t="b">
        <f t="shared" si="2"/>
        <v>1</v>
      </c>
      <c r="H1106" s="99" t="b">
        <v>1</v>
      </c>
      <c r="I1106" s="99" t="b">
        <v>0</v>
      </c>
      <c r="J1106" s="99" t="b">
        <v>0</v>
      </c>
      <c r="K1106" s="99" t="b">
        <v>0</v>
      </c>
      <c r="L1106" s="99" t="b">
        <v>0</v>
      </c>
      <c r="M1106" s="99" t="b">
        <v>0</v>
      </c>
      <c r="N1106" s="99" t="b">
        <v>0</v>
      </c>
      <c r="O1106" s="99" t="b">
        <v>0</v>
      </c>
      <c r="P1106" s="99" t="b">
        <v>0</v>
      </c>
      <c r="Q1106" s="99" t="b">
        <v>0</v>
      </c>
      <c r="R1106" s="14"/>
      <c r="S1106" s="14"/>
      <c r="T1106" s="14"/>
      <c r="U1106" s="14"/>
      <c r="V1106" s="14"/>
      <c r="W1106" s="14"/>
    </row>
    <row r="1107" ht="35.25" customHeight="1">
      <c r="A1107" s="92" t="s">
        <v>13024</v>
      </c>
      <c r="B1107" s="93" t="s">
        <v>13025</v>
      </c>
      <c r="C1107" s="94" t="s">
        <v>13027</v>
      </c>
      <c r="D1107" s="95" t="s">
        <v>13029</v>
      </c>
      <c r="E1107" s="96" t="str">
        <f>IFERROR(__xludf.DUMMYFUNCTION("GOOGLETRANSLATE(D1107,""zh-CN"",""vi"")"),"Anh ấy quyết định di cư sang Canada.")</f>
        <v>Anh ấy quyết định di cư sang Canada.</v>
      </c>
      <c r="F1107" s="101" t="s">
        <v>13024</v>
      </c>
      <c r="G1107" s="98" t="b">
        <f t="shared" si="2"/>
        <v>1</v>
      </c>
      <c r="H1107" s="99" t="b">
        <v>1</v>
      </c>
      <c r="I1107" s="99" t="b">
        <v>0</v>
      </c>
      <c r="J1107" s="99" t="b">
        <v>0</v>
      </c>
      <c r="K1107" s="99" t="b">
        <v>0</v>
      </c>
      <c r="L1107" s="99" t="b">
        <v>0</v>
      </c>
      <c r="M1107" s="99" t="b">
        <v>0</v>
      </c>
      <c r="N1107" s="99" t="b">
        <v>0</v>
      </c>
      <c r="O1107" s="99" t="b">
        <v>0</v>
      </c>
      <c r="P1107" s="99" t="b">
        <v>0</v>
      </c>
      <c r="Q1107" s="99" t="b">
        <v>0</v>
      </c>
      <c r="R1107" s="14"/>
      <c r="S1107" s="14"/>
      <c r="T1107" s="14"/>
      <c r="U1107" s="14"/>
      <c r="V1107" s="14"/>
      <c r="W1107" s="14"/>
    </row>
    <row r="1108" ht="35.25" customHeight="1">
      <c r="A1108" s="92" t="s">
        <v>13036</v>
      </c>
      <c r="B1108" s="93" t="s">
        <v>13037</v>
      </c>
      <c r="C1108" s="102" t="s">
        <v>13038</v>
      </c>
      <c r="D1108" s="95" t="s">
        <v>13039</v>
      </c>
      <c r="E1108" s="96" t="str">
        <f>IFERROR(__xludf.DUMMYFUNCTION("GOOGLETRANSLATE(D1108,""zh-CN"",""vi"")"),"Tôi rất tiếc về kết quả này.")</f>
        <v>Tôi rất tiếc về kết quả này.</v>
      </c>
      <c r="F1108" s="101" t="s">
        <v>13036</v>
      </c>
      <c r="G1108" s="98" t="b">
        <f t="shared" si="2"/>
        <v>1</v>
      </c>
      <c r="H1108" s="99" t="b">
        <v>1</v>
      </c>
      <c r="I1108" s="99" t="b">
        <v>0</v>
      </c>
      <c r="J1108" s="99" t="b">
        <v>0</v>
      </c>
      <c r="K1108" s="99" t="b">
        <v>0</v>
      </c>
      <c r="L1108" s="99" t="b">
        <v>0</v>
      </c>
      <c r="M1108" s="99" t="b">
        <v>0</v>
      </c>
      <c r="N1108" s="99" t="b">
        <v>0</v>
      </c>
      <c r="O1108" s="99" t="b">
        <v>0</v>
      </c>
      <c r="P1108" s="99" t="b">
        <v>0</v>
      </c>
      <c r="Q1108" s="99" t="b">
        <v>0</v>
      </c>
      <c r="R1108" s="14"/>
      <c r="S1108" s="14"/>
      <c r="T1108" s="14"/>
      <c r="U1108" s="14"/>
      <c r="V1108" s="14"/>
      <c r="W1108" s="14"/>
    </row>
    <row r="1109" ht="35.25" customHeight="1">
      <c r="A1109" s="92" t="s">
        <v>13041</v>
      </c>
      <c r="B1109" s="93" t="s">
        <v>13042</v>
      </c>
      <c r="C1109" s="94" t="s">
        <v>13043</v>
      </c>
      <c r="D1109" s="95" t="s">
        <v>13044</v>
      </c>
      <c r="E1109" s="96" t="str">
        <f>IFERROR(__xludf.DUMMYFUNCTION("GOOGLETRANSLATE(D1109,""zh-CN"",""vi"")"),"Ông ấy đã nêu ra một câu hỏi rất lớn.")</f>
        <v>Ông ấy đã nêu ra một câu hỏi rất lớn.</v>
      </c>
      <c r="F1109" s="101" t="s">
        <v>13041</v>
      </c>
      <c r="G1109" s="98" t="b">
        <f t="shared" si="2"/>
        <v>1</v>
      </c>
      <c r="H1109" s="99" t="b">
        <v>1</v>
      </c>
      <c r="I1109" s="99" t="b">
        <v>0</v>
      </c>
      <c r="J1109" s="99" t="b">
        <v>0</v>
      </c>
      <c r="K1109" s="99" t="b">
        <v>0</v>
      </c>
      <c r="L1109" s="99" t="b">
        <v>0</v>
      </c>
      <c r="M1109" s="99" t="b">
        <v>0</v>
      </c>
      <c r="N1109" s="99" t="b">
        <v>0</v>
      </c>
      <c r="O1109" s="99" t="b">
        <v>0</v>
      </c>
      <c r="P1109" s="99" t="b">
        <v>0</v>
      </c>
      <c r="Q1109" s="99" t="b">
        <v>0</v>
      </c>
      <c r="R1109" s="14"/>
      <c r="S1109" s="14"/>
      <c r="T1109" s="14"/>
      <c r="U1109" s="14"/>
      <c r="V1109" s="14"/>
      <c r="W1109" s="14"/>
    </row>
    <row r="1110" ht="35.25" customHeight="1">
      <c r="A1110" s="92" t="s">
        <v>13053</v>
      </c>
      <c r="B1110" s="93" t="s">
        <v>4311</v>
      </c>
      <c r="C1110" s="94" t="s">
        <v>13054</v>
      </c>
      <c r="D1110" s="95" t="s">
        <v>13055</v>
      </c>
      <c r="E1110" s="96" t="str">
        <f>IFERROR(__xludf.DUMMYFUNCTION("GOOGLETRANSLATE(D1110,""zh-CN"",""vi"")"),"""B"" là chữ cái thứ hai.")</f>
        <v>"B" là chữ cái thứ hai.</v>
      </c>
      <c r="F1110" s="101" t="s">
        <v>13053</v>
      </c>
      <c r="G1110" s="98" t="b">
        <f t="shared" si="2"/>
        <v>1</v>
      </c>
      <c r="H1110" s="99" t="b">
        <v>1</v>
      </c>
      <c r="I1110" s="99" t="b">
        <v>0</v>
      </c>
      <c r="J1110" s="99" t="b">
        <v>0</v>
      </c>
      <c r="K1110" s="99" t="b">
        <v>0</v>
      </c>
      <c r="L1110" s="99" t="b">
        <v>0</v>
      </c>
      <c r="M1110" s="99" t="b">
        <v>0</v>
      </c>
      <c r="N1110" s="99" t="b">
        <v>0</v>
      </c>
      <c r="O1110" s="99" t="b">
        <v>0</v>
      </c>
      <c r="P1110" s="99" t="b">
        <v>0</v>
      </c>
      <c r="Q1110" s="99" t="b">
        <v>0</v>
      </c>
      <c r="R1110" s="14"/>
      <c r="S1110" s="14"/>
      <c r="T1110" s="14"/>
      <c r="U1110" s="14"/>
      <c r="V1110" s="14"/>
      <c r="W1110" s="14"/>
    </row>
    <row r="1111" ht="35.25" customHeight="1">
      <c r="A1111" s="92" t="s">
        <v>13060</v>
      </c>
      <c r="B1111" s="93" t="s">
        <v>13061</v>
      </c>
      <c r="C1111" s="94" t="s">
        <v>411</v>
      </c>
      <c r="D1111" s="95" t="s">
        <v>13062</v>
      </c>
      <c r="E1111" s="96" t="str">
        <f>IFERROR(__xludf.DUMMYFUNCTION("GOOGLETRANSLATE(D1111,""zh-CN"",""vi"")"),"Anh ấy đi cùng tôi và những người khác.")</f>
        <v>Anh ấy đi cùng tôi và những người khác.</v>
      </c>
      <c r="F1111" s="101" t="s">
        <v>13060</v>
      </c>
      <c r="G1111" s="98" t="b">
        <f t="shared" si="2"/>
        <v>1</v>
      </c>
      <c r="H1111" s="99" t="b">
        <v>1</v>
      </c>
      <c r="I1111" s="99" t="b">
        <v>0</v>
      </c>
      <c r="J1111" s="99" t="b">
        <v>0</v>
      </c>
      <c r="K1111" s="99" t="b">
        <v>0</v>
      </c>
      <c r="L1111" s="99" t="b">
        <v>0</v>
      </c>
      <c r="M1111" s="99" t="b">
        <v>0</v>
      </c>
      <c r="N1111" s="99" t="b">
        <v>0</v>
      </c>
      <c r="O1111" s="99" t="b">
        <v>0</v>
      </c>
      <c r="P1111" s="99" t="b">
        <v>0</v>
      </c>
      <c r="Q1111" s="99" t="b">
        <v>0</v>
      </c>
      <c r="R1111" s="14"/>
      <c r="S1111" s="14"/>
      <c r="T1111" s="14"/>
      <c r="U1111" s="14"/>
      <c r="V1111" s="14"/>
      <c r="W1111" s="14"/>
    </row>
    <row r="1112" ht="35.25" customHeight="1">
      <c r="A1112" s="92" t="s">
        <v>13071</v>
      </c>
      <c r="B1112" s="93" t="s">
        <v>13072</v>
      </c>
      <c r="C1112" s="94" t="s">
        <v>13073</v>
      </c>
      <c r="D1112" s="95" t="s">
        <v>13074</v>
      </c>
      <c r="E1112" s="96" t="str">
        <f>IFERROR(__xludf.DUMMYFUNCTION("GOOGLETRANSLATE(D1112,""zh-CN"",""vi"")"),"Công ty này đã phát triển không ngừng kể từ năm 1990.")</f>
        <v>Công ty này đã phát triển không ngừng kể từ năm 1990.</v>
      </c>
      <c r="F1112" s="101" t="s">
        <v>13071</v>
      </c>
      <c r="G1112" s="98" t="b">
        <f t="shared" si="2"/>
        <v>1</v>
      </c>
      <c r="H1112" s="99" t="b">
        <v>1</v>
      </c>
      <c r="I1112" s="99" t="b">
        <v>0</v>
      </c>
      <c r="J1112" s="99" t="b">
        <v>0</v>
      </c>
      <c r="K1112" s="99" t="b">
        <v>0</v>
      </c>
      <c r="L1112" s="99" t="b">
        <v>0</v>
      </c>
      <c r="M1112" s="99" t="b">
        <v>0</v>
      </c>
      <c r="N1112" s="99" t="b">
        <v>0</v>
      </c>
      <c r="O1112" s="99" t="b">
        <v>0</v>
      </c>
      <c r="P1112" s="99" t="b">
        <v>0</v>
      </c>
      <c r="Q1112" s="99" t="b">
        <v>0</v>
      </c>
      <c r="R1112" s="14"/>
      <c r="S1112" s="14"/>
      <c r="T1112" s="14"/>
      <c r="U1112" s="14"/>
      <c r="V1112" s="14"/>
      <c r="W1112" s="14"/>
    </row>
    <row r="1113" ht="35.25" customHeight="1">
      <c r="A1113" s="92" t="s">
        <v>13079</v>
      </c>
      <c r="B1113" s="93" t="s">
        <v>13080</v>
      </c>
      <c r="C1113" s="94" t="s">
        <v>13081</v>
      </c>
      <c r="D1113" s="95" t="s">
        <v>13082</v>
      </c>
      <c r="E1113" s="96" t="str">
        <f>IFERROR(__xludf.DUMMYFUNCTION("GOOGLETRANSLATE(D1113,""zh-CN"",""vi"")"),"Trung Quốc có dân số hơn một tỷ người.")</f>
        <v>Trung Quốc có dân số hơn một tỷ người.</v>
      </c>
      <c r="F1113" s="101" t="s">
        <v>13079</v>
      </c>
      <c r="G1113" s="98" t="b">
        <f t="shared" si="2"/>
        <v>1</v>
      </c>
      <c r="H1113" s="99" t="b">
        <v>1</v>
      </c>
      <c r="I1113" s="99" t="b">
        <v>0</v>
      </c>
      <c r="J1113" s="99" t="b">
        <v>0</v>
      </c>
      <c r="K1113" s="99" t="b">
        <v>0</v>
      </c>
      <c r="L1113" s="99" t="b">
        <v>0</v>
      </c>
      <c r="M1113" s="99" t="b">
        <v>0</v>
      </c>
      <c r="N1113" s="99" t="b">
        <v>0</v>
      </c>
      <c r="O1113" s="99" t="b">
        <v>0</v>
      </c>
      <c r="P1113" s="99" t="b">
        <v>0</v>
      </c>
      <c r="Q1113" s="99" t="b">
        <v>0</v>
      </c>
      <c r="R1113" s="14"/>
      <c r="S1113" s="14"/>
      <c r="T1113" s="14"/>
      <c r="U1113" s="14"/>
      <c r="V1113" s="14"/>
      <c r="W1113" s="14"/>
    </row>
    <row r="1114" ht="35.25" customHeight="1">
      <c r="A1114" s="92" t="s">
        <v>13088</v>
      </c>
      <c r="B1114" s="93" t="s">
        <v>13090</v>
      </c>
      <c r="C1114" s="94" t="s">
        <v>13093</v>
      </c>
      <c r="D1114" s="95" t="s">
        <v>13094</v>
      </c>
      <c r="E1114" s="96" t="str">
        <f>IFERROR(__xludf.DUMMYFUNCTION("GOOGLETRANSLATE(D1114,""zh-CN"",""vi"")"),"Chúng ta có nghĩa vụ bảo vệ môi trường.")</f>
        <v>Chúng ta có nghĩa vụ bảo vệ môi trường.</v>
      </c>
      <c r="F1114" s="101" t="s">
        <v>13088</v>
      </c>
      <c r="G1114" s="98" t="b">
        <f t="shared" si="2"/>
        <v>1</v>
      </c>
      <c r="H1114" s="99" t="b">
        <v>1</v>
      </c>
      <c r="I1114" s="99" t="b">
        <v>0</v>
      </c>
      <c r="J1114" s="99" t="b">
        <v>0</v>
      </c>
      <c r="K1114" s="99" t="b">
        <v>0</v>
      </c>
      <c r="L1114" s="99" t="b">
        <v>0</v>
      </c>
      <c r="M1114" s="99" t="b">
        <v>0</v>
      </c>
      <c r="N1114" s="99" t="b">
        <v>0</v>
      </c>
      <c r="O1114" s="99" t="b">
        <v>0</v>
      </c>
      <c r="P1114" s="99" t="b">
        <v>0</v>
      </c>
      <c r="Q1114" s="99" t="b">
        <v>0</v>
      </c>
      <c r="R1114" s="14"/>
      <c r="S1114" s="14"/>
      <c r="T1114" s="14"/>
      <c r="U1114" s="14"/>
      <c r="V1114" s="14"/>
      <c r="W1114" s="14"/>
    </row>
    <row r="1115" ht="35.25" customHeight="1">
      <c r="A1115" s="92" t="s">
        <v>13097</v>
      </c>
      <c r="B1115" s="93" t="s">
        <v>13098</v>
      </c>
      <c r="C1115" s="94" t="s">
        <v>13099</v>
      </c>
      <c r="D1115" s="95" t="s">
        <v>13100</v>
      </c>
      <c r="E1115" s="96" t="str">
        <f>IFERROR(__xludf.DUMMYFUNCTION("GOOGLETRANSLATE(D1115,""zh-CN"",""vi"")"),"Họ đã thảo luận rất nhiều về chính sách này.")</f>
        <v>Họ đã thảo luận rất nhiều về chính sách này.</v>
      </c>
      <c r="F1115" s="101" t="s">
        <v>13097</v>
      </c>
      <c r="G1115" s="98" t="b">
        <f t="shared" si="2"/>
        <v>1</v>
      </c>
      <c r="H1115" s="99" t="b">
        <v>1</v>
      </c>
      <c r="I1115" s="99" t="b">
        <v>0</v>
      </c>
      <c r="J1115" s="99" t="b">
        <v>0</v>
      </c>
      <c r="K1115" s="99" t="b">
        <v>0</v>
      </c>
      <c r="L1115" s="99" t="b">
        <v>0</v>
      </c>
      <c r="M1115" s="99" t="b">
        <v>0</v>
      </c>
      <c r="N1115" s="99" t="b">
        <v>0</v>
      </c>
      <c r="O1115" s="99" t="b">
        <v>0</v>
      </c>
      <c r="P1115" s="99" t="b">
        <v>0</v>
      </c>
      <c r="Q1115" s="99" t="b">
        <v>0</v>
      </c>
      <c r="R1115" s="14"/>
      <c r="S1115" s="14"/>
      <c r="T1115" s="14"/>
      <c r="U1115" s="14"/>
      <c r="V1115" s="14"/>
      <c r="W1115" s="14"/>
    </row>
    <row r="1116" ht="35.25" customHeight="1">
      <c r="A1116" s="92" t="s">
        <v>13109</v>
      </c>
      <c r="B1116" s="93" t="s">
        <v>13110</v>
      </c>
      <c r="C1116" s="94" t="s">
        <v>13111</v>
      </c>
      <c r="D1116" s="95" t="s">
        <v>13112</v>
      </c>
      <c r="E1116" s="96" t="str">
        <f>IFERROR(__xludf.DUMMYFUNCTION("GOOGLETRANSLATE(D1116,""zh-CN"",""vi"")"),"Màn trình diễn bất ngờ của anh ấy đã khiến mọi người ngạc nhiên.")</f>
        <v>Màn trình diễn bất ngờ của anh ấy đã khiến mọi người ngạc nhiên.</v>
      </c>
      <c r="F1116" s="101" t="s">
        <v>13109</v>
      </c>
      <c r="G1116" s="98" t="b">
        <f t="shared" si="2"/>
        <v>1</v>
      </c>
      <c r="H1116" s="99" t="b">
        <v>1</v>
      </c>
      <c r="I1116" s="99" t="b">
        <v>0</v>
      </c>
      <c r="J1116" s="99" t="b">
        <v>0</v>
      </c>
      <c r="K1116" s="99" t="b">
        <v>0</v>
      </c>
      <c r="L1116" s="99" t="b">
        <v>0</v>
      </c>
      <c r="M1116" s="99" t="b">
        <v>0</v>
      </c>
      <c r="N1116" s="99" t="b">
        <v>0</v>
      </c>
      <c r="O1116" s="99" t="b">
        <v>0</v>
      </c>
      <c r="P1116" s="99" t="b">
        <v>0</v>
      </c>
      <c r="Q1116" s="99" t="b">
        <v>0</v>
      </c>
      <c r="R1116" s="14"/>
      <c r="S1116" s="14"/>
      <c r="T1116" s="14"/>
      <c r="U1116" s="14"/>
      <c r="V1116" s="14"/>
      <c r="W1116" s="14"/>
    </row>
    <row r="1117" ht="35.25" customHeight="1">
      <c r="A1117" s="92" t="s">
        <v>13117</v>
      </c>
      <c r="B1117" s="93" t="s">
        <v>13118</v>
      </c>
      <c r="C1117" s="94" t="s">
        <v>2656</v>
      </c>
      <c r="D1117" s="95" t="s">
        <v>13122</v>
      </c>
      <c r="E1117" s="96" t="str">
        <f>IFERROR(__xludf.DUMMYFUNCTION("GOOGLETRANSLATE(D1117,""zh-CN"",""vi"")"),"Quyết định này có ý nghĩa vô cùng quan trọng.")</f>
        <v>Quyết định này có ý nghĩa vô cùng quan trọng.</v>
      </c>
      <c r="F1117" s="101" t="s">
        <v>13117</v>
      </c>
      <c r="G1117" s="98" t="b">
        <f t="shared" si="2"/>
        <v>1</v>
      </c>
      <c r="H1117" s="99" t="b">
        <v>1</v>
      </c>
      <c r="I1117" s="99" t="b">
        <v>0</v>
      </c>
      <c r="J1117" s="99" t="b">
        <v>0</v>
      </c>
      <c r="K1117" s="99" t="b">
        <v>0</v>
      </c>
      <c r="L1117" s="99" t="b">
        <v>0</v>
      </c>
      <c r="M1117" s="99" t="b">
        <v>0</v>
      </c>
      <c r="N1117" s="99" t="b">
        <v>0</v>
      </c>
      <c r="O1117" s="99" t="b">
        <v>0</v>
      </c>
      <c r="P1117" s="99" t="b">
        <v>0</v>
      </c>
      <c r="Q1117" s="99" t="b">
        <v>0</v>
      </c>
      <c r="R1117" s="14"/>
      <c r="S1117" s="14"/>
      <c r="T1117" s="14"/>
      <c r="U1117" s="14"/>
      <c r="V1117" s="14"/>
      <c r="W1117" s="14"/>
    </row>
    <row r="1118" ht="35.25" customHeight="1">
      <c r="A1118" s="92" t="s">
        <v>13128</v>
      </c>
      <c r="B1118" s="93" t="s">
        <v>13129</v>
      </c>
      <c r="C1118" s="94" t="s">
        <v>4327</v>
      </c>
      <c r="D1118" s="95" t="s">
        <v>13130</v>
      </c>
      <c r="E1118" s="96" t="str">
        <f>IFERROR(__xludf.DUMMYFUNCTION("GOOGLETRANSLATE(D1118,""zh-CN"",""vi"")"),"Ông ấy đã thành công nhờ điều này.")</f>
        <v>Ông ấy đã thành công nhờ điều này.</v>
      </c>
      <c r="F1118" s="101" t="s">
        <v>13128</v>
      </c>
      <c r="G1118" s="98" t="b">
        <f t="shared" si="2"/>
        <v>1</v>
      </c>
      <c r="H1118" s="99" t="b">
        <v>1</v>
      </c>
      <c r="I1118" s="99" t="b">
        <v>0</v>
      </c>
      <c r="J1118" s="99" t="b">
        <v>0</v>
      </c>
      <c r="K1118" s="99" t="b">
        <v>0</v>
      </c>
      <c r="L1118" s="99" t="b">
        <v>0</v>
      </c>
      <c r="M1118" s="99" t="b">
        <v>0</v>
      </c>
      <c r="N1118" s="99" t="b">
        <v>0</v>
      </c>
      <c r="O1118" s="99" t="b">
        <v>0</v>
      </c>
      <c r="P1118" s="99" t="b">
        <v>0</v>
      </c>
      <c r="Q1118" s="99" t="b">
        <v>0</v>
      </c>
      <c r="R1118" s="14"/>
      <c r="S1118" s="14"/>
      <c r="T1118" s="14"/>
      <c r="U1118" s="14"/>
      <c r="V1118" s="14"/>
      <c r="W1118" s="14"/>
    </row>
    <row r="1119" ht="35.25" customHeight="1">
      <c r="A1119" s="92" t="s">
        <v>13136</v>
      </c>
      <c r="B1119" s="93" t="s">
        <v>13137</v>
      </c>
      <c r="C1119" s="94" t="s">
        <v>13140</v>
      </c>
      <c r="D1119" s="95" t="s">
        <v>13141</v>
      </c>
      <c r="E1119" s="96" t="str">
        <f>IFERROR(__xludf.DUMMYFUNCTION("GOOGLETRANSLATE(D1119,""zh-CN"",""vi"")"),"Tất cả các yếu tố này đều cần được xem xét.")</f>
        <v>Tất cả các yếu tố này đều cần được xem xét.</v>
      </c>
      <c r="F1119" s="101" t="s">
        <v>13136</v>
      </c>
      <c r="G1119" s="98" t="b">
        <f t="shared" si="2"/>
        <v>1</v>
      </c>
      <c r="H1119" s="99" t="b">
        <v>1</v>
      </c>
      <c r="I1119" s="99" t="b">
        <v>0</v>
      </c>
      <c r="J1119" s="99" t="b">
        <v>0</v>
      </c>
      <c r="K1119" s="99" t="b">
        <v>0</v>
      </c>
      <c r="L1119" s="99" t="b">
        <v>0</v>
      </c>
      <c r="M1119" s="99" t="b">
        <v>0</v>
      </c>
      <c r="N1119" s="99" t="b">
        <v>0</v>
      </c>
      <c r="O1119" s="99" t="b">
        <v>0</v>
      </c>
      <c r="P1119" s="99" t="b">
        <v>0</v>
      </c>
      <c r="Q1119" s="99" t="b">
        <v>0</v>
      </c>
      <c r="R1119" s="14"/>
      <c r="S1119" s="14"/>
      <c r="T1119" s="14"/>
      <c r="U1119" s="14"/>
      <c r="V1119" s="14"/>
      <c r="W1119" s="14"/>
    </row>
    <row r="1120" ht="35.25" customHeight="1">
      <c r="A1120" s="92" t="s">
        <v>13146</v>
      </c>
      <c r="B1120" s="93" t="s">
        <v>13147</v>
      </c>
      <c r="C1120" s="94" t="s">
        <v>13148</v>
      </c>
      <c r="D1120" s="95" t="s">
        <v>13150</v>
      </c>
      <c r="E1120" s="96" t="str">
        <f>IFERROR(__xludf.DUMMYFUNCTION("GOOGLETRANSLATE(D1120,""zh-CN"",""vi"")"),"Vòng tay của bạn có phải bằng bạc không?")</f>
        <v>Vòng tay của bạn có phải bằng bạc không?</v>
      </c>
      <c r="F1120" s="101" t="s">
        <v>13146</v>
      </c>
      <c r="G1120" s="98" t="b">
        <f t="shared" si="2"/>
        <v>1</v>
      </c>
      <c r="H1120" s="99" t="b">
        <v>1</v>
      </c>
      <c r="I1120" s="99" t="b">
        <v>0</v>
      </c>
      <c r="J1120" s="99" t="b">
        <v>0</v>
      </c>
      <c r="K1120" s="99" t="b">
        <v>0</v>
      </c>
      <c r="L1120" s="99" t="b">
        <v>0</v>
      </c>
      <c r="M1120" s="99" t="b">
        <v>0</v>
      </c>
      <c r="N1120" s="99" t="b">
        <v>0</v>
      </c>
      <c r="O1120" s="99" t="b">
        <v>0</v>
      </c>
      <c r="P1120" s="99" t="b">
        <v>0</v>
      </c>
      <c r="Q1120" s="99" t="b">
        <v>0</v>
      </c>
      <c r="R1120" s="14"/>
      <c r="S1120" s="14"/>
      <c r="T1120" s="14"/>
      <c r="U1120" s="14"/>
      <c r="V1120" s="14"/>
      <c r="W1120" s="14"/>
    </row>
    <row r="1121" ht="35.25" customHeight="1">
      <c r="A1121" s="92" t="s">
        <v>13158</v>
      </c>
      <c r="B1121" s="93" t="s">
        <v>13161</v>
      </c>
      <c r="C1121" s="94" t="s">
        <v>942</v>
      </c>
      <c r="D1121" s="95" t="s">
        <v>13163</v>
      </c>
      <c r="E1121" s="96" t="str">
        <f>IFERROR(__xludf.DUMMYFUNCTION("GOOGLETRANSLATE(D1121,""zh-CN"",""vi"")"),"Chất lượng in của cuốn sách này rất tốt.")</f>
        <v>Chất lượng in của cuốn sách này rất tốt.</v>
      </c>
      <c r="F1121" s="101" t="s">
        <v>13158</v>
      </c>
      <c r="G1121" s="98" t="b">
        <f t="shared" si="2"/>
        <v>1</v>
      </c>
      <c r="H1121" s="99" t="b">
        <v>1</v>
      </c>
      <c r="I1121" s="99" t="b">
        <v>0</v>
      </c>
      <c r="J1121" s="99" t="b">
        <v>0</v>
      </c>
      <c r="K1121" s="99" t="b">
        <v>0</v>
      </c>
      <c r="L1121" s="99" t="b">
        <v>0</v>
      </c>
      <c r="M1121" s="99" t="b">
        <v>0</v>
      </c>
      <c r="N1121" s="99" t="b">
        <v>0</v>
      </c>
      <c r="O1121" s="99" t="b">
        <v>0</v>
      </c>
      <c r="P1121" s="99" t="b">
        <v>0</v>
      </c>
      <c r="Q1121" s="99" t="b">
        <v>0</v>
      </c>
      <c r="R1121" s="14"/>
      <c r="S1121" s="14"/>
      <c r="T1121" s="14"/>
      <c r="U1121" s="14"/>
      <c r="V1121" s="14"/>
      <c r="W1121" s="14"/>
    </row>
    <row r="1122" ht="35.25" customHeight="1">
      <c r="A1122" s="92" t="s">
        <v>13168</v>
      </c>
      <c r="B1122" s="93" t="s">
        <v>13169</v>
      </c>
      <c r="C1122" s="94" t="s">
        <v>13170</v>
      </c>
      <c r="D1122" s="95" t="s">
        <v>13171</v>
      </c>
      <c r="E1122" s="96" t="str">
        <f>IFERROR(__xludf.DUMMYFUNCTION("GOOGLETRANSLATE(D1122,""zh-CN"",""vi"")"),"Anh ấy rất đẹp trai.")</f>
        <v>Anh ấy rất đẹp trai.</v>
      </c>
      <c r="F1122" s="101" t="s">
        <v>13168</v>
      </c>
      <c r="G1122" s="98" t="b">
        <f t="shared" si="2"/>
        <v>1</v>
      </c>
      <c r="H1122" s="99" t="b">
        <v>1</v>
      </c>
      <c r="I1122" s="99" t="b">
        <v>0</v>
      </c>
      <c r="J1122" s="99" t="b">
        <v>0</v>
      </c>
      <c r="K1122" s="99" t="b">
        <v>0</v>
      </c>
      <c r="L1122" s="99" t="b">
        <v>0</v>
      </c>
      <c r="M1122" s="99" t="b">
        <v>0</v>
      </c>
      <c r="N1122" s="99" t="b">
        <v>0</v>
      </c>
      <c r="O1122" s="99" t="b">
        <v>0</v>
      </c>
      <c r="P1122" s="99" t="b">
        <v>0</v>
      </c>
      <c r="Q1122" s="99" t="b">
        <v>0</v>
      </c>
      <c r="R1122" s="14"/>
      <c r="S1122" s="14"/>
      <c r="T1122" s="14"/>
      <c r="U1122" s="14"/>
      <c r="V1122" s="14"/>
      <c r="W1122" s="14"/>
    </row>
    <row r="1123" ht="35.25" customHeight="1">
      <c r="A1123" s="92" t="s">
        <v>13180</v>
      </c>
      <c r="B1123" s="93" t="s">
        <v>13181</v>
      </c>
      <c r="C1123" s="94" t="s">
        <v>13182</v>
      </c>
      <c r="D1123" s="95" t="s">
        <v>13183</v>
      </c>
      <c r="E1123" s="96" t="str">
        <f>IFERROR(__xludf.DUMMYFUNCTION("GOOGLETRANSLATE(D1123,""zh-CN"",""vi"")"),"Họ là những anh hùng của cuộc chiến.")</f>
        <v>Họ là những anh hùng của cuộc chiến.</v>
      </c>
      <c r="F1123" s="101" t="s">
        <v>13180</v>
      </c>
      <c r="G1123" s="98" t="b">
        <f t="shared" si="2"/>
        <v>1</v>
      </c>
      <c r="H1123" s="99" t="b">
        <v>1</v>
      </c>
      <c r="I1123" s="99" t="b">
        <v>0</v>
      </c>
      <c r="J1123" s="99" t="b">
        <v>0</v>
      </c>
      <c r="K1123" s="99" t="b">
        <v>0</v>
      </c>
      <c r="L1123" s="99" t="b">
        <v>0</v>
      </c>
      <c r="M1123" s="99" t="b">
        <v>0</v>
      </c>
      <c r="N1123" s="99" t="b">
        <v>0</v>
      </c>
      <c r="O1123" s="99" t="b">
        <v>0</v>
      </c>
      <c r="P1123" s="99" t="b">
        <v>0</v>
      </c>
      <c r="Q1123" s="99" t="b">
        <v>0</v>
      </c>
      <c r="R1123" s="14"/>
      <c r="S1123" s="14"/>
      <c r="T1123" s="14"/>
      <c r="U1123" s="14"/>
      <c r="V1123" s="14"/>
      <c r="W1123" s="14"/>
    </row>
    <row r="1124" ht="35.25" customHeight="1">
      <c r="A1124" s="92" t="s">
        <v>13192</v>
      </c>
      <c r="B1124" s="93" t="s">
        <v>13193</v>
      </c>
      <c r="C1124" s="94" t="s">
        <v>13194</v>
      </c>
      <c r="D1124" s="95" t="s">
        <v>13195</v>
      </c>
      <c r="E1124" s="96" t="str">
        <f>IFERROR(__xludf.DUMMYFUNCTION("GOOGLETRANSLATE(D1124,""zh-CN"",""vi"")"),"Chúng tôi sẽ đến sân bay đón anh ấy.")</f>
        <v>Chúng tôi sẽ đến sân bay đón anh ấy.</v>
      </c>
      <c r="F1124" s="101" t="s">
        <v>13192</v>
      </c>
      <c r="G1124" s="98" t="b">
        <f t="shared" si="2"/>
        <v>1</v>
      </c>
      <c r="H1124" s="99" t="b">
        <v>1</v>
      </c>
      <c r="I1124" s="99" t="b">
        <v>0</v>
      </c>
      <c r="J1124" s="99" t="b">
        <v>0</v>
      </c>
      <c r="K1124" s="99" t="b">
        <v>0</v>
      </c>
      <c r="L1124" s="99" t="b">
        <v>0</v>
      </c>
      <c r="M1124" s="99" t="b">
        <v>0</v>
      </c>
      <c r="N1124" s="99" t="b">
        <v>0</v>
      </c>
      <c r="O1124" s="99" t="b">
        <v>0</v>
      </c>
      <c r="P1124" s="99" t="b">
        <v>0</v>
      </c>
      <c r="Q1124" s="99" t="b">
        <v>0</v>
      </c>
      <c r="R1124" s="14"/>
      <c r="S1124" s="14"/>
      <c r="T1124" s="14"/>
      <c r="U1124" s="14"/>
      <c r="V1124" s="14"/>
      <c r="W1124" s="14"/>
    </row>
    <row r="1125" ht="35.25" customHeight="1">
      <c r="A1125" s="92" t="s">
        <v>13199</v>
      </c>
      <c r="B1125" s="93" t="s">
        <v>13200</v>
      </c>
      <c r="C1125" s="94" t="s">
        <v>13201</v>
      </c>
      <c r="D1125" s="95" t="s">
        <v>13203</v>
      </c>
      <c r="E1125" s="96" t="str">
        <f>IFERROR(__xludf.DUMMYFUNCTION("GOOGLETRANSLATE(D1125,""zh-CN"",""vi"")"),"Loại thực phẩm này rất bổ dưỡng.")</f>
        <v>Loại thực phẩm này rất bổ dưỡng.</v>
      </c>
      <c r="F1125" s="101" t="s">
        <v>13199</v>
      </c>
      <c r="G1125" s="98" t="b">
        <f t="shared" si="2"/>
        <v>1</v>
      </c>
      <c r="H1125" s="99" t="b">
        <v>1</v>
      </c>
      <c r="I1125" s="99" t="b">
        <v>0</v>
      </c>
      <c r="J1125" s="99" t="b">
        <v>0</v>
      </c>
      <c r="K1125" s="99" t="b">
        <v>0</v>
      </c>
      <c r="L1125" s="99" t="b">
        <v>0</v>
      </c>
      <c r="M1125" s="99" t="b">
        <v>0</v>
      </c>
      <c r="N1125" s="99" t="b">
        <v>0</v>
      </c>
      <c r="O1125" s="99" t="b">
        <v>0</v>
      </c>
      <c r="P1125" s="99" t="b">
        <v>0</v>
      </c>
      <c r="Q1125" s="99" t="b">
        <v>0</v>
      </c>
      <c r="R1125" s="14"/>
      <c r="S1125" s="14"/>
      <c r="T1125" s="14"/>
      <c r="U1125" s="14"/>
      <c r="V1125" s="14"/>
      <c r="W1125" s="14"/>
    </row>
    <row r="1126" ht="35.25" customHeight="1">
      <c r="A1126" s="92" t="s">
        <v>13211</v>
      </c>
      <c r="B1126" s="93" t="s">
        <v>13212</v>
      </c>
      <c r="C1126" s="94" t="s">
        <v>3790</v>
      </c>
      <c r="D1126" s="95" t="s">
        <v>13213</v>
      </c>
      <c r="E1126" s="96" t="str">
        <f>IFERROR(__xludf.DUMMYFUNCTION("GOOGLETRANSLATE(D1126,""zh-CN"",""vi"")"),"Cửa hàng này mở cửa từ 9 giờ sáng đến 9 giờ tối.")</f>
        <v>Cửa hàng này mở cửa từ 9 giờ sáng đến 9 giờ tối.</v>
      </c>
      <c r="F1126" s="101" t="s">
        <v>13211</v>
      </c>
      <c r="G1126" s="98" t="b">
        <f t="shared" si="2"/>
        <v>1</v>
      </c>
      <c r="H1126" s="99" t="b">
        <v>1</v>
      </c>
      <c r="I1126" s="99" t="b">
        <v>0</v>
      </c>
      <c r="J1126" s="99" t="b">
        <v>0</v>
      </c>
      <c r="K1126" s="99" t="b">
        <v>0</v>
      </c>
      <c r="L1126" s="99" t="b">
        <v>0</v>
      </c>
      <c r="M1126" s="99" t="b">
        <v>0</v>
      </c>
      <c r="N1126" s="99" t="b">
        <v>0</v>
      </c>
      <c r="O1126" s="99" t="b">
        <v>0</v>
      </c>
      <c r="P1126" s="99" t="b">
        <v>0</v>
      </c>
      <c r="Q1126" s="99" t="b">
        <v>0</v>
      </c>
      <c r="R1126" s="14"/>
      <c r="S1126" s="14"/>
      <c r="T1126" s="14"/>
      <c r="U1126" s="14"/>
      <c r="V1126" s="14"/>
      <c r="W1126" s="14"/>
    </row>
    <row r="1127" ht="35.25" customHeight="1">
      <c r="A1127" s="92" t="s">
        <v>13222</v>
      </c>
      <c r="B1127" s="93" t="s">
        <v>13223</v>
      </c>
      <c r="C1127" s="94" t="s">
        <v>13224</v>
      </c>
      <c r="D1127" s="95" t="s">
        <v>13225</v>
      </c>
      <c r="E1127" s="96" t="str">
        <f>IFERROR(__xludf.DUMMYFUNCTION("GOOGLETRANSLATE(D1127,""zh-CN"",""vi"")"),"Cậu bé thích ngắm nhìn bóng của chính mình.")</f>
        <v>Cậu bé thích ngắm nhìn bóng của chính mình.</v>
      </c>
      <c r="F1127" s="101" t="s">
        <v>13222</v>
      </c>
      <c r="G1127" s="98" t="b">
        <f t="shared" si="2"/>
        <v>1</v>
      </c>
      <c r="H1127" s="99" t="b">
        <v>1</v>
      </c>
      <c r="I1127" s="99" t="b">
        <v>0</v>
      </c>
      <c r="J1127" s="99" t="b">
        <v>0</v>
      </c>
      <c r="K1127" s="99" t="b">
        <v>0</v>
      </c>
      <c r="L1127" s="99" t="b">
        <v>0</v>
      </c>
      <c r="M1127" s="99" t="b">
        <v>0</v>
      </c>
      <c r="N1127" s="99" t="b">
        <v>0</v>
      </c>
      <c r="O1127" s="99" t="b">
        <v>0</v>
      </c>
      <c r="P1127" s="99" t="b">
        <v>0</v>
      </c>
      <c r="Q1127" s="99" t="b">
        <v>0</v>
      </c>
      <c r="R1127" s="14"/>
      <c r="S1127" s="14"/>
      <c r="T1127" s="14"/>
      <c r="U1127" s="14"/>
      <c r="V1127" s="14"/>
      <c r="W1127" s="14"/>
    </row>
    <row r="1128" ht="35.25" customHeight="1">
      <c r="A1128" s="92" t="s">
        <v>13231</v>
      </c>
      <c r="B1128" s="93" t="s">
        <v>13233</v>
      </c>
      <c r="C1128" s="94" t="s">
        <v>13235</v>
      </c>
      <c r="D1128" s="116" t="s">
        <v>13237</v>
      </c>
      <c r="E1128" s="96" t="str">
        <f>IFERROR(__xludf.DUMMYFUNCTION("GOOGLETRANSLATE(D1128,""zh-CN"",""vi"")"),"Anh ấy luôn xử lý công việc một cách dễ dàng.")</f>
        <v>Anh ấy luôn xử lý công việc một cách dễ dàng.</v>
      </c>
      <c r="F1128" s="129" t="s">
        <v>13231</v>
      </c>
      <c r="G1128" s="98" t="b">
        <f t="shared" si="2"/>
        <v>1</v>
      </c>
      <c r="H1128" s="99" t="b">
        <v>1</v>
      </c>
      <c r="I1128" s="99" t="b">
        <v>0</v>
      </c>
      <c r="J1128" s="99" t="b">
        <v>0</v>
      </c>
      <c r="K1128" s="99" t="b">
        <v>0</v>
      </c>
      <c r="L1128" s="99" t="b">
        <v>0</v>
      </c>
      <c r="M1128" s="99" t="b">
        <v>0</v>
      </c>
      <c r="N1128" s="99" t="b">
        <v>0</v>
      </c>
      <c r="O1128" s="99" t="b">
        <v>0</v>
      </c>
      <c r="P1128" s="99" t="b">
        <v>0</v>
      </c>
      <c r="Q1128" s="99" t="b">
        <v>0</v>
      </c>
      <c r="R1128" s="130"/>
      <c r="S1128" s="130"/>
      <c r="T1128" s="130"/>
      <c r="U1128" s="130"/>
      <c r="V1128" s="130"/>
      <c r="W1128" s="130"/>
    </row>
    <row r="1129" ht="35.25" customHeight="1">
      <c r="A1129" s="92" t="s">
        <v>13255</v>
      </c>
      <c r="B1129" s="93" t="s">
        <v>13259</v>
      </c>
      <c r="C1129" s="94" t="s">
        <v>13260</v>
      </c>
      <c r="D1129" s="116" t="s">
        <v>13261</v>
      </c>
      <c r="E1129" s="96" t="str">
        <f>IFERROR(__xludf.DUMMYFUNCTION("GOOGLETRANSLATE(D1129,""zh-CN"",""vi"")"),"Phần mềm này có ứng dụng trong nhiều lĩnh vực.")</f>
        <v>Phần mềm này có ứng dụng trong nhiều lĩnh vực.</v>
      </c>
      <c r="F1129" s="129" t="s">
        <v>13255</v>
      </c>
      <c r="G1129" s="98" t="b">
        <f t="shared" si="2"/>
        <v>1</v>
      </c>
      <c r="H1129" s="99" t="b">
        <v>1</v>
      </c>
      <c r="I1129" s="99" t="b">
        <v>0</v>
      </c>
      <c r="J1129" s="99" t="b">
        <v>0</v>
      </c>
      <c r="K1129" s="99" t="b">
        <v>0</v>
      </c>
      <c r="L1129" s="99" t="b">
        <v>0</v>
      </c>
      <c r="M1129" s="99" t="b">
        <v>0</v>
      </c>
      <c r="N1129" s="99" t="b">
        <v>0</v>
      </c>
      <c r="O1129" s="99" t="b">
        <v>0</v>
      </c>
      <c r="P1129" s="99" t="b">
        <v>0</v>
      </c>
      <c r="Q1129" s="99" t="b">
        <v>0</v>
      </c>
      <c r="R1129" s="130"/>
      <c r="S1129" s="130"/>
      <c r="T1129" s="130"/>
      <c r="U1129" s="130"/>
      <c r="V1129" s="130"/>
      <c r="W1129" s="130"/>
    </row>
    <row r="1130" ht="35.25" customHeight="1">
      <c r="A1130" s="92" t="s">
        <v>13266</v>
      </c>
      <c r="B1130" s="93" t="s">
        <v>13268</v>
      </c>
      <c r="C1130" s="94" t="s">
        <v>13270</v>
      </c>
      <c r="D1130" s="116" t="s">
        <v>13272</v>
      </c>
      <c r="E1130" s="96" t="str">
        <f>IFERROR(__xludf.DUMMYFUNCTION("GOOGLETRANSLATE(D1130,""zh-CN"",""vi"")"),"Loại đá này rất cứng.")</f>
        <v>Loại đá này rất cứng.</v>
      </c>
      <c r="F1130" s="129" t="s">
        <v>13266</v>
      </c>
      <c r="G1130" s="98" t="b">
        <f t="shared" si="2"/>
        <v>1</v>
      </c>
      <c r="H1130" s="99" t="b">
        <v>1</v>
      </c>
      <c r="I1130" s="99" t="b">
        <v>0</v>
      </c>
      <c r="J1130" s="99" t="b">
        <v>0</v>
      </c>
      <c r="K1130" s="99" t="b">
        <v>0</v>
      </c>
      <c r="L1130" s="99" t="b">
        <v>0</v>
      </c>
      <c r="M1130" s="99" t="b">
        <v>0</v>
      </c>
      <c r="N1130" s="99" t="b">
        <v>0</v>
      </c>
      <c r="O1130" s="99" t="b">
        <v>0</v>
      </c>
      <c r="P1130" s="99" t="b">
        <v>0</v>
      </c>
      <c r="Q1130" s="99" t="b">
        <v>0</v>
      </c>
      <c r="R1130" s="130"/>
      <c r="S1130" s="130"/>
      <c r="T1130" s="130"/>
      <c r="U1130" s="130"/>
      <c r="V1130" s="130"/>
      <c r="W1130" s="130"/>
    </row>
    <row r="1131" ht="35.25" customHeight="1">
      <c r="A1131" s="92" t="s">
        <v>13278</v>
      </c>
      <c r="B1131" s="93" t="s">
        <v>13279</v>
      </c>
      <c r="C1131" s="94" t="s">
        <v>13280</v>
      </c>
      <c r="D1131" s="116" t="s">
        <v>13281</v>
      </c>
      <c r="E1131" s="96" t="str">
        <f>IFERROR(__xludf.DUMMYFUNCTION("GOOGLETRANSLATE(D1131,""zh-CN"",""vi"")"),"Phần cứng máy tính bao gồm bộ xử lý, bộ nhớ và ổ cứng.")</f>
        <v>Phần cứng máy tính bao gồm bộ xử lý, bộ nhớ và ổ cứng.</v>
      </c>
      <c r="F1131" s="129" t="s">
        <v>13278</v>
      </c>
      <c r="G1131" s="98" t="b">
        <f t="shared" si="2"/>
        <v>1</v>
      </c>
      <c r="H1131" s="99" t="b">
        <v>1</v>
      </c>
      <c r="I1131" s="99" t="b">
        <v>0</v>
      </c>
      <c r="J1131" s="99" t="b">
        <v>0</v>
      </c>
      <c r="K1131" s="99" t="b">
        <v>0</v>
      </c>
      <c r="L1131" s="99" t="b">
        <v>0</v>
      </c>
      <c r="M1131" s="99" t="b">
        <v>0</v>
      </c>
      <c r="N1131" s="99" t="b">
        <v>0</v>
      </c>
      <c r="O1131" s="99" t="b">
        <v>0</v>
      </c>
      <c r="P1131" s="99" t="b">
        <v>0</v>
      </c>
      <c r="Q1131" s="99" t="b">
        <v>0</v>
      </c>
      <c r="R1131" s="130"/>
      <c r="S1131" s="130"/>
      <c r="T1131" s="130"/>
      <c r="U1131" s="130"/>
      <c r="V1131" s="130"/>
      <c r="W1131" s="130"/>
    </row>
    <row r="1132" ht="35.25" customHeight="1">
      <c r="A1132" s="92" t="s">
        <v>13286</v>
      </c>
      <c r="B1132" s="93" t="s">
        <v>13288</v>
      </c>
      <c r="C1132" s="94" t="s">
        <v>13290</v>
      </c>
      <c r="D1132" s="116" t="s">
        <v>13292</v>
      </c>
      <c r="E1132" s="96" t="str">
        <f>IFERROR(__xludf.DUMMYFUNCTION("GOOGLETRANSLATE(D1132,""zh-CN"",""vi"")"),"Người mẹ ôm con mình.")</f>
        <v>Người mẹ ôm con mình.</v>
      </c>
      <c r="F1132" s="129" t="s">
        <v>13286</v>
      </c>
      <c r="G1132" s="98" t="b">
        <f t="shared" si="2"/>
        <v>1</v>
      </c>
      <c r="H1132" s="99" t="b">
        <v>1</v>
      </c>
      <c r="I1132" s="99" t="b">
        <v>0</v>
      </c>
      <c r="J1132" s="99" t="b">
        <v>0</v>
      </c>
      <c r="K1132" s="99" t="b">
        <v>0</v>
      </c>
      <c r="L1132" s="99" t="b">
        <v>0</v>
      </c>
      <c r="M1132" s="99" t="b">
        <v>0</v>
      </c>
      <c r="N1132" s="99" t="b">
        <v>0</v>
      </c>
      <c r="O1132" s="99" t="b">
        <v>0</v>
      </c>
      <c r="P1132" s="99" t="b">
        <v>0</v>
      </c>
      <c r="Q1132" s="99" t="b">
        <v>0</v>
      </c>
      <c r="R1132" s="130"/>
      <c r="S1132" s="130"/>
      <c r="T1132" s="130"/>
      <c r="U1132" s="130"/>
      <c r="V1132" s="130"/>
      <c r="W1132" s="130"/>
    </row>
    <row r="1133" ht="35.25" customHeight="1">
      <c r="A1133" s="92" t="s">
        <v>13295</v>
      </c>
      <c r="B1133" s="93" t="s">
        <v>13297</v>
      </c>
      <c r="C1133" s="94" t="s">
        <v>13300</v>
      </c>
      <c r="D1133" s="116" t="s">
        <v>13301</v>
      </c>
      <c r="E1133" s="96" t="str">
        <f>IFERROR(__xludf.DUMMYFUNCTION("GOOGLETRANSLATE(D1133,""zh-CN"",""vi"")"),"Tàu điện ngầm rất đông đúc vào buổi sáng.")</f>
        <v>Tàu điện ngầm rất đông đúc vào buổi sáng.</v>
      </c>
      <c r="F1133" s="129" t="s">
        <v>13295</v>
      </c>
      <c r="G1133" s="98" t="b">
        <f t="shared" si="2"/>
        <v>1</v>
      </c>
      <c r="H1133" s="99" t="b">
        <v>1</v>
      </c>
      <c r="I1133" s="99" t="b">
        <v>0</v>
      </c>
      <c r="J1133" s="99" t="b">
        <v>0</v>
      </c>
      <c r="K1133" s="99" t="b">
        <v>0</v>
      </c>
      <c r="L1133" s="99" t="b">
        <v>0</v>
      </c>
      <c r="M1133" s="99" t="b">
        <v>0</v>
      </c>
      <c r="N1133" s="99" t="b">
        <v>0</v>
      </c>
      <c r="O1133" s="99" t="b">
        <v>0</v>
      </c>
      <c r="P1133" s="99" t="b">
        <v>0</v>
      </c>
      <c r="Q1133" s="99" t="b">
        <v>0</v>
      </c>
      <c r="R1133" s="130"/>
      <c r="S1133" s="130"/>
      <c r="T1133" s="130"/>
      <c r="U1133" s="130"/>
      <c r="V1133" s="130"/>
      <c r="W1133" s="130"/>
    </row>
    <row r="1134" ht="35.25" customHeight="1">
      <c r="A1134" s="92" t="s">
        <v>13306</v>
      </c>
      <c r="B1134" s="93" t="s">
        <v>13307</v>
      </c>
      <c r="C1134" s="94" t="s">
        <v>13308</v>
      </c>
      <c r="D1134" s="116" t="s">
        <v>13309</v>
      </c>
      <c r="E1134" s="96" t="str">
        <f>IFERROR(__xludf.DUMMYFUNCTION("GOOGLETRANSLATE(D1134,""zh-CN"",""vi"")"),"Thành công đòi hỏi lòng can đảm và sự kiên trì.")</f>
        <v>Thành công đòi hỏi lòng can đảm và sự kiên trì.</v>
      </c>
      <c r="F1134" s="129" t="s">
        <v>13306</v>
      </c>
      <c r="G1134" s="98" t="b">
        <f t="shared" si="2"/>
        <v>1</v>
      </c>
      <c r="H1134" s="99" t="b">
        <v>1</v>
      </c>
      <c r="I1134" s="99" t="b">
        <v>0</v>
      </c>
      <c r="J1134" s="99" t="b">
        <v>0</v>
      </c>
      <c r="K1134" s="99" t="b">
        <v>0</v>
      </c>
      <c r="L1134" s="99" t="b">
        <v>0</v>
      </c>
      <c r="M1134" s="99" t="b">
        <v>0</v>
      </c>
      <c r="N1134" s="99" t="b">
        <v>0</v>
      </c>
      <c r="O1134" s="99" t="b">
        <v>0</v>
      </c>
      <c r="P1134" s="99" t="b">
        <v>0</v>
      </c>
      <c r="Q1134" s="99" t="b">
        <v>0</v>
      </c>
      <c r="R1134" s="130"/>
      <c r="S1134" s="130"/>
      <c r="T1134" s="130"/>
      <c r="U1134" s="130"/>
      <c r="V1134" s="130"/>
      <c r="W1134" s="130"/>
    </row>
    <row r="1135" ht="35.25" customHeight="1">
      <c r="A1135" s="92" t="s">
        <v>13314</v>
      </c>
      <c r="B1135" s="93" t="s">
        <v>13315</v>
      </c>
      <c r="C1135" s="94" t="s">
        <v>13316</v>
      </c>
      <c r="D1135" s="116" t="s">
        <v>13317</v>
      </c>
      <c r="E1135" s="96" t="str">
        <f>IFERROR(__xludf.DUMMYFUNCTION("GOOGLETRANSLATE(D1135,""zh-CN"",""vi"")"),"Cô ấy là một sinh viên rất chăm chỉ.")</f>
        <v>Cô ấy là một sinh viên rất chăm chỉ.</v>
      </c>
      <c r="F1135" s="129" t="s">
        <v>13314</v>
      </c>
      <c r="G1135" s="98" t="b">
        <f t="shared" si="2"/>
        <v>1</v>
      </c>
      <c r="H1135" s="99" t="b">
        <v>1</v>
      </c>
      <c r="I1135" s="99" t="b">
        <v>0</v>
      </c>
      <c r="J1135" s="99" t="b">
        <v>0</v>
      </c>
      <c r="K1135" s="99" t="b">
        <v>0</v>
      </c>
      <c r="L1135" s="99" t="b">
        <v>0</v>
      </c>
      <c r="M1135" s="99" t="b">
        <v>0</v>
      </c>
      <c r="N1135" s="99" t="b">
        <v>0</v>
      </c>
      <c r="O1135" s="99" t="b">
        <v>0</v>
      </c>
      <c r="P1135" s="99" t="b">
        <v>0</v>
      </c>
      <c r="Q1135" s="99" t="b">
        <v>0</v>
      </c>
      <c r="R1135" s="130"/>
      <c r="S1135" s="130"/>
      <c r="T1135" s="130"/>
      <c r="U1135" s="130"/>
      <c r="V1135" s="130"/>
      <c r="W1135" s="130"/>
    </row>
    <row r="1136" ht="35.25" customHeight="1">
      <c r="A1136" s="92" t="s">
        <v>13324</v>
      </c>
      <c r="B1136" s="93" t="s">
        <v>13326</v>
      </c>
      <c r="C1136" s="94" t="s">
        <v>13328</v>
      </c>
      <c r="D1136" s="116" t="s">
        <v>13329</v>
      </c>
      <c r="E1136" s="96" t="str">
        <f>IFERROR(__xludf.DUMMYFUNCTION("GOOGLETRANSLATE(D1136,""zh-CN"",""vi"")"),"Vật liệu này có phạm vi ứng dụng rộng rãi.")</f>
        <v>Vật liệu này có phạm vi ứng dụng rộng rãi.</v>
      </c>
      <c r="F1136" s="129" t="s">
        <v>13324</v>
      </c>
      <c r="G1136" s="98" t="b">
        <f t="shared" si="2"/>
        <v>1</v>
      </c>
      <c r="H1136" s="99" t="b">
        <v>1</v>
      </c>
      <c r="I1136" s="99" t="b">
        <v>0</v>
      </c>
      <c r="J1136" s="99" t="b">
        <v>0</v>
      </c>
      <c r="K1136" s="99" t="b">
        <v>0</v>
      </c>
      <c r="L1136" s="99" t="b">
        <v>0</v>
      </c>
      <c r="M1136" s="99" t="b">
        <v>0</v>
      </c>
      <c r="N1136" s="99" t="b">
        <v>0</v>
      </c>
      <c r="O1136" s="99" t="b">
        <v>0</v>
      </c>
      <c r="P1136" s="99" t="b">
        <v>0</v>
      </c>
      <c r="Q1136" s="99" t="b">
        <v>0</v>
      </c>
      <c r="R1136" s="130"/>
      <c r="S1136" s="130"/>
      <c r="T1136" s="130"/>
      <c r="U1136" s="130"/>
      <c r="V1136" s="130"/>
      <c r="W1136" s="130"/>
    </row>
    <row r="1137" ht="35.25" customHeight="1">
      <c r="A1137" s="92" t="s">
        <v>13333</v>
      </c>
      <c r="B1137" s="93" t="s">
        <v>13334</v>
      </c>
      <c r="C1137" s="94" t="s">
        <v>13335</v>
      </c>
      <c r="D1137" s="116" t="s">
        <v>13336</v>
      </c>
      <c r="E1137" s="96" t="str">
        <f>IFERROR(__xludf.DUMMYFUNCTION("GOOGLETRANSLATE(D1137,""zh-CN"",""vi"")"),"Cửa hàng này có nhiều chương trình giảm giá.")</f>
        <v>Cửa hàng này có nhiều chương trình giảm giá.</v>
      </c>
      <c r="F1137" s="129" t="s">
        <v>13333</v>
      </c>
      <c r="G1137" s="98" t="b">
        <f t="shared" si="2"/>
        <v>1</v>
      </c>
      <c r="H1137" s="99" t="b">
        <v>1</v>
      </c>
      <c r="I1137" s="99" t="b">
        <v>0</v>
      </c>
      <c r="J1137" s="99" t="b">
        <v>0</v>
      </c>
      <c r="K1137" s="99" t="b">
        <v>0</v>
      </c>
      <c r="L1137" s="99" t="b">
        <v>0</v>
      </c>
      <c r="M1137" s="99" t="b">
        <v>0</v>
      </c>
      <c r="N1137" s="99" t="b">
        <v>0</v>
      </c>
      <c r="O1137" s="99" t="b">
        <v>0</v>
      </c>
      <c r="P1137" s="99" t="b">
        <v>0</v>
      </c>
      <c r="Q1137" s="99" t="b">
        <v>0</v>
      </c>
      <c r="R1137" s="130"/>
      <c r="S1137" s="130"/>
      <c r="T1137" s="130"/>
      <c r="U1137" s="130"/>
      <c r="V1137" s="130"/>
      <c r="W1137" s="130"/>
    </row>
    <row r="1138" ht="35.25" customHeight="1">
      <c r="A1138" s="92" t="s">
        <v>13341</v>
      </c>
      <c r="B1138" s="93" t="s">
        <v>13343</v>
      </c>
      <c r="C1138" s="94" t="s">
        <v>13347</v>
      </c>
      <c r="D1138" s="116" t="s">
        <v>13348</v>
      </c>
      <c r="E1138" s="96" t="str">
        <f>IFERROR(__xludf.DUMMYFUNCTION("GOOGLETRANSLATE(D1138,""zh-CN"",""vi"")"),"Cảnh vật ở đây rất đẹp.")</f>
        <v>Cảnh vật ở đây rất đẹp.</v>
      </c>
      <c r="F1138" s="129" t="s">
        <v>13341</v>
      </c>
      <c r="G1138" s="98" t="b">
        <f t="shared" si="2"/>
        <v>1</v>
      </c>
      <c r="H1138" s="99" t="b">
        <v>1</v>
      </c>
      <c r="I1138" s="99" t="b">
        <v>0</v>
      </c>
      <c r="J1138" s="99" t="b">
        <v>0</v>
      </c>
      <c r="K1138" s="99" t="b">
        <v>0</v>
      </c>
      <c r="L1138" s="99" t="b">
        <v>0</v>
      </c>
      <c r="M1138" s="99" t="b">
        <v>0</v>
      </c>
      <c r="N1138" s="99" t="b">
        <v>0</v>
      </c>
      <c r="O1138" s="99" t="b">
        <v>0</v>
      </c>
      <c r="P1138" s="99" t="b">
        <v>0</v>
      </c>
      <c r="Q1138" s="99" t="b">
        <v>0</v>
      </c>
      <c r="R1138" s="130"/>
      <c r="S1138" s="130"/>
      <c r="T1138" s="130"/>
      <c r="U1138" s="130"/>
      <c r="V1138" s="130"/>
      <c r="W1138" s="130"/>
    </row>
    <row r="1139" ht="35.25" customHeight="1">
      <c r="A1139" s="92" t="s">
        <v>13353</v>
      </c>
      <c r="B1139" s="93" t="s">
        <v>13354</v>
      </c>
      <c r="C1139" s="94" t="s">
        <v>13355</v>
      </c>
      <c r="D1139" s="116" t="s">
        <v>13356</v>
      </c>
      <c r="E1139" s="96" t="str">
        <f>IFERROR(__xludf.DUMMYFUNCTION("GOOGLETRANSLATE(D1139,""zh-CN"",""vi"")"),"Sản phẩm này có lợi thế cạnh tranh đáng kể trên thị trường.")</f>
        <v>Sản phẩm này có lợi thế cạnh tranh đáng kể trên thị trường.</v>
      </c>
      <c r="F1139" s="129" t="s">
        <v>13353</v>
      </c>
      <c r="G1139" s="98" t="b">
        <f t="shared" si="2"/>
        <v>1</v>
      </c>
      <c r="H1139" s="99" t="b">
        <v>1</v>
      </c>
      <c r="I1139" s="99" t="b">
        <v>0</v>
      </c>
      <c r="J1139" s="99" t="b">
        <v>0</v>
      </c>
      <c r="K1139" s="99" t="b">
        <v>0</v>
      </c>
      <c r="L1139" s="99" t="b">
        <v>0</v>
      </c>
      <c r="M1139" s="99" t="b">
        <v>0</v>
      </c>
      <c r="N1139" s="99" t="b">
        <v>0</v>
      </c>
      <c r="O1139" s="99" t="b">
        <v>0</v>
      </c>
      <c r="P1139" s="99" t="b">
        <v>0</v>
      </c>
      <c r="Q1139" s="99" t="b">
        <v>0</v>
      </c>
      <c r="R1139" s="130"/>
      <c r="S1139" s="130"/>
      <c r="T1139" s="130"/>
      <c r="U1139" s="130"/>
      <c r="V1139" s="130"/>
      <c r="W1139" s="130"/>
    </row>
    <row r="1140" ht="35.25" customHeight="1">
      <c r="A1140" s="92" t="s">
        <v>13362</v>
      </c>
      <c r="B1140" s="93" t="s">
        <v>13366</v>
      </c>
      <c r="C1140" s="94" t="s">
        <v>13367</v>
      </c>
      <c r="D1140" s="116" t="s">
        <v>13368</v>
      </c>
      <c r="E1140" s="96" t="str">
        <f>IFERROR(__xludf.DUMMYFUNCTION("GOOGLETRANSLATE(D1140,""zh-CN"",""vi"")"),"Đây là một thành phố có lịch sử lâu đời.")</f>
        <v>Đây là một thành phố có lịch sử lâu đời.</v>
      </c>
      <c r="F1140" s="129" t="s">
        <v>13362</v>
      </c>
      <c r="G1140" s="98" t="b">
        <f t="shared" si="2"/>
        <v>1</v>
      </c>
      <c r="H1140" s="99" t="b">
        <v>1</v>
      </c>
      <c r="I1140" s="99" t="b">
        <v>0</v>
      </c>
      <c r="J1140" s="99" t="b">
        <v>0</v>
      </c>
      <c r="K1140" s="99" t="b">
        <v>0</v>
      </c>
      <c r="L1140" s="99" t="b">
        <v>0</v>
      </c>
      <c r="M1140" s="99" t="b">
        <v>0</v>
      </c>
      <c r="N1140" s="99" t="b">
        <v>0</v>
      </c>
      <c r="O1140" s="99" t="b">
        <v>0</v>
      </c>
      <c r="P1140" s="99" t="b">
        <v>0</v>
      </c>
      <c r="Q1140" s="99" t="b">
        <v>0</v>
      </c>
      <c r="R1140" s="130"/>
      <c r="S1140" s="130"/>
      <c r="T1140" s="130"/>
      <c r="U1140" s="130"/>
      <c r="V1140" s="130"/>
      <c r="W1140" s="130"/>
    </row>
    <row r="1141" ht="35.25" customHeight="1">
      <c r="A1141" s="92" t="s">
        <v>13373</v>
      </c>
      <c r="B1141" s="93" t="s">
        <v>13374</v>
      </c>
      <c r="C1141" s="94" t="s">
        <v>13375</v>
      </c>
      <c r="D1141" s="116" t="s">
        <v>13376</v>
      </c>
      <c r="E1141" s="96" t="str">
        <f>IFERROR(__xludf.DUMMYFUNCTION("GOOGLETRANSLATE(D1141,""zh-CN"",""vi"")"),"Anh ấy luôn do dự khi đưa ra quyết định.")</f>
        <v>Anh ấy luôn do dự khi đưa ra quyết định.</v>
      </c>
      <c r="F1141" s="129" t="s">
        <v>13373</v>
      </c>
      <c r="G1141" s="98" t="b">
        <f t="shared" si="2"/>
        <v>1</v>
      </c>
      <c r="H1141" s="99" t="b">
        <v>1</v>
      </c>
      <c r="I1141" s="99" t="b">
        <v>0</v>
      </c>
      <c r="J1141" s="99" t="b">
        <v>0</v>
      </c>
      <c r="K1141" s="99" t="b">
        <v>0</v>
      </c>
      <c r="L1141" s="99" t="b">
        <v>0</v>
      </c>
      <c r="M1141" s="99" t="b">
        <v>0</v>
      </c>
      <c r="N1141" s="99" t="b">
        <v>0</v>
      </c>
      <c r="O1141" s="99" t="b">
        <v>0</v>
      </c>
      <c r="P1141" s="99" t="b">
        <v>0</v>
      </c>
      <c r="Q1141" s="99" t="b">
        <v>0</v>
      </c>
      <c r="R1141" s="130"/>
      <c r="S1141" s="130"/>
      <c r="T1141" s="130"/>
      <c r="U1141" s="130"/>
      <c r="V1141" s="130"/>
      <c r="W1141" s="130"/>
    </row>
    <row r="1142" ht="35.25" customHeight="1">
      <c r="A1142" s="92" t="s">
        <v>13383</v>
      </c>
      <c r="B1142" s="93" t="s">
        <v>13385</v>
      </c>
      <c r="C1142" s="94" t="s">
        <v>13387</v>
      </c>
      <c r="D1142" s="116" t="s">
        <v>13388</v>
      </c>
      <c r="E1142" s="96" t="str">
        <f>IFERROR(__xludf.DUMMYFUNCTION("GOOGLETRANSLATE(D1142,""zh-CN"",""vi"")"),"Tôi thích ăn đồ chiên rán.")</f>
        <v>Tôi thích ăn đồ chiên rán.</v>
      </c>
      <c r="F1142" s="129" t="s">
        <v>13383</v>
      </c>
      <c r="G1142" s="98" t="b">
        <f t="shared" si="2"/>
        <v>1</v>
      </c>
      <c r="H1142" s="99" t="b">
        <v>1</v>
      </c>
      <c r="I1142" s="99" t="b">
        <v>0</v>
      </c>
      <c r="J1142" s="99" t="b">
        <v>0</v>
      </c>
      <c r="K1142" s="99" t="b">
        <v>0</v>
      </c>
      <c r="L1142" s="99" t="b">
        <v>0</v>
      </c>
      <c r="M1142" s="99" t="b">
        <v>0</v>
      </c>
      <c r="N1142" s="99" t="b">
        <v>0</v>
      </c>
      <c r="O1142" s="99" t="b">
        <v>0</v>
      </c>
      <c r="P1142" s="99" t="b">
        <v>0</v>
      </c>
      <c r="Q1142" s="99" t="b">
        <v>0</v>
      </c>
      <c r="R1142" s="130"/>
      <c r="S1142" s="130"/>
      <c r="T1142" s="130"/>
      <c r="U1142" s="130"/>
      <c r="V1142" s="130"/>
      <c r="W1142" s="130"/>
    </row>
    <row r="1143" ht="35.25" customHeight="1">
      <c r="A1143" s="92" t="s">
        <v>13393</v>
      </c>
      <c r="B1143" s="93" t="s">
        <v>13394</v>
      </c>
      <c r="C1143" s="94" t="s">
        <v>13395</v>
      </c>
      <c r="D1143" s="116" t="s">
        <v>13396</v>
      </c>
      <c r="E1143" s="96" t="str">
        <f>IFERROR(__xludf.DUMMYFUNCTION("GOOGLETRANSLATE(D1143,""zh-CN"",""vi"")"),"Họ dự định sẽ đến thăm Vạn Lý Trường Thành trong kỳ nghỉ.")</f>
        <v>Họ dự định sẽ đến thăm Vạn Lý Trường Thành trong kỳ nghỉ.</v>
      </c>
      <c r="F1143" s="129" t="s">
        <v>13393</v>
      </c>
      <c r="G1143" s="98" t="b">
        <f t="shared" si="2"/>
        <v>1</v>
      </c>
      <c r="H1143" s="99" t="b">
        <v>1</v>
      </c>
      <c r="I1143" s="99" t="b">
        <v>0</v>
      </c>
      <c r="J1143" s="99" t="b">
        <v>0</v>
      </c>
      <c r="K1143" s="99" t="b">
        <v>0</v>
      </c>
      <c r="L1143" s="99" t="b">
        <v>0</v>
      </c>
      <c r="M1143" s="99" t="b">
        <v>0</v>
      </c>
      <c r="N1143" s="99" t="b">
        <v>0</v>
      </c>
      <c r="O1143" s="99" t="b">
        <v>0</v>
      </c>
      <c r="P1143" s="99" t="b">
        <v>0</v>
      </c>
      <c r="Q1143" s="99" t="b">
        <v>0</v>
      </c>
      <c r="R1143" s="130"/>
      <c r="S1143" s="130"/>
      <c r="T1143" s="130"/>
      <c r="U1143" s="130"/>
      <c r="V1143" s="130"/>
      <c r="W1143" s="130"/>
    </row>
    <row r="1144" ht="35.25" customHeight="1">
      <c r="A1144" s="92" t="s">
        <v>13401</v>
      </c>
      <c r="B1144" s="93" t="s">
        <v>13402</v>
      </c>
      <c r="C1144" s="94" t="s">
        <v>13404</v>
      </c>
      <c r="D1144" s="116" t="s">
        <v>13405</v>
      </c>
      <c r="E1144" s="96" t="str">
        <f>IFERROR(__xludf.DUMMYFUNCTION("GOOGLETRANSLATE(D1144,""zh-CN"",""vi"")"),"Kế hoạch này rất có lợi cho chúng ta.")</f>
        <v>Kế hoạch này rất có lợi cho chúng ta.</v>
      </c>
      <c r="F1144" s="129" t="s">
        <v>13401</v>
      </c>
      <c r="G1144" s="98" t="b">
        <f t="shared" si="2"/>
        <v>1</v>
      </c>
      <c r="H1144" s="99" t="b">
        <v>1</v>
      </c>
      <c r="I1144" s="99" t="b">
        <v>0</v>
      </c>
      <c r="J1144" s="99" t="b">
        <v>0</v>
      </c>
      <c r="K1144" s="99" t="b">
        <v>0</v>
      </c>
      <c r="L1144" s="99" t="b">
        <v>0</v>
      </c>
      <c r="M1144" s="99" t="b">
        <v>0</v>
      </c>
      <c r="N1144" s="99" t="b">
        <v>0</v>
      </c>
      <c r="O1144" s="99" t="b">
        <v>0</v>
      </c>
      <c r="P1144" s="99" t="b">
        <v>0</v>
      </c>
      <c r="Q1144" s="99" t="b">
        <v>0</v>
      </c>
      <c r="R1144" s="130"/>
      <c r="S1144" s="130"/>
      <c r="T1144" s="130"/>
      <c r="U1144" s="130"/>
      <c r="V1144" s="130"/>
      <c r="W1144" s="130"/>
    </row>
    <row r="1145" ht="35.25" customHeight="1">
      <c r="A1145" s="92" t="s">
        <v>13407</v>
      </c>
      <c r="B1145" s="93" t="s">
        <v>13408</v>
      </c>
      <c r="C1145" s="94" t="s">
        <v>13409</v>
      </c>
      <c r="D1145" s="116" t="s">
        <v>13410</v>
      </c>
      <c r="E1145" s="96" t="str">
        <f>IFERROR(__xludf.DUMMYFUNCTION("GOOGLETRANSLATE(D1145,""zh-CN"",""vi"")"),"Các bé đã có rất nhiều niềm vui ở trường mẫu giáo.")</f>
        <v>Các bé đã có rất nhiều niềm vui ở trường mẫu giáo.</v>
      </c>
      <c r="F1145" s="129" t="s">
        <v>13407</v>
      </c>
      <c r="G1145" s="98" t="b">
        <f t="shared" si="2"/>
        <v>1</v>
      </c>
      <c r="H1145" s="99" t="b">
        <v>1</v>
      </c>
      <c r="I1145" s="99" t="b">
        <v>0</v>
      </c>
      <c r="J1145" s="99" t="b">
        <v>0</v>
      </c>
      <c r="K1145" s="99" t="b">
        <v>0</v>
      </c>
      <c r="L1145" s="99" t="b">
        <v>0</v>
      </c>
      <c r="M1145" s="99" t="b">
        <v>0</v>
      </c>
      <c r="N1145" s="99" t="b">
        <v>0</v>
      </c>
      <c r="O1145" s="99" t="b">
        <v>0</v>
      </c>
      <c r="P1145" s="99" t="b">
        <v>0</v>
      </c>
      <c r="Q1145" s="99" t="b">
        <v>0</v>
      </c>
      <c r="R1145" s="130"/>
      <c r="S1145" s="130"/>
      <c r="T1145" s="130"/>
      <c r="U1145" s="130"/>
      <c r="V1145" s="130"/>
      <c r="W1145" s="130"/>
    </row>
    <row r="1146" ht="35.25" customHeight="1">
      <c r="A1146" s="92" t="s">
        <v>13411</v>
      </c>
      <c r="B1146" s="93" t="s">
        <v>13412</v>
      </c>
      <c r="C1146" s="94" t="s">
        <v>13413</v>
      </c>
      <c r="D1146" s="116" t="s">
        <v>13414</v>
      </c>
      <c r="E1146" s="96" t="str">
        <f>IFERROR(__xludf.DUMMYFUNCTION("GOOGLETRANSLATE(D1146,""zh-CN"",""vi"")"),"Phim ảnh là một trong những hình thức giải trí phổ biến nhất.")</f>
        <v>Phim ảnh là một trong những hình thức giải trí phổ biến nhất.</v>
      </c>
      <c r="F1146" s="129" t="s">
        <v>13411</v>
      </c>
      <c r="G1146" s="98" t="b">
        <f t="shared" si="2"/>
        <v>1</v>
      </c>
      <c r="H1146" s="99" t="b">
        <v>1</v>
      </c>
      <c r="I1146" s="99" t="b">
        <v>0</v>
      </c>
      <c r="J1146" s="99" t="b">
        <v>0</v>
      </c>
      <c r="K1146" s="99" t="b">
        <v>0</v>
      </c>
      <c r="L1146" s="99" t="b">
        <v>0</v>
      </c>
      <c r="M1146" s="99" t="b">
        <v>0</v>
      </c>
      <c r="N1146" s="99" t="b">
        <v>0</v>
      </c>
      <c r="O1146" s="99" t="b">
        <v>0</v>
      </c>
      <c r="P1146" s="99" t="b">
        <v>0</v>
      </c>
      <c r="Q1146" s="99" t="b">
        <v>0</v>
      </c>
      <c r="R1146" s="130"/>
      <c r="S1146" s="130"/>
      <c r="T1146" s="130"/>
      <c r="U1146" s="130"/>
      <c r="V1146" s="130"/>
      <c r="W1146" s="130"/>
    </row>
    <row r="1147" ht="35.25" customHeight="1">
      <c r="A1147" s="92" t="s">
        <v>13419</v>
      </c>
      <c r="B1147" s="93" t="s">
        <v>13420</v>
      </c>
      <c r="C1147" s="94" t="s">
        <v>13421</v>
      </c>
      <c r="D1147" s="116" t="s">
        <v>13422</v>
      </c>
      <c r="E1147" s="96" t="str">
        <f>IFERROR(__xludf.DUMMYFUNCTION("GOOGLETRANSLATE(D1147,""zh-CN"",""vi"")"),"Thay vì than phiền, hãy chăm chỉ làm việc.")</f>
        <v>Thay vì than phiền, hãy chăm chỉ làm việc.</v>
      </c>
      <c r="F1147" s="129" t="s">
        <v>13419</v>
      </c>
      <c r="G1147" s="98" t="b">
        <f t="shared" si="2"/>
        <v>1</v>
      </c>
      <c r="H1147" s="99" t="b">
        <v>1</v>
      </c>
      <c r="I1147" s="99" t="b">
        <v>0</v>
      </c>
      <c r="J1147" s="99" t="b">
        <v>0</v>
      </c>
      <c r="K1147" s="99" t="b">
        <v>0</v>
      </c>
      <c r="L1147" s="99" t="b">
        <v>0</v>
      </c>
      <c r="M1147" s="99" t="b">
        <v>0</v>
      </c>
      <c r="N1147" s="99" t="b">
        <v>0</v>
      </c>
      <c r="O1147" s="99" t="b">
        <v>0</v>
      </c>
      <c r="P1147" s="99" t="b">
        <v>0</v>
      </c>
      <c r="Q1147" s="99" t="b">
        <v>0</v>
      </c>
      <c r="R1147" s="130"/>
      <c r="S1147" s="130"/>
      <c r="T1147" s="130"/>
      <c r="U1147" s="130"/>
      <c r="V1147" s="130"/>
      <c r="W1147" s="130"/>
    </row>
    <row r="1148" ht="35.25" customHeight="1">
      <c r="A1148" s="92" t="s">
        <v>13430</v>
      </c>
      <c r="B1148" s="93" t="s">
        <v>13432</v>
      </c>
      <c r="C1148" s="94" t="s">
        <v>13433</v>
      </c>
      <c r="D1148" s="116" t="s">
        <v>13434</v>
      </c>
      <c r="E1148" s="96" t="str">
        <f>IFERROR(__xludf.DUMMYFUNCTION("GOOGLETRANSLATE(D1148,""zh-CN"",""vi"")"),"Giọng điệu của anh ấy có phần nghiêm túc.")</f>
        <v>Giọng điệu của anh ấy có phần nghiêm túc.</v>
      </c>
      <c r="F1148" s="129" t="s">
        <v>13430</v>
      </c>
      <c r="G1148" s="98" t="b">
        <f t="shared" si="2"/>
        <v>1</v>
      </c>
      <c r="H1148" s="99" t="b">
        <v>1</v>
      </c>
      <c r="I1148" s="99" t="b">
        <v>0</v>
      </c>
      <c r="J1148" s="99" t="b">
        <v>0</v>
      </c>
      <c r="K1148" s="99" t="b">
        <v>0</v>
      </c>
      <c r="L1148" s="99" t="b">
        <v>0</v>
      </c>
      <c r="M1148" s="99" t="b">
        <v>0</v>
      </c>
      <c r="N1148" s="99" t="b">
        <v>0</v>
      </c>
      <c r="O1148" s="99" t="b">
        <v>0</v>
      </c>
      <c r="P1148" s="99" t="b">
        <v>0</v>
      </c>
      <c r="Q1148" s="99" t="b">
        <v>0</v>
      </c>
      <c r="R1148" s="130"/>
      <c r="S1148" s="130"/>
      <c r="T1148" s="130"/>
      <c r="U1148" s="130"/>
      <c r="V1148" s="130"/>
      <c r="W1148" s="130"/>
    </row>
    <row r="1149" ht="35.25" customHeight="1">
      <c r="A1149" s="92" t="s">
        <v>13439</v>
      </c>
      <c r="B1149" s="93" t="s">
        <v>13440</v>
      </c>
      <c r="C1149" s="102" t="s">
        <v>13441</v>
      </c>
      <c r="D1149" s="116" t="s">
        <v>13442</v>
      </c>
      <c r="E1149" s="96" t="str">
        <f>IFERROR(__xludf.DUMMYFUNCTION("GOOGLETRANSLATE(D1149,""zh-CN"",""vi"")"),"Loại bắp này rất ngọt.")</f>
        <v>Loại bắp này rất ngọt.</v>
      </c>
      <c r="F1149" s="129" t="s">
        <v>13439</v>
      </c>
      <c r="G1149" s="98" t="b">
        <f t="shared" si="2"/>
        <v>1</v>
      </c>
      <c r="H1149" s="99" t="b">
        <v>1</v>
      </c>
      <c r="I1149" s="99" t="b">
        <v>0</v>
      </c>
      <c r="J1149" s="99" t="b">
        <v>0</v>
      </c>
      <c r="K1149" s="99" t="b">
        <v>0</v>
      </c>
      <c r="L1149" s="99" t="b">
        <v>0</v>
      </c>
      <c r="M1149" s="99" t="b">
        <v>0</v>
      </c>
      <c r="N1149" s="99" t="b">
        <v>0</v>
      </c>
      <c r="O1149" s="99" t="b">
        <v>0</v>
      </c>
      <c r="P1149" s="99" t="b">
        <v>0</v>
      </c>
      <c r="Q1149" s="99" t="b">
        <v>0</v>
      </c>
      <c r="R1149" s="130"/>
      <c r="S1149" s="130"/>
      <c r="T1149" s="130"/>
      <c r="U1149" s="130"/>
      <c r="V1149" s="130"/>
      <c r="W1149" s="130"/>
    </row>
    <row r="1150" ht="35.25" customHeight="1">
      <c r="A1150" s="92" t="s">
        <v>13447</v>
      </c>
      <c r="B1150" s="93" t="s">
        <v>13450</v>
      </c>
      <c r="C1150" s="94" t="s">
        <v>13452</v>
      </c>
      <c r="D1150" s="116" t="s">
        <v>13454</v>
      </c>
      <c r="E1150" s="96" t="str">
        <f>IFERROR(__xludf.DUMMYFUNCTION("GOOGLETRANSLATE(D1150,""zh-CN"",""vi"")"),"Dự báo thời tiết cho biết ngày mai trời sẽ mưa.")</f>
        <v>Dự báo thời tiết cho biết ngày mai trời sẽ mưa.</v>
      </c>
      <c r="F1150" s="129" t="s">
        <v>13447</v>
      </c>
      <c r="G1150" s="98" t="b">
        <f t="shared" si="2"/>
        <v>1</v>
      </c>
      <c r="H1150" s="99" t="b">
        <v>1</v>
      </c>
      <c r="I1150" s="99" t="b">
        <v>0</v>
      </c>
      <c r="J1150" s="99" t="b">
        <v>0</v>
      </c>
      <c r="K1150" s="99" t="b">
        <v>0</v>
      </c>
      <c r="L1150" s="99" t="b">
        <v>0</v>
      </c>
      <c r="M1150" s="99" t="b">
        <v>0</v>
      </c>
      <c r="N1150" s="99" t="b">
        <v>0</v>
      </c>
      <c r="O1150" s="99" t="b">
        <v>0</v>
      </c>
      <c r="P1150" s="99" t="b">
        <v>0</v>
      </c>
      <c r="Q1150" s="99" t="b">
        <v>0</v>
      </c>
      <c r="R1150" s="130"/>
      <c r="S1150" s="130"/>
      <c r="T1150" s="130"/>
      <c r="U1150" s="130"/>
      <c r="V1150" s="130"/>
      <c r="W1150" s="130"/>
    </row>
    <row r="1151" ht="35.25" customHeight="1">
      <c r="A1151" s="92" t="s">
        <v>13459</v>
      </c>
      <c r="B1151" s="93" t="s">
        <v>13460</v>
      </c>
      <c r="C1151" s="94" t="s">
        <v>13461</v>
      </c>
      <c r="D1151" s="116" t="s">
        <v>13462</v>
      </c>
      <c r="E1151" s="96" t="str">
        <f>IFERROR(__xludf.DUMMYFUNCTION("GOOGLETRANSLATE(D1151,""zh-CN"",""vi"")"),"Chúng tôi đã đặt bàn tại nhà hàng tối nay rồi.")</f>
        <v>Chúng tôi đã đặt bàn tại nhà hàng tối nay rồi.</v>
      </c>
      <c r="F1151" s="129" t="s">
        <v>13459</v>
      </c>
      <c r="G1151" s="98" t="b">
        <f t="shared" si="2"/>
        <v>1</v>
      </c>
      <c r="H1151" s="99" t="b">
        <v>1</v>
      </c>
      <c r="I1151" s="99" t="b">
        <v>0</v>
      </c>
      <c r="J1151" s="99" t="b">
        <v>0</v>
      </c>
      <c r="K1151" s="99" t="b">
        <v>0</v>
      </c>
      <c r="L1151" s="99" t="b">
        <v>0</v>
      </c>
      <c r="M1151" s="99" t="b">
        <v>0</v>
      </c>
      <c r="N1151" s="99" t="b">
        <v>0</v>
      </c>
      <c r="O1151" s="99" t="b">
        <v>0</v>
      </c>
      <c r="P1151" s="99" t="b">
        <v>0</v>
      </c>
      <c r="Q1151" s="99" t="b">
        <v>0</v>
      </c>
      <c r="R1151" s="130"/>
      <c r="S1151" s="130"/>
      <c r="T1151" s="130"/>
      <c r="U1151" s="130"/>
      <c r="V1151" s="130"/>
      <c r="W1151" s="130"/>
    </row>
    <row r="1152" ht="35.25" customHeight="1">
      <c r="A1152" s="92" t="s">
        <v>13467</v>
      </c>
      <c r="B1152" s="93" t="s">
        <v>13468</v>
      </c>
      <c r="C1152" s="94" t="s">
        <v>13469</v>
      </c>
      <c r="D1152" s="95" t="s">
        <v>13470</v>
      </c>
      <c r="E1152" s="96" t="str">
        <f>IFERROR(__xludf.DUMMYFUNCTION("GOOGLETRANSLATE(D1152,""zh-CN"",""vi"")"),"Phòng bệnh hơn chữa bệnh.")</f>
        <v>Phòng bệnh hơn chữa bệnh.</v>
      </c>
      <c r="F1152" s="101" t="s">
        <v>13467</v>
      </c>
      <c r="G1152" s="98" t="b">
        <f t="shared" si="2"/>
        <v>1</v>
      </c>
      <c r="H1152" s="99" t="b">
        <v>1</v>
      </c>
      <c r="I1152" s="99" t="b">
        <v>0</v>
      </c>
      <c r="J1152" s="99" t="b">
        <v>0</v>
      </c>
      <c r="K1152" s="99" t="b">
        <v>0</v>
      </c>
      <c r="L1152" s="99" t="b">
        <v>0</v>
      </c>
      <c r="M1152" s="99" t="b">
        <v>0</v>
      </c>
      <c r="N1152" s="99" t="b">
        <v>0</v>
      </c>
      <c r="O1152" s="99" t="b">
        <v>0</v>
      </c>
      <c r="P1152" s="99" t="b">
        <v>0</v>
      </c>
      <c r="Q1152" s="99" t="b">
        <v>0</v>
      </c>
      <c r="R1152" s="14"/>
      <c r="S1152" s="14"/>
      <c r="T1152" s="14"/>
      <c r="U1152" s="14"/>
      <c r="V1152" s="14"/>
      <c r="W1152" s="14"/>
    </row>
    <row r="1153" ht="35.25" customHeight="1">
      <c r="A1153" s="92" t="s">
        <v>13475</v>
      </c>
      <c r="B1153" s="93" t="s">
        <v>13476</v>
      </c>
      <c r="C1153" s="94" t="s">
        <v>13477</v>
      </c>
      <c r="D1153" s="95" t="s">
        <v>13479</v>
      </c>
      <c r="E1153" s="96" t="str">
        <f>IFERROR(__xludf.DUMMYFUNCTION("GOOGLETRANSLATE(D1153,""zh-CN"",""vi"")"),"Ngày đầu năm mới là ngày đầu tiên của năm mới.")</f>
        <v>Ngày đầu năm mới là ngày đầu tiên của năm mới.</v>
      </c>
      <c r="F1153" s="101" t="s">
        <v>13475</v>
      </c>
      <c r="G1153" s="98" t="b">
        <f t="shared" si="2"/>
        <v>1</v>
      </c>
      <c r="H1153" s="99" t="b">
        <v>1</v>
      </c>
      <c r="I1153" s="99" t="b">
        <v>0</v>
      </c>
      <c r="J1153" s="99" t="b">
        <v>0</v>
      </c>
      <c r="K1153" s="99" t="b">
        <v>0</v>
      </c>
      <c r="L1153" s="99" t="b">
        <v>0</v>
      </c>
      <c r="M1153" s="99" t="b">
        <v>0</v>
      </c>
      <c r="N1153" s="99" t="b">
        <v>0</v>
      </c>
      <c r="O1153" s="99" t="b">
        <v>0</v>
      </c>
      <c r="P1153" s="99" t="b">
        <v>0</v>
      </c>
      <c r="Q1153" s="99" t="b">
        <v>0</v>
      </c>
      <c r="R1153" s="14"/>
      <c r="S1153" s="14"/>
      <c r="T1153" s="14"/>
      <c r="U1153" s="14"/>
      <c r="V1153" s="14"/>
      <c r="W1153" s="14"/>
    </row>
    <row r="1154" ht="35.25" customHeight="1">
      <c r="A1154" s="92" t="s">
        <v>13486</v>
      </c>
      <c r="B1154" s="93" t="s">
        <v>13487</v>
      </c>
      <c r="C1154" s="94" t="s">
        <v>13488</v>
      </c>
      <c r="D1154" s="95" t="s">
        <v>13489</v>
      </c>
      <c r="E1154" s="96" t="str">
        <f>IFERROR(__xludf.DUMMYFUNCTION("GOOGLETRANSLATE(D1154,""zh-CN"",""vi"")"),"Công ty cần tuyển thêm nhân viên.")</f>
        <v>Công ty cần tuyển thêm nhân viên.</v>
      </c>
      <c r="F1154" s="101" t="s">
        <v>13486</v>
      </c>
      <c r="G1154" s="98" t="b">
        <f t="shared" si="2"/>
        <v>1</v>
      </c>
      <c r="H1154" s="99" t="b">
        <v>1</v>
      </c>
      <c r="I1154" s="99" t="b">
        <v>0</v>
      </c>
      <c r="J1154" s="99" t="b">
        <v>0</v>
      </c>
      <c r="K1154" s="99" t="b">
        <v>0</v>
      </c>
      <c r="L1154" s="99" t="b">
        <v>0</v>
      </c>
      <c r="M1154" s="99" t="b">
        <v>0</v>
      </c>
      <c r="N1154" s="99" t="b">
        <v>0</v>
      </c>
      <c r="O1154" s="99" t="b">
        <v>0</v>
      </c>
      <c r="P1154" s="99" t="b">
        <v>0</v>
      </c>
      <c r="Q1154" s="99" t="b">
        <v>0</v>
      </c>
      <c r="R1154" s="14"/>
      <c r="S1154" s="14"/>
      <c r="T1154" s="14"/>
      <c r="U1154" s="14"/>
      <c r="V1154" s="14"/>
      <c r="W1154" s="14"/>
    </row>
    <row r="1155" ht="35.25" customHeight="1">
      <c r="A1155" s="92" t="s">
        <v>13492</v>
      </c>
      <c r="B1155" s="93" t="s">
        <v>13493</v>
      </c>
      <c r="C1155" s="94" t="s">
        <v>13494</v>
      </c>
      <c r="D1155" s="95" t="s">
        <v>13495</v>
      </c>
      <c r="E1155" s="96" t="str">
        <f>IFERROR(__xludf.DUMMYFUNCTION("GOOGLETRANSLATE(D1155,""zh-CN"",""vi"")"),"Các nguyên liệu cho món ăn này đều rất tươi ngon.")</f>
        <v>Các nguyên liệu cho món ăn này đều rất tươi ngon.</v>
      </c>
      <c r="F1155" s="101" t="s">
        <v>13492</v>
      </c>
      <c r="G1155" s="98" t="b">
        <f t="shared" si="2"/>
        <v>1</v>
      </c>
      <c r="H1155" s="99" t="b">
        <v>1</v>
      </c>
      <c r="I1155" s="99" t="b">
        <v>0</v>
      </c>
      <c r="J1155" s="99" t="b">
        <v>0</v>
      </c>
      <c r="K1155" s="99" t="b">
        <v>0</v>
      </c>
      <c r="L1155" s="99" t="b">
        <v>0</v>
      </c>
      <c r="M1155" s="99" t="b">
        <v>0</v>
      </c>
      <c r="N1155" s="99" t="b">
        <v>0</v>
      </c>
      <c r="O1155" s="99" t="b">
        <v>0</v>
      </c>
      <c r="P1155" s="99" t="b">
        <v>0</v>
      </c>
      <c r="Q1155" s="99" t="b">
        <v>0</v>
      </c>
      <c r="R1155" s="14"/>
      <c r="S1155" s="14"/>
      <c r="T1155" s="14"/>
      <c r="U1155" s="14"/>
      <c r="V1155" s="14"/>
      <c r="W1155" s="14"/>
    </row>
    <row r="1156" ht="35.25" customHeight="1">
      <c r="A1156" s="92" t="s">
        <v>13500</v>
      </c>
      <c r="B1156" s="93" t="s">
        <v>13502</v>
      </c>
      <c r="C1156" s="94" t="s">
        <v>13504</v>
      </c>
      <c r="D1156" s="95" t="s">
        <v>13506</v>
      </c>
      <c r="E1156" s="96" t="str">
        <f>IFERROR(__xludf.DUMMYFUNCTION("GOOGLETRANSLATE(D1156,""zh-CN"",""vi"")"),"Chúng ta cần tuân thủ các nguyên tắc cơ bản.")</f>
        <v>Chúng ta cần tuân thủ các nguyên tắc cơ bản.</v>
      </c>
      <c r="F1156" s="101" t="s">
        <v>13500</v>
      </c>
      <c r="G1156" s="98" t="b">
        <f t="shared" si="2"/>
        <v>1</v>
      </c>
      <c r="H1156" s="99" t="b">
        <v>1</v>
      </c>
      <c r="I1156" s="99" t="b">
        <v>0</v>
      </c>
      <c r="J1156" s="99" t="b">
        <v>0</v>
      </c>
      <c r="K1156" s="99" t="b">
        <v>0</v>
      </c>
      <c r="L1156" s="99" t="b">
        <v>0</v>
      </c>
      <c r="M1156" s="99" t="b">
        <v>0</v>
      </c>
      <c r="N1156" s="99" t="b">
        <v>0</v>
      </c>
      <c r="O1156" s="99" t="b">
        <v>0</v>
      </c>
      <c r="P1156" s="99" t="b">
        <v>0</v>
      </c>
      <c r="Q1156" s="99" t="b">
        <v>0</v>
      </c>
      <c r="R1156" s="14"/>
      <c r="S1156" s="14"/>
      <c r="T1156" s="14"/>
      <c r="U1156" s="14"/>
      <c r="V1156" s="14"/>
      <c r="W1156" s="14"/>
    </row>
    <row r="1157" ht="35.25" customHeight="1">
      <c r="A1157" s="92" t="s">
        <v>13512</v>
      </c>
      <c r="B1157" s="93" t="s">
        <v>2790</v>
      </c>
      <c r="C1157" s="94" t="s">
        <v>13513</v>
      </c>
      <c r="D1157" s="95" t="s">
        <v>13514</v>
      </c>
      <c r="E1157" s="96" t="str">
        <f>IFERROR(__xludf.DUMMYFUNCTION("GOOGLETRANSLATE(D1157,""zh-CN"",""vi"")"),"Chiếc bàn này hình tròn.")</f>
        <v>Chiếc bàn này hình tròn.</v>
      </c>
      <c r="F1157" s="101" t="s">
        <v>13512</v>
      </c>
      <c r="G1157" s="98" t="b">
        <f t="shared" si="2"/>
        <v>1</v>
      </c>
      <c r="H1157" s="99" t="b">
        <v>1</v>
      </c>
      <c r="I1157" s="99" t="b">
        <v>0</v>
      </c>
      <c r="J1157" s="99" t="b">
        <v>0</v>
      </c>
      <c r="K1157" s="99" t="b">
        <v>0</v>
      </c>
      <c r="L1157" s="99" t="b">
        <v>0</v>
      </c>
      <c r="M1157" s="99" t="b">
        <v>0</v>
      </c>
      <c r="N1157" s="99" t="b">
        <v>0</v>
      </c>
      <c r="O1157" s="99" t="b">
        <v>0</v>
      </c>
      <c r="P1157" s="99" t="b">
        <v>0</v>
      </c>
      <c r="Q1157" s="99" t="b">
        <v>0</v>
      </c>
      <c r="R1157" s="14"/>
      <c r="S1157" s="14"/>
      <c r="T1157" s="14"/>
      <c r="U1157" s="14"/>
      <c r="V1157" s="14"/>
      <c r="W1157" s="14"/>
    </row>
    <row r="1158" ht="35.25" customHeight="1">
      <c r="A1158" s="92" t="s">
        <v>13519</v>
      </c>
      <c r="B1158" s="93" t="s">
        <v>13520</v>
      </c>
      <c r="C1158" s="94" t="s">
        <v>13521</v>
      </c>
      <c r="D1158" s="95" t="s">
        <v>13522</v>
      </c>
      <c r="E1158" s="96" t="str">
        <f>IFERROR(__xludf.DUMMYFUNCTION("GOOGLETRANSLATE(D1158,""zh-CN"",""vi"")"),"Nguyện vọng của chúng tôi là hòa bình thế giới.")</f>
        <v>Nguyện vọng của chúng tôi là hòa bình thế giới.</v>
      </c>
      <c r="F1158" s="101" t="s">
        <v>13519</v>
      </c>
      <c r="G1158" s="98" t="b">
        <f t="shared" si="2"/>
        <v>1</v>
      </c>
      <c r="H1158" s="99" t="b">
        <v>1</v>
      </c>
      <c r="I1158" s="99" t="b">
        <v>0</v>
      </c>
      <c r="J1158" s="99" t="b">
        <v>0</v>
      </c>
      <c r="K1158" s="99" t="b">
        <v>0</v>
      </c>
      <c r="L1158" s="99" t="b">
        <v>0</v>
      </c>
      <c r="M1158" s="99" t="b">
        <v>0</v>
      </c>
      <c r="N1158" s="99" t="b">
        <v>0</v>
      </c>
      <c r="O1158" s="99" t="b">
        <v>0</v>
      </c>
      <c r="P1158" s="99" t="b">
        <v>0</v>
      </c>
      <c r="Q1158" s="99" t="b">
        <v>0</v>
      </c>
      <c r="R1158" s="14"/>
      <c r="S1158" s="14"/>
      <c r="T1158" s="14"/>
      <c r="U1158" s="14"/>
      <c r="V1158" s="14"/>
      <c r="W1158" s="14"/>
    </row>
    <row r="1159" ht="35.25" customHeight="1">
      <c r="A1159" s="92" t="s">
        <v>13531</v>
      </c>
      <c r="B1159" s="93" t="s">
        <v>13532</v>
      </c>
      <c r="C1159" s="94" t="s">
        <v>13533</v>
      </c>
      <c r="D1159" s="95" t="s">
        <v>13534</v>
      </c>
      <c r="E1159" s="96" t="str">
        <f>IFERROR(__xludf.DUMMYFUNCTION("GOOGLETRANSLATE(D1159,""zh-CN"",""vi"")"),"Cô ấy có thể chơi nhiều loại nhạc cụ khác nhau.")</f>
        <v>Cô ấy có thể chơi nhiều loại nhạc cụ khác nhau.</v>
      </c>
      <c r="F1159" s="101" t="s">
        <v>13531</v>
      </c>
      <c r="G1159" s="98" t="b">
        <f t="shared" si="2"/>
        <v>1</v>
      </c>
      <c r="H1159" s="99" t="b">
        <v>1</v>
      </c>
      <c r="I1159" s="99" t="b">
        <v>0</v>
      </c>
      <c r="J1159" s="99" t="b">
        <v>0</v>
      </c>
      <c r="K1159" s="99" t="b">
        <v>0</v>
      </c>
      <c r="L1159" s="99" t="b">
        <v>0</v>
      </c>
      <c r="M1159" s="99" t="b">
        <v>0</v>
      </c>
      <c r="N1159" s="99" t="b">
        <v>0</v>
      </c>
      <c r="O1159" s="99" t="b">
        <v>0</v>
      </c>
      <c r="P1159" s="99" t="b">
        <v>0</v>
      </c>
      <c r="Q1159" s="99" t="b">
        <v>0</v>
      </c>
      <c r="R1159" s="14"/>
      <c r="S1159" s="14"/>
      <c r="T1159" s="14"/>
      <c r="U1159" s="14"/>
      <c r="V1159" s="14"/>
      <c r="W1159" s="14"/>
    </row>
    <row r="1160" ht="35.25" customHeight="1">
      <c r="A1160" s="92" t="s">
        <v>13539</v>
      </c>
      <c r="B1160" s="93" t="s">
        <v>13540</v>
      </c>
      <c r="C1160" s="94" t="s">
        <v>13541</v>
      </c>
      <c r="D1160" s="95" t="s">
        <v>13543</v>
      </c>
      <c r="E1160" s="96" t="str">
        <f>IFERROR(__xludf.DUMMYFUNCTION("GOOGLETRANSLATE(D1160,""zh-CN"",""vi"")"),"Anh ấy cảm thấy không khỏe vì say tàu xe.")</f>
        <v>Anh ấy cảm thấy không khỏe vì say tàu xe.</v>
      </c>
      <c r="F1160" s="101" t="s">
        <v>13539</v>
      </c>
      <c r="G1160" s="98" t="b">
        <f t="shared" si="2"/>
        <v>1</v>
      </c>
      <c r="H1160" s="99" t="b">
        <v>1</v>
      </c>
      <c r="I1160" s="99" t="b">
        <v>0</v>
      </c>
      <c r="J1160" s="99" t="b">
        <v>0</v>
      </c>
      <c r="K1160" s="99" t="b">
        <v>0</v>
      </c>
      <c r="L1160" s="99" t="b">
        <v>0</v>
      </c>
      <c r="M1160" s="99" t="b">
        <v>0</v>
      </c>
      <c r="N1160" s="99" t="b">
        <v>0</v>
      </c>
      <c r="O1160" s="99" t="b">
        <v>0</v>
      </c>
      <c r="P1160" s="99" t="b">
        <v>0</v>
      </c>
      <c r="Q1160" s="99" t="b">
        <v>0</v>
      </c>
      <c r="R1160" s="14"/>
      <c r="S1160" s="14"/>
      <c r="T1160" s="14"/>
      <c r="U1160" s="14"/>
      <c r="V1160" s="14"/>
      <c r="W1160" s="14"/>
    </row>
    <row r="1161" ht="35.25" customHeight="1">
      <c r="A1161" s="92" t="s">
        <v>13549</v>
      </c>
      <c r="B1161" s="93" t="s">
        <v>13550</v>
      </c>
      <c r="C1161" s="94" t="s">
        <v>13551</v>
      </c>
      <c r="D1161" s="95" t="s">
        <v>13552</v>
      </c>
      <c r="E1161" s="96" t="str">
        <f>IFERROR(__xludf.DUMMYFUNCTION("GOOGLETRANSLATE(D1161,""zh-CN"",""vi"")"),"Dạo này anh ấy gặp rất nhiều may mắn.")</f>
        <v>Dạo này anh ấy gặp rất nhiều may mắn.</v>
      </c>
      <c r="F1161" s="101" t="s">
        <v>13549</v>
      </c>
      <c r="G1161" s="98" t="b">
        <f t="shared" si="2"/>
        <v>1</v>
      </c>
      <c r="H1161" s="99" t="b">
        <v>1</v>
      </c>
      <c r="I1161" s="99" t="b">
        <v>0</v>
      </c>
      <c r="J1161" s="99" t="b">
        <v>0</v>
      </c>
      <c r="K1161" s="99" t="b">
        <v>0</v>
      </c>
      <c r="L1161" s="99" t="b">
        <v>0</v>
      </c>
      <c r="M1161" s="99" t="b">
        <v>0</v>
      </c>
      <c r="N1161" s="99" t="b">
        <v>0</v>
      </c>
      <c r="O1161" s="99" t="b">
        <v>0</v>
      </c>
      <c r="P1161" s="99" t="b">
        <v>0</v>
      </c>
      <c r="Q1161" s="99" t="b">
        <v>0</v>
      </c>
      <c r="R1161" s="14"/>
      <c r="S1161" s="14"/>
      <c r="T1161" s="14"/>
      <c r="U1161" s="14"/>
      <c r="V1161" s="14"/>
      <c r="W1161" s="14"/>
    </row>
    <row r="1162" ht="35.25" customHeight="1">
      <c r="A1162" s="92" t="s">
        <v>13557</v>
      </c>
      <c r="B1162" s="93" t="s">
        <v>13558</v>
      </c>
      <c r="C1162" s="94" t="s">
        <v>13559</v>
      </c>
      <c r="D1162" s="95" t="s">
        <v>13560</v>
      </c>
      <c r="E1162" s="96" t="str">
        <f>IFERROR(__xludf.DUMMYFUNCTION("GOOGLETRANSLATE(D1162,""zh-CN"",""vi"")"),"Công ty này chuyên về vận tải hàng hóa.")</f>
        <v>Công ty này chuyên về vận tải hàng hóa.</v>
      </c>
      <c r="F1162" s="101" t="s">
        <v>13557</v>
      </c>
      <c r="G1162" s="98" t="b">
        <f t="shared" si="2"/>
        <v>1</v>
      </c>
      <c r="H1162" s="99" t="b">
        <v>1</v>
      </c>
      <c r="I1162" s="99" t="b">
        <v>0</v>
      </c>
      <c r="J1162" s="99" t="b">
        <v>0</v>
      </c>
      <c r="K1162" s="99" t="b">
        <v>0</v>
      </c>
      <c r="L1162" s="99" t="b">
        <v>0</v>
      </c>
      <c r="M1162" s="99" t="b">
        <v>0</v>
      </c>
      <c r="N1162" s="99" t="b">
        <v>0</v>
      </c>
      <c r="O1162" s="99" t="b">
        <v>0</v>
      </c>
      <c r="P1162" s="99" t="b">
        <v>0</v>
      </c>
      <c r="Q1162" s="99" t="b">
        <v>0</v>
      </c>
      <c r="R1162" s="14"/>
      <c r="S1162" s="14"/>
      <c r="T1162" s="14"/>
      <c r="U1162" s="14"/>
      <c r="V1162" s="14"/>
      <c r="W1162" s="14"/>
    </row>
    <row r="1163" ht="35.25" customHeight="1">
      <c r="A1163" s="92" t="s">
        <v>13569</v>
      </c>
      <c r="B1163" s="93" t="s">
        <v>13570</v>
      </c>
      <c r="C1163" s="94" t="s">
        <v>13572</v>
      </c>
      <c r="D1163" s="95" t="s">
        <v>13574</v>
      </c>
      <c r="E1163" s="96" t="str">
        <f>IFERROR(__xludf.DUMMYFUNCTION("GOOGLETRANSLATE(D1163,""zh-CN"",""vi"")"),"Phương pháp này có thể được áp dụng trong nhiều tình huống khác nhau.")</f>
        <v>Phương pháp này có thể được áp dụng trong nhiều tình huống khác nhau.</v>
      </c>
      <c r="F1163" s="101" t="s">
        <v>13569</v>
      </c>
      <c r="G1163" s="98" t="b">
        <f t="shared" si="2"/>
        <v>1</v>
      </c>
      <c r="H1163" s="99" t="b">
        <v>1</v>
      </c>
      <c r="I1163" s="99" t="b">
        <v>0</v>
      </c>
      <c r="J1163" s="99" t="b">
        <v>0</v>
      </c>
      <c r="K1163" s="99" t="b">
        <v>0</v>
      </c>
      <c r="L1163" s="99" t="b">
        <v>0</v>
      </c>
      <c r="M1163" s="99" t="b">
        <v>0</v>
      </c>
      <c r="N1163" s="99" t="b">
        <v>0</v>
      </c>
      <c r="O1163" s="99" t="b">
        <v>0</v>
      </c>
      <c r="P1163" s="99" t="b">
        <v>0</v>
      </c>
      <c r="Q1163" s="99" t="b">
        <v>0</v>
      </c>
      <c r="R1163" s="14"/>
      <c r="S1163" s="14"/>
      <c r="T1163" s="14"/>
      <c r="U1163" s="14"/>
      <c r="V1163" s="14"/>
      <c r="W1163" s="14"/>
    </row>
    <row r="1164" ht="35.25" customHeight="1">
      <c r="A1164" s="92" t="s">
        <v>13581</v>
      </c>
      <c r="B1164" s="93" t="s">
        <v>13582</v>
      </c>
      <c r="C1164" s="94" t="s">
        <v>13583</v>
      </c>
      <c r="D1164" s="95" t="s">
        <v>13584</v>
      </c>
      <c r="E1164" s="96" t="str">
        <f>IFERROR(__xludf.DUMMYFUNCTION("GOOGLETRANSLATE(D1164,""zh-CN"",""vi"")"),"Thảm họa này đã gây ra rất nhiều thiệt hại.")</f>
        <v>Thảm họa này đã gây ra rất nhiều thiệt hại.</v>
      </c>
      <c r="F1164" s="101" t="s">
        <v>13581</v>
      </c>
      <c r="G1164" s="98" t="b">
        <f t="shared" si="2"/>
        <v>1</v>
      </c>
      <c r="H1164" s="99" t="b">
        <v>1</v>
      </c>
      <c r="I1164" s="99" t="b">
        <v>0</v>
      </c>
      <c r="J1164" s="99" t="b">
        <v>0</v>
      </c>
      <c r="K1164" s="99" t="b">
        <v>0</v>
      </c>
      <c r="L1164" s="99" t="b">
        <v>0</v>
      </c>
      <c r="M1164" s="99" t="b">
        <v>0</v>
      </c>
      <c r="N1164" s="99" t="b">
        <v>0</v>
      </c>
      <c r="O1164" s="99" t="b">
        <v>0</v>
      </c>
      <c r="P1164" s="99" t="b">
        <v>0</v>
      </c>
      <c r="Q1164" s="99" t="b">
        <v>0</v>
      </c>
      <c r="R1164" s="14"/>
      <c r="S1164" s="14"/>
      <c r="T1164" s="14"/>
      <c r="U1164" s="14"/>
      <c r="V1164" s="14"/>
      <c r="W1164" s="14"/>
    </row>
    <row r="1165" ht="35.25" customHeight="1">
      <c r="A1165" s="92" t="s">
        <v>13589</v>
      </c>
      <c r="B1165" s="93" t="s">
        <v>13590</v>
      </c>
      <c r="C1165" s="94" t="s">
        <v>13591</v>
      </c>
      <c r="D1165" s="95" t="s">
        <v>13592</v>
      </c>
      <c r="E1165" s="96" t="str">
        <f>IFERROR(__xludf.DUMMYFUNCTION("GOOGLETRANSLATE(D1165,""zh-CN"",""vi"")"),"Chúng ta cần xem xét lại vấn đề này.")</f>
        <v>Chúng ta cần xem xét lại vấn đề này.</v>
      </c>
      <c r="F1165" s="101" t="s">
        <v>13589</v>
      </c>
      <c r="G1165" s="98" t="b">
        <f t="shared" si="2"/>
        <v>1</v>
      </c>
      <c r="H1165" s="99" t="b">
        <v>1</v>
      </c>
      <c r="I1165" s="99" t="b">
        <v>0</v>
      </c>
      <c r="J1165" s="99" t="b">
        <v>0</v>
      </c>
      <c r="K1165" s="99" t="b">
        <v>0</v>
      </c>
      <c r="L1165" s="99" t="b">
        <v>0</v>
      </c>
      <c r="M1165" s="99" t="b">
        <v>0</v>
      </c>
      <c r="N1165" s="99" t="b">
        <v>0</v>
      </c>
      <c r="O1165" s="99" t="b">
        <v>0</v>
      </c>
      <c r="P1165" s="99" t="b">
        <v>0</v>
      </c>
      <c r="Q1165" s="99" t="b">
        <v>0</v>
      </c>
      <c r="R1165" s="14"/>
      <c r="S1165" s="14"/>
      <c r="T1165" s="14"/>
      <c r="U1165" s="14"/>
      <c r="V1165" s="14"/>
      <c r="W1165" s="14"/>
    </row>
    <row r="1166" ht="35.25" customHeight="1">
      <c r="A1166" s="92" t="s">
        <v>13597</v>
      </c>
      <c r="B1166" s="93" t="s">
        <v>13598</v>
      </c>
      <c r="C1166" s="94" t="s">
        <v>13599</v>
      </c>
      <c r="D1166" s="95" t="s">
        <v>13600</v>
      </c>
      <c r="E1166" s="96" t="str">
        <f>IFERROR(__xludf.DUMMYFUNCTION("GOOGLETRANSLATE(D1166,""zh-CN"",""vi"")"),"Tôi rất quan tâm đến cảm xúc của bạn.")</f>
        <v>Tôi rất quan tâm đến cảm xúc của bạn.</v>
      </c>
      <c r="F1166" s="101" t="s">
        <v>13597</v>
      </c>
      <c r="G1166" s="98" t="b">
        <f t="shared" si="2"/>
        <v>1</v>
      </c>
      <c r="H1166" s="99" t="b">
        <v>1</v>
      </c>
      <c r="I1166" s="99" t="b">
        <v>0</v>
      </c>
      <c r="J1166" s="99" t="b">
        <v>0</v>
      </c>
      <c r="K1166" s="99" t="b">
        <v>0</v>
      </c>
      <c r="L1166" s="99" t="b">
        <v>0</v>
      </c>
      <c r="M1166" s="99" t="b">
        <v>0</v>
      </c>
      <c r="N1166" s="99" t="b">
        <v>0</v>
      </c>
      <c r="O1166" s="99" t="b">
        <v>0</v>
      </c>
      <c r="P1166" s="99" t="b">
        <v>0</v>
      </c>
      <c r="Q1166" s="99" t="b">
        <v>0</v>
      </c>
      <c r="R1166" s="14"/>
      <c r="S1166" s="14"/>
      <c r="T1166" s="14"/>
      <c r="U1166" s="14"/>
      <c r="V1166" s="14"/>
      <c r="W1166" s="14"/>
    </row>
    <row r="1167" ht="35.25" customHeight="1">
      <c r="A1167" s="92" t="s">
        <v>13605</v>
      </c>
      <c r="B1167" s="93" t="s">
        <v>13606</v>
      </c>
      <c r="C1167" s="94" t="s">
        <v>13607</v>
      </c>
      <c r="D1167" s="95" t="s">
        <v>13608</v>
      </c>
      <c r="E1167" s="96" t="str">
        <f>IFERROR(__xludf.DUMMYFUNCTION("GOOGLETRANSLATE(D1167,""zh-CN"",""vi"")"),"Mấu chốt nằm ở cách giải quyết vấn đề này.")</f>
        <v>Mấu chốt nằm ở cách giải quyết vấn đề này.</v>
      </c>
      <c r="F1167" s="101" t="s">
        <v>13605</v>
      </c>
      <c r="G1167" s="98" t="b">
        <f t="shared" si="2"/>
        <v>1</v>
      </c>
      <c r="H1167" s="99" t="b">
        <v>1</v>
      </c>
      <c r="I1167" s="99" t="b">
        <v>0</v>
      </c>
      <c r="J1167" s="99" t="b">
        <v>0</v>
      </c>
      <c r="K1167" s="99" t="b">
        <v>0</v>
      </c>
      <c r="L1167" s="99" t="b">
        <v>0</v>
      </c>
      <c r="M1167" s="99" t="b">
        <v>0</v>
      </c>
      <c r="N1167" s="99" t="b">
        <v>0</v>
      </c>
      <c r="O1167" s="99" t="b">
        <v>0</v>
      </c>
      <c r="P1167" s="99" t="b">
        <v>0</v>
      </c>
      <c r="Q1167" s="99" t="b">
        <v>0</v>
      </c>
      <c r="R1167" s="14"/>
      <c r="S1167" s="14"/>
      <c r="T1167" s="14"/>
      <c r="U1167" s="14"/>
      <c r="V1167" s="14"/>
      <c r="W1167" s="14"/>
    </row>
    <row r="1168" ht="35.25" customHeight="1">
      <c r="A1168" s="92" t="s">
        <v>13613</v>
      </c>
      <c r="B1168" s="93" t="s">
        <v>13614</v>
      </c>
      <c r="C1168" s="94" t="s">
        <v>13615</v>
      </c>
      <c r="D1168" s="95" t="s">
        <v>13616</v>
      </c>
      <c r="E1168" s="96" t="str">
        <f>IFERROR(__xludf.DUMMYFUNCTION("GOOGLETRANSLATE(D1168,""zh-CN"",""vi"")"),"Tôi hoàn toàn đồng ý với quan điểm của bạn.")</f>
        <v>Tôi hoàn toàn đồng ý với quan điểm của bạn.</v>
      </c>
      <c r="F1168" s="101" t="s">
        <v>13613</v>
      </c>
      <c r="G1168" s="98" t="b">
        <f t="shared" si="2"/>
        <v>1</v>
      </c>
      <c r="H1168" s="99" t="b">
        <v>1</v>
      </c>
      <c r="I1168" s="99" t="b">
        <v>0</v>
      </c>
      <c r="J1168" s="99" t="b">
        <v>0</v>
      </c>
      <c r="K1168" s="99" t="b">
        <v>0</v>
      </c>
      <c r="L1168" s="99" t="b">
        <v>0</v>
      </c>
      <c r="M1168" s="99" t="b">
        <v>0</v>
      </c>
      <c r="N1168" s="99" t="b">
        <v>0</v>
      </c>
      <c r="O1168" s="99" t="b">
        <v>0</v>
      </c>
      <c r="P1168" s="99" t="b">
        <v>0</v>
      </c>
      <c r="Q1168" s="99" t="b">
        <v>0</v>
      </c>
      <c r="R1168" s="14"/>
      <c r="S1168" s="14"/>
      <c r="T1168" s="14"/>
      <c r="U1168" s="14"/>
      <c r="V1168" s="14"/>
      <c r="W1168" s="14"/>
    </row>
    <row r="1169" ht="35.25" customHeight="1">
      <c r="A1169" s="92" t="s">
        <v>13621</v>
      </c>
      <c r="B1169" s="93" t="s">
        <v>13622</v>
      </c>
      <c r="C1169" s="102" t="s">
        <v>13624</v>
      </c>
      <c r="D1169" s="95" t="s">
        <v>13626</v>
      </c>
      <c r="E1169" s="96" t="str">
        <f>IFERROR(__xludf.DUMMYFUNCTION("GOOGLETRANSLATE(D1169,""zh-CN"",""vi"")"),"Ông ấy thường khen ngợi công việc của người khác.")</f>
        <v>Ông ấy thường khen ngợi công việc của người khác.</v>
      </c>
      <c r="F1169" s="101" t="s">
        <v>13621</v>
      </c>
      <c r="G1169" s="98" t="b">
        <f t="shared" si="2"/>
        <v>1</v>
      </c>
      <c r="H1169" s="99" t="b">
        <v>1</v>
      </c>
      <c r="I1169" s="99" t="b">
        <v>0</v>
      </c>
      <c r="J1169" s="99" t="b">
        <v>0</v>
      </c>
      <c r="K1169" s="99" t="b">
        <v>0</v>
      </c>
      <c r="L1169" s="99" t="b">
        <v>0</v>
      </c>
      <c r="M1169" s="99" t="b">
        <v>0</v>
      </c>
      <c r="N1169" s="99" t="b">
        <v>0</v>
      </c>
      <c r="O1169" s="99" t="b">
        <v>0</v>
      </c>
      <c r="P1169" s="99" t="b">
        <v>0</v>
      </c>
      <c r="Q1169" s="99" t="b">
        <v>0</v>
      </c>
      <c r="R1169" s="14"/>
      <c r="S1169" s="14"/>
      <c r="T1169" s="14"/>
      <c r="U1169" s="14"/>
      <c r="V1169" s="14"/>
      <c r="W1169" s="14"/>
    </row>
    <row r="1170" ht="35.25" customHeight="1">
      <c r="A1170" s="92" t="s">
        <v>13631</v>
      </c>
      <c r="B1170" s="93" t="s">
        <v>13633</v>
      </c>
      <c r="C1170" s="94" t="s">
        <v>13635</v>
      </c>
      <c r="D1170" s="95" t="s">
        <v>13636</v>
      </c>
      <c r="E1170" s="96" t="str">
        <f>IFERROR(__xludf.DUMMYFUNCTION("GOOGLETRANSLATE(D1170,""zh-CN"",""vi"")"),"Tình hình ở đây rất tệ.")</f>
        <v>Tình hình ở đây rất tệ.</v>
      </c>
      <c r="F1170" s="101" t="s">
        <v>13631</v>
      </c>
      <c r="G1170" s="98" t="b">
        <f t="shared" si="2"/>
        <v>1</v>
      </c>
      <c r="H1170" s="99" t="b">
        <v>1</v>
      </c>
      <c r="I1170" s="99" t="b">
        <v>0</v>
      </c>
      <c r="J1170" s="99" t="b">
        <v>0</v>
      </c>
      <c r="K1170" s="99" t="b">
        <v>0</v>
      </c>
      <c r="L1170" s="99" t="b">
        <v>0</v>
      </c>
      <c r="M1170" s="99" t="b">
        <v>0</v>
      </c>
      <c r="N1170" s="99" t="b">
        <v>0</v>
      </c>
      <c r="O1170" s="99" t="b">
        <v>0</v>
      </c>
      <c r="P1170" s="99" t="b">
        <v>0</v>
      </c>
      <c r="Q1170" s="99" t="b">
        <v>0</v>
      </c>
      <c r="R1170" s="14"/>
      <c r="S1170" s="14"/>
      <c r="T1170" s="14"/>
      <c r="U1170" s="14"/>
      <c r="V1170" s="14"/>
      <c r="W1170" s="14"/>
    </row>
    <row r="1171" ht="35.25" customHeight="1">
      <c r="A1171" s="92" t="s">
        <v>13639</v>
      </c>
      <c r="B1171" s="93" t="s">
        <v>13641</v>
      </c>
      <c r="C1171" s="94" t="s">
        <v>13643</v>
      </c>
      <c r="D1171" s="95" t="s">
        <v>13644</v>
      </c>
      <c r="E1171" s="96" t="str">
        <f>IFERROR(__xludf.DUMMYFUNCTION("GOOGLETRANSLATE(D1171,""zh-CN"",""vi"")"),"Vụ tai nạn này đã gây ra thương tích nghiêm trọng.")</f>
        <v>Vụ tai nạn này đã gây ra thương tích nghiêm trọng.</v>
      </c>
      <c r="F1171" s="101" t="s">
        <v>13639</v>
      </c>
      <c r="G1171" s="98" t="b">
        <f t="shared" si="2"/>
        <v>1</v>
      </c>
      <c r="H1171" s="99" t="b">
        <v>1</v>
      </c>
      <c r="I1171" s="99" t="b">
        <v>0</v>
      </c>
      <c r="J1171" s="99" t="b">
        <v>0</v>
      </c>
      <c r="K1171" s="99" t="b">
        <v>0</v>
      </c>
      <c r="L1171" s="99" t="b">
        <v>0</v>
      </c>
      <c r="M1171" s="99" t="b">
        <v>0</v>
      </c>
      <c r="N1171" s="99" t="b">
        <v>0</v>
      </c>
      <c r="O1171" s="99" t="b">
        <v>0</v>
      </c>
      <c r="P1171" s="99" t="b">
        <v>0</v>
      </c>
      <c r="Q1171" s="99" t="b">
        <v>0</v>
      </c>
      <c r="R1171" s="14"/>
      <c r="S1171" s="14"/>
      <c r="T1171" s="14"/>
      <c r="U1171" s="14"/>
      <c r="V1171" s="14"/>
      <c r="W1171" s="14"/>
    </row>
    <row r="1172" ht="35.25" customHeight="1">
      <c r="A1172" s="92" t="s">
        <v>13649</v>
      </c>
      <c r="B1172" s="93" t="s">
        <v>13650</v>
      </c>
      <c r="C1172" s="94" t="s">
        <v>299</v>
      </c>
      <c r="D1172" s="116" t="s">
        <v>13651</v>
      </c>
      <c r="E1172" s="96" t="str">
        <f>IFERROR(__xludf.DUMMYFUNCTION("GOOGLETRANSLATE(D1172,""zh-CN"",""vi"")"),"Anh ấy không nghĩ nhiệm vụ đó khó hoàn thành.")</f>
        <v>Anh ấy không nghĩ nhiệm vụ đó khó hoàn thành.</v>
      </c>
      <c r="F1172" s="129" t="s">
        <v>13649</v>
      </c>
      <c r="G1172" s="98" t="b">
        <f t="shared" si="2"/>
        <v>1</v>
      </c>
      <c r="H1172" s="99" t="b">
        <v>1</v>
      </c>
      <c r="I1172" s="99" t="b">
        <v>0</v>
      </c>
      <c r="J1172" s="99" t="b">
        <v>0</v>
      </c>
      <c r="K1172" s="99" t="b">
        <v>0</v>
      </c>
      <c r="L1172" s="99" t="b">
        <v>0</v>
      </c>
      <c r="M1172" s="99" t="b">
        <v>0</v>
      </c>
      <c r="N1172" s="99" t="b">
        <v>0</v>
      </c>
      <c r="O1172" s="99" t="b">
        <v>0</v>
      </c>
      <c r="P1172" s="99" t="b">
        <v>0</v>
      </c>
      <c r="Q1172" s="99" t="b">
        <v>0</v>
      </c>
      <c r="R1172" s="14"/>
      <c r="S1172" s="14"/>
      <c r="T1172" s="14"/>
      <c r="U1172" s="14"/>
      <c r="V1172" s="14"/>
      <c r="W1172" s="14"/>
    </row>
    <row r="1173" ht="35.25" customHeight="1">
      <c r="A1173" s="92" t="s">
        <v>13652</v>
      </c>
      <c r="B1173" s="93" t="s">
        <v>13653</v>
      </c>
      <c r="C1173" s="94" t="s">
        <v>13654</v>
      </c>
      <c r="D1173" s="95" t="s">
        <v>13656</v>
      </c>
      <c r="E1173" s="96" t="str">
        <f>IFERROR(__xludf.DUMMYFUNCTION("GOOGLETRANSLATE(D1173,""zh-CN"",""vi"")"),"Cô ấy tự trách mình vì đã không làm tốt công việc.")</f>
        <v>Cô ấy tự trách mình vì đã không làm tốt công việc.</v>
      </c>
      <c r="F1173" s="101" t="s">
        <v>13652</v>
      </c>
      <c r="G1173" s="98" t="b">
        <f t="shared" si="2"/>
        <v>1</v>
      </c>
      <c r="H1173" s="99" t="b">
        <v>1</v>
      </c>
      <c r="I1173" s="99" t="b">
        <v>0</v>
      </c>
      <c r="J1173" s="99" t="b">
        <v>0</v>
      </c>
      <c r="K1173" s="99" t="b">
        <v>0</v>
      </c>
      <c r="L1173" s="99" t="b">
        <v>0</v>
      </c>
      <c r="M1173" s="99" t="b">
        <v>0</v>
      </c>
      <c r="N1173" s="99" t="b">
        <v>0</v>
      </c>
      <c r="O1173" s="99" t="b">
        <v>0</v>
      </c>
      <c r="P1173" s="99" t="b">
        <v>0</v>
      </c>
      <c r="Q1173" s="99" t="b">
        <v>0</v>
      </c>
      <c r="R1173" s="14"/>
      <c r="S1173" s="14"/>
      <c r="T1173" s="14"/>
      <c r="U1173" s="14"/>
      <c r="V1173" s="14"/>
      <c r="W1173" s="14"/>
    </row>
    <row r="1174" ht="35.25" customHeight="1">
      <c r="A1174" s="92" t="s">
        <v>13660</v>
      </c>
      <c r="B1174" s="93" t="s">
        <v>13661</v>
      </c>
      <c r="C1174" s="94" t="s">
        <v>839</v>
      </c>
      <c r="D1174" s="95" t="s">
        <v>13663</v>
      </c>
      <c r="E1174" s="96" t="str">
        <f>IFERROR(__xludf.DUMMYFUNCTION("GOOGLETRANSLATE(D1174,""zh-CN"",""vi"")"),"Chúng ta cần hái một ít trái cây.")</f>
        <v>Chúng ta cần hái một ít trái cây.</v>
      </c>
      <c r="F1174" s="101" t="s">
        <v>13660</v>
      </c>
      <c r="G1174" s="98" t="b">
        <f t="shared" si="2"/>
        <v>1</v>
      </c>
      <c r="H1174" s="99" t="b">
        <v>1</v>
      </c>
      <c r="I1174" s="99" t="b">
        <v>0</v>
      </c>
      <c r="J1174" s="99" t="b">
        <v>0</v>
      </c>
      <c r="K1174" s="99" t="b">
        <v>0</v>
      </c>
      <c r="L1174" s="99" t="b">
        <v>0</v>
      </c>
      <c r="M1174" s="99" t="b">
        <v>0</v>
      </c>
      <c r="N1174" s="99" t="b">
        <v>0</v>
      </c>
      <c r="O1174" s="99" t="b">
        <v>0</v>
      </c>
      <c r="P1174" s="99" t="b">
        <v>0</v>
      </c>
      <c r="Q1174" s="99" t="b">
        <v>0</v>
      </c>
      <c r="R1174" s="14"/>
      <c r="S1174" s="14"/>
      <c r="T1174" s="14"/>
      <c r="U1174" s="14"/>
      <c r="V1174" s="14"/>
      <c r="W1174" s="14"/>
    </row>
    <row r="1175" ht="35.25" customHeight="1">
      <c r="A1175" s="92" t="s">
        <v>13667</v>
      </c>
      <c r="B1175" s="93" t="s">
        <v>13668</v>
      </c>
      <c r="C1175" s="94" t="s">
        <v>13670</v>
      </c>
      <c r="D1175" s="95" t="s">
        <v>13672</v>
      </c>
      <c r="E1175" s="96" t="str">
        <f>IFERROR(__xludf.DUMMYFUNCTION("GOOGLETRANSLATE(D1175,""zh-CN"",""vi"")"),"Con đường này quá hẹp, xe ô tô không thể đi qua.")</f>
        <v>Con đường này quá hẹp, xe ô tô không thể đi qua.</v>
      </c>
      <c r="F1175" s="101" t="s">
        <v>13667</v>
      </c>
      <c r="G1175" s="98" t="b">
        <f t="shared" si="2"/>
        <v>1</v>
      </c>
      <c r="H1175" s="99" t="b">
        <v>1</v>
      </c>
      <c r="I1175" s="99" t="b">
        <v>0</v>
      </c>
      <c r="J1175" s="99" t="b">
        <v>0</v>
      </c>
      <c r="K1175" s="99" t="b">
        <v>0</v>
      </c>
      <c r="L1175" s="99" t="b">
        <v>0</v>
      </c>
      <c r="M1175" s="99" t="b">
        <v>0</v>
      </c>
      <c r="N1175" s="99" t="b">
        <v>0</v>
      </c>
      <c r="O1175" s="99" t="b">
        <v>0</v>
      </c>
      <c r="P1175" s="99" t="b">
        <v>0</v>
      </c>
      <c r="Q1175" s="99" t="b">
        <v>0</v>
      </c>
      <c r="R1175" s="14"/>
      <c r="S1175" s="14"/>
      <c r="T1175" s="14"/>
      <c r="U1175" s="14"/>
      <c r="V1175" s="14"/>
      <c r="W1175" s="14"/>
    </row>
    <row r="1176" ht="35.25" customHeight="1">
      <c r="A1176" s="92" t="s">
        <v>13675</v>
      </c>
      <c r="B1176" s="93" t="s">
        <v>13676</v>
      </c>
      <c r="C1176" s="94" t="s">
        <v>13677</v>
      </c>
      <c r="D1176" s="95" t="s">
        <v>13678</v>
      </c>
      <c r="E1176" s="96" t="str">
        <f>IFERROR(__xludf.DUMMYFUNCTION("GOOGLETRANSLATE(D1176,""zh-CN"",""vi"")"),"Hãy dán tờ giấy này lên tường.")</f>
        <v>Hãy dán tờ giấy này lên tường.</v>
      </c>
      <c r="F1176" s="101" t="s">
        <v>13675</v>
      </c>
      <c r="G1176" s="98" t="b">
        <f t="shared" si="2"/>
        <v>1</v>
      </c>
      <c r="H1176" s="99" t="b">
        <v>1</v>
      </c>
      <c r="I1176" s="99" t="b">
        <v>0</v>
      </c>
      <c r="J1176" s="99" t="b">
        <v>0</v>
      </c>
      <c r="K1176" s="99" t="b">
        <v>0</v>
      </c>
      <c r="L1176" s="99" t="b">
        <v>0</v>
      </c>
      <c r="M1176" s="99" t="b">
        <v>0</v>
      </c>
      <c r="N1176" s="99" t="b">
        <v>0</v>
      </c>
      <c r="O1176" s="99" t="b">
        <v>0</v>
      </c>
      <c r="P1176" s="99" t="b">
        <v>0</v>
      </c>
      <c r="Q1176" s="99" t="b">
        <v>0</v>
      </c>
      <c r="R1176" s="14"/>
      <c r="S1176" s="14"/>
      <c r="T1176" s="14"/>
      <c r="U1176" s="14"/>
      <c r="V1176" s="14"/>
      <c r="W1176" s="14"/>
    </row>
    <row r="1177" ht="35.25" customHeight="1">
      <c r="A1177" s="92" t="s">
        <v>13683</v>
      </c>
      <c r="B1177" s="93" t="s">
        <v>13684</v>
      </c>
      <c r="C1177" s="94" t="s">
        <v>13685</v>
      </c>
      <c r="D1177" s="95" t="s">
        <v>13686</v>
      </c>
      <c r="E1177" s="96" t="str">
        <f>IFERROR(__xludf.DUMMYFUNCTION("GOOGLETRANSLATE(D1177,""zh-CN"",""vi"")"),"Chúng ta cần lập một kế hoạch mới.")</f>
        <v>Chúng ta cần lập một kế hoạch mới.</v>
      </c>
      <c r="F1177" s="101" t="s">
        <v>13683</v>
      </c>
      <c r="G1177" s="98" t="b">
        <f t="shared" si="2"/>
        <v>1</v>
      </c>
      <c r="H1177" s="99" t="b">
        <v>1</v>
      </c>
      <c r="I1177" s="99" t="b">
        <v>0</v>
      </c>
      <c r="J1177" s="99" t="b">
        <v>0</v>
      </c>
      <c r="K1177" s="99" t="b">
        <v>0</v>
      </c>
      <c r="L1177" s="99" t="b">
        <v>0</v>
      </c>
      <c r="M1177" s="99" t="b">
        <v>0</v>
      </c>
      <c r="N1177" s="99" t="b">
        <v>0</v>
      </c>
      <c r="O1177" s="99" t="b">
        <v>0</v>
      </c>
      <c r="P1177" s="99" t="b">
        <v>0</v>
      </c>
      <c r="Q1177" s="99" t="b">
        <v>0</v>
      </c>
      <c r="R1177" s="14"/>
      <c r="S1177" s="14"/>
      <c r="T1177" s="14"/>
      <c r="U1177" s="14"/>
      <c r="V1177" s="14"/>
      <c r="W1177" s="14"/>
    </row>
    <row r="1178" ht="35.25" customHeight="1">
      <c r="A1178" s="92" t="s">
        <v>13691</v>
      </c>
      <c r="B1178" s="93" t="s">
        <v>13692</v>
      </c>
      <c r="C1178" s="94" t="s">
        <v>6388</v>
      </c>
      <c r="D1178" s="95" t="s">
        <v>13693</v>
      </c>
      <c r="E1178" s="96" t="str">
        <f>IFERROR(__xludf.DUMMYFUNCTION("GOOGLETRANSLATE(D1178,""zh-CN"",""vi"")"),"Triển lãm này đã thu hút rất nhiều khách tham quan.")</f>
        <v>Triển lãm này đã thu hút rất nhiều khách tham quan.</v>
      </c>
      <c r="F1178" s="101" t="s">
        <v>13691</v>
      </c>
      <c r="G1178" s="98" t="b">
        <f t="shared" si="2"/>
        <v>1</v>
      </c>
      <c r="H1178" s="99" t="b">
        <v>1</v>
      </c>
      <c r="I1178" s="99" t="b">
        <v>0</v>
      </c>
      <c r="J1178" s="99" t="b">
        <v>0</v>
      </c>
      <c r="K1178" s="99" t="b">
        <v>0</v>
      </c>
      <c r="L1178" s="99" t="b">
        <v>0</v>
      </c>
      <c r="M1178" s="99" t="b">
        <v>0</v>
      </c>
      <c r="N1178" s="99" t="b">
        <v>0</v>
      </c>
      <c r="O1178" s="99" t="b">
        <v>0</v>
      </c>
      <c r="P1178" s="99" t="b">
        <v>0</v>
      </c>
      <c r="Q1178" s="99" t="b">
        <v>0</v>
      </c>
      <c r="R1178" s="14"/>
      <c r="S1178" s="14"/>
      <c r="T1178" s="14"/>
      <c r="U1178" s="14"/>
      <c r="V1178" s="14"/>
      <c r="W1178" s="14"/>
    </row>
    <row r="1179" ht="35.25" customHeight="1">
      <c r="A1179" s="92" t="s">
        <v>13698</v>
      </c>
      <c r="B1179" s="93" t="s">
        <v>3465</v>
      </c>
      <c r="C1179" s="94" t="s">
        <v>13700</v>
      </c>
      <c r="D1179" s="95" t="s">
        <v>13702</v>
      </c>
      <c r="E1179" s="96" t="str">
        <f>IFERROR(__xludf.DUMMYFUNCTION("GOOGLETRANSLATE(D1179,""zh-CN"",""vi"")"),"Khu vực này trải rộng trên một diện tích lớn.")</f>
        <v>Khu vực này trải rộng trên một diện tích lớn.</v>
      </c>
      <c r="F1179" s="101" t="s">
        <v>13698</v>
      </c>
      <c r="G1179" s="98" t="b">
        <f t="shared" si="2"/>
        <v>1</v>
      </c>
      <c r="H1179" s="99" t="b">
        <v>1</v>
      </c>
      <c r="I1179" s="99" t="b">
        <v>0</v>
      </c>
      <c r="J1179" s="99" t="b">
        <v>0</v>
      </c>
      <c r="K1179" s="99" t="b">
        <v>0</v>
      </c>
      <c r="L1179" s="99" t="b">
        <v>0</v>
      </c>
      <c r="M1179" s="99" t="b">
        <v>0</v>
      </c>
      <c r="N1179" s="99" t="b">
        <v>0</v>
      </c>
      <c r="O1179" s="99" t="b">
        <v>0</v>
      </c>
      <c r="P1179" s="99" t="b">
        <v>0</v>
      </c>
      <c r="Q1179" s="99" t="b">
        <v>0</v>
      </c>
      <c r="R1179" s="14"/>
      <c r="S1179" s="14"/>
      <c r="T1179" s="14"/>
      <c r="U1179" s="14"/>
      <c r="V1179" s="14"/>
      <c r="W1179" s="14"/>
    </row>
    <row r="1180" ht="35.25" customHeight="1">
      <c r="A1180" s="92" t="s">
        <v>13706</v>
      </c>
      <c r="B1180" s="93" t="s">
        <v>13709</v>
      </c>
      <c r="C1180" s="94" t="s">
        <v>13711</v>
      </c>
      <c r="D1180" s="95" t="s">
        <v>13712</v>
      </c>
      <c r="E1180" s="96" t="str">
        <f>IFERROR(__xludf.DUMMYFUNCTION("GOOGLETRANSLATE(D1180,""zh-CN"",""vi"")"),"Chiến tranh mang lại sự đau khổ tột cùng cho con người.")</f>
        <v>Chiến tranh mang lại sự đau khổ tột cùng cho con người.</v>
      </c>
      <c r="F1180" s="101" t="s">
        <v>13706</v>
      </c>
      <c r="G1180" s="98" t="b">
        <f t="shared" si="2"/>
        <v>1</v>
      </c>
      <c r="H1180" s="99" t="b">
        <v>1</v>
      </c>
      <c r="I1180" s="99" t="b">
        <v>0</v>
      </c>
      <c r="J1180" s="99" t="b">
        <v>0</v>
      </c>
      <c r="K1180" s="99" t="b">
        <v>0</v>
      </c>
      <c r="L1180" s="99" t="b">
        <v>0</v>
      </c>
      <c r="M1180" s="99" t="b">
        <v>0</v>
      </c>
      <c r="N1180" s="99" t="b">
        <v>0</v>
      </c>
      <c r="O1180" s="99" t="b">
        <v>0</v>
      </c>
      <c r="P1180" s="99" t="b">
        <v>0</v>
      </c>
      <c r="Q1180" s="99" t="b">
        <v>0</v>
      </c>
      <c r="R1180" s="14"/>
      <c r="S1180" s="14"/>
      <c r="T1180" s="14"/>
      <c r="U1180" s="14"/>
      <c r="V1180" s="14"/>
      <c r="W1180" s="14"/>
    </row>
    <row r="1181" ht="35.25" customHeight="1">
      <c r="A1181" s="92" t="s">
        <v>13713</v>
      </c>
      <c r="B1181" s="93" t="s">
        <v>13714</v>
      </c>
      <c r="C1181" s="94" t="s">
        <v>13715</v>
      </c>
      <c r="D1181" s="95" t="s">
        <v>13716</v>
      </c>
      <c r="E1181" s="96" t="str">
        <f>IFERROR(__xludf.DUMMYFUNCTION("GOOGLETRANSLATE(D1181,""zh-CN"",""vi"")"),"Chúng ta nên tôn trọng người lớn tuổi.")</f>
        <v>Chúng ta nên tôn trọng người lớn tuổi.</v>
      </c>
      <c r="F1181" s="101" t="s">
        <v>13713</v>
      </c>
      <c r="G1181" s="98" t="b">
        <f t="shared" si="2"/>
        <v>1</v>
      </c>
      <c r="H1181" s="99" t="b">
        <v>1</v>
      </c>
      <c r="I1181" s="99" t="b">
        <v>0</v>
      </c>
      <c r="J1181" s="99" t="b">
        <v>0</v>
      </c>
      <c r="K1181" s="99" t="b">
        <v>0</v>
      </c>
      <c r="L1181" s="99" t="b">
        <v>0</v>
      </c>
      <c r="M1181" s="99" t="b">
        <v>0</v>
      </c>
      <c r="N1181" s="99" t="b">
        <v>0</v>
      </c>
      <c r="O1181" s="99" t="b">
        <v>0</v>
      </c>
      <c r="P1181" s="99" t="b">
        <v>0</v>
      </c>
      <c r="Q1181" s="99" t="b">
        <v>0</v>
      </c>
      <c r="R1181" s="14"/>
      <c r="S1181" s="14"/>
      <c r="T1181" s="14"/>
      <c r="U1181" s="14"/>
      <c r="V1181" s="14"/>
      <c r="W1181" s="14"/>
    </row>
    <row r="1182" ht="35.25" customHeight="1">
      <c r="A1182" s="92" t="s">
        <v>13729</v>
      </c>
      <c r="B1182" s="93" t="s">
        <v>13730</v>
      </c>
      <c r="C1182" s="94" t="s">
        <v>13731</v>
      </c>
      <c r="D1182" s="95" t="s">
        <v>13732</v>
      </c>
      <c r="E1182" s="96" t="str">
        <f>IFERROR(__xludf.DUMMYFUNCTION("GOOGLETRANSLATE(D1182,""zh-CN"",""vi"")"),"Giá cả đã tăng lên đáng kể.")</f>
        <v>Giá cả đã tăng lên đáng kể.</v>
      </c>
      <c r="F1182" s="101" t="s">
        <v>13729</v>
      </c>
      <c r="G1182" s="98" t="b">
        <f t="shared" si="2"/>
        <v>1</v>
      </c>
      <c r="H1182" s="99" t="b">
        <v>1</v>
      </c>
      <c r="I1182" s="99" t="b">
        <v>0</v>
      </c>
      <c r="J1182" s="99" t="b">
        <v>0</v>
      </c>
      <c r="K1182" s="99" t="b">
        <v>0</v>
      </c>
      <c r="L1182" s="99" t="b">
        <v>0</v>
      </c>
      <c r="M1182" s="99" t="b">
        <v>0</v>
      </c>
      <c r="N1182" s="99" t="b">
        <v>0</v>
      </c>
      <c r="O1182" s="99" t="b">
        <v>0</v>
      </c>
      <c r="P1182" s="99" t="b">
        <v>0</v>
      </c>
      <c r="Q1182" s="99" t="b">
        <v>0</v>
      </c>
      <c r="R1182" s="14"/>
      <c r="S1182" s="14"/>
      <c r="T1182" s="14"/>
      <c r="U1182" s="14"/>
      <c r="V1182" s="14"/>
      <c r="W1182" s="14"/>
    </row>
    <row r="1183" ht="35.25" customHeight="1">
      <c r="A1183" s="92" t="s">
        <v>13741</v>
      </c>
      <c r="B1183" s="93" t="s">
        <v>13742</v>
      </c>
      <c r="C1183" s="94" t="s">
        <v>13743</v>
      </c>
      <c r="D1183" s="95" t="s">
        <v>13744</v>
      </c>
      <c r="E1183" s="96" t="str">
        <f>IFERROR(__xludf.DUMMYFUNCTION("GOOGLETRANSLATE(D1183,""zh-CN"",""vi"")"),"Anh ấy đã thành thạo kỹ năng này.")</f>
        <v>Anh ấy đã thành thạo kỹ năng này.</v>
      </c>
      <c r="F1183" s="101" t="s">
        <v>13741</v>
      </c>
      <c r="G1183" s="98" t="b">
        <f t="shared" si="2"/>
        <v>1</v>
      </c>
      <c r="H1183" s="99" t="b">
        <v>1</v>
      </c>
      <c r="I1183" s="99" t="b">
        <v>0</v>
      </c>
      <c r="J1183" s="99" t="b">
        <v>0</v>
      </c>
      <c r="K1183" s="99" t="b">
        <v>0</v>
      </c>
      <c r="L1183" s="99" t="b">
        <v>0</v>
      </c>
      <c r="M1183" s="99" t="b">
        <v>0</v>
      </c>
      <c r="N1183" s="99" t="b">
        <v>0</v>
      </c>
      <c r="O1183" s="99" t="b">
        <v>0</v>
      </c>
      <c r="P1183" s="99" t="b">
        <v>0</v>
      </c>
      <c r="Q1183" s="99" t="b">
        <v>0</v>
      </c>
      <c r="R1183" s="14"/>
      <c r="S1183" s="14"/>
      <c r="T1183" s="14"/>
      <c r="U1183" s="14"/>
      <c r="V1183" s="14"/>
      <c r="W1183" s="14"/>
    </row>
    <row r="1184" ht="35.25" customHeight="1">
      <c r="A1184" s="92" t="s">
        <v>13749</v>
      </c>
      <c r="B1184" s="93" t="s">
        <v>13750</v>
      </c>
      <c r="C1184" s="94" t="s">
        <v>13751</v>
      </c>
      <c r="D1184" s="95" t="s">
        <v>13752</v>
      </c>
      <c r="E1184" s="96" t="str">
        <f>IFERROR(__xludf.DUMMYFUNCTION("GOOGLETRANSLATE(D1184,""zh-CN"",""vi"")"),"Vui lòng ghi tên của bạn vào tài khoản.")</f>
        <v>Vui lòng ghi tên của bạn vào tài khoản.</v>
      </c>
      <c r="F1184" s="101" t="s">
        <v>13749</v>
      </c>
      <c r="G1184" s="98" t="b">
        <f t="shared" si="2"/>
        <v>1</v>
      </c>
      <c r="H1184" s="99" t="b">
        <v>1</v>
      </c>
      <c r="I1184" s="99" t="b">
        <v>0</v>
      </c>
      <c r="J1184" s="99" t="b">
        <v>0</v>
      </c>
      <c r="K1184" s="99" t="b">
        <v>0</v>
      </c>
      <c r="L1184" s="99" t="b">
        <v>0</v>
      </c>
      <c r="M1184" s="99" t="b">
        <v>0</v>
      </c>
      <c r="N1184" s="99" t="b">
        <v>0</v>
      </c>
      <c r="O1184" s="99" t="b">
        <v>0</v>
      </c>
      <c r="P1184" s="99" t="b">
        <v>0</v>
      </c>
      <c r="Q1184" s="99" t="b">
        <v>0</v>
      </c>
      <c r="R1184" s="14"/>
      <c r="S1184" s="14"/>
      <c r="T1184" s="14"/>
      <c r="U1184" s="14"/>
      <c r="V1184" s="14"/>
      <c r="W1184" s="14"/>
    </row>
    <row r="1185" ht="35.25" customHeight="1">
      <c r="A1185" s="92" t="s">
        <v>13760</v>
      </c>
      <c r="B1185" s="93" t="s">
        <v>13762</v>
      </c>
      <c r="C1185" s="94" t="s">
        <v>13763</v>
      </c>
      <c r="D1185" s="95" t="s">
        <v>13764</v>
      </c>
      <c r="E1185" s="96" t="str">
        <f>IFERROR(__xludf.DUMMYFUNCTION("GOOGLETRANSLATE(D1185,""zh-CN"",""vi"")"),"Chúng tôi sẽ tiếp đón khách tại bữa tiệc.")</f>
        <v>Chúng tôi sẽ tiếp đón khách tại bữa tiệc.</v>
      </c>
      <c r="F1185" s="101" t="s">
        <v>13760</v>
      </c>
      <c r="G1185" s="98" t="b">
        <f t="shared" si="2"/>
        <v>1</v>
      </c>
      <c r="H1185" s="99" t="b">
        <v>1</v>
      </c>
      <c r="I1185" s="99" t="b">
        <v>0</v>
      </c>
      <c r="J1185" s="99" t="b">
        <v>0</v>
      </c>
      <c r="K1185" s="99" t="b">
        <v>0</v>
      </c>
      <c r="L1185" s="99" t="b">
        <v>0</v>
      </c>
      <c r="M1185" s="99" t="b">
        <v>0</v>
      </c>
      <c r="N1185" s="99" t="b">
        <v>0</v>
      </c>
      <c r="O1185" s="99" t="b">
        <v>0</v>
      </c>
      <c r="P1185" s="99" t="b">
        <v>0</v>
      </c>
      <c r="Q1185" s="99" t="b">
        <v>0</v>
      </c>
      <c r="R1185" s="14"/>
      <c r="S1185" s="14"/>
      <c r="T1185" s="14"/>
      <c r="U1185" s="14"/>
      <c r="V1185" s="14"/>
      <c r="W1185" s="14"/>
    </row>
    <row r="1186" ht="35.25" customHeight="1">
      <c r="A1186" s="92" t="s">
        <v>13769</v>
      </c>
      <c r="B1186" s="93" t="s">
        <v>13770</v>
      </c>
      <c r="C1186" s="94" t="s">
        <v>13771</v>
      </c>
      <c r="D1186" s="95" t="s">
        <v>13772</v>
      </c>
      <c r="E1186" s="96" t="str">
        <f>IFERROR(__xludf.DUMMYFUNCTION("GOOGLETRANSLATE(D1186,""zh-CN"",""vi"")"),"Vụ hỏa hoạn đã gây thiệt hại nghiêm trọng cho ngôi nhà.")</f>
        <v>Vụ hỏa hoạn đã gây thiệt hại nghiêm trọng cho ngôi nhà.</v>
      </c>
      <c r="F1186" s="101" t="s">
        <v>13769</v>
      </c>
      <c r="G1186" s="98" t="b">
        <f t="shared" si="2"/>
        <v>1</v>
      </c>
      <c r="H1186" s="99" t="b">
        <v>1</v>
      </c>
      <c r="I1186" s="99" t="b">
        <v>0</v>
      </c>
      <c r="J1186" s="99" t="b">
        <v>0</v>
      </c>
      <c r="K1186" s="99" t="b">
        <v>0</v>
      </c>
      <c r="L1186" s="99" t="b">
        <v>0</v>
      </c>
      <c r="M1186" s="99" t="b">
        <v>0</v>
      </c>
      <c r="N1186" s="99" t="b">
        <v>0</v>
      </c>
      <c r="O1186" s="99" t="b">
        <v>0</v>
      </c>
      <c r="P1186" s="99" t="b">
        <v>0</v>
      </c>
      <c r="Q1186" s="99" t="b">
        <v>0</v>
      </c>
      <c r="R1186" s="14"/>
      <c r="S1186" s="14"/>
      <c r="T1186" s="14"/>
      <c r="U1186" s="14"/>
      <c r="V1186" s="14"/>
      <c r="W1186" s="14"/>
    </row>
    <row r="1187" ht="35.25" customHeight="1">
      <c r="A1187" s="92" t="s">
        <v>13776</v>
      </c>
      <c r="B1187" s="93" t="s">
        <v>13777</v>
      </c>
      <c r="C1187" s="94" t="s">
        <v>13778</v>
      </c>
      <c r="D1187" s="95" t="s">
        <v>13779</v>
      </c>
      <c r="E1187" s="96" t="str">
        <f>IFERROR(__xludf.DUMMYFUNCTION("GOOGLETRANSLATE(D1187,""zh-CN"",""vi"")"),"Anh ấy bị cảm lạnh và cuối cùng bị rét run.")</f>
        <v>Anh ấy bị cảm lạnh và cuối cùng bị rét run.</v>
      </c>
      <c r="F1187" s="101" t="s">
        <v>13776</v>
      </c>
      <c r="G1187" s="98" t="b">
        <f t="shared" si="2"/>
        <v>1</v>
      </c>
      <c r="H1187" s="99" t="b">
        <v>1</v>
      </c>
      <c r="I1187" s="99" t="b">
        <v>0</v>
      </c>
      <c r="J1187" s="99" t="b">
        <v>0</v>
      </c>
      <c r="K1187" s="99" t="b">
        <v>0</v>
      </c>
      <c r="L1187" s="99" t="b">
        <v>0</v>
      </c>
      <c r="M1187" s="99" t="b">
        <v>0</v>
      </c>
      <c r="N1187" s="99" t="b">
        <v>0</v>
      </c>
      <c r="O1187" s="99" t="b">
        <v>0</v>
      </c>
      <c r="P1187" s="99" t="b">
        <v>0</v>
      </c>
      <c r="Q1187" s="99" t="b">
        <v>0</v>
      </c>
      <c r="R1187" s="14"/>
      <c r="S1187" s="14"/>
      <c r="T1187" s="14"/>
      <c r="U1187" s="14"/>
      <c r="V1187" s="14"/>
      <c r="W1187" s="14"/>
    </row>
    <row r="1188" ht="35.25" customHeight="1">
      <c r="A1188" s="92" t="s">
        <v>13784</v>
      </c>
      <c r="B1188" s="93" t="s">
        <v>13785</v>
      </c>
      <c r="C1188" s="94" t="s">
        <v>13788</v>
      </c>
      <c r="D1188" s="95" t="s">
        <v>13791</v>
      </c>
      <c r="E1188" s="96" t="str">
        <f>IFERROR(__xludf.DUMMYFUNCTION("GOOGLETRANSLATE(D1188,""zh-CN"",""vi"")"),"Chúng ta sẽ tổ chức một cuộc họp vào tuần tới.")</f>
        <v>Chúng ta sẽ tổ chức một cuộc họp vào tuần tới.</v>
      </c>
      <c r="F1188" s="101" t="s">
        <v>13784</v>
      </c>
      <c r="G1188" s="98" t="b">
        <f t="shared" si="2"/>
        <v>1</v>
      </c>
      <c r="H1188" s="99" t="b">
        <v>1</v>
      </c>
      <c r="I1188" s="99" t="b">
        <v>0</v>
      </c>
      <c r="J1188" s="99" t="b">
        <v>0</v>
      </c>
      <c r="K1188" s="99" t="b">
        <v>0</v>
      </c>
      <c r="L1188" s="99" t="b">
        <v>0</v>
      </c>
      <c r="M1188" s="99" t="b">
        <v>0</v>
      </c>
      <c r="N1188" s="99" t="b">
        <v>0</v>
      </c>
      <c r="O1188" s="99" t="b">
        <v>0</v>
      </c>
      <c r="P1188" s="99" t="b">
        <v>0</v>
      </c>
      <c r="Q1188" s="99" t="b">
        <v>0</v>
      </c>
      <c r="R1188" s="14"/>
      <c r="S1188" s="14"/>
      <c r="T1188" s="14"/>
      <c r="U1188" s="14"/>
      <c r="V1188" s="14"/>
      <c r="W1188" s="14"/>
    </row>
    <row r="1189" ht="35.25" customHeight="1">
      <c r="A1189" s="92" t="s">
        <v>13796</v>
      </c>
      <c r="B1189" s="93" t="s">
        <v>13797</v>
      </c>
      <c r="C1189" s="94" t="s">
        <v>13798</v>
      </c>
      <c r="D1189" s="95" t="s">
        <v>13799</v>
      </c>
      <c r="E1189" s="96" t="str">
        <f>IFERROR(__xludf.DUMMYFUNCTION("GOOGLETRANSLATE(D1189,""zh-CN"",""vi"")"),"Công việc hôm nay sẽ diễn ra như thường lệ.")</f>
        <v>Công việc hôm nay sẽ diễn ra như thường lệ.</v>
      </c>
      <c r="F1189" s="101" t="s">
        <v>13796</v>
      </c>
      <c r="G1189" s="98" t="b">
        <f t="shared" si="2"/>
        <v>1</v>
      </c>
      <c r="H1189" s="99" t="b">
        <v>1</v>
      </c>
      <c r="I1189" s="99" t="b">
        <v>0</v>
      </c>
      <c r="J1189" s="99" t="b">
        <v>0</v>
      </c>
      <c r="K1189" s="99" t="b">
        <v>0</v>
      </c>
      <c r="L1189" s="99" t="b">
        <v>0</v>
      </c>
      <c r="M1189" s="99" t="b">
        <v>0</v>
      </c>
      <c r="N1189" s="99" t="b">
        <v>0</v>
      </c>
      <c r="O1189" s="99" t="b">
        <v>0</v>
      </c>
      <c r="P1189" s="99" t="b">
        <v>0</v>
      </c>
      <c r="Q1189" s="99" t="b">
        <v>0</v>
      </c>
      <c r="R1189" s="14"/>
      <c r="S1189" s="14"/>
      <c r="T1189" s="14"/>
      <c r="U1189" s="14"/>
      <c r="V1189" s="14"/>
      <c r="W1189" s="14"/>
    </row>
    <row r="1190" ht="35.25" customHeight="1">
      <c r="A1190" s="92" t="s">
        <v>13808</v>
      </c>
      <c r="B1190" s="93" t="s">
        <v>13809</v>
      </c>
      <c r="C1190" s="94" t="s">
        <v>13810</v>
      </c>
      <c r="D1190" s="95" t="s">
        <v>13811</v>
      </c>
      <c r="E1190" s="96" t="str">
        <f>IFERROR(__xludf.DUMMYFUNCTION("GOOGLETRANSLATE(D1190,""zh-CN"",""vi"")"),"Triết học là một ngành học nghiên cứu về cuộc sống con người và vũ trụ.")</f>
        <v>Triết học là một ngành học nghiên cứu về cuộc sống con người và vũ trụ.</v>
      </c>
      <c r="F1190" s="101" t="s">
        <v>13808</v>
      </c>
      <c r="G1190" s="98" t="b">
        <f t="shared" si="2"/>
        <v>1</v>
      </c>
      <c r="H1190" s="99" t="b">
        <v>1</v>
      </c>
      <c r="I1190" s="99" t="b">
        <v>0</v>
      </c>
      <c r="J1190" s="99" t="b">
        <v>0</v>
      </c>
      <c r="K1190" s="99" t="b">
        <v>0</v>
      </c>
      <c r="L1190" s="99" t="b">
        <v>0</v>
      </c>
      <c r="M1190" s="99" t="b">
        <v>0</v>
      </c>
      <c r="N1190" s="99" t="b">
        <v>0</v>
      </c>
      <c r="O1190" s="99" t="b">
        <v>0</v>
      </c>
      <c r="P1190" s="99" t="b">
        <v>0</v>
      </c>
      <c r="Q1190" s="99" t="b">
        <v>0</v>
      </c>
      <c r="R1190" s="14"/>
      <c r="S1190" s="14"/>
      <c r="T1190" s="14"/>
      <c r="U1190" s="14"/>
      <c r="V1190" s="14"/>
      <c r="W1190" s="14"/>
    </row>
    <row r="1191" ht="35.25" customHeight="1">
      <c r="A1191" s="92" t="s">
        <v>13818</v>
      </c>
      <c r="B1191" s="93" t="s">
        <v>13820</v>
      </c>
      <c r="C1191" s="94" t="s">
        <v>13822</v>
      </c>
      <c r="D1191" s="95" t="s">
        <v>13823</v>
      </c>
      <c r="E1191" s="96" t="str">
        <f>IFERROR(__xludf.DUMMYFUNCTION("GOOGLETRANSLATE(D1191,""zh-CN"",""vi"")"),"Chúng ta cần tìm ra giải pháp cho vấn đề này.")</f>
        <v>Chúng ta cần tìm ra giải pháp cho vấn đề này.</v>
      </c>
      <c r="F1191" s="101" t="s">
        <v>13818</v>
      </c>
      <c r="G1191" s="98" t="b">
        <f t="shared" si="2"/>
        <v>1</v>
      </c>
      <c r="H1191" s="99" t="b">
        <v>1</v>
      </c>
      <c r="I1191" s="99" t="b">
        <v>0</v>
      </c>
      <c r="J1191" s="99" t="b">
        <v>0</v>
      </c>
      <c r="K1191" s="99" t="b">
        <v>0</v>
      </c>
      <c r="L1191" s="99" t="b">
        <v>0</v>
      </c>
      <c r="M1191" s="99" t="b">
        <v>0</v>
      </c>
      <c r="N1191" s="99" t="b">
        <v>0</v>
      </c>
      <c r="O1191" s="99" t="b">
        <v>0</v>
      </c>
      <c r="P1191" s="99" t="b">
        <v>0</v>
      </c>
      <c r="Q1191" s="99" t="b">
        <v>0</v>
      </c>
      <c r="R1191" s="14"/>
      <c r="S1191" s="14"/>
      <c r="T1191" s="14"/>
      <c r="U1191" s="14"/>
      <c r="V1191" s="14"/>
      <c r="W1191" s="14"/>
    </row>
    <row r="1192" ht="35.25" customHeight="1">
      <c r="A1192" s="92" t="s">
        <v>13828</v>
      </c>
      <c r="B1192" s="93" t="s">
        <v>13829</v>
      </c>
      <c r="C1192" s="94" t="s">
        <v>13830</v>
      </c>
      <c r="D1192" s="95" t="s">
        <v>13831</v>
      </c>
      <c r="E1192" s="96" t="str">
        <f>IFERROR(__xludf.DUMMYFUNCTION("GOOGLETRANSLATE(D1192,""zh-CN"",""vi"")"),"Chúng ta nên trân trọng từng khoảnh khắc.")</f>
        <v>Chúng ta nên trân trọng từng khoảnh khắc.</v>
      </c>
      <c r="F1192" s="101" t="s">
        <v>13828</v>
      </c>
      <c r="G1192" s="98" t="b">
        <f t="shared" si="2"/>
        <v>1</v>
      </c>
      <c r="H1192" s="99" t="b">
        <v>1</v>
      </c>
      <c r="I1192" s="99" t="b">
        <v>0</v>
      </c>
      <c r="J1192" s="99" t="b">
        <v>0</v>
      </c>
      <c r="K1192" s="99" t="b">
        <v>0</v>
      </c>
      <c r="L1192" s="99" t="b">
        <v>0</v>
      </c>
      <c r="M1192" s="99" t="b">
        <v>0</v>
      </c>
      <c r="N1192" s="99" t="b">
        <v>0</v>
      </c>
      <c r="O1192" s="99" t="b">
        <v>0</v>
      </c>
      <c r="P1192" s="99" t="b">
        <v>0</v>
      </c>
      <c r="Q1192" s="99" t="b">
        <v>0</v>
      </c>
      <c r="R1192" s="14"/>
      <c r="S1192" s="14"/>
      <c r="T1192" s="14"/>
      <c r="U1192" s="14"/>
      <c r="V1192" s="14"/>
      <c r="W1192" s="14"/>
    </row>
    <row r="1193" ht="35.25" customHeight="1">
      <c r="A1193" s="92" t="s">
        <v>13840</v>
      </c>
      <c r="B1193" s="93" t="s">
        <v>13841</v>
      </c>
      <c r="C1193" s="94" t="s">
        <v>13842</v>
      </c>
      <c r="D1193" s="132" t="s">
        <v>13847</v>
      </c>
      <c r="E1193" s="96" t="str">
        <f>IFERROR(__xludf.DUMMYFUNCTION("GOOGLETRANSLATE(D1193,""zh-CN"",""vi"")"),"Anh ấy nói đúng, hoàn toàn chính xác.")</f>
        <v>Anh ấy nói đúng, hoàn toàn chính xác.</v>
      </c>
      <c r="F1193" s="134" t="s">
        <v>13840</v>
      </c>
      <c r="G1193" s="98" t="b">
        <f t="shared" si="2"/>
        <v>1</v>
      </c>
      <c r="H1193" s="99" t="b">
        <v>1</v>
      </c>
      <c r="I1193" s="99" t="b">
        <v>0</v>
      </c>
      <c r="J1193" s="99" t="b">
        <v>0</v>
      </c>
      <c r="K1193" s="99" t="b">
        <v>0</v>
      </c>
      <c r="L1193" s="99" t="b">
        <v>0</v>
      </c>
      <c r="M1193" s="99" t="b">
        <v>0</v>
      </c>
      <c r="N1193" s="99" t="b">
        <v>0</v>
      </c>
      <c r="O1193" s="99" t="b">
        <v>0</v>
      </c>
      <c r="P1193" s="99" t="b">
        <v>0</v>
      </c>
      <c r="Q1193" s="99" t="b">
        <v>0</v>
      </c>
      <c r="R1193" s="14"/>
      <c r="S1193" s="14"/>
      <c r="T1193" s="14"/>
      <c r="U1193" s="14"/>
      <c r="V1193" s="14"/>
      <c r="W1193" s="14"/>
    </row>
    <row r="1194" ht="35.25" customHeight="1">
      <c r="A1194" s="92" t="s">
        <v>13872</v>
      </c>
      <c r="B1194" s="93" t="s">
        <v>13874</v>
      </c>
      <c r="C1194" s="94" t="s">
        <v>13878</v>
      </c>
      <c r="D1194" s="95" t="s">
        <v>13883</v>
      </c>
      <c r="E1194" s="96" t="str">
        <f>IFERROR(__xludf.DUMMYFUNCTION("GOOGLETRANSLATE(D1194,""zh-CN"",""vi"")"),"Bác sĩ đang chẩn đoán bệnh.")</f>
        <v>Bác sĩ đang chẩn đoán bệnh.</v>
      </c>
      <c r="F1194" s="101" t="s">
        <v>13872</v>
      </c>
      <c r="G1194" s="98" t="b">
        <f t="shared" si="2"/>
        <v>1</v>
      </c>
      <c r="H1194" s="99" t="b">
        <v>1</v>
      </c>
      <c r="I1194" s="99" t="b">
        <v>0</v>
      </c>
      <c r="J1194" s="99" t="b">
        <v>0</v>
      </c>
      <c r="K1194" s="99" t="b">
        <v>0</v>
      </c>
      <c r="L1194" s="99" t="b">
        <v>0</v>
      </c>
      <c r="M1194" s="99" t="b">
        <v>0</v>
      </c>
      <c r="N1194" s="99" t="b">
        <v>0</v>
      </c>
      <c r="O1194" s="99" t="b">
        <v>0</v>
      </c>
      <c r="P1194" s="99" t="b">
        <v>0</v>
      </c>
      <c r="Q1194" s="99" t="b">
        <v>0</v>
      </c>
      <c r="R1194" s="14"/>
      <c r="S1194" s="14"/>
      <c r="T1194" s="14"/>
      <c r="U1194" s="14"/>
      <c r="V1194" s="14"/>
      <c r="W1194" s="14"/>
    </row>
    <row r="1195" ht="35.25" customHeight="1">
      <c r="A1195" s="92" t="s">
        <v>13904</v>
      </c>
      <c r="B1195" s="93" t="s">
        <v>13905</v>
      </c>
      <c r="C1195" s="94" t="s">
        <v>13906</v>
      </c>
      <c r="D1195" s="95" t="s">
        <v>13907</v>
      </c>
      <c r="E1195" s="96" t="str">
        <f>IFERROR(__xludf.DUMMYFUNCTION("GOOGLETRANSLATE(D1195,""zh-CN"",""vi"")"),"Có khả năng sẽ có mưa rào vào buổi chiều.")</f>
        <v>Có khả năng sẽ có mưa rào vào buổi chiều.</v>
      </c>
      <c r="F1195" s="101" t="s">
        <v>13904</v>
      </c>
      <c r="G1195" s="98" t="b">
        <f t="shared" si="2"/>
        <v>1</v>
      </c>
      <c r="H1195" s="99" t="b">
        <v>1</v>
      </c>
      <c r="I1195" s="99" t="b">
        <v>0</v>
      </c>
      <c r="J1195" s="99" t="b">
        <v>0</v>
      </c>
      <c r="K1195" s="99" t="b">
        <v>0</v>
      </c>
      <c r="L1195" s="99" t="b">
        <v>0</v>
      </c>
      <c r="M1195" s="99" t="b">
        <v>0</v>
      </c>
      <c r="N1195" s="99" t="b">
        <v>0</v>
      </c>
      <c r="O1195" s="99" t="b">
        <v>0</v>
      </c>
      <c r="P1195" s="99" t="b">
        <v>0</v>
      </c>
      <c r="Q1195" s="99" t="b">
        <v>0</v>
      </c>
      <c r="R1195" s="14"/>
      <c r="S1195" s="14"/>
      <c r="T1195" s="14"/>
      <c r="U1195" s="14"/>
      <c r="V1195" s="14"/>
      <c r="W1195" s="14"/>
    </row>
    <row r="1196" ht="35.25" customHeight="1">
      <c r="A1196" s="92" t="s">
        <v>13916</v>
      </c>
      <c r="B1196" s="93" t="s">
        <v>13917</v>
      </c>
      <c r="C1196" s="94" t="s">
        <v>13918</v>
      </c>
      <c r="D1196" s="95" t="s">
        <v>13919</v>
      </c>
      <c r="E1196" s="96" t="str">
        <f>IFERROR(__xludf.DUMMYFUNCTION("GOOGLETRANSLATE(D1196,""zh-CN"",""vi"")"),"Tiếng rung của điện thoại di động đã làm gián đoạn cuộc họp.")</f>
        <v>Tiếng rung của điện thoại di động đã làm gián đoạn cuộc họp.</v>
      </c>
      <c r="F1196" s="101" t="s">
        <v>13916</v>
      </c>
      <c r="G1196" s="98" t="b">
        <f t="shared" si="2"/>
        <v>1</v>
      </c>
      <c r="H1196" s="99" t="b">
        <v>1</v>
      </c>
      <c r="I1196" s="99" t="b">
        <v>0</v>
      </c>
      <c r="J1196" s="99" t="b">
        <v>0</v>
      </c>
      <c r="K1196" s="99" t="b">
        <v>0</v>
      </c>
      <c r="L1196" s="99" t="b">
        <v>0</v>
      </c>
      <c r="M1196" s="99" t="b">
        <v>0</v>
      </c>
      <c r="N1196" s="99" t="b">
        <v>0</v>
      </c>
      <c r="O1196" s="99" t="b">
        <v>0</v>
      </c>
      <c r="P1196" s="99" t="b">
        <v>0</v>
      </c>
      <c r="Q1196" s="99" t="b">
        <v>0</v>
      </c>
      <c r="R1196" s="14"/>
      <c r="S1196" s="14"/>
      <c r="T1196" s="14"/>
      <c r="U1196" s="14"/>
      <c r="V1196" s="14"/>
      <c r="W1196" s="14"/>
    </row>
    <row r="1197" ht="35.25" customHeight="1">
      <c r="A1197" s="92" t="s">
        <v>13927</v>
      </c>
      <c r="B1197" s="93" t="s">
        <v>13929</v>
      </c>
      <c r="C1197" s="94" t="s">
        <v>13930</v>
      </c>
      <c r="D1197" s="95" t="s">
        <v>13931</v>
      </c>
      <c r="E1197" s="96" t="str">
        <f>IFERROR(__xludf.DUMMYFUNCTION("GOOGLETRANSLATE(D1197,""zh-CN"",""vi"")"),"Vấn đề này đang gây ra nhiều tranh luận.")</f>
        <v>Vấn đề này đang gây ra nhiều tranh luận.</v>
      </c>
      <c r="F1197" s="101" t="s">
        <v>13927</v>
      </c>
      <c r="G1197" s="98" t="b">
        <f t="shared" si="2"/>
        <v>1</v>
      </c>
      <c r="H1197" s="99" t="b">
        <v>1</v>
      </c>
      <c r="I1197" s="99" t="b">
        <v>0</v>
      </c>
      <c r="J1197" s="99" t="b">
        <v>0</v>
      </c>
      <c r="K1197" s="99" t="b">
        <v>0</v>
      </c>
      <c r="L1197" s="99" t="b">
        <v>0</v>
      </c>
      <c r="M1197" s="99" t="b">
        <v>0</v>
      </c>
      <c r="N1197" s="99" t="b">
        <v>0</v>
      </c>
      <c r="O1197" s="99" t="b">
        <v>0</v>
      </c>
      <c r="P1197" s="99" t="b">
        <v>0</v>
      </c>
      <c r="Q1197" s="99" t="b">
        <v>0</v>
      </c>
      <c r="R1197" s="14"/>
      <c r="S1197" s="14"/>
      <c r="T1197" s="14"/>
      <c r="U1197" s="14"/>
      <c r="V1197" s="14"/>
      <c r="W1197" s="14"/>
    </row>
    <row r="1198" ht="35.25" customHeight="1">
      <c r="A1198" s="92" t="s">
        <v>13936</v>
      </c>
      <c r="B1198" s="93" t="s">
        <v>13937</v>
      </c>
      <c r="C1198" s="94" t="s">
        <v>13938</v>
      </c>
      <c r="D1198" s="95" t="s">
        <v>13939</v>
      </c>
      <c r="E1198" s="96" t="str">
        <f>IFERROR(__xludf.DUMMYFUNCTION("GOOGLETRANSLATE(D1198,""zh-CN"",""vi"")"),"Chúng ta cần nỗ lực để có thêm nhiều cơ hội.")</f>
        <v>Chúng ta cần nỗ lực để có thêm nhiều cơ hội.</v>
      </c>
      <c r="F1198" s="101" t="s">
        <v>13936</v>
      </c>
      <c r="G1198" s="98" t="b">
        <f t="shared" si="2"/>
        <v>1</v>
      </c>
      <c r="H1198" s="99" t="b">
        <v>1</v>
      </c>
      <c r="I1198" s="99" t="b">
        <v>0</v>
      </c>
      <c r="J1198" s="99" t="b">
        <v>0</v>
      </c>
      <c r="K1198" s="99" t="b">
        <v>0</v>
      </c>
      <c r="L1198" s="99" t="b">
        <v>0</v>
      </c>
      <c r="M1198" s="99" t="b">
        <v>0</v>
      </c>
      <c r="N1198" s="99" t="b">
        <v>0</v>
      </c>
      <c r="O1198" s="99" t="b">
        <v>0</v>
      </c>
      <c r="P1198" s="99" t="b">
        <v>0</v>
      </c>
      <c r="Q1198" s="99" t="b">
        <v>0</v>
      </c>
      <c r="R1198" s="14"/>
      <c r="S1198" s="14"/>
      <c r="T1198" s="14"/>
      <c r="U1198" s="14"/>
      <c r="V1198" s="14"/>
      <c r="W1198" s="14"/>
    </row>
    <row r="1199" ht="35.25" customHeight="1">
      <c r="A1199" s="92" t="s">
        <v>13944</v>
      </c>
      <c r="B1199" s="93" t="s">
        <v>13946</v>
      </c>
      <c r="C1199" s="94" t="s">
        <v>13949</v>
      </c>
      <c r="D1199" s="95" t="s">
        <v>13951</v>
      </c>
      <c r="E1199" s="96" t="str">
        <f>IFERROR(__xludf.DUMMYFUNCTION("GOOGLETRANSLATE(D1199,""zh-CN"",""vi"")"),"Chúng tôi đã thu thập ý kiến ​​của mọi người.")</f>
        <v>Chúng tôi đã thu thập ý kiến ​​của mọi người.</v>
      </c>
      <c r="F1199" s="101" t="s">
        <v>13944</v>
      </c>
      <c r="G1199" s="98" t="b">
        <f t="shared" si="2"/>
        <v>1</v>
      </c>
      <c r="H1199" s="99" t="b">
        <v>1</v>
      </c>
      <c r="I1199" s="99" t="b">
        <v>0</v>
      </c>
      <c r="J1199" s="99" t="b">
        <v>0</v>
      </c>
      <c r="K1199" s="99" t="b">
        <v>0</v>
      </c>
      <c r="L1199" s="99" t="b">
        <v>0</v>
      </c>
      <c r="M1199" s="99" t="b">
        <v>0</v>
      </c>
      <c r="N1199" s="99" t="b">
        <v>0</v>
      </c>
      <c r="O1199" s="99" t="b">
        <v>0</v>
      </c>
      <c r="P1199" s="99" t="b">
        <v>0</v>
      </c>
      <c r="Q1199" s="99" t="b">
        <v>0</v>
      </c>
      <c r="R1199" s="14"/>
      <c r="S1199" s="14"/>
      <c r="T1199" s="14"/>
      <c r="U1199" s="14"/>
      <c r="V1199" s="14"/>
      <c r="W1199" s="14"/>
    </row>
    <row r="1200" ht="35.25" customHeight="1">
      <c r="A1200" s="92" t="s">
        <v>13956</v>
      </c>
      <c r="B1200" s="93" t="s">
        <v>13957</v>
      </c>
      <c r="C1200" s="94" t="s">
        <v>13958</v>
      </c>
      <c r="D1200" s="95" t="s">
        <v>13959</v>
      </c>
      <c r="E1200" s="96" t="str">
        <f>IFERROR(__xludf.DUMMYFUNCTION("GOOGLETRANSLATE(D1200,""zh-CN"",""vi"")"),"Hãy mở mắt và nhìn thật kỹ.")</f>
        <v>Hãy mở mắt và nhìn thật kỹ.</v>
      </c>
      <c r="F1200" s="101" t="s">
        <v>13956</v>
      </c>
      <c r="G1200" s="98" t="b">
        <f t="shared" si="2"/>
        <v>1</v>
      </c>
      <c r="H1200" s="99" t="b">
        <v>1</v>
      </c>
      <c r="I1200" s="99" t="b">
        <v>0</v>
      </c>
      <c r="J1200" s="99" t="b">
        <v>0</v>
      </c>
      <c r="K1200" s="99" t="b">
        <v>0</v>
      </c>
      <c r="L1200" s="99" t="b">
        <v>0</v>
      </c>
      <c r="M1200" s="99" t="b">
        <v>0</v>
      </c>
      <c r="N1200" s="99" t="b">
        <v>0</v>
      </c>
      <c r="O1200" s="99" t="b">
        <v>0</v>
      </c>
      <c r="P1200" s="99" t="b">
        <v>0</v>
      </c>
      <c r="Q1200" s="99" t="b">
        <v>0</v>
      </c>
      <c r="R1200" s="14"/>
      <c r="S1200" s="14"/>
      <c r="T1200" s="14"/>
      <c r="U1200" s="14"/>
      <c r="V1200" s="14"/>
      <c r="W1200" s="14"/>
    </row>
    <row r="1201" ht="35.25" customHeight="1">
      <c r="A1201" s="92" t="s">
        <v>13964</v>
      </c>
      <c r="B1201" s="93" t="s">
        <v>13965</v>
      </c>
      <c r="C1201" s="94" t="s">
        <v>13966</v>
      </c>
      <c r="D1201" s="95" t="s">
        <v>13967</v>
      </c>
      <c r="E1201" s="96" t="str">
        <f>IFERROR(__xludf.DUMMYFUNCTION("GOOGLETRANSLATE(D1201,""zh-CN"",""vi"")"),"Toàn bộ thành phố được bao phủ bởi tuyết.")</f>
        <v>Toàn bộ thành phố được bao phủ bởi tuyết.</v>
      </c>
      <c r="F1201" s="101" t="s">
        <v>13964</v>
      </c>
      <c r="G1201" s="98" t="b">
        <f t="shared" si="2"/>
        <v>1</v>
      </c>
      <c r="H1201" s="99" t="b">
        <v>1</v>
      </c>
      <c r="I1201" s="99" t="b">
        <v>0</v>
      </c>
      <c r="J1201" s="99" t="b">
        <v>0</v>
      </c>
      <c r="K1201" s="99" t="b">
        <v>0</v>
      </c>
      <c r="L1201" s="99" t="b">
        <v>0</v>
      </c>
      <c r="M1201" s="99" t="b">
        <v>0</v>
      </c>
      <c r="N1201" s="99" t="b">
        <v>0</v>
      </c>
      <c r="O1201" s="99" t="b">
        <v>0</v>
      </c>
      <c r="P1201" s="99" t="b">
        <v>0</v>
      </c>
      <c r="Q1201" s="99" t="b">
        <v>0</v>
      </c>
      <c r="R1201" s="14"/>
      <c r="S1201" s="14"/>
      <c r="T1201" s="14"/>
      <c r="U1201" s="14"/>
      <c r="V1201" s="14"/>
      <c r="W1201" s="14"/>
    </row>
    <row r="1202" ht="35.25" customHeight="1">
      <c r="A1202" s="92" t="s">
        <v>13972</v>
      </c>
      <c r="B1202" s="93" t="s">
        <v>13973</v>
      </c>
      <c r="C1202" s="94" t="s">
        <v>13974</v>
      </c>
      <c r="D1202" s="95" t="s">
        <v>13975</v>
      </c>
      <c r="E1202" s="96" t="str">
        <f>IFERROR(__xludf.DUMMYFUNCTION("GOOGLETRANSLATE(D1202,""zh-CN"",""vi"")"),"Phòng của anh ấy rất gọn gàng.")</f>
        <v>Phòng của anh ấy rất gọn gàng.</v>
      </c>
      <c r="F1202" s="101" t="s">
        <v>13972</v>
      </c>
      <c r="G1202" s="98" t="b">
        <f t="shared" si="2"/>
        <v>1</v>
      </c>
      <c r="H1202" s="99" t="b">
        <v>1</v>
      </c>
      <c r="I1202" s="99" t="b">
        <v>0</v>
      </c>
      <c r="J1202" s="99" t="b">
        <v>0</v>
      </c>
      <c r="K1202" s="99" t="b">
        <v>0</v>
      </c>
      <c r="L1202" s="99" t="b">
        <v>0</v>
      </c>
      <c r="M1202" s="99" t="b">
        <v>0</v>
      </c>
      <c r="N1202" s="99" t="b">
        <v>0</v>
      </c>
      <c r="O1202" s="99" t="b">
        <v>0</v>
      </c>
      <c r="P1202" s="99" t="b">
        <v>0</v>
      </c>
      <c r="Q1202" s="99" t="b">
        <v>0</v>
      </c>
      <c r="R1202" s="14"/>
      <c r="S1202" s="14"/>
      <c r="T1202" s="14"/>
      <c r="U1202" s="14"/>
      <c r="V1202" s="14"/>
      <c r="W1202" s="14"/>
    </row>
    <row r="1203" ht="35.25" customHeight="1">
      <c r="A1203" s="92" t="s">
        <v>13981</v>
      </c>
      <c r="B1203" s="93" t="s">
        <v>13984</v>
      </c>
      <c r="C1203" s="94" t="s">
        <v>13986</v>
      </c>
      <c r="D1203" s="95" t="s">
        <v>13987</v>
      </c>
      <c r="E1203" s="96" t="str">
        <f>IFERROR(__xludf.DUMMYFUNCTION("GOOGLETRANSLATE(D1203,""zh-CN"",""vi"")"),"Chúng ta cần xem xét toàn bộ kế hoạch.")</f>
        <v>Chúng ta cần xem xét toàn bộ kế hoạch.</v>
      </c>
      <c r="F1203" s="101" t="s">
        <v>13981</v>
      </c>
      <c r="G1203" s="98" t="b">
        <f t="shared" si="2"/>
        <v>1</v>
      </c>
      <c r="H1203" s="99" t="b">
        <v>1</v>
      </c>
      <c r="I1203" s="99" t="b">
        <v>0</v>
      </c>
      <c r="J1203" s="99" t="b">
        <v>0</v>
      </c>
      <c r="K1203" s="99" t="b">
        <v>0</v>
      </c>
      <c r="L1203" s="99" t="b">
        <v>0</v>
      </c>
      <c r="M1203" s="99" t="b">
        <v>0</v>
      </c>
      <c r="N1203" s="99" t="b">
        <v>0</v>
      </c>
      <c r="O1203" s="99" t="b">
        <v>0</v>
      </c>
      <c r="P1203" s="99" t="b">
        <v>0</v>
      </c>
      <c r="Q1203" s="99" t="b">
        <v>0</v>
      </c>
      <c r="R1203" s="14"/>
      <c r="S1203" s="14"/>
      <c r="T1203" s="14"/>
      <c r="U1203" s="14"/>
      <c r="V1203" s="14"/>
      <c r="W1203" s="14"/>
    </row>
    <row r="1204" ht="35.25" customHeight="1">
      <c r="A1204" s="92" t="s">
        <v>13992</v>
      </c>
      <c r="B1204" s="93" t="s">
        <v>13993</v>
      </c>
      <c r="C1204" s="94" t="s">
        <v>13994</v>
      </c>
      <c r="D1204" s="95" t="s">
        <v>13995</v>
      </c>
      <c r="E1204" s="96" t="str">
        <f>IFERROR(__xludf.DUMMYFUNCTION("GOOGLETRANSLATE(D1204,""zh-CN"",""vi"")"),"Bài viết này hoàn toàn đáp ứng các yêu cầu.")</f>
        <v>Bài viết này hoàn toàn đáp ứng các yêu cầu.</v>
      </c>
      <c r="F1204" s="101" t="s">
        <v>13992</v>
      </c>
      <c r="G1204" s="98" t="b">
        <f t="shared" si="2"/>
        <v>1</v>
      </c>
      <c r="H1204" s="99" t="b">
        <v>0</v>
      </c>
      <c r="I1204" s="99" t="b">
        <v>0</v>
      </c>
      <c r="J1204" s="99" t="b">
        <v>0</v>
      </c>
      <c r="K1204" s="99" t="b">
        <v>0</v>
      </c>
      <c r="L1204" s="99" t="b">
        <v>0</v>
      </c>
      <c r="M1204" s="99" t="b">
        <v>0</v>
      </c>
      <c r="N1204" s="99" t="b">
        <v>0</v>
      </c>
      <c r="O1204" s="99" t="b">
        <v>0</v>
      </c>
      <c r="P1204" s="99" t="b">
        <v>0</v>
      </c>
      <c r="Q1204" s="99" t="b">
        <v>0</v>
      </c>
      <c r="R1204" s="14"/>
      <c r="S1204" s="14"/>
      <c r="T1204" s="14"/>
      <c r="U1204" s="14"/>
      <c r="V1204" s="14"/>
      <c r="W1204" s="14"/>
    </row>
    <row r="1205" ht="35.25" customHeight="1">
      <c r="A1205" s="92" t="s">
        <v>14000</v>
      </c>
      <c r="B1205" s="93" t="s">
        <v>14001</v>
      </c>
      <c r="C1205" s="94" t="s">
        <v>14002</v>
      </c>
      <c r="D1205" s="95" t="s">
        <v>14003</v>
      </c>
      <c r="E1205" s="96" t="str">
        <f>IFERROR(__xludf.DUMMYFUNCTION("GOOGLETRANSLATE(D1205,""zh-CN"",""vi"")"),"Vui lòng xuất trình giấy tờ tùy thân.")</f>
        <v>Vui lòng xuất trình giấy tờ tùy thân.</v>
      </c>
      <c r="F1205" s="101" t="s">
        <v>14000</v>
      </c>
      <c r="G1205" s="98" t="b">
        <f t="shared" si="2"/>
        <v>1</v>
      </c>
      <c r="H1205" s="99" t="b">
        <v>0</v>
      </c>
      <c r="I1205" s="99" t="b">
        <v>0</v>
      </c>
      <c r="J1205" s="99" t="b">
        <v>0</v>
      </c>
      <c r="K1205" s="99" t="b">
        <v>0</v>
      </c>
      <c r="L1205" s="99" t="b">
        <v>0</v>
      </c>
      <c r="M1205" s="99" t="b">
        <v>0</v>
      </c>
      <c r="N1205" s="99" t="b">
        <v>0</v>
      </c>
      <c r="O1205" s="99" t="b">
        <v>0</v>
      </c>
      <c r="P1205" s="99" t="b">
        <v>0</v>
      </c>
      <c r="Q1205" s="99" t="b">
        <v>0</v>
      </c>
      <c r="R1205" s="14"/>
      <c r="S1205" s="14"/>
      <c r="T1205" s="14"/>
      <c r="U1205" s="14"/>
      <c r="V1205" s="14"/>
      <c r="W1205" s="14"/>
    </row>
    <row r="1206" ht="35.25" customHeight="1">
      <c r="A1206" s="92" t="s">
        <v>14008</v>
      </c>
      <c r="B1206" s="93" t="s">
        <v>14009</v>
      </c>
      <c r="C1206" s="94" t="s">
        <v>14011</v>
      </c>
      <c r="D1206" s="95" t="s">
        <v>14013</v>
      </c>
      <c r="E1206" s="96" t="str">
        <f>IFERROR(__xludf.DUMMYFUNCTION("GOOGLETRANSLATE(D1206,""zh-CN"",""vi"")"),"Chúng ta cần cung cấp bằng chứng để củng cố quan điểm của mình.")</f>
        <v>Chúng ta cần cung cấp bằng chứng để củng cố quan điểm của mình.</v>
      </c>
      <c r="F1206" s="101" t="s">
        <v>14008</v>
      </c>
      <c r="G1206" s="98" t="b">
        <f t="shared" si="2"/>
        <v>1</v>
      </c>
      <c r="H1206" s="99" t="b">
        <v>0</v>
      </c>
      <c r="I1206" s="99" t="b">
        <v>0</v>
      </c>
      <c r="J1206" s="99" t="b">
        <v>0</v>
      </c>
      <c r="K1206" s="99" t="b">
        <v>0</v>
      </c>
      <c r="L1206" s="99" t="b">
        <v>0</v>
      </c>
      <c r="M1206" s="99" t="b">
        <v>0</v>
      </c>
      <c r="N1206" s="99" t="b">
        <v>0</v>
      </c>
      <c r="O1206" s="99" t="b">
        <v>0</v>
      </c>
      <c r="P1206" s="99" t="b">
        <v>0</v>
      </c>
      <c r="Q1206" s="99" t="b">
        <v>0</v>
      </c>
      <c r="R1206" s="14"/>
      <c r="S1206" s="14"/>
      <c r="T1206" s="14"/>
      <c r="U1206" s="14"/>
      <c r="V1206" s="14"/>
      <c r="W1206" s="14"/>
    </row>
    <row r="1207" ht="35.25" customHeight="1">
      <c r="A1207" s="92" t="s">
        <v>14020</v>
      </c>
      <c r="B1207" s="93" t="s">
        <v>14021</v>
      </c>
      <c r="C1207" s="94" t="s">
        <v>14022</v>
      </c>
      <c r="D1207" s="95" t="s">
        <v>14023</v>
      </c>
      <c r="E1207" s="96" t="str">
        <f>IFERROR(__xludf.DUMMYFUNCTION("GOOGLETRANSLATE(D1207,""zh-CN"",""vi"")"),"Chính phủ đang xây dựng các chính sách mới.")</f>
        <v>Chính phủ đang xây dựng các chính sách mới.</v>
      </c>
      <c r="F1207" s="101" t="s">
        <v>14020</v>
      </c>
      <c r="G1207" s="98" t="b">
        <f t="shared" si="2"/>
        <v>1</v>
      </c>
      <c r="H1207" s="99" t="b">
        <v>0</v>
      </c>
      <c r="I1207" s="99" t="b">
        <v>0</v>
      </c>
      <c r="J1207" s="99" t="b">
        <v>0</v>
      </c>
      <c r="K1207" s="99" t="b">
        <v>0</v>
      </c>
      <c r="L1207" s="99" t="b">
        <v>0</v>
      </c>
      <c r="M1207" s="99" t="b">
        <v>0</v>
      </c>
      <c r="N1207" s="99" t="b">
        <v>0</v>
      </c>
      <c r="O1207" s="99" t="b">
        <v>0</v>
      </c>
      <c r="P1207" s="99" t="b">
        <v>0</v>
      </c>
      <c r="Q1207" s="99" t="b">
        <v>0</v>
      </c>
      <c r="R1207" s="14"/>
      <c r="S1207" s="14"/>
      <c r="T1207" s="14"/>
      <c r="U1207" s="14"/>
      <c r="V1207" s="14"/>
      <c r="W1207" s="14"/>
    </row>
    <row r="1208" ht="35.25" customHeight="1">
      <c r="A1208" s="92" t="s">
        <v>14031</v>
      </c>
      <c r="B1208" s="93" t="s">
        <v>14033</v>
      </c>
      <c r="C1208" s="94" t="s">
        <v>14034</v>
      </c>
      <c r="D1208" s="95" t="s">
        <v>14035</v>
      </c>
      <c r="E1208" s="96" t="str">
        <f>IFERROR(__xludf.DUMMYFUNCTION("GOOGLETRANSLATE(D1208,""zh-CN"",""vi"")"),"Các vấn đề chính trị rất phức tạp.")</f>
        <v>Các vấn đề chính trị rất phức tạp.</v>
      </c>
      <c r="F1208" s="101" t="s">
        <v>14031</v>
      </c>
      <c r="G1208" s="98" t="b">
        <f t="shared" si="2"/>
        <v>1</v>
      </c>
      <c r="H1208" s="99" t="b">
        <v>0</v>
      </c>
      <c r="I1208" s="99" t="b">
        <v>0</v>
      </c>
      <c r="J1208" s="99" t="b">
        <v>0</v>
      </c>
      <c r="K1208" s="99" t="b">
        <v>0</v>
      </c>
      <c r="L1208" s="99" t="b">
        <v>0</v>
      </c>
      <c r="M1208" s="99" t="b">
        <v>0</v>
      </c>
      <c r="N1208" s="99" t="b">
        <v>0</v>
      </c>
      <c r="O1208" s="99" t="b">
        <v>0</v>
      </c>
      <c r="P1208" s="99" t="b">
        <v>0</v>
      </c>
      <c r="Q1208" s="99" t="b">
        <v>0</v>
      </c>
      <c r="R1208" s="14"/>
      <c r="S1208" s="14"/>
      <c r="T1208" s="14"/>
      <c r="U1208" s="14"/>
      <c r="V1208" s="14"/>
      <c r="W1208" s="14"/>
    </row>
    <row r="1209" ht="35.25" customHeight="1">
      <c r="A1209" s="92" t="s">
        <v>14040</v>
      </c>
      <c r="B1209" s="93" t="s">
        <v>13993</v>
      </c>
      <c r="C1209" s="94" t="s">
        <v>14041</v>
      </c>
      <c r="D1209" s="95" t="s">
        <v>14045</v>
      </c>
      <c r="E1209" s="96" t="str">
        <f>IFERROR(__xludf.DUMMYFUNCTION("GOOGLETRANSLATE(D1209,""zh-CN"",""vi"")"),"Anh ta kiếm được rất nhiều tiền.")</f>
        <v>Anh ta kiếm được rất nhiều tiền.</v>
      </c>
      <c r="F1209" s="101" t="s">
        <v>14040</v>
      </c>
      <c r="G1209" s="98" t="b">
        <f t="shared" si="2"/>
        <v>1</v>
      </c>
      <c r="H1209" s="99" t="b">
        <v>0</v>
      </c>
      <c r="I1209" s="99" t="b">
        <v>0</v>
      </c>
      <c r="J1209" s="99" t="b">
        <v>0</v>
      </c>
      <c r="K1209" s="99" t="b">
        <v>0</v>
      </c>
      <c r="L1209" s="99" t="b">
        <v>0</v>
      </c>
      <c r="M1209" s="99" t="b">
        <v>0</v>
      </c>
      <c r="N1209" s="99" t="b">
        <v>0</v>
      </c>
      <c r="O1209" s="99" t="b">
        <v>0</v>
      </c>
      <c r="P1209" s="99" t="b">
        <v>0</v>
      </c>
      <c r="Q1209" s="99" t="b">
        <v>0</v>
      </c>
      <c r="R1209" s="14"/>
      <c r="S1209" s="14"/>
      <c r="T1209" s="14"/>
      <c r="U1209" s="14"/>
      <c r="V1209" s="14"/>
      <c r="W1209" s="14"/>
    </row>
    <row r="1210" ht="35.25" customHeight="1">
      <c r="A1210" s="92" t="s">
        <v>14051</v>
      </c>
      <c r="B1210" s="93" t="s">
        <v>4611</v>
      </c>
      <c r="C1210" s="94" t="s">
        <v>14052</v>
      </c>
      <c r="D1210" s="135" t="s">
        <v>14057</v>
      </c>
      <c r="E1210" s="96" t="str">
        <f>IFERROR(__xludf.DUMMYFUNCTION("GOOGLETRANSLATE(D1210,""zh-CN"",""vi"")"),"Chiếc bút này rất tốt.")</f>
        <v>Chiếc bút này rất tốt.</v>
      </c>
      <c r="F1210" s="136" t="s">
        <v>14051</v>
      </c>
      <c r="G1210" s="98" t="b">
        <f t="shared" si="2"/>
        <v>1</v>
      </c>
      <c r="H1210" s="99" t="b">
        <v>0</v>
      </c>
      <c r="I1210" s="99" t="b">
        <v>0</v>
      </c>
      <c r="J1210" s="99" t="b">
        <v>0</v>
      </c>
      <c r="K1210" s="99" t="b">
        <v>0</v>
      </c>
      <c r="L1210" s="99" t="b">
        <v>0</v>
      </c>
      <c r="M1210" s="99" t="b">
        <v>0</v>
      </c>
      <c r="N1210" s="99" t="b">
        <v>0</v>
      </c>
      <c r="O1210" s="99" t="b">
        <v>0</v>
      </c>
      <c r="P1210" s="99" t="b">
        <v>0</v>
      </c>
      <c r="Q1210" s="99" t="b">
        <v>0</v>
      </c>
      <c r="R1210" s="14"/>
      <c r="S1210" s="14"/>
      <c r="T1210" s="14"/>
      <c r="U1210" s="14"/>
      <c r="V1210" s="14"/>
      <c r="W1210" s="14"/>
    </row>
    <row r="1211" ht="35.25" customHeight="1">
      <c r="A1211" s="92" t="s">
        <v>14070</v>
      </c>
      <c r="B1211" s="93" t="s">
        <v>14071</v>
      </c>
      <c r="C1211" s="94" t="s">
        <v>14072</v>
      </c>
      <c r="D1211" s="95" t="s">
        <v>14073</v>
      </c>
      <c r="E1211" s="96" t="str">
        <f>IFERROR(__xludf.DUMMYFUNCTION("GOOGLETRANSLATE(D1211,""zh-CN"",""vi"")"),"Vui lòng điền vào tờ séc này.")</f>
        <v>Vui lòng điền vào tờ séc này.</v>
      </c>
      <c r="F1211" s="101" t="s">
        <v>14070</v>
      </c>
      <c r="G1211" s="98" t="b">
        <f t="shared" si="2"/>
        <v>1</v>
      </c>
      <c r="H1211" s="99" t="b">
        <v>0</v>
      </c>
      <c r="I1211" s="99" t="b">
        <v>0</v>
      </c>
      <c r="J1211" s="99" t="b">
        <v>0</v>
      </c>
      <c r="K1211" s="99" t="b">
        <v>0</v>
      </c>
      <c r="L1211" s="99" t="b">
        <v>0</v>
      </c>
      <c r="M1211" s="99" t="b">
        <v>0</v>
      </c>
      <c r="N1211" s="99" t="b">
        <v>0</v>
      </c>
      <c r="O1211" s="99" t="b">
        <v>0</v>
      </c>
      <c r="P1211" s="99" t="b">
        <v>0</v>
      </c>
      <c r="Q1211" s="99" t="b">
        <v>0</v>
      </c>
      <c r="R1211" s="14"/>
      <c r="S1211" s="14"/>
      <c r="T1211" s="14"/>
      <c r="U1211" s="14"/>
      <c r="V1211" s="14"/>
      <c r="W1211" s="14"/>
    </row>
    <row r="1212" ht="35.25" customHeight="1">
      <c r="A1212" s="92" t="s">
        <v>14077</v>
      </c>
      <c r="B1212" s="93" t="s">
        <v>14080</v>
      </c>
      <c r="C1212" s="94" t="s">
        <v>14083</v>
      </c>
      <c r="D1212" s="95" t="s">
        <v>14084</v>
      </c>
      <c r="E1212" s="96" t="str">
        <f>IFERROR(__xludf.DUMMYFUNCTION("GOOGLETRANSLATE(D1212,""zh-CN"",""vi"")"),"Giấy phép này còn hiệu lực.")</f>
        <v>Giấy phép này còn hiệu lực.</v>
      </c>
      <c r="F1212" s="101" t="s">
        <v>14077</v>
      </c>
      <c r="G1212" s="98" t="b">
        <f t="shared" si="2"/>
        <v>1</v>
      </c>
      <c r="H1212" s="99" t="b">
        <v>0</v>
      </c>
      <c r="I1212" s="99" t="b">
        <v>0</v>
      </c>
      <c r="J1212" s="99" t="b">
        <v>0</v>
      </c>
      <c r="K1212" s="99" t="b">
        <v>0</v>
      </c>
      <c r="L1212" s="99" t="b">
        <v>0</v>
      </c>
      <c r="M1212" s="99" t="b">
        <v>0</v>
      </c>
      <c r="N1212" s="99" t="b">
        <v>0</v>
      </c>
      <c r="O1212" s="99" t="b">
        <v>0</v>
      </c>
      <c r="P1212" s="99" t="b">
        <v>0</v>
      </c>
      <c r="Q1212" s="99" t="b">
        <v>0</v>
      </c>
      <c r="R1212" s="14"/>
      <c r="S1212" s="14"/>
      <c r="T1212" s="14"/>
      <c r="U1212" s="14"/>
      <c r="V1212" s="14"/>
      <c r="W1212" s="14"/>
    </row>
    <row r="1213" ht="35.25" customHeight="1">
      <c r="A1213" s="92" t="s">
        <v>14089</v>
      </c>
      <c r="B1213" s="93" t="s">
        <v>14090</v>
      </c>
      <c r="C1213" s="94" t="s">
        <v>14091</v>
      </c>
      <c r="D1213" s="95" t="s">
        <v>14092</v>
      </c>
      <c r="E1213" s="96" t="str">
        <f>IFERROR(__xludf.DUMMYFUNCTION("GOOGLETRANSLATE(D1213,""zh-CN"",""vi"")"),"Con đường này thẳng tắp.")</f>
        <v>Con đường này thẳng tắp.</v>
      </c>
      <c r="F1213" s="101" t="s">
        <v>14089</v>
      </c>
      <c r="G1213" s="98" t="b">
        <f t="shared" si="2"/>
        <v>1</v>
      </c>
      <c r="H1213" s="99" t="b">
        <v>0</v>
      </c>
      <c r="I1213" s="99" t="b">
        <v>0</v>
      </c>
      <c r="J1213" s="99" t="b">
        <v>0</v>
      </c>
      <c r="K1213" s="99" t="b">
        <v>0</v>
      </c>
      <c r="L1213" s="99" t="b">
        <v>0</v>
      </c>
      <c r="M1213" s="99" t="b">
        <v>0</v>
      </c>
      <c r="N1213" s="99" t="b">
        <v>0</v>
      </c>
      <c r="O1213" s="99" t="b">
        <v>0</v>
      </c>
      <c r="P1213" s="99" t="b">
        <v>0</v>
      </c>
      <c r="Q1213" s="99" t="b">
        <v>0</v>
      </c>
      <c r="R1213" s="14"/>
      <c r="S1213" s="14"/>
      <c r="T1213" s="14"/>
      <c r="U1213" s="14"/>
      <c r="V1213" s="14"/>
      <c r="W1213" s="14"/>
    </row>
    <row r="1214" ht="35.25" customHeight="1">
      <c r="A1214" s="92" t="s">
        <v>14104</v>
      </c>
      <c r="B1214" s="93" t="s">
        <v>14105</v>
      </c>
      <c r="C1214" s="94" t="s">
        <v>14106</v>
      </c>
      <c r="D1214" s="95" t="s">
        <v>14107</v>
      </c>
      <c r="E1214" s="96" t="str">
        <f>IFERROR(__xludf.DUMMYFUNCTION("GOOGLETRANSLATE(D1214,""zh-CN"",""vi"")"),"Người quản lý sẽ hướng dẫn bạn thực hiện nhiệm vụ.")</f>
        <v>Người quản lý sẽ hướng dẫn bạn thực hiện nhiệm vụ.</v>
      </c>
      <c r="F1214" s="101" t="s">
        <v>14104</v>
      </c>
      <c r="G1214" s="98" t="b">
        <f t="shared" si="2"/>
        <v>1</v>
      </c>
      <c r="H1214" s="99" t="b">
        <v>0</v>
      </c>
      <c r="I1214" s="99" t="b">
        <v>0</v>
      </c>
      <c r="J1214" s="99" t="b">
        <v>0</v>
      </c>
      <c r="K1214" s="99" t="b">
        <v>0</v>
      </c>
      <c r="L1214" s="99" t="b">
        <v>0</v>
      </c>
      <c r="M1214" s="99" t="b">
        <v>0</v>
      </c>
      <c r="N1214" s="99" t="b">
        <v>0</v>
      </c>
      <c r="O1214" s="99" t="b">
        <v>0</v>
      </c>
      <c r="P1214" s="99" t="b">
        <v>0</v>
      </c>
      <c r="Q1214" s="99" t="b">
        <v>0</v>
      </c>
      <c r="R1214" s="14"/>
      <c r="S1214" s="14"/>
      <c r="T1214" s="14"/>
      <c r="U1214" s="14"/>
      <c r="V1214" s="14"/>
      <c r="W1214" s="14"/>
    </row>
    <row r="1215" ht="35.25" customHeight="1">
      <c r="A1215" s="92" t="s">
        <v>14112</v>
      </c>
      <c r="B1215" s="93" t="s">
        <v>14115</v>
      </c>
      <c r="C1215" s="94" t="s">
        <v>14117</v>
      </c>
      <c r="D1215" s="95" t="s">
        <v>14119</v>
      </c>
      <c r="E1215" s="96" t="str">
        <f>IFERROR(__xludf.DUMMYFUNCTION("GOOGLETRANSLATE(D1215,""zh-CN"",""vi"")"),"Nhạc trưởng đang chỉ huy dàn nhạc trong một buổi biểu diễn.")</f>
        <v>Nhạc trưởng đang chỉ huy dàn nhạc trong một buổi biểu diễn.</v>
      </c>
      <c r="F1215" s="101" t="s">
        <v>14112</v>
      </c>
      <c r="G1215" s="98" t="b">
        <f t="shared" si="2"/>
        <v>1</v>
      </c>
      <c r="H1215" s="99" t="b">
        <v>0</v>
      </c>
      <c r="I1215" s="99" t="b">
        <v>0</v>
      </c>
      <c r="J1215" s="99" t="b">
        <v>0</v>
      </c>
      <c r="K1215" s="99" t="b">
        <v>0</v>
      </c>
      <c r="L1215" s="99" t="b">
        <v>0</v>
      </c>
      <c r="M1215" s="99" t="b">
        <v>0</v>
      </c>
      <c r="N1215" s="99" t="b">
        <v>0</v>
      </c>
      <c r="O1215" s="99" t="b">
        <v>0</v>
      </c>
      <c r="P1215" s="99" t="b">
        <v>0</v>
      </c>
      <c r="Q1215" s="99" t="b">
        <v>0</v>
      </c>
      <c r="R1215" s="14"/>
      <c r="S1215" s="14"/>
      <c r="T1215" s="14"/>
      <c r="U1215" s="14"/>
      <c r="V1215" s="14"/>
      <c r="W1215" s="14"/>
    </row>
    <row r="1216" ht="35.25" customHeight="1">
      <c r="A1216" s="92" t="s">
        <v>14124</v>
      </c>
      <c r="B1216" s="93" t="s">
        <v>14125</v>
      </c>
      <c r="C1216" s="94" t="s">
        <v>14126</v>
      </c>
      <c r="D1216" s="95" t="s">
        <v>14127</v>
      </c>
      <c r="E1216" s="96" t="str">
        <f>IFERROR(__xludf.DUMMYFUNCTION("GOOGLETRANSLATE(D1216,""zh-CN"",""vi"")"),"Anh ấy vẫn nhớ khoảnh khắc đó.")</f>
        <v>Anh ấy vẫn nhớ khoảnh khắc đó.</v>
      </c>
      <c r="F1216" s="101" t="s">
        <v>14124</v>
      </c>
      <c r="G1216" s="98" t="b">
        <f t="shared" si="2"/>
        <v>1</v>
      </c>
      <c r="H1216" s="99" t="b">
        <v>0</v>
      </c>
      <c r="I1216" s="99" t="b">
        <v>0</v>
      </c>
      <c r="J1216" s="99" t="b">
        <v>0</v>
      </c>
      <c r="K1216" s="99" t="b">
        <v>0</v>
      </c>
      <c r="L1216" s="99" t="b">
        <v>0</v>
      </c>
      <c r="M1216" s="99" t="b">
        <v>0</v>
      </c>
      <c r="N1216" s="99" t="b">
        <v>0</v>
      </c>
      <c r="O1216" s="99" t="b">
        <v>0</v>
      </c>
      <c r="P1216" s="99" t="b">
        <v>0</v>
      </c>
      <c r="Q1216" s="99" t="b">
        <v>0</v>
      </c>
      <c r="R1216" s="14"/>
      <c r="S1216" s="14"/>
      <c r="T1216" s="14"/>
      <c r="U1216" s="14"/>
      <c r="V1216" s="14"/>
      <c r="W1216" s="14"/>
    </row>
    <row r="1217" ht="35.25" customHeight="1">
      <c r="A1217" s="92" t="s">
        <v>14132</v>
      </c>
      <c r="B1217" s="93" t="s">
        <v>14133</v>
      </c>
      <c r="C1217" s="94" t="s">
        <v>14134</v>
      </c>
      <c r="D1217" s="95" t="s">
        <v>14135</v>
      </c>
      <c r="E1217" s="96" t="str">
        <f>IFERROR(__xludf.DUMMYFUNCTION("GOOGLETRANSLATE(D1217,""zh-CN"",""vi"")"),"Còn việc bạn có thể tham dự cuộc họp hay không lại là chuyện khác.")</f>
        <v>Còn việc bạn có thể tham dự cuộc họp hay không lại là chuyện khác.</v>
      </c>
      <c r="F1217" s="101" t="s">
        <v>14132</v>
      </c>
      <c r="G1217" s="98" t="b">
        <f t="shared" si="2"/>
        <v>1</v>
      </c>
      <c r="H1217" s="99" t="b">
        <v>0</v>
      </c>
      <c r="I1217" s="99" t="b">
        <v>0</v>
      </c>
      <c r="J1217" s="99" t="b">
        <v>0</v>
      </c>
      <c r="K1217" s="99" t="b">
        <v>0</v>
      </c>
      <c r="L1217" s="99" t="b">
        <v>0</v>
      </c>
      <c r="M1217" s="99" t="b">
        <v>0</v>
      </c>
      <c r="N1217" s="99" t="b">
        <v>0</v>
      </c>
      <c r="O1217" s="99" t="b">
        <v>0</v>
      </c>
      <c r="P1217" s="99" t="b">
        <v>0</v>
      </c>
      <c r="Q1217" s="99" t="b">
        <v>0</v>
      </c>
      <c r="R1217" s="14"/>
      <c r="S1217" s="14"/>
      <c r="T1217" s="14"/>
      <c r="U1217" s="14"/>
      <c r="V1217" s="14"/>
      <c r="W1217" s="14"/>
    </row>
    <row r="1218" ht="35.25" customHeight="1">
      <c r="A1218" s="92" t="s">
        <v>14140</v>
      </c>
      <c r="B1218" s="93" t="s">
        <v>14141</v>
      </c>
      <c r="C1218" s="94" t="s">
        <v>14142</v>
      </c>
      <c r="D1218" s="95" t="s">
        <v>14143</v>
      </c>
      <c r="E1218" s="96" t="str">
        <f>IFERROR(__xludf.DUMMYFUNCTION("GOOGLETRANSLATE(D1218,""zh-CN"",""vi"")"),"Cô ấy là một tình nguyện viên đầy nhiệt huyết.")</f>
        <v>Cô ấy là một tình nguyện viên đầy nhiệt huyết.</v>
      </c>
      <c r="F1218" s="101" t="s">
        <v>14140</v>
      </c>
      <c r="G1218" s="98" t="b">
        <f t="shared" si="2"/>
        <v>1</v>
      </c>
      <c r="H1218" s="99" t="b">
        <v>0</v>
      </c>
      <c r="I1218" s="99" t="b">
        <v>0</v>
      </c>
      <c r="J1218" s="99" t="b">
        <v>0</v>
      </c>
      <c r="K1218" s="99" t="b">
        <v>0</v>
      </c>
      <c r="L1218" s="99" t="b">
        <v>0</v>
      </c>
      <c r="M1218" s="99" t="b">
        <v>0</v>
      </c>
      <c r="N1218" s="99" t="b">
        <v>0</v>
      </c>
      <c r="O1218" s="99" t="b">
        <v>0</v>
      </c>
      <c r="P1218" s="99" t="b">
        <v>0</v>
      </c>
      <c r="Q1218" s="99" t="b">
        <v>0</v>
      </c>
      <c r="R1218" s="14"/>
      <c r="S1218" s="14"/>
      <c r="T1218" s="14"/>
      <c r="U1218" s="14"/>
      <c r="V1218" s="14"/>
      <c r="W1218" s="14"/>
    </row>
    <row r="1219" ht="35.25" customHeight="1">
      <c r="A1219" s="92" t="s">
        <v>14148</v>
      </c>
      <c r="B1219" s="93" t="s">
        <v>14149</v>
      </c>
      <c r="C1219" s="94" t="s">
        <v>14151</v>
      </c>
      <c r="D1219" s="95" t="s">
        <v>14153</v>
      </c>
      <c r="E1219" s="96" t="str">
        <f>IFERROR(__xludf.DUMMYFUNCTION("GOOGLETRANSLATE(D1219,""zh-CN"",""vi"")"),"Chúng ta cần lập một kế hoạch chi tiết.")</f>
        <v>Chúng ta cần lập một kế hoạch chi tiết.</v>
      </c>
      <c r="F1219" s="101" t="s">
        <v>14148</v>
      </c>
      <c r="G1219" s="98" t="b">
        <f t="shared" si="2"/>
        <v>1</v>
      </c>
      <c r="H1219" s="99" t="b">
        <v>0</v>
      </c>
      <c r="I1219" s="99" t="b">
        <v>0</v>
      </c>
      <c r="J1219" s="99" t="b">
        <v>0</v>
      </c>
      <c r="K1219" s="99" t="b">
        <v>0</v>
      </c>
      <c r="L1219" s="99" t="b">
        <v>0</v>
      </c>
      <c r="M1219" s="99" t="b">
        <v>0</v>
      </c>
      <c r="N1219" s="99" t="b">
        <v>0</v>
      </c>
      <c r="O1219" s="99" t="b">
        <v>0</v>
      </c>
      <c r="P1219" s="99" t="b">
        <v>0</v>
      </c>
      <c r="Q1219" s="99" t="b">
        <v>0</v>
      </c>
      <c r="R1219" s="14"/>
      <c r="S1219" s="14"/>
      <c r="T1219" s="14"/>
      <c r="U1219" s="14"/>
      <c r="V1219" s="14"/>
      <c r="W1219" s="14"/>
    </row>
    <row r="1220" ht="35.25" customHeight="1">
      <c r="A1220" s="92" t="s">
        <v>14158</v>
      </c>
      <c r="B1220" s="93" t="s">
        <v>14160</v>
      </c>
      <c r="C1220" s="94" t="s">
        <v>14162</v>
      </c>
      <c r="D1220" s="95" t="s">
        <v>14163</v>
      </c>
      <c r="E1220" s="96" t="str">
        <f>IFERROR(__xludf.DUMMYFUNCTION("GOOGLETRANSLATE(D1220,""zh-CN"",""vi"")"),"Hệ thống này cần được cải thiện.")</f>
        <v>Hệ thống này cần được cải thiện.</v>
      </c>
      <c r="F1220" s="101" t="s">
        <v>14158</v>
      </c>
      <c r="G1220" s="98" t="b">
        <f t="shared" si="2"/>
        <v>1</v>
      </c>
      <c r="H1220" s="99" t="b">
        <v>0</v>
      </c>
      <c r="I1220" s="99" t="b">
        <v>0</v>
      </c>
      <c r="J1220" s="99" t="b">
        <v>0</v>
      </c>
      <c r="K1220" s="99" t="b">
        <v>0</v>
      </c>
      <c r="L1220" s="99" t="b">
        <v>0</v>
      </c>
      <c r="M1220" s="99" t="b">
        <v>0</v>
      </c>
      <c r="N1220" s="99" t="b">
        <v>0</v>
      </c>
      <c r="O1220" s="99" t="b">
        <v>0</v>
      </c>
      <c r="P1220" s="99" t="b">
        <v>0</v>
      </c>
      <c r="Q1220" s="99" t="b">
        <v>0</v>
      </c>
      <c r="R1220" s="14"/>
      <c r="S1220" s="14"/>
      <c r="T1220" s="14"/>
      <c r="U1220" s="14"/>
      <c r="V1220" s="14"/>
      <c r="W1220" s="14"/>
    </row>
    <row r="1221" ht="35.25" customHeight="1">
      <c r="A1221" s="92" t="s">
        <v>14168</v>
      </c>
      <c r="B1221" s="93" t="s">
        <v>14169</v>
      </c>
      <c r="C1221" s="94" t="s">
        <v>10584</v>
      </c>
      <c r="D1221" s="95" t="s">
        <v>14170</v>
      </c>
      <c r="E1221" s="96" t="str">
        <f>IFERROR(__xludf.DUMMYFUNCTION("GOOGLETRANSLATE(D1221,""zh-CN"",""vi"")"),"Công ty này tập trung vào sản xuất các sản phẩm điện tử.")</f>
        <v>Công ty này tập trung vào sản xuất các sản phẩm điện tử.</v>
      </c>
      <c r="F1221" s="101" t="s">
        <v>14168</v>
      </c>
      <c r="G1221" s="98" t="b">
        <f t="shared" si="2"/>
        <v>1</v>
      </c>
      <c r="H1221" s="99" t="b">
        <v>0</v>
      </c>
      <c r="I1221" s="99" t="b">
        <v>0</v>
      </c>
      <c r="J1221" s="99" t="b">
        <v>0</v>
      </c>
      <c r="K1221" s="99" t="b">
        <v>0</v>
      </c>
      <c r="L1221" s="99" t="b">
        <v>0</v>
      </c>
      <c r="M1221" s="99" t="b">
        <v>0</v>
      </c>
      <c r="N1221" s="99" t="b">
        <v>0</v>
      </c>
      <c r="O1221" s="99" t="b">
        <v>0</v>
      </c>
      <c r="P1221" s="99" t="b">
        <v>0</v>
      </c>
      <c r="Q1221" s="99" t="b">
        <v>0</v>
      </c>
      <c r="R1221" s="14"/>
      <c r="S1221" s="14"/>
      <c r="T1221" s="14"/>
      <c r="U1221" s="14"/>
      <c r="V1221" s="14"/>
      <c r="W1221" s="14"/>
    </row>
    <row r="1222" ht="35.25" customHeight="1">
      <c r="A1222" s="92" t="s">
        <v>14175</v>
      </c>
      <c r="B1222" s="93" t="s">
        <v>14176</v>
      </c>
      <c r="C1222" s="94" t="s">
        <v>14177</v>
      </c>
      <c r="D1222" s="95" t="s">
        <v>14178</v>
      </c>
      <c r="E1222" s="96" t="str">
        <f>IFERROR(__xludf.DUMMYFUNCTION("GOOGLETRANSLATE(D1222,""zh-CN"",""vi"")"),"Chúng tôi đang làm một video mới.")</f>
        <v>Chúng tôi đang làm một video mới.</v>
      </c>
      <c r="F1222" s="101" t="s">
        <v>14175</v>
      </c>
      <c r="G1222" s="98" t="b">
        <f t="shared" si="2"/>
        <v>1</v>
      </c>
      <c r="H1222" s="99" t="b">
        <v>0</v>
      </c>
      <c r="I1222" s="99" t="b">
        <v>0</v>
      </c>
      <c r="J1222" s="99" t="b">
        <v>0</v>
      </c>
      <c r="K1222" s="99" t="b">
        <v>0</v>
      </c>
      <c r="L1222" s="99" t="b">
        <v>0</v>
      </c>
      <c r="M1222" s="99" t="b">
        <v>0</v>
      </c>
      <c r="N1222" s="99" t="b">
        <v>0</v>
      </c>
      <c r="O1222" s="99" t="b">
        <v>0</v>
      </c>
      <c r="P1222" s="99" t="b">
        <v>0</v>
      </c>
      <c r="Q1222" s="99" t="b">
        <v>0</v>
      </c>
      <c r="R1222" s="14"/>
      <c r="S1222" s="14"/>
      <c r="T1222" s="14"/>
      <c r="U1222" s="14"/>
      <c r="V1222" s="14"/>
      <c r="W1222" s="14"/>
    </row>
    <row r="1223" ht="35.25" customHeight="1">
      <c r="A1223" s="92" t="s">
        <v>14183</v>
      </c>
      <c r="B1223" s="93" t="s">
        <v>14185</v>
      </c>
      <c r="C1223" s="94" t="s">
        <v>14186</v>
      </c>
      <c r="D1223" s="95" t="s">
        <v>14188</v>
      </c>
      <c r="E1223" s="96" t="str">
        <f>IFERROR(__xludf.DUMMYFUNCTION("GOOGLETRANSLATE(D1223,""zh-CN"",""vi"")"),"Thuốc này có thể chữa khỏi bệnh của bạn.")</f>
        <v>Thuốc này có thể chữa khỏi bệnh của bạn.</v>
      </c>
      <c r="F1223" s="101" t="s">
        <v>14183</v>
      </c>
      <c r="G1223" s="98" t="b">
        <f t="shared" si="2"/>
        <v>1</v>
      </c>
      <c r="H1223" s="99" t="b">
        <v>0</v>
      </c>
      <c r="I1223" s="99" t="b">
        <v>0</v>
      </c>
      <c r="J1223" s="99" t="b">
        <v>0</v>
      </c>
      <c r="K1223" s="99" t="b">
        <v>0</v>
      </c>
      <c r="L1223" s="99" t="b">
        <v>0</v>
      </c>
      <c r="M1223" s="99" t="b">
        <v>0</v>
      </c>
      <c r="N1223" s="99" t="b">
        <v>0</v>
      </c>
      <c r="O1223" s="99" t="b">
        <v>0</v>
      </c>
      <c r="P1223" s="99" t="b">
        <v>0</v>
      </c>
      <c r="Q1223" s="99" t="b">
        <v>0</v>
      </c>
      <c r="R1223" s="14"/>
      <c r="S1223" s="14"/>
      <c r="T1223" s="14"/>
      <c r="U1223" s="14"/>
      <c r="V1223" s="14"/>
      <c r="W1223" s="14"/>
    </row>
    <row r="1224" ht="35.25" customHeight="1">
      <c r="A1224" s="92" t="s">
        <v>14194</v>
      </c>
      <c r="B1224" s="93" t="s">
        <v>14195</v>
      </c>
      <c r="C1224" s="94" t="s">
        <v>14196</v>
      </c>
      <c r="D1224" s="95" t="s">
        <v>14197</v>
      </c>
      <c r="E1224" s="96" t="str">
        <f>IFERROR(__xludf.DUMMYFUNCTION("GOOGLETRANSLATE(D1224,""zh-CN"",""vi"")"),"Việc duy trì trật tự xã hội là rất quan trọng.")</f>
        <v>Việc duy trì trật tự xã hội là rất quan trọng.</v>
      </c>
      <c r="F1224" s="101" t="s">
        <v>14194</v>
      </c>
      <c r="G1224" s="98" t="b">
        <f t="shared" si="2"/>
        <v>1</v>
      </c>
      <c r="H1224" s="99" t="b">
        <v>0</v>
      </c>
      <c r="I1224" s="99" t="b">
        <v>0</v>
      </c>
      <c r="J1224" s="99" t="b">
        <v>0</v>
      </c>
      <c r="K1224" s="99" t="b">
        <v>0</v>
      </c>
      <c r="L1224" s="99" t="b">
        <v>0</v>
      </c>
      <c r="M1224" s="99" t="b">
        <v>0</v>
      </c>
      <c r="N1224" s="99" t="b">
        <v>0</v>
      </c>
      <c r="O1224" s="99" t="b">
        <v>0</v>
      </c>
      <c r="P1224" s="99" t="b">
        <v>0</v>
      </c>
      <c r="Q1224" s="99" t="b">
        <v>0</v>
      </c>
      <c r="R1224" s="14"/>
      <c r="S1224" s="14"/>
      <c r="T1224" s="14"/>
      <c r="U1224" s="14"/>
      <c r="V1224" s="14"/>
      <c r="W1224" s="14"/>
    </row>
    <row r="1225" ht="35.25" customHeight="1">
      <c r="A1225" s="92" t="s">
        <v>14201</v>
      </c>
      <c r="B1225" s="93" t="s">
        <v>14202</v>
      </c>
      <c r="C1225" s="94" t="s">
        <v>14203</v>
      </c>
      <c r="D1225" s="95" t="s">
        <v>14204</v>
      </c>
      <c r="E1225" s="96" t="str">
        <f>IFERROR(__xludf.DUMMYFUNCTION("GOOGLETRANSLATE(D1225,""zh-CN"",""vi"")"),"Ông ấy đã giải quyết vấn đề này bằng sự thông minh của mình.")</f>
        <v>Ông ấy đã giải quyết vấn đề này bằng sự thông minh của mình.</v>
      </c>
      <c r="F1225" s="101" t="s">
        <v>14201</v>
      </c>
      <c r="G1225" s="98" t="b">
        <f t="shared" si="2"/>
        <v>1</v>
      </c>
      <c r="H1225" s="99" t="b">
        <v>0</v>
      </c>
      <c r="I1225" s="99" t="b">
        <v>0</v>
      </c>
      <c r="J1225" s="99" t="b">
        <v>0</v>
      </c>
      <c r="K1225" s="99" t="b">
        <v>0</v>
      </c>
      <c r="L1225" s="99" t="b">
        <v>0</v>
      </c>
      <c r="M1225" s="99" t="b">
        <v>0</v>
      </c>
      <c r="N1225" s="99" t="b">
        <v>0</v>
      </c>
      <c r="O1225" s="99" t="b">
        <v>0</v>
      </c>
      <c r="P1225" s="99" t="b">
        <v>0</v>
      </c>
      <c r="Q1225" s="99" t="b">
        <v>0</v>
      </c>
      <c r="R1225" s="14"/>
      <c r="S1225" s="14"/>
      <c r="T1225" s="14"/>
      <c r="U1225" s="14"/>
      <c r="V1225" s="14"/>
      <c r="W1225" s="14"/>
    </row>
    <row r="1226" ht="35.25" customHeight="1">
      <c r="A1226" s="92" t="s">
        <v>14209</v>
      </c>
      <c r="B1226" s="93" t="s">
        <v>14210</v>
      </c>
      <c r="C1226" s="94" t="s">
        <v>14211</v>
      </c>
      <c r="D1226" s="95" t="s">
        <v>14212</v>
      </c>
      <c r="E1226" s="96" t="str">
        <f>IFERROR(__xludf.DUMMYFUNCTION("GOOGLETRANSLATE(D1226,""zh-CN"",""vi"")"),"Anh ấy là một người môi giới giàu kinh nghiệm.")</f>
        <v>Anh ấy là một người môi giới giàu kinh nghiệm.</v>
      </c>
      <c r="F1226" s="101" t="s">
        <v>14209</v>
      </c>
      <c r="G1226" s="98" t="b">
        <f t="shared" si="2"/>
        <v>1</v>
      </c>
      <c r="H1226" s="99" t="b">
        <v>0</v>
      </c>
      <c r="I1226" s="99" t="b">
        <v>0</v>
      </c>
      <c r="J1226" s="99" t="b">
        <v>0</v>
      </c>
      <c r="K1226" s="99" t="b">
        <v>0</v>
      </c>
      <c r="L1226" s="99" t="b">
        <v>0</v>
      </c>
      <c r="M1226" s="99" t="b">
        <v>0</v>
      </c>
      <c r="N1226" s="99" t="b">
        <v>0</v>
      </c>
      <c r="O1226" s="99" t="b">
        <v>0</v>
      </c>
      <c r="P1226" s="99" t="b">
        <v>0</v>
      </c>
      <c r="Q1226" s="99" t="b">
        <v>0</v>
      </c>
      <c r="R1226" s="14"/>
      <c r="S1226" s="14"/>
      <c r="T1226" s="14"/>
      <c r="U1226" s="14"/>
      <c r="V1226" s="14"/>
      <c r="W1226" s="14"/>
    </row>
    <row r="1227" ht="35.25" customHeight="1">
      <c r="A1227" s="92" t="s">
        <v>14217</v>
      </c>
      <c r="B1227" s="93" t="s">
        <v>14218</v>
      </c>
      <c r="C1227" s="94" t="s">
        <v>14219</v>
      </c>
      <c r="D1227" s="95" t="s">
        <v>14220</v>
      </c>
      <c r="E1227" s="96" t="str">
        <f>IFERROR(__xludf.DUMMYFUNCTION("GOOGLETRANSLATE(D1227,""zh-CN"",""vi"")"),"Dịch vụ tại trung tâm này rất tuyệt vời.")</f>
        <v>Dịch vụ tại trung tâm này rất tuyệt vời.</v>
      </c>
      <c r="F1227" s="101" t="s">
        <v>14217</v>
      </c>
      <c r="G1227" s="98" t="b">
        <f t="shared" si="2"/>
        <v>1</v>
      </c>
      <c r="H1227" s="99" t="b">
        <v>0</v>
      </c>
      <c r="I1227" s="99" t="b">
        <v>0</v>
      </c>
      <c r="J1227" s="99" t="b">
        <v>0</v>
      </c>
      <c r="K1227" s="99" t="b">
        <v>0</v>
      </c>
      <c r="L1227" s="99" t="b">
        <v>0</v>
      </c>
      <c r="M1227" s="99" t="b">
        <v>0</v>
      </c>
      <c r="N1227" s="99" t="b">
        <v>0</v>
      </c>
      <c r="O1227" s="99" t="b">
        <v>0</v>
      </c>
      <c r="P1227" s="99" t="b">
        <v>0</v>
      </c>
      <c r="Q1227" s="99" t="b">
        <v>0</v>
      </c>
      <c r="R1227" s="14"/>
      <c r="S1227" s="14"/>
      <c r="T1227" s="14"/>
      <c r="U1227" s="14"/>
      <c r="V1227" s="14"/>
      <c r="W1227" s="14"/>
    </row>
    <row r="1228" ht="35.25" customHeight="1">
      <c r="A1228" s="92" t="s">
        <v>14225</v>
      </c>
      <c r="B1228" s="93" t="s">
        <v>14226</v>
      </c>
      <c r="C1228" s="94" t="s">
        <v>14227</v>
      </c>
      <c r="D1228" s="95" t="s">
        <v>14228</v>
      </c>
      <c r="E1228" s="96" t="str">
        <f>IFERROR(__xludf.DUMMYFUNCTION("GOOGLETRANSLATE(D1228,""zh-CN"",""vi"")"),"Cuộc họp sẽ được tổ chức vào giữa tháng.")</f>
        <v>Cuộc họp sẽ được tổ chức vào giữa tháng.</v>
      </c>
      <c r="F1228" s="101"/>
      <c r="G1228" s="98" t="b">
        <f t="shared" si="2"/>
        <v>0</v>
      </c>
      <c r="H1228" s="99" t="b">
        <v>0</v>
      </c>
      <c r="I1228" s="99" t="b">
        <v>0</v>
      </c>
      <c r="J1228" s="99" t="b">
        <v>0</v>
      </c>
      <c r="K1228" s="99" t="b">
        <v>0</v>
      </c>
      <c r="L1228" s="99" t="b">
        <v>0</v>
      </c>
      <c r="M1228" s="99" t="b">
        <v>0</v>
      </c>
      <c r="N1228" s="99" t="b">
        <v>0</v>
      </c>
      <c r="O1228" s="99" t="b">
        <v>0</v>
      </c>
      <c r="P1228" s="99" t="b">
        <v>0</v>
      </c>
      <c r="Q1228" s="99" t="b">
        <v>0</v>
      </c>
      <c r="R1228" s="14"/>
      <c r="S1228" s="14"/>
      <c r="T1228" s="14"/>
      <c r="U1228" s="14"/>
      <c r="V1228" s="14"/>
      <c r="W1228" s="14"/>
    </row>
    <row r="1229" ht="35.25" customHeight="1">
      <c r="A1229" s="92" t="s">
        <v>14233</v>
      </c>
      <c r="B1229" s="93" t="s">
        <v>14234</v>
      </c>
      <c r="C1229" s="94" t="s">
        <v>14235</v>
      </c>
      <c r="D1229" s="95" t="s">
        <v>14236</v>
      </c>
      <c r="E1229" s="96" t="str">
        <f>IFERROR(__xludf.DUMMYFUNCTION("GOOGLETRANSLATE(D1229,""zh-CN"",""vi"")"),"Siêu thị này có rất nhiều loại sản phẩm.")</f>
        <v>Siêu thị này có rất nhiều loại sản phẩm.</v>
      </c>
      <c r="F1229" s="101"/>
      <c r="G1229" s="98" t="b">
        <f t="shared" si="2"/>
        <v>0</v>
      </c>
      <c r="H1229" s="99" t="b">
        <v>0</v>
      </c>
      <c r="I1229" s="99" t="b">
        <v>0</v>
      </c>
      <c r="J1229" s="99" t="b">
        <v>0</v>
      </c>
      <c r="K1229" s="99" t="b">
        <v>0</v>
      </c>
      <c r="L1229" s="99" t="b">
        <v>0</v>
      </c>
      <c r="M1229" s="99" t="b">
        <v>0</v>
      </c>
      <c r="N1229" s="99" t="b">
        <v>0</v>
      </c>
      <c r="O1229" s="99" t="b">
        <v>0</v>
      </c>
      <c r="P1229" s="99" t="b">
        <v>0</v>
      </c>
      <c r="Q1229" s="99" t="b">
        <v>0</v>
      </c>
      <c r="R1229" s="14"/>
      <c r="S1229" s="14"/>
      <c r="T1229" s="14"/>
      <c r="U1229" s="14"/>
      <c r="V1229" s="14"/>
      <c r="W1229" s="14"/>
    </row>
    <row r="1230" ht="35.25" customHeight="1">
      <c r="A1230" s="92" t="s">
        <v>14241</v>
      </c>
      <c r="B1230" s="93" t="s">
        <v>14242</v>
      </c>
      <c r="C1230" s="94" t="s">
        <v>14243</v>
      </c>
      <c r="D1230" s="95" t="s">
        <v>14244</v>
      </c>
      <c r="E1230" s="96" t="str">
        <f>IFERROR(__xludf.DUMMYFUNCTION("GOOGLETRANSLATE(D1230,""zh-CN"",""vi"")"),"Đây là một dự án lớn.")</f>
        <v>Đây là một dự án lớn.</v>
      </c>
      <c r="F1230" s="101"/>
      <c r="G1230" s="98" t="b">
        <f t="shared" si="2"/>
        <v>0</v>
      </c>
      <c r="H1230" s="99" t="b">
        <v>0</v>
      </c>
      <c r="I1230" s="99" t="b">
        <v>0</v>
      </c>
      <c r="J1230" s="99" t="b">
        <v>0</v>
      </c>
      <c r="K1230" s="99" t="b">
        <v>0</v>
      </c>
      <c r="L1230" s="99" t="b">
        <v>0</v>
      </c>
      <c r="M1230" s="99" t="b">
        <v>0</v>
      </c>
      <c r="N1230" s="99" t="b">
        <v>0</v>
      </c>
      <c r="O1230" s="99" t="b">
        <v>0</v>
      </c>
      <c r="P1230" s="99" t="b">
        <v>0</v>
      </c>
      <c r="Q1230" s="99" t="b">
        <v>0</v>
      </c>
      <c r="R1230" s="14"/>
      <c r="S1230" s="14"/>
      <c r="T1230" s="14"/>
      <c r="U1230" s="14"/>
      <c r="V1230" s="14"/>
      <c r="W1230" s="14"/>
    </row>
    <row r="1231" ht="35.25" customHeight="1">
      <c r="A1231" s="92" t="s">
        <v>14249</v>
      </c>
      <c r="B1231" s="93" t="s">
        <v>14250</v>
      </c>
      <c r="C1231" s="94" t="s">
        <v>14251</v>
      </c>
      <c r="D1231" s="95" t="s">
        <v>14252</v>
      </c>
      <c r="E1231" s="96" t="str">
        <f>IFERROR(__xludf.DUMMYFUNCTION("GOOGLETRANSLATE(D1231,""zh-CN"",""vi"")"),"Chiếc hộp này rất nặng.")</f>
        <v>Chiếc hộp này rất nặng.</v>
      </c>
      <c r="F1231" s="101"/>
      <c r="G1231" s="98" t="b">
        <f t="shared" si="2"/>
        <v>0</v>
      </c>
      <c r="H1231" s="99" t="b">
        <v>0</v>
      </c>
      <c r="I1231" s="99" t="b">
        <v>0</v>
      </c>
      <c r="J1231" s="99" t="b">
        <v>0</v>
      </c>
      <c r="K1231" s="99" t="b">
        <v>0</v>
      </c>
      <c r="L1231" s="99" t="b">
        <v>0</v>
      </c>
      <c r="M1231" s="99" t="b">
        <v>0</v>
      </c>
      <c r="N1231" s="99" t="b">
        <v>0</v>
      </c>
      <c r="O1231" s="99" t="b">
        <v>0</v>
      </c>
      <c r="P1231" s="99" t="b">
        <v>0</v>
      </c>
      <c r="Q1231" s="99" t="b">
        <v>0</v>
      </c>
      <c r="R1231" s="14"/>
      <c r="S1231" s="14"/>
      <c r="T1231" s="14"/>
      <c r="U1231" s="14"/>
      <c r="V1231" s="14"/>
      <c r="W1231" s="14"/>
    </row>
    <row r="1232" ht="35.25" customHeight="1">
      <c r="A1232" s="92" t="s">
        <v>14257</v>
      </c>
      <c r="B1232" s="93" t="s">
        <v>14258</v>
      </c>
      <c r="C1232" s="94" t="s">
        <v>14259</v>
      </c>
      <c r="D1232" s="95" t="s">
        <v>14260</v>
      </c>
      <c r="E1232" s="96" t="str">
        <f>IFERROR(__xludf.DUMMYFUNCTION("GOOGLETRANSLATE(D1232,""zh-CN"",""vi"")"),"Cô ấy cân nhắc mọi việc rất kỹ lưỡng.")</f>
        <v>Cô ấy cân nhắc mọi việc rất kỹ lưỡng.</v>
      </c>
      <c r="F1232" s="101"/>
      <c r="G1232" s="98" t="b">
        <f t="shared" si="2"/>
        <v>0</v>
      </c>
      <c r="H1232" s="99" t="b">
        <v>0</v>
      </c>
      <c r="I1232" s="99" t="b">
        <v>0</v>
      </c>
      <c r="J1232" s="99" t="b">
        <v>0</v>
      </c>
      <c r="K1232" s="99" t="b">
        <v>0</v>
      </c>
      <c r="L1232" s="99" t="b">
        <v>0</v>
      </c>
      <c r="M1232" s="99" t="b">
        <v>0</v>
      </c>
      <c r="N1232" s="99" t="b">
        <v>0</v>
      </c>
      <c r="O1232" s="99" t="b">
        <v>0</v>
      </c>
      <c r="P1232" s="99" t="b">
        <v>0</v>
      </c>
      <c r="Q1232" s="99" t="b">
        <v>0</v>
      </c>
      <c r="R1232" s="14"/>
      <c r="S1232" s="14"/>
      <c r="T1232" s="14"/>
      <c r="U1232" s="14"/>
      <c r="V1232" s="14"/>
      <c r="W1232" s="14"/>
    </row>
    <row r="1233" ht="35.25" customHeight="1">
      <c r="A1233" s="92" t="s">
        <v>14265</v>
      </c>
      <c r="B1233" s="93" t="s">
        <v>14266</v>
      </c>
      <c r="C1233" s="94" t="s">
        <v>14268</v>
      </c>
      <c r="D1233" s="95" t="s">
        <v>14270</v>
      </c>
      <c r="E1233" s="96" t="str">
        <f>IFERROR(__xludf.DUMMYFUNCTION("GOOGLETRANSLATE(D1233,""zh-CN"",""vi"")"),"Con lợn đó rất béo.")</f>
        <v>Con lợn đó rất béo.</v>
      </c>
      <c r="F1233" s="101"/>
      <c r="G1233" s="98" t="b">
        <f t="shared" si="2"/>
        <v>0</v>
      </c>
      <c r="H1233" s="99" t="b">
        <v>0</v>
      </c>
      <c r="I1233" s="99" t="b">
        <v>0</v>
      </c>
      <c r="J1233" s="99" t="b">
        <v>0</v>
      </c>
      <c r="K1233" s="99" t="b">
        <v>0</v>
      </c>
      <c r="L1233" s="99" t="b">
        <v>0</v>
      </c>
      <c r="M1233" s="99" t="b">
        <v>0</v>
      </c>
      <c r="N1233" s="99" t="b">
        <v>0</v>
      </c>
      <c r="O1233" s="99" t="b">
        <v>0</v>
      </c>
      <c r="P1233" s="99" t="b">
        <v>0</v>
      </c>
      <c r="Q1233" s="99" t="b">
        <v>0</v>
      </c>
      <c r="R1233" s="14"/>
      <c r="S1233" s="14"/>
      <c r="T1233" s="14"/>
      <c r="U1233" s="14"/>
      <c r="V1233" s="14"/>
      <c r="W1233" s="14"/>
    </row>
    <row r="1234" ht="35.25" customHeight="1">
      <c r="A1234" s="92" t="s">
        <v>14276</v>
      </c>
      <c r="B1234" s="93" t="s">
        <v>14277</v>
      </c>
      <c r="C1234" s="94" t="s">
        <v>14278</v>
      </c>
      <c r="D1234" s="95" t="s">
        <v>14279</v>
      </c>
      <c r="E1234" s="96" t="str">
        <f>IFERROR(__xludf.DUMMYFUNCTION("GOOGLETRANSLATE(D1234,""zh-CN"",""vi"")"),"Cây tre là một loại cây rất hữu ích.")</f>
        <v>Cây tre là một loại cây rất hữu ích.</v>
      </c>
      <c r="F1234" s="101"/>
      <c r="G1234" s="98" t="b">
        <f t="shared" si="2"/>
        <v>0</v>
      </c>
      <c r="H1234" s="99" t="b">
        <v>0</v>
      </c>
      <c r="I1234" s="99" t="b">
        <v>0</v>
      </c>
      <c r="J1234" s="99" t="b">
        <v>0</v>
      </c>
      <c r="K1234" s="99" t="b">
        <v>0</v>
      </c>
      <c r="L1234" s="99" t="b">
        <v>0</v>
      </c>
      <c r="M1234" s="99" t="b">
        <v>0</v>
      </c>
      <c r="N1234" s="99" t="b">
        <v>0</v>
      </c>
      <c r="O1234" s="99" t="b">
        <v>0</v>
      </c>
      <c r="P1234" s="99" t="b">
        <v>0</v>
      </c>
      <c r="Q1234" s="99" t="b">
        <v>0</v>
      </c>
      <c r="R1234" s="14"/>
      <c r="S1234" s="14"/>
      <c r="T1234" s="14"/>
      <c r="U1234" s="14"/>
      <c r="V1234" s="14"/>
      <c r="W1234" s="14"/>
    </row>
    <row r="1235" ht="35.25" customHeight="1">
      <c r="A1235" s="92" t="s">
        <v>14284</v>
      </c>
      <c r="B1235" s="93" t="s">
        <v>14285</v>
      </c>
      <c r="C1235" s="94" t="s">
        <v>14286</v>
      </c>
      <c r="D1235" s="95" t="s">
        <v>14287</v>
      </c>
      <c r="E1235" s="96" t="str">
        <f>IFERROR(__xludf.DUMMYFUNCTION("GOOGLETRANSLATE(D1235,""zh-CN"",""vi"")"),"Kế hoạch của họ đang được thực hiện theo từng giai đoạn.")</f>
        <v>Kế hoạch của họ đang được thực hiện theo từng giai đoạn.</v>
      </c>
      <c r="F1235" s="101"/>
      <c r="G1235" s="98" t="b">
        <f t="shared" si="2"/>
        <v>0</v>
      </c>
      <c r="H1235" s="99" t="b">
        <v>0</v>
      </c>
      <c r="I1235" s="99" t="b">
        <v>0</v>
      </c>
      <c r="J1235" s="99" t="b">
        <v>0</v>
      </c>
      <c r="K1235" s="99" t="b">
        <v>0</v>
      </c>
      <c r="L1235" s="99" t="b">
        <v>0</v>
      </c>
      <c r="M1235" s="99" t="b">
        <v>0</v>
      </c>
      <c r="N1235" s="99" t="b">
        <v>0</v>
      </c>
      <c r="O1235" s="99" t="b">
        <v>0</v>
      </c>
      <c r="P1235" s="99" t="b">
        <v>0</v>
      </c>
      <c r="Q1235" s="99" t="b">
        <v>0</v>
      </c>
      <c r="R1235" s="14"/>
      <c r="S1235" s="14"/>
      <c r="T1235" s="14"/>
      <c r="U1235" s="14"/>
      <c r="V1235" s="14"/>
      <c r="W1235" s="14"/>
    </row>
    <row r="1236" ht="35.25" customHeight="1">
      <c r="A1236" s="92" t="s">
        <v>14292</v>
      </c>
      <c r="B1236" s="93" t="s">
        <v>14293</v>
      </c>
      <c r="C1236" s="94" t="s">
        <v>14294</v>
      </c>
      <c r="D1236" s="95" t="s">
        <v>14295</v>
      </c>
      <c r="E1236" s="96" t="str">
        <f>IFERROR(__xludf.DUMMYFUNCTION("GOOGLETRANSLATE(D1236,""zh-CN"",""vi"")"),"Vấn đề này sẽ được giải quyết dần dần.")</f>
        <v>Vấn đề này sẽ được giải quyết dần dần.</v>
      </c>
      <c r="F1236" s="101"/>
      <c r="G1236" s="98" t="b">
        <f t="shared" si="2"/>
        <v>0</v>
      </c>
      <c r="H1236" s="99" t="b">
        <v>0</v>
      </c>
      <c r="I1236" s="99" t="b">
        <v>0</v>
      </c>
      <c r="J1236" s="99" t="b">
        <v>0</v>
      </c>
      <c r="K1236" s="99" t="b">
        <v>0</v>
      </c>
      <c r="L1236" s="99" t="b">
        <v>0</v>
      </c>
      <c r="M1236" s="99" t="b">
        <v>0</v>
      </c>
      <c r="N1236" s="99" t="b">
        <v>0</v>
      </c>
      <c r="O1236" s="99" t="b">
        <v>0</v>
      </c>
      <c r="P1236" s="99" t="b">
        <v>0</v>
      </c>
      <c r="Q1236" s="99" t="b">
        <v>0</v>
      </c>
      <c r="R1236" s="14"/>
      <c r="S1236" s="14"/>
      <c r="T1236" s="14"/>
      <c r="U1236" s="14"/>
      <c r="V1236" s="14"/>
      <c r="W1236" s="14"/>
    </row>
    <row r="1237" ht="35.25" customHeight="1">
      <c r="A1237" s="92" t="s">
        <v>14300</v>
      </c>
      <c r="B1237" s="93" t="s">
        <v>14301</v>
      </c>
      <c r="C1237" s="94" t="s">
        <v>14302</v>
      </c>
      <c r="D1237" s="95" t="s">
        <v>14303</v>
      </c>
      <c r="E1237" s="96" t="str">
        <f>IFERROR(__xludf.DUMMYFUNCTION("GOOGLETRANSLATE(D1237,""zh-CN"",""vi"")"),"Người chủ trì đang điều hành cuộc họp.")</f>
        <v>Người chủ trì đang điều hành cuộc họp.</v>
      </c>
      <c r="F1237" s="101"/>
      <c r="G1237" s="98" t="b">
        <f t="shared" si="2"/>
        <v>0</v>
      </c>
      <c r="H1237" s="99" t="b">
        <v>0</v>
      </c>
      <c r="I1237" s="99" t="b">
        <v>0</v>
      </c>
      <c r="J1237" s="99" t="b">
        <v>0</v>
      </c>
      <c r="K1237" s="99" t="b">
        <v>0</v>
      </c>
      <c r="L1237" s="99" t="b">
        <v>0</v>
      </c>
      <c r="M1237" s="99" t="b">
        <v>0</v>
      </c>
      <c r="N1237" s="99" t="b">
        <v>0</v>
      </c>
      <c r="O1237" s="99" t="b">
        <v>0</v>
      </c>
      <c r="P1237" s="99" t="b">
        <v>0</v>
      </c>
      <c r="Q1237" s="99" t="b">
        <v>0</v>
      </c>
      <c r="R1237" s="14"/>
      <c r="S1237" s="14"/>
      <c r="T1237" s="14"/>
      <c r="U1237" s="14"/>
      <c r="V1237" s="14"/>
      <c r="W1237" s="14"/>
    </row>
    <row r="1238" ht="35.25" customHeight="1">
      <c r="A1238" s="92" t="s">
        <v>14308</v>
      </c>
      <c r="B1238" s="93" t="s">
        <v>14310</v>
      </c>
      <c r="C1238" s="94" t="s">
        <v>14312</v>
      </c>
      <c r="D1238" s="95" t="s">
        <v>14314</v>
      </c>
      <c r="E1238" s="96" t="str">
        <f>IFERROR(__xludf.DUMMYFUNCTION("GOOGLETRANSLATE(D1238,""zh-CN"",""vi"")"),"Cô ấy luôn chủ động giúp đỡ người khác.")</f>
        <v>Cô ấy luôn chủ động giúp đỡ người khác.</v>
      </c>
      <c r="F1238" s="101"/>
      <c r="G1238" s="98" t="b">
        <f t="shared" si="2"/>
        <v>0</v>
      </c>
      <c r="H1238" s="99" t="b">
        <v>0</v>
      </c>
      <c r="I1238" s="99" t="b">
        <v>0</v>
      </c>
      <c r="J1238" s="99" t="b">
        <v>0</v>
      </c>
      <c r="K1238" s="99" t="b">
        <v>0</v>
      </c>
      <c r="L1238" s="99" t="b">
        <v>0</v>
      </c>
      <c r="M1238" s="99" t="b">
        <v>0</v>
      </c>
      <c r="N1238" s="99" t="b">
        <v>0</v>
      </c>
      <c r="O1238" s="99" t="b">
        <v>0</v>
      </c>
      <c r="P1238" s="99" t="b">
        <v>0</v>
      </c>
      <c r="Q1238" s="99" t="b">
        <v>0</v>
      </c>
      <c r="R1238" s="14"/>
      <c r="S1238" s="14"/>
      <c r="T1238" s="14"/>
      <c r="U1238" s="14"/>
      <c r="V1238" s="14"/>
      <c r="W1238" s="14"/>
    </row>
    <row r="1239" ht="35.25" customHeight="1">
      <c r="A1239" s="92" t="s">
        <v>14320</v>
      </c>
      <c r="B1239" s="93" t="s">
        <v>14321</v>
      </c>
      <c r="C1239" s="94" t="s">
        <v>14322</v>
      </c>
      <c r="D1239" s="95" t="s">
        <v>14323</v>
      </c>
      <c r="E1239" s="96" t="str">
        <f>IFERROR(__xludf.DUMMYFUNCTION("GOOGLETRANSLATE(D1239,""zh-CN"",""vi"")"),"Đây là một câu hỏi mang tính chủ quan.")</f>
        <v>Đây là một câu hỏi mang tính chủ quan.</v>
      </c>
      <c r="F1239" s="101"/>
      <c r="G1239" s="98" t="b">
        <f t="shared" si="2"/>
        <v>0</v>
      </c>
      <c r="H1239" s="99" t="b">
        <v>0</v>
      </c>
      <c r="I1239" s="99" t="b">
        <v>0</v>
      </c>
      <c r="J1239" s="99" t="b">
        <v>0</v>
      </c>
      <c r="K1239" s="99" t="b">
        <v>0</v>
      </c>
      <c r="L1239" s="99" t="b">
        <v>0</v>
      </c>
      <c r="M1239" s="99" t="b">
        <v>0</v>
      </c>
      <c r="N1239" s="99" t="b">
        <v>0</v>
      </c>
      <c r="O1239" s="99" t="b">
        <v>0</v>
      </c>
      <c r="P1239" s="99" t="b">
        <v>0</v>
      </c>
      <c r="Q1239" s="99" t="b">
        <v>0</v>
      </c>
      <c r="R1239" s="14"/>
      <c r="S1239" s="14"/>
      <c r="T1239" s="14"/>
      <c r="U1239" s="14"/>
      <c r="V1239" s="14"/>
      <c r="W1239" s="14"/>
    </row>
    <row r="1240" ht="35.25" customHeight="1">
      <c r="A1240" s="92" t="s">
        <v>14328</v>
      </c>
      <c r="B1240" s="93" t="s">
        <v>14329</v>
      </c>
      <c r="C1240" s="94" t="s">
        <v>14330</v>
      </c>
      <c r="D1240" s="95" t="s">
        <v>14331</v>
      </c>
      <c r="E1240" s="96" t="str">
        <f>IFERROR(__xludf.DUMMYFUNCTION("GOOGLETRANSLATE(D1240,""zh-CN"",""vi"")"),"Ông này là chủ nhân của chúng ta.")</f>
        <v>Ông này là chủ nhân của chúng ta.</v>
      </c>
      <c r="F1240" s="101"/>
      <c r="G1240" s="98" t="b">
        <f t="shared" si="2"/>
        <v>0</v>
      </c>
      <c r="H1240" s="99" t="b">
        <v>0</v>
      </c>
      <c r="I1240" s="99" t="b">
        <v>0</v>
      </c>
      <c r="J1240" s="99" t="b">
        <v>0</v>
      </c>
      <c r="K1240" s="99" t="b">
        <v>0</v>
      </c>
      <c r="L1240" s="99" t="b">
        <v>0</v>
      </c>
      <c r="M1240" s="99" t="b">
        <v>0</v>
      </c>
      <c r="N1240" s="99" t="b">
        <v>0</v>
      </c>
      <c r="O1240" s="99" t="b">
        <v>0</v>
      </c>
      <c r="P1240" s="99" t="b">
        <v>0</v>
      </c>
      <c r="Q1240" s="99" t="b">
        <v>0</v>
      </c>
      <c r="R1240" s="14"/>
      <c r="S1240" s="14"/>
      <c r="T1240" s="14"/>
      <c r="U1240" s="14"/>
      <c r="V1240" s="14"/>
      <c r="W1240" s="14"/>
    </row>
    <row r="1241" ht="35.25" customHeight="1">
      <c r="A1241" s="92" t="s">
        <v>14336</v>
      </c>
      <c r="B1241" s="93" t="s">
        <v>14337</v>
      </c>
      <c r="C1241" s="94" t="s">
        <v>14339</v>
      </c>
      <c r="D1241" s="95" t="s">
        <v>14341</v>
      </c>
      <c r="E1241" s="96" t="str">
        <f>IFERROR(__xludf.DUMMYFUNCTION("GOOGLETRANSLATE(D1241,""zh-CN"",""vi"")"),"Ông ấy là giám đốc của dự án này.")</f>
        <v>Ông ấy là giám đốc của dự án này.</v>
      </c>
      <c r="F1241" s="101"/>
      <c r="G1241" s="98" t="b">
        <f t="shared" si="2"/>
        <v>0</v>
      </c>
      <c r="H1241" s="99" t="b">
        <v>0</v>
      </c>
      <c r="I1241" s="99" t="b">
        <v>0</v>
      </c>
      <c r="J1241" s="99" t="b">
        <v>0</v>
      </c>
      <c r="K1241" s="99" t="b">
        <v>0</v>
      </c>
      <c r="L1241" s="99" t="b">
        <v>0</v>
      </c>
      <c r="M1241" s="99" t="b">
        <v>0</v>
      </c>
      <c r="N1241" s="99" t="b">
        <v>0</v>
      </c>
      <c r="O1241" s="99" t="b">
        <v>0</v>
      </c>
      <c r="P1241" s="99" t="b">
        <v>0</v>
      </c>
      <c r="Q1241" s="99" t="b">
        <v>0</v>
      </c>
      <c r="R1241" s="14"/>
      <c r="S1241" s="14"/>
      <c r="T1241" s="14"/>
      <c r="U1241" s="14"/>
      <c r="V1241" s="14"/>
      <c r="W1241" s="14"/>
    </row>
    <row r="1242" ht="35.25" customHeight="1">
      <c r="A1242" s="92" t="s">
        <v>14348</v>
      </c>
      <c r="B1242" s="93" t="s">
        <v>14349</v>
      </c>
      <c r="C1242" s="94" t="s">
        <v>7309</v>
      </c>
      <c r="D1242" s="95" t="s">
        <v>14350</v>
      </c>
      <c r="E1242" s="96" t="str">
        <f>IFERROR(__xludf.DUMMYFUNCTION("GOOGLETRANSLATE(D1242,""zh-CN"",""vi"")"),"Chủ đề là bảo vệ môi trường.")</f>
        <v>Chủ đề là bảo vệ môi trường.</v>
      </c>
      <c r="F1242" s="101"/>
      <c r="G1242" s="98" t="b">
        <f t="shared" si="2"/>
        <v>0</v>
      </c>
      <c r="H1242" s="99" t="b">
        <v>0</v>
      </c>
      <c r="I1242" s="99" t="b">
        <v>0</v>
      </c>
      <c r="J1242" s="99" t="b">
        <v>0</v>
      </c>
      <c r="K1242" s="99" t="b">
        <v>0</v>
      </c>
      <c r="L1242" s="99" t="b">
        <v>0</v>
      </c>
      <c r="M1242" s="99" t="b">
        <v>0</v>
      </c>
      <c r="N1242" s="99" t="b">
        <v>0</v>
      </c>
      <c r="O1242" s="99" t="b">
        <v>0</v>
      </c>
      <c r="P1242" s="99" t="b">
        <v>0</v>
      </c>
      <c r="Q1242" s="99" t="b">
        <v>0</v>
      </c>
      <c r="R1242" s="14"/>
      <c r="S1242" s="14"/>
      <c r="T1242" s="14"/>
      <c r="U1242" s="14"/>
      <c r="V1242" s="14"/>
      <c r="W1242" s="14"/>
    </row>
    <row r="1243" ht="35.25" customHeight="1">
      <c r="A1243" s="92" t="s">
        <v>14355</v>
      </c>
      <c r="B1243" s="93" t="s">
        <v>14356</v>
      </c>
      <c r="C1243" s="94" t="s">
        <v>14357</v>
      </c>
      <c r="D1243" s="95" t="s">
        <v>14358</v>
      </c>
      <c r="E1243" s="96" t="str">
        <f>IFERROR(__xludf.DUMMYFUNCTION("GOOGLETRANSLATE(D1243,""zh-CN"",""vi"")"),"Chủ tịch đang phát biểu.")</f>
        <v>Chủ tịch đang phát biểu.</v>
      </c>
      <c r="F1243" s="101"/>
      <c r="G1243" s="98" t="b">
        <f t="shared" si="2"/>
        <v>0</v>
      </c>
      <c r="H1243" s="99" t="b">
        <v>0</v>
      </c>
      <c r="I1243" s="99" t="b">
        <v>0</v>
      </c>
      <c r="J1243" s="99" t="b">
        <v>0</v>
      </c>
      <c r="K1243" s="99" t="b">
        <v>0</v>
      </c>
      <c r="L1243" s="99" t="b">
        <v>0</v>
      </c>
      <c r="M1243" s="99" t="b">
        <v>0</v>
      </c>
      <c r="N1243" s="99" t="b">
        <v>0</v>
      </c>
      <c r="O1243" s="99" t="b">
        <v>0</v>
      </c>
      <c r="P1243" s="99" t="b">
        <v>0</v>
      </c>
      <c r="Q1243" s="99" t="b">
        <v>0</v>
      </c>
      <c r="R1243" s="14"/>
      <c r="S1243" s="14"/>
      <c r="T1243" s="14"/>
      <c r="U1243" s="14"/>
      <c r="V1243" s="14"/>
      <c r="W1243" s="14"/>
    </row>
    <row r="1244" ht="35.25" customHeight="1">
      <c r="A1244" s="92" t="s">
        <v>14366</v>
      </c>
      <c r="B1244" s="93" t="s">
        <v>14368</v>
      </c>
      <c r="C1244" s="94" t="s">
        <v>14369</v>
      </c>
      <c r="D1244" s="95" t="s">
        <v>14370</v>
      </c>
      <c r="E1244" s="96" t="str">
        <f>IFERROR(__xludf.DUMMYFUNCTION("GOOGLETRANSLATE(D1244,""zh-CN"",""vi"")"),"Chúng tôi ủng hộ việc bảo vệ môi trường.")</f>
        <v>Chúng tôi ủng hộ việc bảo vệ môi trường.</v>
      </c>
      <c r="F1244" s="101"/>
      <c r="G1244" s="98" t="b">
        <f t="shared" si="2"/>
        <v>0</v>
      </c>
      <c r="H1244" s="99" t="b">
        <v>0</v>
      </c>
      <c r="I1244" s="99" t="b">
        <v>0</v>
      </c>
      <c r="J1244" s="99" t="b">
        <v>0</v>
      </c>
      <c r="K1244" s="99" t="b">
        <v>0</v>
      </c>
      <c r="L1244" s="99" t="b">
        <v>0</v>
      </c>
      <c r="M1244" s="99" t="b">
        <v>0</v>
      </c>
      <c r="N1244" s="99" t="b">
        <v>0</v>
      </c>
      <c r="O1244" s="99" t="b">
        <v>0</v>
      </c>
      <c r="P1244" s="99" t="b">
        <v>0</v>
      </c>
      <c r="Q1244" s="99" t="b">
        <v>0</v>
      </c>
      <c r="R1244" s="14"/>
      <c r="S1244" s="14"/>
      <c r="T1244" s="14"/>
      <c r="U1244" s="14"/>
      <c r="V1244" s="14"/>
      <c r="W1244" s="14"/>
    </row>
    <row r="1245" ht="35.25" customHeight="1">
      <c r="A1245" s="92" t="s">
        <v>14375</v>
      </c>
      <c r="B1245" s="93" t="s">
        <v>14376</v>
      </c>
      <c r="C1245" s="94" t="s">
        <v>14377</v>
      </c>
      <c r="D1245" s="95" t="s">
        <v>14378</v>
      </c>
      <c r="E1245" s="96" t="str">
        <f>IFERROR(__xludf.DUMMYFUNCTION("GOOGLETRANSLATE(D1245,""zh-CN"",""vi"")"),"Chúng ta cần đun sôi nước.")</f>
        <v>Chúng ta cần đun sôi nước.</v>
      </c>
      <c r="F1245" s="101"/>
      <c r="G1245" s="98" t="b">
        <f t="shared" si="2"/>
        <v>0</v>
      </c>
      <c r="H1245" s="99" t="b">
        <v>0</v>
      </c>
      <c r="I1245" s="99" t="b">
        <v>0</v>
      </c>
      <c r="J1245" s="99" t="b">
        <v>0</v>
      </c>
      <c r="K1245" s="99" t="b">
        <v>0</v>
      </c>
      <c r="L1245" s="99" t="b">
        <v>0</v>
      </c>
      <c r="M1245" s="99" t="b">
        <v>0</v>
      </c>
      <c r="N1245" s="99" t="b">
        <v>0</v>
      </c>
      <c r="O1245" s="99" t="b">
        <v>0</v>
      </c>
      <c r="P1245" s="99" t="b">
        <v>0</v>
      </c>
      <c r="Q1245" s="99" t="b">
        <v>0</v>
      </c>
      <c r="R1245" s="14"/>
      <c r="S1245" s="14"/>
      <c r="T1245" s="14"/>
      <c r="U1245" s="14"/>
      <c r="V1245" s="14"/>
      <c r="W1245" s="14"/>
    </row>
    <row r="1246" ht="35.25" customHeight="1">
      <c r="A1246" s="92" t="s">
        <v>14383</v>
      </c>
      <c r="B1246" s="93" t="s">
        <v>14386</v>
      </c>
      <c r="C1246" s="94" t="s">
        <v>383</v>
      </c>
      <c r="D1246" s="95" t="s">
        <v>14389</v>
      </c>
      <c r="E1246" s="96" t="str">
        <f>IFERROR(__xludf.DUMMYFUNCTION("GOOGLETRANSLATE(D1246,""zh-CN"",""vi"")"),"Vui lòng đăng ký tài khoản của bạn.")</f>
        <v>Vui lòng đăng ký tài khoản của bạn.</v>
      </c>
      <c r="F1246" s="101"/>
      <c r="G1246" s="98" t="b">
        <f t="shared" si="2"/>
        <v>0</v>
      </c>
      <c r="H1246" s="99" t="b">
        <v>0</v>
      </c>
      <c r="I1246" s="99" t="b">
        <v>0</v>
      </c>
      <c r="J1246" s="99" t="b">
        <v>0</v>
      </c>
      <c r="K1246" s="99" t="b">
        <v>0</v>
      </c>
      <c r="L1246" s="99" t="b">
        <v>0</v>
      </c>
      <c r="M1246" s="99" t="b">
        <v>0</v>
      </c>
      <c r="N1246" s="99" t="b">
        <v>0</v>
      </c>
      <c r="O1246" s="99" t="b">
        <v>0</v>
      </c>
      <c r="P1246" s="99" t="b">
        <v>0</v>
      </c>
      <c r="Q1246" s="99" t="b">
        <v>0</v>
      </c>
      <c r="R1246" s="14"/>
      <c r="S1246" s="14"/>
      <c r="T1246" s="14"/>
      <c r="U1246" s="14"/>
      <c r="V1246" s="14"/>
      <c r="W1246" s="14"/>
    </row>
    <row r="1247" ht="35.25" customHeight="1">
      <c r="A1247" s="92" t="s">
        <v>14394</v>
      </c>
      <c r="B1247" s="93" t="s">
        <v>14395</v>
      </c>
      <c r="C1247" s="94" t="s">
        <v>14396</v>
      </c>
      <c r="D1247" s="95" t="s">
        <v>14397</v>
      </c>
      <c r="E1247" s="96" t="str">
        <f>IFERROR(__xludf.DUMMYFUNCTION("GOOGLETRANSLATE(D1247,""zh-CN"",""vi"")"),"Tôi chúc bạn hạnh phúc và vui vẻ.")</f>
        <v>Tôi chúc bạn hạnh phúc và vui vẻ.</v>
      </c>
      <c r="F1247" s="101"/>
      <c r="G1247" s="98" t="b">
        <f t="shared" si="2"/>
        <v>0</v>
      </c>
      <c r="H1247" s="99" t="b">
        <v>0</v>
      </c>
      <c r="I1247" s="99" t="b">
        <v>0</v>
      </c>
      <c r="J1247" s="99" t="b">
        <v>0</v>
      </c>
      <c r="K1247" s="99" t="b">
        <v>0</v>
      </c>
      <c r="L1247" s="99" t="b">
        <v>0</v>
      </c>
      <c r="M1247" s="99" t="b">
        <v>0</v>
      </c>
      <c r="N1247" s="99" t="b">
        <v>0</v>
      </c>
      <c r="O1247" s="99" t="b">
        <v>0</v>
      </c>
      <c r="P1247" s="99" t="b">
        <v>0</v>
      </c>
      <c r="Q1247" s="99" t="b">
        <v>0</v>
      </c>
      <c r="R1247" s="14"/>
      <c r="S1247" s="14"/>
      <c r="T1247" s="14"/>
      <c r="U1247" s="14"/>
      <c r="V1247" s="14"/>
      <c r="W1247" s="14"/>
    </row>
    <row r="1248" ht="35.25" customHeight="1">
      <c r="A1248" s="92" t="s">
        <v>14402</v>
      </c>
      <c r="B1248" s="93" t="s">
        <v>14403</v>
      </c>
      <c r="C1248" s="94" t="s">
        <v>14404</v>
      </c>
      <c r="D1248" s="95" t="s">
        <v>14405</v>
      </c>
      <c r="E1248" s="96" t="str">
        <f>IFERROR(__xludf.DUMMYFUNCTION("GOOGLETRANSLATE(D1248,""zh-CN"",""vi"")"),"Anh ta nắm chặt sợi dây.")</f>
        <v>Anh ta nắm chặt sợi dây.</v>
      </c>
      <c r="F1248" s="101"/>
      <c r="G1248" s="98" t="b">
        <f t="shared" si="2"/>
        <v>0</v>
      </c>
      <c r="H1248" s="99" t="b">
        <v>1</v>
      </c>
      <c r="I1248" s="99" t="b">
        <v>0</v>
      </c>
      <c r="J1248" s="99" t="b">
        <v>0</v>
      </c>
      <c r="K1248" s="99" t="b">
        <v>0</v>
      </c>
      <c r="L1248" s="99" t="b">
        <v>0</v>
      </c>
      <c r="M1248" s="99" t="b">
        <v>0</v>
      </c>
      <c r="N1248" s="99" t="b">
        <v>0</v>
      </c>
      <c r="O1248" s="99" t="b">
        <v>0</v>
      </c>
      <c r="P1248" s="99" t="b">
        <v>0</v>
      </c>
      <c r="Q1248" s="99" t="b">
        <v>0</v>
      </c>
      <c r="R1248" s="14"/>
      <c r="S1248" s="14"/>
      <c r="T1248" s="14"/>
      <c r="U1248" s="14"/>
      <c r="V1248" s="14"/>
      <c r="W1248" s="14"/>
    </row>
    <row r="1249" ht="35.25" customHeight="1">
      <c r="A1249" s="92" t="s">
        <v>14410</v>
      </c>
      <c r="B1249" s="93" t="s">
        <v>14411</v>
      </c>
      <c r="C1249" s="94" t="s">
        <v>14412</v>
      </c>
      <c r="D1249" s="95" t="s">
        <v>14413</v>
      </c>
      <c r="E1249" s="96" t="str">
        <f>IFERROR(__xludf.DUMMYFUNCTION("GOOGLETRANSLATE(D1249,""zh-CN"",""vi"")"),"Vui lòng hoàn thành nhiệm vụ càng sớm càng tốt.")</f>
        <v>Vui lòng hoàn thành nhiệm vụ càng sớm càng tốt.</v>
      </c>
      <c r="F1249" s="101"/>
      <c r="G1249" s="98" t="b">
        <f t="shared" si="2"/>
        <v>0</v>
      </c>
      <c r="H1249" s="99" t="b">
        <v>1</v>
      </c>
      <c r="I1249" s="99" t="b">
        <v>0</v>
      </c>
      <c r="J1249" s="99" t="b">
        <v>0</v>
      </c>
      <c r="K1249" s="99" t="b">
        <v>0</v>
      </c>
      <c r="L1249" s="99" t="b">
        <v>0</v>
      </c>
      <c r="M1249" s="99" t="b">
        <v>0</v>
      </c>
      <c r="N1249" s="99" t="b">
        <v>0</v>
      </c>
      <c r="O1249" s="99" t="b">
        <v>0</v>
      </c>
      <c r="P1249" s="99" t="b">
        <v>0</v>
      </c>
      <c r="Q1249" s="99" t="b">
        <v>0</v>
      </c>
      <c r="R1249" s="14"/>
      <c r="S1249" s="14"/>
      <c r="T1249" s="14"/>
      <c r="U1249" s="14"/>
      <c r="V1249" s="14"/>
      <c r="W1249" s="14"/>
    </row>
    <row r="1250" ht="35.25" customHeight="1">
      <c r="A1250" s="92" t="s">
        <v>14418</v>
      </c>
      <c r="B1250" s="93" t="s">
        <v>14419</v>
      </c>
      <c r="C1250" s="94" t="s">
        <v>14420</v>
      </c>
      <c r="D1250" s="95" t="s">
        <v>14421</v>
      </c>
      <c r="E1250" s="96" t="str">
        <f>IFERROR(__xludf.DUMMYFUNCTION("GOOGLETRANSLATE(D1250,""zh-CN"",""vi"")"),"Anh ấy là một chuyên gia.")</f>
        <v>Anh ấy là một chuyên gia.</v>
      </c>
      <c r="F1250" s="101"/>
      <c r="G1250" s="98" t="b">
        <f t="shared" si="2"/>
        <v>0</v>
      </c>
      <c r="H1250" s="99" t="b">
        <v>1</v>
      </c>
      <c r="I1250" s="99" t="b">
        <v>0</v>
      </c>
      <c r="J1250" s="99" t="b">
        <v>0</v>
      </c>
      <c r="K1250" s="99" t="b">
        <v>0</v>
      </c>
      <c r="L1250" s="99" t="b">
        <v>0</v>
      </c>
      <c r="M1250" s="99" t="b">
        <v>0</v>
      </c>
      <c r="N1250" s="99" t="b">
        <v>0</v>
      </c>
      <c r="O1250" s="99" t="b">
        <v>0</v>
      </c>
      <c r="P1250" s="99" t="b">
        <v>0</v>
      </c>
      <c r="Q1250" s="99" t="b">
        <v>0</v>
      </c>
      <c r="R1250" s="14"/>
      <c r="S1250" s="14"/>
      <c r="T1250" s="14"/>
      <c r="U1250" s="14"/>
      <c r="V1250" s="14"/>
      <c r="W1250" s="14"/>
    </row>
    <row r="1251" ht="35.25" customHeight="1">
      <c r="A1251" s="92" t="s">
        <v>14427</v>
      </c>
      <c r="B1251" s="93" t="s">
        <v>14430</v>
      </c>
      <c r="C1251" s="94" t="s">
        <v>14431</v>
      </c>
      <c r="D1251" s="95" t="s">
        <v>14432</v>
      </c>
      <c r="E1251" s="96" t="str">
        <f>IFERROR(__xludf.DUMMYFUNCTION("GOOGLETRANSLATE(D1251,""zh-CN"",""vi"")"),"Bạn cần tập trung vào bài học.")</f>
        <v>Bạn cần tập trung vào bài học.</v>
      </c>
      <c r="F1251" s="101"/>
      <c r="G1251" s="98" t="b">
        <f t="shared" si="2"/>
        <v>0</v>
      </c>
      <c r="H1251" s="99" t="b">
        <v>1</v>
      </c>
      <c r="I1251" s="99" t="b">
        <v>0</v>
      </c>
      <c r="J1251" s="99" t="b">
        <v>0</v>
      </c>
      <c r="K1251" s="99" t="b">
        <v>0</v>
      </c>
      <c r="L1251" s="99" t="b">
        <v>0</v>
      </c>
      <c r="M1251" s="99" t="b">
        <v>0</v>
      </c>
      <c r="N1251" s="99" t="b">
        <v>0</v>
      </c>
      <c r="O1251" s="99" t="b">
        <v>0</v>
      </c>
      <c r="P1251" s="99" t="b">
        <v>0</v>
      </c>
      <c r="Q1251" s="99" t="b">
        <v>0</v>
      </c>
      <c r="R1251" s="14"/>
      <c r="S1251" s="14"/>
      <c r="T1251" s="14"/>
      <c r="U1251" s="14"/>
      <c r="V1251" s="14"/>
      <c r="W1251" s="14"/>
    </row>
    <row r="1252" ht="35.25" customHeight="1">
      <c r="A1252" s="92" t="s">
        <v>14433</v>
      </c>
      <c r="B1252" s="93" t="s">
        <v>14434</v>
      </c>
      <c r="C1252" s="94" t="s">
        <v>14435</v>
      </c>
      <c r="D1252" s="95" t="s">
        <v>14436</v>
      </c>
      <c r="E1252" s="96" t="str">
        <f>IFERROR(__xludf.DUMMYFUNCTION("GOOGLETRANSLATE(D1252,""zh-CN"",""vi"")"),"Sự chuyển đổi này rất quan trọng đối với công ty.")</f>
        <v>Sự chuyển đổi này rất quan trọng đối với công ty.</v>
      </c>
      <c r="F1252" s="101"/>
      <c r="G1252" s="98" t="b">
        <f t="shared" si="2"/>
        <v>0</v>
      </c>
      <c r="H1252" s="99" t="b">
        <v>1</v>
      </c>
      <c r="I1252" s="99" t="b">
        <v>0</v>
      </c>
      <c r="J1252" s="99" t="b">
        <v>0</v>
      </c>
      <c r="K1252" s="99" t="b">
        <v>0</v>
      </c>
      <c r="L1252" s="99" t="b">
        <v>0</v>
      </c>
      <c r="M1252" s="99" t="b">
        <v>0</v>
      </c>
      <c r="N1252" s="99" t="b">
        <v>0</v>
      </c>
      <c r="O1252" s="99" t="b">
        <v>0</v>
      </c>
      <c r="P1252" s="99" t="b">
        <v>0</v>
      </c>
      <c r="Q1252" s="99" t="b">
        <v>0</v>
      </c>
      <c r="R1252" s="14"/>
      <c r="S1252" s="14"/>
      <c r="T1252" s="14"/>
      <c r="U1252" s="14"/>
      <c r="V1252" s="14"/>
      <c r="W1252" s="14"/>
    </row>
    <row r="1253" ht="35.25" customHeight="1">
      <c r="A1253" s="92" t="s">
        <v>14437</v>
      </c>
      <c r="B1253" s="93" t="s">
        <v>14438</v>
      </c>
      <c r="C1253" s="94" t="s">
        <v>14439</v>
      </c>
      <c r="D1253" s="95" t="s">
        <v>14440</v>
      </c>
      <c r="E1253" s="96" t="str">
        <f>IFERROR(__xludf.DUMMYFUNCTION("GOOGLETRANSLATE(D1253,""zh-CN"",""vi"")"),"Tôi sẽ chuyển lời nhắn này cho bạn.")</f>
        <v>Tôi sẽ chuyển lời nhắn này cho bạn.</v>
      </c>
      <c r="F1253" s="101"/>
      <c r="G1253" s="98" t="b">
        <f t="shared" si="2"/>
        <v>0</v>
      </c>
      <c r="H1253" s="99" t="b">
        <v>1</v>
      </c>
      <c r="I1253" s="99" t="b">
        <v>0</v>
      </c>
      <c r="J1253" s="99" t="b">
        <v>0</v>
      </c>
      <c r="K1253" s="99" t="b">
        <v>0</v>
      </c>
      <c r="L1253" s="99" t="b">
        <v>0</v>
      </c>
      <c r="M1253" s="99" t="b">
        <v>0</v>
      </c>
      <c r="N1253" s="99" t="b">
        <v>0</v>
      </c>
      <c r="O1253" s="99" t="b">
        <v>0</v>
      </c>
      <c r="P1253" s="99" t="b">
        <v>0</v>
      </c>
      <c r="Q1253" s="99" t="b">
        <v>0</v>
      </c>
      <c r="R1253" s="14"/>
      <c r="S1253" s="14"/>
      <c r="T1253" s="14"/>
      <c r="U1253" s="14"/>
      <c r="V1253" s="14"/>
      <c r="W1253" s="14"/>
    </row>
    <row r="1254" ht="35.25" customHeight="1">
      <c r="A1254" s="92" t="s">
        <v>14441</v>
      </c>
      <c r="B1254" s="93" t="s">
        <v>14442</v>
      </c>
      <c r="C1254" s="94" t="s">
        <v>14443</v>
      </c>
      <c r="D1254" s="135" t="s">
        <v>14445</v>
      </c>
      <c r="E1254" s="96" t="str">
        <f>IFERROR(__xludf.DUMMYFUNCTION("GOOGLETRANSLATE(D1254,""zh-CN"",""vi"")"),"Cô ấy đang thu xếp hành lý.")</f>
        <v>Cô ấy đang thu xếp hành lý.</v>
      </c>
      <c r="F1254" s="136"/>
      <c r="G1254" s="98" t="b">
        <f t="shared" si="2"/>
        <v>0</v>
      </c>
      <c r="H1254" s="99" t="b">
        <v>1</v>
      </c>
      <c r="I1254" s="99" t="b">
        <v>0</v>
      </c>
      <c r="J1254" s="99" t="b">
        <v>0</v>
      </c>
      <c r="K1254" s="99" t="b">
        <v>0</v>
      </c>
      <c r="L1254" s="99" t="b">
        <v>0</v>
      </c>
      <c r="M1254" s="99" t="b">
        <v>0</v>
      </c>
      <c r="N1254" s="99" t="b">
        <v>0</v>
      </c>
      <c r="O1254" s="99" t="b">
        <v>0</v>
      </c>
      <c r="P1254" s="99" t="b">
        <v>0</v>
      </c>
      <c r="Q1254" s="99" t="b">
        <v>0</v>
      </c>
      <c r="R1254" s="14"/>
      <c r="S1254" s="14"/>
      <c r="T1254" s="14"/>
      <c r="U1254" s="14"/>
      <c r="V1254" s="14"/>
      <c r="W1254" s="14"/>
    </row>
    <row r="1255" ht="35.25" customHeight="1">
      <c r="A1255" s="92" t="s">
        <v>14448</v>
      </c>
      <c r="B1255" s="93" t="s">
        <v>14449</v>
      </c>
      <c r="C1255" s="94" t="s">
        <v>14450</v>
      </c>
      <c r="D1255" s="95" t="s">
        <v>14451</v>
      </c>
      <c r="E1255" s="96" t="str">
        <f>IFERROR(__xludf.DUMMYFUNCTION("GOOGLETRANSLATE(D1255,""zh-CN"",""vi"")"),"Cô ấy trang trí phòng rất nhiều.")</f>
        <v>Cô ấy trang trí phòng rất nhiều.</v>
      </c>
      <c r="F1255" s="101"/>
      <c r="G1255" s="98" t="b">
        <f t="shared" si="2"/>
        <v>0</v>
      </c>
      <c r="H1255" s="99" t="b">
        <v>1</v>
      </c>
      <c r="I1255" s="99" t="b">
        <v>0</v>
      </c>
      <c r="J1255" s="99" t="b">
        <v>0</v>
      </c>
      <c r="K1255" s="99" t="b">
        <v>0</v>
      </c>
      <c r="L1255" s="99" t="b">
        <v>0</v>
      </c>
      <c r="M1255" s="99" t="b">
        <v>0</v>
      </c>
      <c r="N1255" s="99" t="b">
        <v>0</v>
      </c>
      <c r="O1255" s="99" t="b">
        <v>0</v>
      </c>
      <c r="P1255" s="99" t="b">
        <v>0</v>
      </c>
      <c r="Q1255" s="99" t="b">
        <v>0</v>
      </c>
      <c r="R1255" s="14"/>
      <c r="S1255" s="14"/>
      <c r="T1255" s="14"/>
      <c r="U1255" s="14"/>
      <c r="V1255" s="14"/>
      <c r="W1255" s="14"/>
    </row>
    <row r="1256" ht="35.25" customHeight="1">
      <c r="A1256" s="92" t="s">
        <v>14456</v>
      </c>
      <c r="B1256" s="93" t="s">
        <v>14457</v>
      </c>
      <c r="C1256" s="102" t="s">
        <v>14458</v>
      </c>
      <c r="D1256" s="95" t="s">
        <v>14459</v>
      </c>
      <c r="E1256" s="96" t="str">
        <f>IFERROR(__xludf.DUMMYFUNCTION("GOOGLETRANSLATE(D1256,""zh-CN"",""vi"")"),"Chúng tôi đang sửa sang lại nhà.")</f>
        <v>Chúng tôi đang sửa sang lại nhà.</v>
      </c>
      <c r="F1256" s="101"/>
      <c r="G1256" s="98" t="b">
        <f t="shared" si="2"/>
        <v>0</v>
      </c>
      <c r="H1256" s="99" t="b">
        <v>1</v>
      </c>
      <c r="I1256" s="99" t="b">
        <v>0</v>
      </c>
      <c r="J1256" s="99" t="b">
        <v>0</v>
      </c>
      <c r="K1256" s="99" t="b">
        <v>0</v>
      </c>
      <c r="L1256" s="99" t="b">
        <v>0</v>
      </c>
      <c r="M1256" s="99" t="b">
        <v>0</v>
      </c>
      <c r="N1256" s="99" t="b">
        <v>0</v>
      </c>
      <c r="O1256" s="99" t="b">
        <v>0</v>
      </c>
      <c r="P1256" s="99" t="b">
        <v>0</v>
      </c>
      <c r="Q1256" s="99" t="b">
        <v>0</v>
      </c>
      <c r="R1256" s="14"/>
      <c r="S1256" s="14"/>
      <c r="T1256" s="14"/>
      <c r="U1256" s="14"/>
      <c r="V1256" s="14"/>
      <c r="W1256" s="14"/>
    </row>
    <row r="1257" ht="35.25" customHeight="1">
      <c r="A1257" s="92" t="s">
        <v>14464</v>
      </c>
      <c r="B1257" s="93" t="s">
        <v>14465</v>
      </c>
      <c r="C1257" s="94" t="s">
        <v>14466</v>
      </c>
      <c r="D1257" s="95" t="s">
        <v>14467</v>
      </c>
      <c r="E1257" s="96" t="str">
        <f>IFERROR(__xludf.DUMMYFUNCTION("GOOGLETRANSLATE(D1257,""zh-CN"",""vi"")"),"Ông ấy có sức khỏe tốt.")</f>
        <v>Ông ấy có sức khỏe tốt.</v>
      </c>
      <c r="F1257" s="101"/>
      <c r="G1257" s="98" t="b">
        <f t="shared" si="2"/>
        <v>0</v>
      </c>
      <c r="H1257" s="99" t="b">
        <v>1</v>
      </c>
      <c r="I1257" s="99" t="b">
        <v>0</v>
      </c>
      <c r="J1257" s="99" t="b">
        <v>0</v>
      </c>
      <c r="K1257" s="99" t="b">
        <v>0</v>
      </c>
      <c r="L1257" s="99" t="b">
        <v>0</v>
      </c>
      <c r="M1257" s="99" t="b">
        <v>0</v>
      </c>
      <c r="N1257" s="99" t="b">
        <v>0</v>
      </c>
      <c r="O1257" s="99" t="b">
        <v>0</v>
      </c>
      <c r="P1257" s="99" t="b">
        <v>0</v>
      </c>
      <c r="Q1257" s="99" t="b">
        <v>0</v>
      </c>
      <c r="R1257" s="14"/>
      <c r="S1257" s="14"/>
      <c r="T1257" s="14"/>
      <c r="U1257" s="14"/>
      <c r="V1257" s="14"/>
      <c r="W1257" s="14"/>
    </row>
    <row r="1258" ht="35.25" customHeight="1">
      <c r="A1258" s="92" t="s">
        <v>14472</v>
      </c>
      <c r="B1258" s="93" t="s">
        <v>14473</v>
      </c>
      <c r="C1258" s="94" t="s">
        <v>14474</v>
      </c>
      <c r="D1258" s="95" t="s">
        <v>14475</v>
      </c>
      <c r="E1258" s="96" t="str">
        <f>IFERROR(__xludf.DUMMYFUNCTION("GOOGLETRANSLATE(D1258,""zh-CN"",""vi"")"),"Tình hình hiện tại không lý tưởng.")</f>
        <v>Tình hình hiện tại không lý tưởng.</v>
      </c>
      <c r="F1258" s="101"/>
      <c r="G1258" s="98" t="b">
        <f t="shared" si="2"/>
        <v>0</v>
      </c>
      <c r="H1258" s="99" t="b">
        <v>1</v>
      </c>
      <c r="I1258" s="99" t="b">
        <v>0</v>
      </c>
      <c r="J1258" s="99" t="b">
        <v>0</v>
      </c>
      <c r="K1258" s="99" t="b">
        <v>0</v>
      </c>
      <c r="L1258" s="99" t="b">
        <v>0</v>
      </c>
      <c r="M1258" s="99" t="b">
        <v>0</v>
      </c>
      <c r="N1258" s="99" t="b">
        <v>0</v>
      </c>
      <c r="O1258" s="99" t="b">
        <v>0</v>
      </c>
      <c r="P1258" s="99" t="b">
        <v>0</v>
      </c>
      <c r="Q1258" s="99" t="b">
        <v>0</v>
      </c>
      <c r="R1258" s="14"/>
      <c r="S1258" s="14"/>
      <c r="T1258" s="14"/>
      <c r="U1258" s="14"/>
      <c r="V1258" s="14"/>
      <c r="W1258" s="14"/>
    </row>
    <row r="1259" ht="35.25" customHeight="1">
      <c r="A1259" s="92" t="s">
        <v>14480</v>
      </c>
      <c r="B1259" s="93" t="s">
        <v>14481</v>
      </c>
      <c r="C1259" s="94" t="s">
        <v>14482</v>
      </c>
      <c r="D1259" s="95" t="s">
        <v>14484</v>
      </c>
      <c r="E1259" s="96" t="str">
        <f>IFERROR(__xludf.DUMMYFUNCTION("GOOGLETRANSLATE(D1259,""zh-CN"",""vi"")"),"Anh ấy vô tình va vào tường.")</f>
        <v>Anh ấy vô tình va vào tường.</v>
      </c>
      <c r="F1259" s="101"/>
      <c r="G1259" s="98" t="b">
        <f t="shared" si="2"/>
        <v>0</v>
      </c>
      <c r="H1259" s="99" t="b">
        <v>1</v>
      </c>
      <c r="I1259" s="99" t="b">
        <v>0</v>
      </c>
      <c r="J1259" s="99" t="b">
        <v>0</v>
      </c>
      <c r="K1259" s="99" t="b">
        <v>0</v>
      </c>
      <c r="L1259" s="99" t="b">
        <v>0</v>
      </c>
      <c r="M1259" s="99" t="b">
        <v>0</v>
      </c>
      <c r="N1259" s="99" t="b">
        <v>0</v>
      </c>
      <c r="O1259" s="99" t="b">
        <v>0</v>
      </c>
      <c r="P1259" s="99" t="b">
        <v>0</v>
      </c>
      <c r="Q1259" s="99" t="b">
        <v>0</v>
      </c>
      <c r="R1259" s="14"/>
      <c r="S1259" s="14"/>
      <c r="T1259" s="14"/>
      <c r="U1259" s="14"/>
      <c r="V1259" s="14"/>
      <c r="W1259" s="14"/>
    </row>
    <row r="1260" ht="35.25" customHeight="1">
      <c r="A1260" s="92" t="s">
        <v>14488</v>
      </c>
      <c r="B1260" s="93" t="s">
        <v>14491</v>
      </c>
      <c r="C1260" s="94" t="s">
        <v>1619</v>
      </c>
      <c r="D1260" s="135" t="s">
        <v>14494</v>
      </c>
      <c r="E1260" s="96" t="str">
        <f>IFERROR(__xludf.DUMMYFUNCTION("GOOGLETRANSLATE(D1260,""zh-CN"",""vi"")"),"Anh ta đang đuổi theo một chiếc xe buýt.")</f>
        <v>Anh ta đang đuổi theo một chiếc xe buýt.</v>
      </c>
      <c r="F1260" s="136"/>
      <c r="G1260" s="98" t="b">
        <f t="shared" si="2"/>
        <v>0</v>
      </c>
      <c r="H1260" s="99" t="b">
        <v>1</v>
      </c>
      <c r="I1260" s="99" t="b">
        <v>0</v>
      </c>
      <c r="J1260" s="99" t="b">
        <v>0</v>
      </c>
      <c r="K1260" s="99" t="b">
        <v>0</v>
      </c>
      <c r="L1260" s="99" t="b">
        <v>0</v>
      </c>
      <c r="M1260" s="99" t="b">
        <v>0</v>
      </c>
      <c r="N1260" s="99" t="b">
        <v>0</v>
      </c>
      <c r="O1260" s="99" t="b">
        <v>0</v>
      </c>
      <c r="P1260" s="99" t="b">
        <v>0</v>
      </c>
      <c r="Q1260" s="99" t="b">
        <v>0</v>
      </c>
      <c r="R1260" s="14"/>
      <c r="S1260" s="14"/>
      <c r="T1260" s="14"/>
      <c r="U1260" s="14"/>
      <c r="V1260" s="14"/>
      <c r="W1260" s="14"/>
    </row>
    <row r="1261" ht="35.25" customHeight="1">
      <c r="A1261" s="92" t="s">
        <v>14499</v>
      </c>
      <c r="B1261" s="93" t="s">
        <v>14500</v>
      </c>
      <c r="C1261" s="94" t="s">
        <v>5382</v>
      </c>
      <c r="D1261" s="95" t="s">
        <v>14501</v>
      </c>
      <c r="E1261" s="96" t="str">
        <f>IFERROR(__xludf.DUMMYFUNCTION("GOOGLETRANSLATE(D1261,""zh-CN"",""vi"")"),"Cô ấy luôn theo đuổi ước mơ của mình.")</f>
        <v>Cô ấy luôn theo đuổi ước mơ của mình.</v>
      </c>
      <c r="F1261" s="101"/>
      <c r="G1261" s="98" t="b">
        <f t="shared" si="2"/>
        <v>0</v>
      </c>
      <c r="H1261" s="99" t="b">
        <v>1</v>
      </c>
      <c r="I1261" s="99" t="b">
        <v>0</v>
      </c>
      <c r="J1261" s="99" t="b">
        <v>0</v>
      </c>
      <c r="K1261" s="99" t="b">
        <v>0</v>
      </c>
      <c r="L1261" s="99" t="b">
        <v>0</v>
      </c>
      <c r="M1261" s="99" t="b">
        <v>0</v>
      </c>
      <c r="N1261" s="99" t="b">
        <v>0</v>
      </c>
      <c r="O1261" s="99" t="b">
        <v>0</v>
      </c>
      <c r="P1261" s="99" t="b">
        <v>0</v>
      </c>
      <c r="Q1261" s="99" t="b">
        <v>0</v>
      </c>
      <c r="R1261" s="14"/>
      <c r="S1261" s="14"/>
      <c r="T1261" s="14"/>
      <c r="U1261" s="14"/>
      <c r="V1261" s="14"/>
      <c r="W1261" s="14"/>
    </row>
    <row r="1262" ht="35.25" customHeight="1">
      <c r="A1262" s="92" t="s">
        <v>14506</v>
      </c>
      <c r="B1262" s="93" t="s">
        <v>14507</v>
      </c>
      <c r="C1262" s="94" t="s">
        <v>14508</v>
      </c>
      <c r="D1262" s="95" t="s">
        <v>14509</v>
      </c>
      <c r="E1262" s="96" t="str">
        <f>IFERROR(__xludf.DUMMYFUNCTION("GOOGLETRANSLATE(D1262,""zh-CN"",""vi"")"),"Chúng ta cần tham khảo ý kiến ​​chuyên gia.")</f>
        <v>Chúng ta cần tham khảo ý kiến ​​chuyên gia.</v>
      </c>
      <c r="F1262" s="101"/>
      <c r="G1262" s="98" t="b">
        <f t="shared" si="2"/>
        <v>0</v>
      </c>
      <c r="H1262" s="99" t="b">
        <v>1</v>
      </c>
      <c r="I1262" s="99" t="b">
        <v>0</v>
      </c>
      <c r="J1262" s="99" t="b">
        <v>0</v>
      </c>
      <c r="K1262" s="99" t="b">
        <v>0</v>
      </c>
      <c r="L1262" s="99" t="b">
        <v>0</v>
      </c>
      <c r="M1262" s="99" t="b">
        <v>0</v>
      </c>
      <c r="N1262" s="99" t="b">
        <v>0</v>
      </c>
      <c r="O1262" s="99" t="b">
        <v>0</v>
      </c>
      <c r="P1262" s="99" t="b">
        <v>0</v>
      </c>
      <c r="Q1262" s="99" t="b">
        <v>0</v>
      </c>
      <c r="R1262" s="14"/>
      <c r="S1262" s="14"/>
      <c r="T1262" s="14"/>
      <c r="U1262" s="14"/>
      <c r="V1262" s="14"/>
      <c r="W1262" s="14"/>
    </row>
    <row r="1263" ht="35.25" customHeight="1">
      <c r="A1263" s="92" t="s">
        <v>14514</v>
      </c>
      <c r="B1263" s="93" t="s">
        <v>14515</v>
      </c>
      <c r="C1263" s="94" t="s">
        <v>14516</v>
      </c>
      <c r="D1263" s="95" t="s">
        <v>14517</v>
      </c>
      <c r="E1263" s="96" t="str">
        <f>IFERROR(__xludf.DUMMYFUNCTION("GOOGLETRANSLATE(D1263,""zh-CN"",""vi"")"),"Tư thế của bạn rất thanh lịch.")</f>
        <v>Tư thế của bạn rất thanh lịch.</v>
      </c>
      <c r="F1263" s="101"/>
      <c r="G1263" s="98" t="b">
        <f t="shared" si="2"/>
        <v>0</v>
      </c>
      <c r="H1263" s="99" t="b">
        <v>1</v>
      </c>
      <c r="I1263" s="99" t="b">
        <v>0</v>
      </c>
      <c r="J1263" s="99" t="b">
        <v>0</v>
      </c>
      <c r="K1263" s="99" t="b">
        <v>0</v>
      </c>
      <c r="L1263" s="99" t="b">
        <v>0</v>
      </c>
      <c r="M1263" s="99" t="b">
        <v>0</v>
      </c>
      <c r="N1263" s="99" t="b">
        <v>0</v>
      </c>
      <c r="O1263" s="99" t="b">
        <v>0</v>
      </c>
      <c r="P1263" s="99" t="b">
        <v>0</v>
      </c>
      <c r="Q1263" s="99" t="b">
        <v>0</v>
      </c>
      <c r="R1263" s="14"/>
      <c r="S1263" s="14"/>
      <c r="T1263" s="14"/>
      <c r="U1263" s="14"/>
      <c r="V1263" s="14"/>
      <c r="W1263" s="14"/>
    </row>
    <row r="1264" ht="35.25" customHeight="1">
      <c r="A1264" s="92" t="s">
        <v>14522</v>
      </c>
      <c r="B1264" s="93" t="s">
        <v>14523</v>
      </c>
      <c r="C1264" s="94" t="s">
        <v>14524</v>
      </c>
      <c r="D1264" s="95" t="s">
        <v>14525</v>
      </c>
      <c r="E1264" s="96" t="str">
        <f>IFERROR(__xludf.DUMMYFUNCTION("GOOGLETRANSLATE(D1264,""zh-CN"",""vi"")"),"Vị trí này yêu cầu một số bằng cấp nhất định.")</f>
        <v>Vị trí này yêu cầu một số bằng cấp nhất định.</v>
      </c>
      <c r="F1264" s="101"/>
      <c r="G1264" s="98" t="b">
        <f t="shared" si="2"/>
        <v>0</v>
      </c>
      <c r="H1264" s="99" t="b">
        <v>1</v>
      </c>
      <c r="I1264" s="99" t="b">
        <v>0</v>
      </c>
      <c r="J1264" s="99" t="b">
        <v>0</v>
      </c>
      <c r="K1264" s="99" t="b">
        <v>0</v>
      </c>
      <c r="L1264" s="99" t="b">
        <v>0</v>
      </c>
      <c r="M1264" s="99" t="b">
        <v>0</v>
      </c>
      <c r="N1264" s="99" t="b">
        <v>0</v>
      </c>
      <c r="O1264" s="99" t="b">
        <v>0</v>
      </c>
      <c r="P1264" s="99" t="b">
        <v>0</v>
      </c>
      <c r="Q1264" s="99" t="b">
        <v>0</v>
      </c>
      <c r="R1264" s="14"/>
      <c r="S1264" s="14"/>
      <c r="T1264" s="14"/>
      <c r="U1264" s="14"/>
      <c r="V1264" s="14"/>
      <c r="W1264" s="14"/>
    </row>
    <row r="1265" ht="35.25" customHeight="1">
      <c r="A1265" s="92" t="s">
        <v>14530</v>
      </c>
      <c r="B1265" s="93" t="s">
        <v>14531</v>
      </c>
      <c r="C1265" s="94" t="s">
        <v>14532</v>
      </c>
      <c r="D1265" s="95" t="s">
        <v>14533</v>
      </c>
      <c r="E1265" s="96" t="str">
        <f>IFERROR(__xludf.DUMMYFUNCTION("GOOGLETRANSLATE(D1265,""zh-CN"",""vi"")"),"Chúng ta cần thêm kinh phí.")</f>
        <v>Chúng ta cần thêm kinh phí.</v>
      </c>
      <c r="F1265" s="101"/>
      <c r="G1265" s="98" t="b">
        <f t="shared" si="2"/>
        <v>0</v>
      </c>
      <c r="H1265" s="99" t="b">
        <v>1</v>
      </c>
      <c r="I1265" s="99" t="b">
        <v>0</v>
      </c>
      <c r="J1265" s="99" t="b">
        <v>0</v>
      </c>
      <c r="K1265" s="99" t="b">
        <v>0</v>
      </c>
      <c r="L1265" s="99" t="b">
        <v>0</v>
      </c>
      <c r="M1265" s="99" t="b">
        <v>0</v>
      </c>
      <c r="N1265" s="99" t="b">
        <v>0</v>
      </c>
      <c r="O1265" s="99" t="b">
        <v>0</v>
      </c>
      <c r="P1265" s="99" t="b">
        <v>0</v>
      </c>
      <c r="Q1265" s="99" t="b">
        <v>0</v>
      </c>
      <c r="R1265" s="14"/>
      <c r="S1265" s="14"/>
      <c r="T1265" s="14"/>
      <c r="U1265" s="14"/>
      <c r="V1265" s="14"/>
      <c r="W1265" s="14"/>
    </row>
    <row r="1266" ht="35.25" customHeight="1">
      <c r="A1266" s="92" t="s">
        <v>14538</v>
      </c>
      <c r="B1266" s="93" t="s">
        <v>14539</v>
      </c>
      <c r="C1266" s="94" t="s">
        <v>14540</v>
      </c>
      <c r="D1266" s="95" t="s">
        <v>14541</v>
      </c>
      <c r="E1266" s="96" t="str">
        <f>IFERROR(__xludf.DUMMYFUNCTION("GOOGLETRANSLATE(D1266,""zh-CN"",""vi"")"),"Thông tin này rất quan trọng.")</f>
        <v>Thông tin này rất quan trọng.</v>
      </c>
      <c r="F1266" s="101"/>
      <c r="G1266" s="98" t="b">
        <f t="shared" si="2"/>
        <v>0</v>
      </c>
      <c r="H1266" s="99" t="b">
        <v>1</v>
      </c>
      <c r="I1266" s="99" t="b">
        <v>0</v>
      </c>
      <c r="J1266" s="99" t="b">
        <v>0</v>
      </c>
      <c r="K1266" s="99" t="b">
        <v>0</v>
      </c>
      <c r="L1266" s="99" t="b">
        <v>0</v>
      </c>
      <c r="M1266" s="99" t="b">
        <v>0</v>
      </c>
      <c r="N1266" s="99" t="b">
        <v>0</v>
      </c>
      <c r="O1266" s="99" t="b">
        <v>0</v>
      </c>
      <c r="P1266" s="99" t="b">
        <v>0</v>
      </c>
      <c r="Q1266" s="99" t="b">
        <v>0</v>
      </c>
      <c r="R1266" s="14"/>
      <c r="S1266" s="14"/>
      <c r="T1266" s="14"/>
      <c r="U1266" s="14"/>
      <c r="V1266" s="14"/>
      <c r="W1266" s="14"/>
    </row>
    <row r="1267" ht="35.25" customHeight="1">
      <c r="A1267" s="92" t="s">
        <v>14546</v>
      </c>
      <c r="B1267" s="93" t="s">
        <v>14547</v>
      </c>
      <c r="C1267" s="94" t="s">
        <v>14548</v>
      </c>
      <c r="D1267" s="95" t="s">
        <v>14549</v>
      </c>
      <c r="E1267" s="96" t="str">
        <f>IFERROR(__xludf.DUMMYFUNCTION("GOOGLETRANSLATE(D1267,""zh-CN"",""vi"")"),"Quốc gia này rất giàu tài nguyên.")</f>
        <v>Quốc gia này rất giàu tài nguyên.</v>
      </c>
      <c r="F1267" s="101"/>
      <c r="G1267" s="98" t="b">
        <f t="shared" si="2"/>
        <v>0</v>
      </c>
      <c r="H1267" s="99" t="b">
        <v>1</v>
      </c>
      <c r="I1267" s="99" t="b">
        <v>0</v>
      </c>
      <c r="J1267" s="99" t="b">
        <v>0</v>
      </c>
      <c r="K1267" s="99" t="b">
        <v>0</v>
      </c>
      <c r="L1267" s="99" t="b">
        <v>0</v>
      </c>
      <c r="M1267" s="99" t="b">
        <v>0</v>
      </c>
      <c r="N1267" s="99" t="b">
        <v>0</v>
      </c>
      <c r="O1267" s="99" t="b">
        <v>0</v>
      </c>
      <c r="P1267" s="99" t="b">
        <v>0</v>
      </c>
      <c r="Q1267" s="99" t="b">
        <v>0</v>
      </c>
      <c r="R1267" s="14"/>
      <c r="S1267" s="14"/>
      <c r="T1267" s="14"/>
      <c r="U1267" s="14"/>
      <c r="V1267" s="14"/>
      <c r="W1267" s="14"/>
    </row>
    <row r="1268" ht="35.25" customHeight="1">
      <c r="A1268" s="92" t="s">
        <v>14554</v>
      </c>
      <c r="B1268" s="93" t="s">
        <v>14555</v>
      </c>
      <c r="C1268" s="94" t="s">
        <v>14556</v>
      </c>
      <c r="D1268" s="95" t="s">
        <v>14557</v>
      </c>
      <c r="E1268" s="96" t="str">
        <f>IFERROR(__xludf.DUMMYFUNCTION("GOOGLETRANSLATE(D1268,""zh-CN"",""vi"")"),"Cô ấy mặc một chiếc váy màu tím.")</f>
        <v>Cô ấy mặc một chiếc váy màu tím.</v>
      </c>
      <c r="F1268" s="101"/>
      <c r="G1268" s="98" t="b">
        <f t="shared" si="2"/>
        <v>0</v>
      </c>
      <c r="H1268" s="99" t="b">
        <v>1</v>
      </c>
      <c r="I1268" s="99" t="b">
        <v>0</v>
      </c>
      <c r="J1268" s="99" t="b">
        <v>0</v>
      </c>
      <c r="K1268" s="99" t="b">
        <v>0</v>
      </c>
      <c r="L1268" s="99" t="b">
        <v>0</v>
      </c>
      <c r="M1268" s="99" t="b">
        <v>0</v>
      </c>
      <c r="N1268" s="99" t="b">
        <v>0</v>
      </c>
      <c r="O1268" s="99" t="b">
        <v>0</v>
      </c>
      <c r="P1268" s="99" t="b">
        <v>0</v>
      </c>
      <c r="Q1268" s="99" t="b">
        <v>0</v>
      </c>
      <c r="R1268" s="14"/>
      <c r="S1268" s="14"/>
      <c r="T1268" s="14"/>
      <c r="U1268" s="14"/>
      <c r="V1268" s="14"/>
      <c r="W1268" s="14"/>
    </row>
    <row r="1269" ht="35.25" customHeight="1">
      <c r="A1269" s="92" t="s">
        <v>14562</v>
      </c>
      <c r="B1269" s="93" t="s">
        <v>14563</v>
      </c>
      <c r="C1269" s="94" t="s">
        <v>14565</v>
      </c>
      <c r="D1269" s="95" t="s">
        <v>14567</v>
      </c>
      <c r="E1269" s="96" t="str">
        <f>IFERROR(__xludf.DUMMYFUNCTION("GOOGLETRANSLATE(D1269,""zh-CN"",""vi"")"),"Kể từ sau tai nạn đó, cô ấy đã trở nên cẩn thận hơn rất nhiều.")</f>
        <v>Kể từ sau tai nạn đó, cô ấy đã trở nên cẩn thận hơn rất nhiều.</v>
      </c>
      <c r="F1269" s="101"/>
      <c r="G1269" s="98" t="b">
        <f t="shared" si="2"/>
        <v>0</v>
      </c>
      <c r="H1269" s="99" t="b">
        <v>1</v>
      </c>
      <c r="I1269" s="99" t="b">
        <v>0</v>
      </c>
      <c r="J1269" s="99" t="b">
        <v>0</v>
      </c>
      <c r="K1269" s="99" t="b">
        <v>0</v>
      </c>
      <c r="L1269" s="99" t="b">
        <v>0</v>
      </c>
      <c r="M1269" s="99" t="b">
        <v>0</v>
      </c>
      <c r="N1269" s="99" t="b">
        <v>0</v>
      </c>
      <c r="O1269" s="99" t="b">
        <v>0</v>
      </c>
      <c r="P1269" s="99" t="b">
        <v>0</v>
      </c>
      <c r="Q1269" s="99" t="b">
        <v>0</v>
      </c>
      <c r="R1269" s="14"/>
      <c r="S1269" s="14"/>
      <c r="T1269" s="14"/>
      <c r="U1269" s="14"/>
      <c r="V1269" s="14"/>
      <c r="W1269" s="14"/>
    </row>
    <row r="1270" ht="35.25" customHeight="1">
      <c r="A1270" s="92" t="s">
        <v>14574</v>
      </c>
      <c r="B1270" s="93" t="s">
        <v>14575</v>
      </c>
      <c r="C1270" s="94" t="s">
        <v>14576</v>
      </c>
      <c r="D1270" s="95" t="s">
        <v>14577</v>
      </c>
      <c r="E1270" s="96" t="str">
        <f>IFERROR(__xludf.DUMMYFUNCTION("GOOGLETRANSLATE(D1270,""zh-CN"",""vi"")"),"Máy này hoạt động tự động.")</f>
        <v>Máy này hoạt động tự động.</v>
      </c>
      <c r="F1270" s="101"/>
      <c r="G1270" s="98" t="b">
        <f t="shared" si="2"/>
        <v>0</v>
      </c>
      <c r="H1270" s="99" t="b">
        <v>1</v>
      </c>
      <c r="I1270" s="99" t="b">
        <v>0</v>
      </c>
      <c r="J1270" s="99" t="b">
        <v>0</v>
      </c>
      <c r="K1270" s="99" t="b">
        <v>0</v>
      </c>
      <c r="L1270" s="99" t="b">
        <v>0</v>
      </c>
      <c r="M1270" s="99" t="b">
        <v>0</v>
      </c>
      <c r="N1270" s="99" t="b">
        <v>0</v>
      </c>
      <c r="O1270" s="99" t="b">
        <v>0</v>
      </c>
      <c r="P1270" s="99" t="b">
        <v>0</v>
      </c>
      <c r="Q1270" s="99" t="b">
        <v>0</v>
      </c>
      <c r="R1270" s="14"/>
      <c r="S1270" s="14"/>
      <c r="T1270" s="14"/>
      <c r="U1270" s="14"/>
      <c r="V1270" s="14"/>
      <c r="W1270" s="14"/>
    </row>
    <row r="1271" ht="35.25" customHeight="1">
      <c r="A1271" s="92" t="s">
        <v>14582</v>
      </c>
      <c r="B1271" s="93" t="s">
        <v>14583</v>
      </c>
      <c r="C1271" s="94" t="s">
        <v>2650</v>
      </c>
      <c r="D1271" s="95" t="s">
        <v>14584</v>
      </c>
      <c r="E1271" s="96" t="str">
        <f>IFERROR(__xludf.DUMMYFUNCTION("GOOGLETRANSLATE(D1271,""zh-CN"",""vi"")"),"Ông ấy rất tự hào về thành công của mình.")</f>
        <v>Ông ấy rất tự hào về thành công của mình.</v>
      </c>
      <c r="F1271" s="101"/>
      <c r="G1271" s="98" t="b">
        <f t="shared" si="2"/>
        <v>0</v>
      </c>
      <c r="H1271" s="99" t="b">
        <v>1</v>
      </c>
      <c r="I1271" s="99" t="b">
        <v>0</v>
      </c>
      <c r="J1271" s="99" t="b">
        <v>0</v>
      </c>
      <c r="K1271" s="99" t="b">
        <v>0</v>
      </c>
      <c r="L1271" s="99" t="b">
        <v>0</v>
      </c>
      <c r="M1271" s="99" t="b">
        <v>0</v>
      </c>
      <c r="N1271" s="99" t="b">
        <v>0</v>
      </c>
      <c r="O1271" s="99" t="b">
        <v>0</v>
      </c>
      <c r="P1271" s="99" t="b">
        <v>0</v>
      </c>
      <c r="Q1271" s="99" t="b">
        <v>0</v>
      </c>
      <c r="R1271" s="14"/>
      <c r="S1271" s="14"/>
      <c r="T1271" s="14"/>
      <c r="U1271" s="14"/>
      <c r="V1271" s="14"/>
      <c r="W1271" s="14"/>
    </row>
    <row r="1272" ht="35.25" customHeight="1">
      <c r="A1272" s="92" t="s">
        <v>14589</v>
      </c>
      <c r="B1272" s="93" t="s">
        <v>14590</v>
      </c>
      <c r="C1272" s="94" t="s">
        <v>14593</v>
      </c>
      <c r="D1272" s="95" t="s">
        <v>14595</v>
      </c>
      <c r="E1272" s="96" t="str">
        <f>IFERROR(__xludf.DUMMYFUNCTION("GOOGLETRANSLATE(D1272,""zh-CN"",""vi"")"),"Bạn nên chủ động tuân thủ các quy tắc.")</f>
        <v>Bạn nên chủ động tuân thủ các quy tắc.</v>
      </c>
      <c r="F1272" s="101"/>
      <c r="G1272" s="98" t="b">
        <f t="shared" si="2"/>
        <v>0</v>
      </c>
      <c r="H1272" s="99" t="b">
        <v>1</v>
      </c>
      <c r="I1272" s="99" t="b">
        <v>0</v>
      </c>
      <c r="J1272" s="99" t="b">
        <v>0</v>
      </c>
      <c r="K1272" s="99" t="b">
        <v>0</v>
      </c>
      <c r="L1272" s="99" t="b">
        <v>0</v>
      </c>
      <c r="M1272" s="99" t="b">
        <v>0</v>
      </c>
      <c r="N1272" s="99" t="b">
        <v>0</v>
      </c>
      <c r="O1272" s="99" t="b">
        <v>0</v>
      </c>
      <c r="P1272" s="99" t="b">
        <v>0</v>
      </c>
      <c r="Q1272" s="99" t="b">
        <v>0</v>
      </c>
      <c r="R1272" s="14"/>
      <c r="S1272" s="14"/>
      <c r="T1272" s="14"/>
      <c r="U1272" s="14"/>
      <c r="V1272" s="14"/>
      <c r="W1272" s="14"/>
    </row>
    <row r="1273" ht="35.25" customHeight="1">
      <c r="A1273" s="92" t="s">
        <v>14601</v>
      </c>
      <c r="B1273" s="93" t="s">
        <v>14602</v>
      </c>
      <c r="C1273" s="94" t="s">
        <v>14603</v>
      </c>
      <c r="D1273" s="95" t="s">
        <v>14604</v>
      </c>
      <c r="E1273" s="96" t="str">
        <f>IFERROR(__xludf.DUMMYFUNCTION("GOOGLETRANSLATE(D1273,""zh-CN"",""vi"")"),"Anh ấy hơi ích kỷ.")</f>
        <v>Anh ấy hơi ích kỷ.</v>
      </c>
      <c r="F1273" s="101"/>
      <c r="G1273" s="98" t="b">
        <f t="shared" si="2"/>
        <v>0</v>
      </c>
      <c r="H1273" s="99" t="b">
        <v>1</v>
      </c>
      <c r="I1273" s="99" t="b">
        <v>0</v>
      </c>
      <c r="J1273" s="99" t="b">
        <v>0</v>
      </c>
      <c r="K1273" s="99" t="b">
        <v>0</v>
      </c>
      <c r="L1273" s="99" t="b">
        <v>0</v>
      </c>
      <c r="M1273" s="99" t="b">
        <v>0</v>
      </c>
      <c r="N1273" s="99" t="b">
        <v>0</v>
      </c>
      <c r="O1273" s="99" t="b">
        <v>0</v>
      </c>
      <c r="P1273" s="99" t="b">
        <v>0</v>
      </c>
      <c r="Q1273" s="99" t="b">
        <v>0</v>
      </c>
      <c r="R1273" s="14"/>
      <c r="S1273" s="14"/>
      <c r="T1273" s="14"/>
      <c r="U1273" s="14"/>
      <c r="V1273" s="14"/>
      <c r="W1273" s="14"/>
    </row>
    <row r="1274" ht="35.25" customHeight="1">
      <c r="A1274" s="92" t="s">
        <v>14609</v>
      </c>
      <c r="B1274" s="93" t="s">
        <v>14610</v>
      </c>
      <c r="C1274" s="94" t="s">
        <v>14611</v>
      </c>
      <c r="D1274" s="95" t="s">
        <v>14612</v>
      </c>
      <c r="E1274" s="96" t="str">
        <f>IFERROR(__xludf.DUMMYFUNCTION("GOOGLETRANSLATE(D1274,""zh-CN"",""vi"")"),"Ở đất nước này, người dân được hưởng tự do.")</f>
        <v>Ở đất nước này, người dân được hưởng tự do.</v>
      </c>
      <c r="F1274" s="101"/>
      <c r="G1274" s="98" t="b">
        <f t="shared" si="2"/>
        <v>0</v>
      </c>
      <c r="H1274" s="99" t="b">
        <v>1</v>
      </c>
      <c r="I1274" s="99" t="b">
        <v>0</v>
      </c>
      <c r="J1274" s="99" t="b">
        <v>0</v>
      </c>
      <c r="K1274" s="99" t="b">
        <v>0</v>
      </c>
      <c r="L1274" s="99" t="b">
        <v>0</v>
      </c>
      <c r="M1274" s="99" t="b">
        <v>0</v>
      </c>
      <c r="N1274" s="99" t="b">
        <v>0</v>
      </c>
      <c r="O1274" s="99" t="b">
        <v>0</v>
      </c>
      <c r="P1274" s="99" t="b">
        <v>0</v>
      </c>
      <c r="Q1274" s="99" t="b">
        <v>0</v>
      </c>
      <c r="R1274" s="14"/>
      <c r="S1274" s="14"/>
      <c r="T1274" s="14"/>
      <c r="U1274" s="14"/>
      <c r="V1274" s="14"/>
      <c r="W1274" s="14"/>
    </row>
    <row r="1275" ht="35.25" customHeight="1">
      <c r="A1275" s="92" t="s">
        <v>14617</v>
      </c>
      <c r="B1275" s="93" t="s">
        <v>14620</v>
      </c>
      <c r="C1275" s="94" t="s">
        <v>14622</v>
      </c>
      <c r="D1275" s="95" t="s">
        <v>14624</v>
      </c>
      <c r="E1275" s="96" t="str">
        <f>IFERROR(__xludf.DUMMYFUNCTION("GOOGLETRANSLATE(D1275,""zh-CN"",""vi"")"),"Cô ấy đã tình nguyện tham gia các hoạt động tình nguyện.")</f>
        <v>Cô ấy đã tình nguyện tham gia các hoạt động tình nguyện.</v>
      </c>
      <c r="F1275" s="101"/>
      <c r="G1275" s="98" t="b">
        <f t="shared" si="2"/>
        <v>0</v>
      </c>
      <c r="H1275" s="99" t="b">
        <v>1</v>
      </c>
      <c r="I1275" s="99" t="b">
        <v>0</v>
      </c>
      <c r="J1275" s="99" t="b">
        <v>0</v>
      </c>
      <c r="K1275" s="99" t="b">
        <v>0</v>
      </c>
      <c r="L1275" s="99" t="b">
        <v>0</v>
      </c>
      <c r="M1275" s="99" t="b">
        <v>0</v>
      </c>
      <c r="N1275" s="99" t="b">
        <v>0</v>
      </c>
      <c r="O1275" s="99" t="b">
        <v>0</v>
      </c>
      <c r="P1275" s="99" t="b">
        <v>0</v>
      </c>
      <c r="Q1275" s="99" t="b">
        <v>0</v>
      </c>
      <c r="R1275" s="14"/>
      <c r="S1275" s="14"/>
      <c r="T1275" s="14"/>
      <c r="U1275" s="14"/>
      <c r="V1275" s="14"/>
      <c r="W1275" s="14"/>
    </row>
    <row r="1276" ht="35.25" customHeight="1">
      <c r="A1276" s="92" t="s">
        <v>14629</v>
      </c>
      <c r="B1276" s="93" t="s">
        <v>14630</v>
      </c>
      <c r="C1276" s="94" t="s">
        <v>14631</v>
      </c>
      <c r="D1276" s="95" t="s">
        <v>14632</v>
      </c>
      <c r="E1276" s="96" t="str">
        <f>IFERROR(__xludf.DUMMYFUNCTION("GOOGLETRANSLATE(D1276,""zh-CN"",""vi"")"),"Bảng chữ cái tiếng Anh có 26 chữ cái.")</f>
        <v>Bảng chữ cái tiếng Anh có 26 chữ cái.</v>
      </c>
      <c r="F1276" s="101"/>
      <c r="G1276" s="98" t="b">
        <f t="shared" si="2"/>
        <v>0</v>
      </c>
      <c r="H1276" s="99" t="b">
        <v>1</v>
      </c>
      <c r="I1276" s="99" t="b">
        <v>0</v>
      </c>
      <c r="J1276" s="99" t="b">
        <v>0</v>
      </c>
      <c r="K1276" s="99" t="b">
        <v>0</v>
      </c>
      <c r="L1276" s="99" t="b">
        <v>0</v>
      </c>
      <c r="M1276" s="99" t="b">
        <v>0</v>
      </c>
      <c r="N1276" s="99" t="b">
        <v>0</v>
      </c>
      <c r="O1276" s="99" t="b">
        <v>0</v>
      </c>
      <c r="P1276" s="99" t="b">
        <v>0</v>
      </c>
      <c r="Q1276" s="99" t="b">
        <v>0</v>
      </c>
      <c r="R1276" s="14"/>
      <c r="S1276" s="14"/>
      <c r="T1276" s="14"/>
      <c r="U1276" s="14"/>
      <c r="V1276" s="14"/>
      <c r="W1276" s="14"/>
    </row>
    <row r="1277" ht="35.25" customHeight="1">
      <c r="A1277" s="92" t="s">
        <v>14637</v>
      </c>
      <c r="B1277" s="93" t="s">
        <v>14638</v>
      </c>
      <c r="C1277" s="94" t="s">
        <v>14639</v>
      </c>
      <c r="D1277" s="95" t="s">
        <v>14640</v>
      </c>
      <c r="E1277" s="96" t="str">
        <f>IFERROR(__xludf.DUMMYFUNCTION("GOOGLETRANSLATE(D1277,""zh-CN"",""vi"")"),"Bộ phim có phụ đề tiếng Trung.")</f>
        <v>Bộ phim có phụ đề tiếng Trung.</v>
      </c>
      <c r="F1277" s="101"/>
      <c r="G1277" s="98" t="b">
        <f t="shared" si="2"/>
        <v>0</v>
      </c>
      <c r="H1277" s="99" t="b">
        <v>1</v>
      </c>
      <c r="I1277" s="99" t="b">
        <v>0</v>
      </c>
      <c r="J1277" s="99" t="b">
        <v>0</v>
      </c>
      <c r="K1277" s="99" t="b">
        <v>0</v>
      </c>
      <c r="L1277" s="99" t="b">
        <v>0</v>
      </c>
      <c r="M1277" s="99" t="b">
        <v>0</v>
      </c>
      <c r="N1277" s="99" t="b">
        <v>0</v>
      </c>
      <c r="O1277" s="99" t="b">
        <v>0</v>
      </c>
      <c r="P1277" s="99" t="b">
        <v>0</v>
      </c>
      <c r="Q1277" s="99" t="b">
        <v>0</v>
      </c>
      <c r="R1277" s="14"/>
      <c r="S1277" s="14"/>
      <c r="T1277" s="14"/>
      <c r="U1277" s="14"/>
      <c r="V1277" s="14"/>
      <c r="W1277" s="14"/>
    </row>
    <row r="1278" ht="35.25" customHeight="1">
      <c r="A1278" s="92" t="s">
        <v>14645</v>
      </c>
      <c r="B1278" s="93" t="s">
        <v>14646</v>
      </c>
      <c r="C1278" s="94" t="s">
        <v>14647</v>
      </c>
      <c r="D1278" s="95" t="s">
        <v>14648</v>
      </c>
      <c r="E1278" s="96" t="str">
        <f>IFERROR(__xludf.DUMMYFUNCTION("GOOGLETRANSLATE(D1278,""zh-CN"",""vi"")"),"Nội dung bài thi này rất toàn diện.")</f>
        <v>Nội dung bài thi này rất toàn diện.</v>
      </c>
      <c r="F1278" s="101"/>
      <c r="G1278" s="98" t="b">
        <f t="shared" si="2"/>
        <v>0</v>
      </c>
      <c r="H1278" s="99" t="b">
        <v>1</v>
      </c>
      <c r="I1278" s="99" t="b">
        <v>0</v>
      </c>
      <c r="J1278" s="99" t="b">
        <v>0</v>
      </c>
      <c r="K1278" s="99" t="b">
        <v>0</v>
      </c>
      <c r="L1278" s="99" t="b">
        <v>0</v>
      </c>
      <c r="M1278" s="99" t="b">
        <v>0</v>
      </c>
      <c r="N1278" s="99" t="b">
        <v>0</v>
      </c>
      <c r="O1278" s="99" t="b">
        <v>0</v>
      </c>
      <c r="P1278" s="99" t="b">
        <v>0</v>
      </c>
      <c r="Q1278" s="99" t="b">
        <v>0</v>
      </c>
      <c r="R1278" s="14"/>
      <c r="S1278" s="14"/>
      <c r="T1278" s="14"/>
      <c r="U1278" s="14"/>
      <c r="V1278" s="14"/>
      <c r="W1278" s="14"/>
    </row>
    <row r="1279" ht="35.25" customHeight="1">
      <c r="A1279" s="92" t="s">
        <v>14653</v>
      </c>
      <c r="B1279" s="93" t="s">
        <v>14654</v>
      </c>
      <c r="C1279" s="94" t="s">
        <v>14656</v>
      </c>
      <c r="D1279" s="95" t="s">
        <v>14658</v>
      </c>
      <c r="E1279" s="96" t="str">
        <f>IFERROR(__xludf.DUMMYFUNCTION("GOOGLETRANSLATE(D1279,""zh-CN"",""vi"")"),"Ông ấy là chủ tịch của công ty.")</f>
        <v>Ông ấy là chủ tịch của công ty.</v>
      </c>
      <c r="F1279" s="101"/>
      <c r="G1279" s="98" t="b">
        <f t="shared" si="2"/>
        <v>0</v>
      </c>
      <c r="H1279" s="99" t="b">
        <v>1</v>
      </c>
      <c r="I1279" s="99" t="b">
        <v>0</v>
      </c>
      <c r="J1279" s="99" t="b">
        <v>0</v>
      </c>
      <c r="K1279" s="99" t="b">
        <v>0</v>
      </c>
      <c r="L1279" s="99" t="b">
        <v>0</v>
      </c>
      <c r="M1279" s="99" t="b">
        <v>0</v>
      </c>
      <c r="N1279" s="99" t="b">
        <v>0</v>
      </c>
      <c r="O1279" s="99" t="b">
        <v>0</v>
      </c>
      <c r="P1279" s="99" t="b">
        <v>0</v>
      </c>
      <c r="Q1279" s="99" t="b">
        <v>0</v>
      </c>
      <c r="R1279" s="14"/>
      <c r="S1279" s="14"/>
      <c r="T1279" s="14"/>
      <c r="U1279" s="14"/>
      <c r="V1279" s="14"/>
      <c r="W1279" s="14"/>
    </row>
    <row r="1280" ht="35.25" customHeight="1">
      <c r="A1280" s="92" t="s">
        <v>14661</v>
      </c>
      <c r="B1280" s="93" t="s">
        <v>14663</v>
      </c>
      <c r="C1280" s="94" t="s">
        <v>3238</v>
      </c>
      <c r="D1280" s="95" t="s">
        <v>14666</v>
      </c>
      <c r="E1280" s="96" t="str">
        <f>IFERROR(__xludf.DUMMYFUNCTION("GOOGLETRANSLATE(D1280,""zh-CN"",""vi"")"),"Việc này sẽ mất ba ngày để hoàn thành.")</f>
        <v>Việc này sẽ mất ba ngày để hoàn thành.</v>
      </c>
      <c r="F1280" s="101"/>
      <c r="G1280" s="98" t="b">
        <f t="shared" si="2"/>
        <v>0</v>
      </c>
      <c r="H1280" s="99" t="b">
        <v>1</v>
      </c>
      <c r="I1280" s="99" t="b">
        <v>0</v>
      </c>
      <c r="J1280" s="99" t="b">
        <v>0</v>
      </c>
      <c r="K1280" s="99" t="b">
        <v>0</v>
      </c>
      <c r="L1280" s="99" t="b">
        <v>0</v>
      </c>
      <c r="M1280" s="99" t="b">
        <v>0</v>
      </c>
      <c r="N1280" s="99" t="b">
        <v>0</v>
      </c>
      <c r="O1280" s="99" t="b">
        <v>0</v>
      </c>
      <c r="P1280" s="99" t="b">
        <v>0</v>
      </c>
      <c r="Q1280" s="99" t="b">
        <v>0</v>
      </c>
      <c r="R1280" s="14"/>
      <c r="S1280" s="14"/>
      <c r="T1280" s="14"/>
      <c r="U1280" s="14"/>
      <c r="V1280" s="14"/>
      <c r="W1280" s="14"/>
    </row>
    <row r="1281" ht="35.25" customHeight="1">
      <c r="A1281" s="92" t="s">
        <v>14668</v>
      </c>
      <c r="B1281" s="93" t="s">
        <v>14669</v>
      </c>
      <c r="C1281" s="94" t="s">
        <v>14671</v>
      </c>
      <c r="D1281" s="95" t="s">
        <v>14673</v>
      </c>
      <c r="E1281" s="96" t="str">
        <f>IFERROR(__xludf.DUMMYFUNCTION("GOOGLETRANSLATE(D1281,""zh-CN"",""vi"")"),"Thủ hiến đã có bài phát biểu.")</f>
        <v>Thủ hiến đã có bài phát biểu.</v>
      </c>
      <c r="F1281" s="101"/>
      <c r="G1281" s="98" t="b">
        <f t="shared" si="2"/>
        <v>0</v>
      </c>
      <c r="H1281" s="99" t="b">
        <v>1</v>
      </c>
      <c r="I1281" s="99" t="b">
        <v>0</v>
      </c>
      <c r="J1281" s="99" t="b">
        <v>0</v>
      </c>
      <c r="K1281" s="99" t="b">
        <v>0</v>
      </c>
      <c r="L1281" s="99" t="b">
        <v>0</v>
      </c>
      <c r="M1281" s="99" t="b">
        <v>0</v>
      </c>
      <c r="N1281" s="99" t="b">
        <v>0</v>
      </c>
      <c r="O1281" s="99" t="b">
        <v>0</v>
      </c>
      <c r="P1281" s="99" t="b">
        <v>0</v>
      </c>
      <c r="Q1281" s="99" t="b">
        <v>0</v>
      </c>
      <c r="R1281" s="14"/>
      <c r="S1281" s="14"/>
      <c r="T1281" s="14"/>
      <c r="U1281" s="14"/>
      <c r="V1281" s="14"/>
      <c r="W1281" s="14"/>
    </row>
    <row r="1282" ht="35.25" customHeight="1">
      <c r="A1282" s="92" t="s">
        <v>14679</v>
      </c>
      <c r="B1282" s="93" t="s">
        <v>14680</v>
      </c>
      <c r="C1282" s="94" t="s">
        <v>2879</v>
      </c>
      <c r="D1282" s="95" t="s">
        <v>14681</v>
      </c>
      <c r="E1282" s="96" t="str">
        <f>IFERROR(__xludf.DUMMYFUNCTION("GOOGLETRANSLATE(D1282,""zh-CN"",""vi"")"),"Cuối cùng anh ấy cũng tìm được việc làm.")</f>
        <v>Cuối cùng anh ấy cũng tìm được việc làm.</v>
      </c>
      <c r="F1282" s="101"/>
      <c r="G1282" s="98" t="b">
        <f t="shared" si="2"/>
        <v>0</v>
      </c>
      <c r="H1282" s="99" t="b">
        <v>1</v>
      </c>
      <c r="I1282" s="99" t="b">
        <v>0</v>
      </c>
      <c r="J1282" s="99" t="b">
        <v>0</v>
      </c>
      <c r="K1282" s="99" t="b">
        <v>0</v>
      </c>
      <c r="L1282" s="99" t="b">
        <v>0</v>
      </c>
      <c r="M1282" s="99" t="b">
        <v>0</v>
      </c>
      <c r="N1282" s="99" t="b">
        <v>0</v>
      </c>
      <c r="O1282" s="99" t="b">
        <v>0</v>
      </c>
      <c r="P1282" s="99" t="b">
        <v>0</v>
      </c>
      <c r="Q1282" s="99" t="b">
        <v>0</v>
      </c>
      <c r="R1282" s="14"/>
      <c r="S1282" s="14"/>
      <c r="T1282" s="14"/>
      <c r="U1282" s="14"/>
      <c r="V1282" s="14"/>
      <c r="W1282" s="14"/>
    </row>
    <row r="1283" ht="35.25" customHeight="1">
      <c r="A1283" s="92" t="s">
        <v>14686</v>
      </c>
      <c r="B1283" s="93" t="s">
        <v>14687</v>
      </c>
      <c r="C1283" s="94" t="s">
        <v>14688</v>
      </c>
      <c r="D1283" s="95" t="s">
        <v>14689</v>
      </c>
      <c r="E1283" s="96" t="str">
        <f>IFERROR(__xludf.DUMMYFUNCTION("GOOGLETRANSLATE(D1283,""zh-CN"",""vi"")"),"Tổng thống sẽ có bài phát biểu hôm nay.")</f>
        <v>Tổng thống sẽ có bài phát biểu hôm nay.</v>
      </c>
      <c r="F1283" s="101"/>
      <c r="G1283" s="98" t="b">
        <f t="shared" si="2"/>
        <v>0</v>
      </c>
      <c r="H1283" s="99" t="b">
        <v>1</v>
      </c>
      <c r="I1283" s="99" t="b">
        <v>0</v>
      </c>
      <c r="J1283" s="99" t="b">
        <v>0</v>
      </c>
      <c r="K1283" s="99" t="b">
        <v>0</v>
      </c>
      <c r="L1283" s="99" t="b">
        <v>0</v>
      </c>
      <c r="M1283" s="99" t="b">
        <v>0</v>
      </c>
      <c r="N1283" s="99" t="b">
        <v>0</v>
      </c>
      <c r="O1283" s="99" t="b">
        <v>0</v>
      </c>
      <c r="P1283" s="99" t="b">
        <v>0</v>
      </c>
      <c r="Q1283" s="99" t="b">
        <v>0</v>
      </c>
      <c r="R1283" s="14"/>
      <c r="S1283" s="14"/>
      <c r="T1283" s="14"/>
      <c r="U1283" s="14"/>
      <c r="V1283" s="14"/>
      <c r="W1283" s="14"/>
    </row>
    <row r="1284" ht="35.25" customHeight="1">
      <c r="A1284" s="92" t="s">
        <v>14698</v>
      </c>
      <c r="B1284" s="93" t="s">
        <v>14699</v>
      </c>
      <c r="C1284" s="94" t="s">
        <v>14700</v>
      </c>
      <c r="D1284" s="95" t="s">
        <v>14701</v>
      </c>
      <c r="E1284" s="96" t="str">
        <f>IFERROR(__xludf.DUMMYFUNCTION("GOOGLETRANSLATE(D1284,""zh-CN"",""vi"")"),"Tóm lại, chúng ta phải làm việc chăm chỉ.")</f>
        <v>Tóm lại, chúng ta phải làm việc chăm chỉ.</v>
      </c>
      <c r="F1284" s="101"/>
      <c r="G1284" s="98" t="b">
        <f t="shared" si="2"/>
        <v>0</v>
      </c>
      <c r="H1284" s="99" t="b">
        <v>1</v>
      </c>
      <c r="I1284" s="99" t="b">
        <v>0</v>
      </c>
      <c r="J1284" s="99" t="b">
        <v>0</v>
      </c>
      <c r="K1284" s="99" t="b">
        <v>0</v>
      </c>
      <c r="L1284" s="99" t="b">
        <v>0</v>
      </c>
      <c r="M1284" s="99" t="b">
        <v>0</v>
      </c>
      <c r="N1284" s="99" t="b">
        <v>0</v>
      </c>
      <c r="O1284" s="99" t="b">
        <v>0</v>
      </c>
      <c r="P1284" s="99" t="b">
        <v>0</v>
      </c>
      <c r="Q1284" s="99" t="b">
        <v>0</v>
      </c>
      <c r="R1284" s="14"/>
      <c r="S1284" s="14"/>
      <c r="T1284" s="14"/>
      <c r="U1284" s="14"/>
      <c r="V1284" s="14"/>
      <c r="W1284" s="14"/>
    </row>
    <row r="1285" ht="35.25" customHeight="1">
      <c r="A1285" s="92" t="s">
        <v>14706</v>
      </c>
      <c r="B1285" s="93" t="s">
        <v>14707</v>
      </c>
      <c r="C1285" s="94" t="s">
        <v>14708</v>
      </c>
      <c r="D1285" s="95" t="s">
        <v>14709</v>
      </c>
      <c r="E1285" s="96" t="str">
        <f>IFERROR(__xludf.DUMMYFUNCTION("GOOGLETRANSLATE(D1285,""zh-CN"",""vi"")"),"Họ đã cố gắng ngăn chặn kế hoạch đó.")</f>
        <v>Họ đã cố gắng ngăn chặn kế hoạch đó.</v>
      </c>
      <c r="F1285" s="101"/>
      <c r="G1285" s="98" t="b">
        <f t="shared" si="2"/>
        <v>0</v>
      </c>
      <c r="H1285" s="99" t="b">
        <v>1</v>
      </c>
      <c r="I1285" s="99" t="b">
        <v>0</v>
      </c>
      <c r="J1285" s="99" t="b">
        <v>0</v>
      </c>
      <c r="K1285" s="99" t="b">
        <v>0</v>
      </c>
      <c r="L1285" s="99" t="b">
        <v>0</v>
      </c>
      <c r="M1285" s="99" t="b">
        <v>0</v>
      </c>
      <c r="N1285" s="99" t="b">
        <v>0</v>
      </c>
      <c r="O1285" s="99" t="b">
        <v>0</v>
      </c>
      <c r="P1285" s="99" t="b">
        <v>0</v>
      </c>
      <c r="Q1285" s="99" t="b">
        <v>0</v>
      </c>
      <c r="R1285" s="14"/>
      <c r="S1285" s="14"/>
      <c r="T1285" s="14"/>
      <c r="U1285" s="14"/>
      <c r="V1285" s="14"/>
      <c r="W1285" s="14"/>
    </row>
    <row r="1286" ht="35.25" customHeight="1">
      <c r="A1286" s="92" t="s">
        <v>14714</v>
      </c>
      <c r="B1286" s="93" t="s">
        <v>14715</v>
      </c>
      <c r="C1286" s="94" t="s">
        <v>14717</v>
      </c>
      <c r="D1286" s="132" t="s">
        <v>14719</v>
      </c>
      <c r="E1286" s="96" t="str">
        <f>IFERROR(__xludf.DUMMYFUNCTION("GOOGLETRANSLATE(D1286,""zh-CN"",""vi"")"),"Chúng tôi đã thành lập một đội.")</f>
        <v>Chúng tôi đã thành lập một đội.</v>
      </c>
      <c r="F1286" s="134"/>
      <c r="G1286" s="98" t="b">
        <f t="shared" si="2"/>
        <v>0</v>
      </c>
      <c r="H1286" s="99" t="b">
        <v>1</v>
      </c>
      <c r="I1286" s="99" t="b">
        <v>0</v>
      </c>
      <c r="J1286" s="99" t="b">
        <v>0</v>
      </c>
      <c r="K1286" s="99" t="b">
        <v>0</v>
      </c>
      <c r="L1286" s="99" t="b">
        <v>0</v>
      </c>
      <c r="M1286" s="99" t="b">
        <v>0</v>
      </c>
      <c r="N1286" s="99" t="b">
        <v>0</v>
      </c>
      <c r="O1286" s="99" t="b">
        <v>0</v>
      </c>
      <c r="P1286" s="99" t="b">
        <v>0</v>
      </c>
      <c r="Q1286" s="99" t="b">
        <v>0</v>
      </c>
      <c r="R1286" s="14"/>
      <c r="S1286" s="14"/>
      <c r="T1286" s="14"/>
      <c r="U1286" s="14"/>
      <c r="V1286" s="14"/>
      <c r="W1286" s="14"/>
    </row>
    <row r="1287" ht="35.25" customHeight="1">
      <c r="A1287" s="92" t="s">
        <v>14724</v>
      </c>
      <c r="B1287" s="93" t="s">
        <v>14725</v>
      </c>
      <c r="C1287" s="94" t="s">
        <v>14726</v>
      </c>
      <c r="D1287" s="95" t="s">
        <v>14727</v>
      </c>
      <c r="E1287" s="96" t="str">
        <f>IFERROR(__xludf.DUMMYFUNCTION("GOOGLETRANSLATE(D1287,""zh-CN"",""vi"")"),"Hai phần này kết hợp với nhau tạo thành một chỉnh thể.")</f>
        <v>Hai phần này kết hợp với nhau tạo thành một chỉnh thể.</v>
      </c>
      <c r="F1287" s="101"/>
      <c r="G1287" s="98" t="b">
        <f t="shared" si="2"/>
        <v>0</v>
      </c>
      <c r="H1287" s="99" t="b">
        <v>1</v>
      </c>
      <c r="I1287" s="99" t="b">
        <v>0</v>
      </c>
      <c r="J1287" s="99" t="b">
        <v>0</v>
      </c>
      <c r="K1287" s="99" t="b">
        <v>0</v>
      </c>
      <c r="L1287" s="99" t="b">
        <v>0</v>
      </c>
      <c r="M1287" s="99" t="b">
        <v>0</v>
      </c>
      <c r="N1287" s="99" t="b">
        <v>0</v>
      </c>
      <c r="O1287" s="99" t="b">
        <v>0</v>
      </c>
      <c r="P1287" s="99" t="b">
        <v>0</v>
      </c>
      <c r="Q1287" s="99" t="b">
        <v>0</v>
      </c>
      <c r="R1287" s="14"/>
      <c r="S1287" s="14"/>
      <c r="T1287" s="14"/>
      <c r="U1287" s="14"/>
      <c r="V1287" s="14"/>
      <c r="W1287" s="14"/>
    </row>
    <row r="1288" ht="35.25" customHeight="1">
      <c r="A1288" s="92" t="s">
        <v>14732</v>
      </c>
      <c r="B1288" s="93" t="s">
        <v>14733</v>
      </c>
      <c r="C1288" s="94" t="s">
        <v>14735</v>
      </c>
      <c r="D1288" s="95" t="s">
        <v>14738</v>
      </c>
      <c r="E1288" s="96" t="str">
        <f>IFERROR(__xludf.DUMMYFUNCTION("GOOGLETRANSLATE(D1288,""zh-CN"",""vi"")"),"Chúng ta cần một sự kết hợp hợp lý.")</f>
        <v>Chúng ta cần một sự kết hợp hợp lý.</v>
      </c>
      <c r="F1288" s="101"/>
      <c r="G1288" s="98" t="b">
        <f t="shared" si="2"/>
        <v>0</v>
      </c>
      <c r="H1288" s="99" t="b">
        <v>1</v>
      </c>
      <c r="I1288" s="99" t="b">
        <v>0</v>
      </c>
      <c r="J1288" s="99" t="b">
        <v>0</v>
      </c>
      <c r="K1288" s="99" t="b">
        <v>0</v>
      </c>
      <c r="L1288" s="99" t="b">
        <v>0</v>
      </c>
      <c r="M1288" s="99" t="b">
        <v>0</v>
      </c>
      <c r="N1288" s="99" t="b">
        <v>0</v>
      </c>
      <c r="O1288" s="99" t="b">
        <v>0</v>
      </c>
      <c r="P1288" s="99" t="b">
        <v>0</v>
      </c>
      <c r="Q1288" s="99" t="b">
        <v>0</v>
      </c>
      <c r="R1288" s="14"/>
      <c r="S1288" s="14"/>
      <c r="T1288" s="14"/>
      <c r="U1288" s="14"/>
      <c r="V1288" s="14"/>
      <c r="W1288" s="14"/>
    </row>
    <row r="1289" ht="35.25" customHeight="1">
      <c r="A1289" s="92" t="s">
        <v>14744</v>
      </c>
      <c r="B1289" s="93" t="s">
        <v>14707</v>
      </c>
      <c r="C1289" s="94" t="s">
        <v>2087</v>
      </c>
      <c r="D1289" s="95" t="s">
        <v>14745</v>
      </c>
      <c r="E1289" s="96" t="str">
        <f>IFERROR(__xludf.DUMMYFUNCTION("GOOGLETRANSLATE(D1289,""zh-CN"",""vi"")"),"Họ đã tổ chức một sự kiện lớn.")</f>
        <v>Họ đã tổ chức một sự kiện lớn.</v>
      </c>
      <c r="F1289" s="101"/>
      <c r="G1289" s="98" t="b">
        <f t="shared" si="2"/>
        <v>0</v>
      </c>
      <c r="H1289" s="99" t="b">
        <v>1</v>
      </c>
      <c r="I1289" s="99" t="b">
        <v>0</v>
      </c>
      <c r="J1289" s="99" t="b">
        <v>0</v>
      </c>
      <c r="K1289" s="99" t="b">
        <v>0</v>
      </c>
      <c r="L1289" s="99" t="b">
        <v>0</v>
      </c>
      <c r="M1289" s="99" t="b">
        <v>0</v>
      </c>
      <c r="N1289" s="99" t="b">
        <v>0</v>
      </c>
      <c r="O1289" s="99" t="b">
        <v>0</v>
      </c>
      <c r="P1289" s="99" t="b">
        <v>0</v>
      </c>
      <c r="Q1289" s="99" t="b">
        <v>0</v>
      </c>
      <c r="R1289" s="14"/>
      <c r="S1289" s="14"/>
      <c r="T1289" s="14"/>
      <c r="U1289" s="14"/>
      <c r="V1289" s="14"/>
      <c r="W1289" s="14"/>
    </row>
    <row r="1290" ht="35.25" customHeight="1">
      <c r="A1290" s="92" t="s">
        <v>14750</v>
      </c>
      <c r="B1290" s="93" t="s">
        <v>14751</v>
      </c>
      <c r="C1290" s="94" t="s">
        <v>14752</v>
      </c>
      <c r="D1290" s="95" t="s">
        <v>14753</v>
      </c>
      <c r="E1290" s="96" t="str">
        <f>IFERROR(__xludf.DUMMYFUNCTION("GOOGLETRANSLATE(D1290,""zh-CN"",""vi"")"),"Đây là bản đề xuất thiết kế ban đầu.")</f>
        <v>Đây là bản đề xuất thiết kế ban đầu.</v>
      </c>
      <c r="F1290" s="101"/>
      <c r="G1290" s="98" t="b">
        <f t="shared" si="2"/>
        <v>0</v>
      </c>
      <c r="H1290" s="99" t="b">
        <v>1</v>
      </c>
      <c r="I1290" s="99" t="b">
        <v>0</v>
      </c>
      <c r="J1290" s="99" t="b">
        <v>0</v>
      </c>
      <c r="K1290" s="99" t="b">
        <v>0</v>
      </c>
      <c r="L1290" s="99" t="b">
        <v>0</v>
      </c>
      <c r="M1290" s="99" t="b">
        <v>0</v>
      </c>
      <c r="N1290" s="99" t="b">
        <v>0</v>
      </c>
      <c r="O1290" s="99" t="b">
        <v>0</v>
      </c>
      <c r="P1290" s="99" t="b">
        <v>0</v>
      </c>
      <c r="Q1290" s="99" t="b">
        <v>0</v>
      </c>
      <c r="R1290" s="14"/>
      <c r="S1290" s="14"/>
      <c r="T1290" s="14"/>
      <c r="U1290" s="14"/>
      <c r="V1290" s="14"/>
      <c r="W1290" s="14"/>
    </row>
    <row r="1291" ht="35.25" customHeight="1">
      <c r="A1291" s="92" t="s">
        <v>14758</v>
      </c>
      <c r="B1291" s="93" t="s">
        <v>3027</v>
      </c>
      <c r="C1291" s="94" t="s">
        <v>14759</v>
      </c>
      <c r="D1291" s="95" t="s">
        <v>14761</v>
      </c>
      <c r="E1291" s="96" t="str">
        <f>IFERROR(__xludf.DUMMYFUNCTION("GOOGLETRANSLATE(D1291,""zh-CN"",""vi"")"),"Anh ta rất dễ say sau khi uống rượu.")</f>
        <v>Anh ta rất dễ say sau khi uống rượu.</v>
      </c>
      <c r="F1291" s="101"/>
      <c r="G1291" s="98" t="b">
        <f t="shared" si="2"/>
        <v>0</v>
      </c>
      <c r="H1291" s="99" t="b">
        <v>1</v>
      </c>
      <c r="I1291" s="99" t="b">
        <v>0</v>
      </c>
      <c r="J1291" s="99" t="b">
        <v>0</v>
      </c>
      <c r="K1291" s="99" t="b">
        <v>0</v>
      </c>
      <c r="L1291" s="99" t="b">
        <v>0</v>
      </c>
      <c r="M1291" s="99" t="b">
        <v>0</v>
      </c>
      <c r="N1291" s="99" t="b">
        <v>0</v>
      </c>
      <c r="O1291" s="99" t="b">
        <v>0</v>
      </c>
      <c r="P1291" s="99" t="b">
        <v>0</v>
      </c>
      <c r="Q1291" s="99" t="b">
        <v>0</v>
      </c>
      <c r="R1291" s="14"/>
      <c r="S1291" s="14"/>
      <c r="T1291" s="14"/>
      <c r="U1291" s="14"/>
      <c r="V1291" s="14"/>
      <c r="W1291" s="14"/>
    </row>
    <row r="1292" ht="35.25" customHeight="1">
      <c r="A1292" s="92" t="s">
        <v>14765</v>
      </c>
      <c r="B1292" s="93" t="s">
        <v>14766</v>
      </c>
      <c r="C1292" s="94" t="s">
        <v>14769</v>
      </c>
      <c r="D1292" s="95" t="s">
        <v>14771</v>
      </c>
      <c r="E1292" s="96" t="str">
        <f>IFERROR(__xludf.DUMMYFUNCTION("GOOGLETRANSLATE(D1292,""zh-CN"",""vi"")"),"Chúng ta nên tôn trọng mọi người.")</f>
        <v>Chúng ta nên tôn trọng mọi người.</v>
      </c>
      <c r="F1292" s="101"/>
      <c r="G1292" s="98" t="b">
        <f t="shared" si="2"/>
        <v>0</v>
      </c>
      <c r="H1292" s="99" t="b">
        <v>1</v>
      </c>
      <c r="I1292" s="99" t="b">
        <v>0</v>
      </c>
      <c r="J1292" s="99" t="b">
        <v>0</v>
      </c>
      <c r="K1292" s="99" t="b">
        <v>0</v>
      </c>
      <c r="L1292" s="99" t="b">
        <v>0</v>
      </c>
      <c r="M1292" s="99" t="b">
        <v>0</v>
      </c>
      <c r="N1292" s="99" t="b">
        <v>0</v>
      </c>
      <c r="O1292" s="99" t="b">
        <v>0</v>
      </c>
      <c r="P1292" s="99" t="b">
        <v>0</v>
      </c>
      <c r="Q1292" s="99" t="b">
        <v>0</v>
      </c>
      <c r="R1292" s="14"/>
      <c r="S1292" s="14"/>
      <c r="T1292" s="14"/>
      <c r="U1292" s="14"/>
      <c r="V1292" s="14"/>
      <c r="W1292" s="14"/>
    </row>
    <row r="1293" ht="35.25" customHeight="1">
      <c r="A1293" s="92" t="s">
        <v>14773</v>
      </c>
      <c r="B1293" s="93" t="s">
        <v>14775</v>
      </c>
      <c r="C1293" s="94" t="s">
        <v>14777</v>
      </c>
      <c r="D1293" s="95" t="s">
        <v>14779</v>
      </c>
      <c r="E1293" s="96" t="str">
        <f>IFERROR(__xludf.DUMMYFUNCTION("GOOGLETRANSLATE(D1293,""zh-CN"",""vi"")"),"Hãy tuân thủ luật giao thông.")</f>
        <v>Hãy tuân thủ luật giao thông.</v>
      </c>
      <c r="F1293" s="101"/>
      <c r="G1293" s="98" t="b">
        <f t="shared" si="2"/>
        <v>0</v>
      </c>
      <c r="H1293" s="99" t="b">
        <v>1</v>
      </c>
      <c r="I1293" s="99" t="b">
        <v>0</v>
      </c>
      <c r="J1293" s="99" t="b">
        <v>0</v>
      </c>
      <c r="K1293" s="99" t="b">
        <v>0</v>
      </c>
      <c r="L1293" s="99" t="b">
        <v>0</v>
      </c>
      <c r="M1293" s="99" t="b">
        <v>0</v>
      </c>
      <c r="N1293" s="99" t="b">
        <v>0</v>
      </c>
      <c r="O1293" s="99" t="b">
        <v>0</v>
      </c>
      <c r="P1293" s="99" t="b">
        <v>0</v>
      </c>
      <c r="Q1293" s="99" t="b">
        <v>0</v>
      </c>
      <c r="R1293" s="14"/>
      <c r="S1293" s="14"/>
      <c r="T1293" s="14"/>
      <c r="U1293" s="14"/>
      <c r="V1293" s="14"/>
      <c r="W1293" s="14"/>
    </row>
    <row r="1294" ht="35.25" customHeight="1">
      <c r="A1294" s="92" t="s">
        <v>14793</v>
      </c>
      <c r="B1294" s="93" t="s">
        <v>14794</v>
      </c>
      <c r="C1294" s="94" t="s">
        <v>14795</v>
      </c>
      <c r="D1294" s="95" t="s">
        <v>14796</v>
      </c>
      <c r="E1294" s="96" t="str">
        <f>IFERROR(__xludf.DUMMYFUNCTION("GOOGLETRANSLATE(D1294,""zh-CN"",""vi"")"),"Cuốn tiểu thuyết này là tác phẩm mới nhất của ông.")</f>
        <v>Cuốn tiểu thuyết này là tác phẩm mới nhất của ông.</v>
      </c>
      <c r="F1294" s="101"/>
      <c r="G1294" s="98" t="b">
        <f t="shared" si="2"/>
        <v>0</v>
      </c>
      <c r="H1294" s="99" t="b">
        <v>1</v>
      </c>
      <c r="I1294" s="99" t="b">
        <v>0</v>
      </c>
      <c r="J1294" s="99" t="b">
        <v>0</v>
      </c>
      <c r="K1294" s="99" t="b">
        <v>0</v>
      </c>
      <c r="L1294" s="99" t="b">
        <v>0</v>
      </c>
      <c r="M1294" s="99" t="b">
        <v>0</v>
      </c>
      <c r="N1294" s="99" t="b">
        <v>0</v>
      </c>
      <c r="O1294" s="99" t="b">
        <v>0</v>
      </c>
      <c r="P1294" s="99" t="b">
        <v>0</v>
      </c>
      <c r="Q1294" s="99" t="b">
        <v>0</v>
      </c>
      <c r="R1294" s="14"/>
      <c r="S1294" s="14"/>
      <c r="T1294" s="14"/>
      <c r="U1294" s="14"/>
      <c r="V1294" s="14"/>
      <c r="W1294" s="14"/>
    </row>
    <row r="1295" ht="35.25" customHeight="1">
      <c r="A1295" s="92" t="s">
        <v>14802</v>
      </c>
      <c r="B1295" s="93" t="s">
        <v>14804</v>
      </c>
      <c r="C1295" s="94" t="s">
        <v>14806</v>
      </c>
      <c r="D1295" s="95" t="s">
        <v>14807</v>
      </c>
      <c r="E1295" s="96" t="str">
        <f>IFERROR(__xludf.DUMMYFUNCTION("GOOGLETRANSLATE(D1295,""zh-CN"",""vi"")"),"Với tư cách là một giáo viên, anh ấy rất có trách nhiệm.")</f>
        <v>Với tư cách là một giáo viên, anh ấy rất có trách nhiệm.</v>
      </c>
      <c r="F1295" s="101"/>
      <c r="G1295" s="98" t="b">
        <f t="shared" si="2"/>
        <v>0</v>
      </c>
      <c r="H1295" s="99" t="b">
        <v>1</v>
      </c>
      <c r="I1295" s="99" t="b">
        <v>0</v>
      </c>
      <c r="J1295" s="99" t="b">
        <v>0</v>
      </c>
      <c r="K1295" s="99" t="b">
        <v>0</v>
      </c>
      <c r="L1295" s="99" t="b">
        <v>0</v>
      </c>
      <c r="M1295" s="99" t="b">
        <v>0</v>
      </c>
      <c r="N1295" s="99" t="b">
        <v>0</v>
      </c>
      <c r="O1295" s="99" t="b">
        <v>0</v>
      </c>
      <c r="P1295" s="99" t="b">
        <v>0</v>
      </c>
      <c r="Q1295" s="99" t="b">
        <v>0</v>
      </c>
      <c r="R1295" s="14"/>
      <c r="S1295" s="14"/>
      <c r="T1295" s="14"/>
      <c r="U1295" s="14"/>
      <c r="V1295" s="14"/>
      <c r="W1295" s="14"/>
    </row>
    <row r="1296" ht="35.25" customHeight="1">
      <c r="A1296" s="92" t="s">
        <v>14813</v>
      </c>
      <c r="B1296" s="93" t="s">
        <v>14814</v>
      </c>
      <c r="C1296" s="94" t="s">
        <v>14815</v>
      </c>
      <c r="D1296" s="95" t="s">
        <v>14816</v>
      </c>
      <c r="E1296" s="96" t="str">
        <f>IFERROR(__xludf.DUMMYFUNCTION("GOOGLETRANSLATE(D1296,""zh-CN"",""vi"")"),"Chúng ta cần viết một bài luận.")</f>
        <v>Chúng ta cần viết một bài luận.</v>
      </c>
      <c r="F1296" s="101"/>
      <c r="G1296" s="98" t="b">
        <f t="shared" si="2"/>
        <v>0</v>
      </c>
      <c r="H1296" s="99" t="b">
        <v>1</v>
      </c>
      <c r="I1296" s="99" t="b">
        <v>0</v>
      </c>
      <c r="J1296" s="99" t="b">
        <v>0</v>
      </c>
      <c r="K1296" s="99" t="b">
        <v>0</v>
      </c>
      <c r="L1296" s="99" t="b">
        <v>0</v>
      </c>
      <c r="M1296" s="99" t="b">
        <v>0</v>
      </c>
      <c r="N1296" s="99" t="b">
        <v>0</v>
      </c>
      <c r="O1296" s="99" t="b">
        <v>0</v>
      </c>
      <c r="P1296" s="99" t="b">
        <v>0</v>
      </c>
      <c r="Q1296" s="99" t="b">
        <v>0</v>
      </c>
      <c r="R1296" s="14"/>
      <c r="S1296" s="14"/>
      <c r="T1296" s="14"/>
      <c r="U1296" s="14"/>
      <c r="V1296" s="14"/>
      <c r="W1296" s="14"/>
    </row>
    <row r="1297" ht="35.25" customHeight="1">
      <c r="A1297" s="138"/>
      <c r="B1297" s="139"/>
      <c r="C1297" s="140"/>
      <c r="D1297" s="141"/>
      <c r="E1297" s="142"/>
      <c r="F1297" s="143"/>
      <c r="G1297" s="144"/>
      <c r="H1297" s="145"/>
      <c r="I1297" s="145"/>
      <c r="J1297" s="145"/>
      <c r="K1297" s="145"/>
      <c r="L1297" s="145"/>
      <c r="M1297" s="145"/>
      <c r="N1297" s="145"/>
      <c r="O1297" s="145"/>
      <c r="P1297" s="145"/>
      <c r="Q1297" s="145"/>
      <c r="R1297" s="146"/>
      <c r="S1297" s="146"/>
      <c r="T1297" s="146"/>
      <c r="U1297" s="146"/>
      <c r="V1297" s="146"/>
      <c r="W1297" s="146"/>
    </row>
    <row r="1298" ht="35.25" customHeight="1">
      <c r="A1298" s="147"/>
      <c r="B1298" s="148"/>
      <c r="C1298" s="149"/>
      <c r="D1298" s="150"/>
      <c r="E1298" s="151"/>
      <c r="F1298" s="152"/>
      <c r="G1298" s="153"/>
      <c r="H1298" s="154"/>
      <c r="I1298" s="154"/>
      <c r="J1298" s="154"/>
      <c r="K1298" s="154"/>
      <c r="L1298" s="154"/>
      <c r="M1298" s="154"/>
      <c r="N1298" s="154"/>
      <c r="O1298" s="154"/>
      <c r="P1298" s="154"/>
      <c r="Q1298" s="154"/>
      <c r="R1298" s="14"/>
      <c r="S1298" s="14"/>
      <c r="T1298" s="14"/>
      <c r="U1298" s="14"/>
      <c r="V1298" s="14"/>
      <c r="W1298" s="14"/>
    </row>
    <row r="1299" ht="35.25" customHeight="1">
      <c r="A1299" s="147"/>
      <c r="B1299" s="148"/>
      <c r="C1299" s="149"/>
      <c r="D1299" s="150"/>
      <c r="E1299" s="151"/>
      <c r="F1299" s="152"/>
      <c r="G1299" s="153"/>
      <c r="H1299" s="154"/>
      <c r="I1299" s="154"/>
      <c r="J1299" s="154"/>
      <c r="K1299" s="154"/>
      <c r="L1299" s="154"/>
      <c r="M1299" s="154"/>
      <c r="N1299" s="154"/>
      <c r="O1299" s="154"/>
      <c r="P1299" s="154"/>
      <c r="Q1299" s="154"/>
      <c r="R1299" s="14"/>
      <c r="S1299" s="14"/>
      <c r="T1299" s="14"/>
      <c r="U1299" s="14"/>
      <c r="V1299" s="14"/>
      <c r="W1299" s="14"/>
    </row>
    <row r="1300" ht="35.25" customHeight="1">
      <c r="A1300" s="147"/>
      <c r="B1300" s="148"/>
      <c r="C1300" s="149"/>
      <c r="D1300" s="150"/>
      <c r="E1300" s="151"/>
      <c r="F1300" s="152"/>
      <c r="G1300" s="153"/>
      <c r="H1300" s="154"/>
      <c r="I1300" s="154"/>
      <c r="J1300" s="154"/>
      <c r="K1300" s="154"/>
      <c r="L1300" s="154"/>
      <c r="M1300" s="154"/>
      <c r="N1300" s="154"/>
      <c r="O1300" s="154"/>
      <c r="P1300" s="154"/>
      <c r="Q1300" s="154"/>
      <c r="R1300" s="14"/>
      <c r="S1300" s="14"/>
      <c r="T1300" s="14"/>
      <c r="U1300" s="14"/>
      <c r="V1300" s="14"/>
      <c r="W1300" s="14"/>
    </row>
    <row r="1301" ht="35.25" customHeight="1">
      <c r="A1301" s="147"/>
      <c r="B1301" s="148"/>
      <c r="C1301" s="149"/>
      <c r="D1301" s="150"/>
      <c r="E1301" s="151"/>
      <c r="F1301" s="152"/>
      <c r="G1301" s="153"/>
      <c r="H1301" s="154"/>
      <c r="I1301" s="154"/>
      <c r="J1301" s="154"/>
      <c r="K1301" s="154"/>
      <c r="L1301" s="154"/>
      <c r="M1301" s="154"/>
      <c r="N1301" s="154"/>
      <c r="O1301" s="154"/>
      <c r="P1301" s="154"/>
      <c r="Q1301" s="154"/>
      <c r="R1301" s="14"/>
      <c r="S1301" s="14"/>
      <c r="T1301" s="14"/>
      <c r="U1301" s="14"/>
      <c r="V1301" s="14"/>
      <c r="W1301" s="14"/>
    </row>
    <row r="1302" ht="35.25" customHeight="1">
      <c r="A1302" s="147"/>
      <c r="B1302" s="148"/>
      <c r="C1302" s="149"/>
      <c r="D1302" s="150"/>
      <c r="E1302" s="151"/>
      <c r="F1302" s="152"/>
      <c r="G1302" s="153"/>
      <c r="H1302" s="154"/>
      <c r="I1302" s="154"/>
      <c r="J1302" s="154"/>
      <c r="K1302" s="154"/>
      <c r="L1302" s="154"/>
      <c r="M1302" s="154"/>
      <c r="N1302" s="154"/>
      <c r="O1302" s="154"/>
      <c r="P1302" s="154"/>
      <c r="Q1302" s="154"/>
      <c r="R1302" s="14"/>
      <c r="S1302" s="14"/>
      <c r="T1302" s="14"/>
      <c r="U1302" s="14"/>
      <c r="V1302" s="14"/>
      <c r="W1302" s="14"/>
    </row>
    <row r="1303" ht="35.25" customHeight="1">
      <c r="A1303" s="147"/>
      <c r="B1303" s="148"/>
      <c r="C1303" s="149"/>
      <c r="D1303" s="150"/>
      <c r="E1303" s="151"/>
      <c r="F1303" s="152"/>
      <c r="G1303" s="153"/>
      <c r="H1303" s="154"/>
      <c r="I1303" s="154"/>
      <c r="J1303" s="154"/>
      <c r="K1303" s="154"/>
      <c r="L1303" s="154"/>
      <c r="M1303" s="154"/>
      <c r="N1303" s="154"/>
      <c r="O1303" s="154"/>
      <c r="P1303" s="154"/>
      <c r="Q1303" s="154"/>
      <c r="R1303" s="14"/>
      <c r="S1303" s="14"/>
      <c r="T1303" s="14"/>
      <c r="U1303" s="14"/>
      <c r="V1303" s="14"/>
      <c r="W1303" s="14"/>
    </row>
    <row r="1304" ht="35.25" customHeight="1">
      <c r="A1304" s="147"/>
      <c r="B1304" s="148"/>
      <c r="C1304" s="149"/>
      <c r="D1304" s="150"/>
      <c r="E1304" s="151"/>
      <c r="F1304" s="152"/>
      <c r="G1304" s="153"/>
      <c r="H1304" s="154"/>
      <c r="I1304" s="154"/>
      <c r="J1304" s="154"/>
      <c r="K1304" s="154"/>
      <c r="L1304" s="154"/>
      <c r="M1304" s="154"/>
      <c r="N1304" s="154"/>
      <c r="O1304" s="154"/>
      <c r="P1304" s="154"/>
      <c r="Q1304" s="154"/>
      <c r="R1304" s="14"/>
      <c r="S1304" s="14"/>
      <c r="T1304" s="14"/>
      <c r="U1304" s="14"/>
      <c r="V1304" s="14"/>
      <c r="W1304" s="14"/>
    </row>
    <row r="1305" ht="35.25" customHeight="1">
      <c r="A1305" s="147"/>
      <c r="B1305" s="148"/>
      <c r="C1305" s="149"/>
      <c r="D1305" s="150"/>
      <c r="E1305" s="151"/>
      <c r="F1305" s="152"/>
      <c r="G1305" s="148"/>
      <c r="H1305" s="154"/>
      <c r="I1305" s="154"/>
      <c r="J1305" s="154"/>
      <c r="K1305" s="154"/>
      <c r="L1305" s="154"/>
      <c r="M1305" s="154"/>
      <c r="N1305" s="154"/>
      <c r="O1305" s="154"/>
      <c r="P1305" s="154"/>
      <c r="Q1305" s="154"/>
      <c r="R1305" s="14"/>
      <c r="S1305" s="14"/>
      <c r="T1305" s="14"/>
      <c r="U1305" s="14"/>
      <c r="V1305" s="14"/>
      <c r="W1305" s="14"/>
    </row>
    <row r="1306" ht="35.25" customHeight="1">
      <c r="A1306" s="147"/>
      <c r="B1306" s="148"/>
      <c r="C1306" s="149"/>
      <c r="D1306" s="150"/>
      <c r="E1306" s="151"/>
      <c r="F1306" s="152"/>
      <c r="G1306" s="148"/>
      <c r="H1306" s="154"/>
      <c r="I1306" s="154"/>
      <c r="J1306" s="154"/>
      <c r="K1306" s="154"/>
      <c r="L1306" s="154"/>
      <c r="M1306" s="154"/>
      <c r="N1306" s="154"/>
      <c r="O1306" s="154"/>
      <c r="P1306" s="154"/>
      <c r="Q1306" s="154"/>
      <c r="R1306" s="14"/>
      <c r="S1306" s="14"/>
      <c r="T1306" s="14"/>
      <c r="U1306" s="14"/>
      <c r="V1306" s="14"/>
      <c r="W1306" s="14"/>
    </row>
    <row r="1307" ht="35.25" customHeight="1">
      <c r="A1307" s="147"/>
      <c r="B1307" s="148"/>
      <c r="C1307" s="149"/>
      <c r="D1307" s="150"/>
      <c r="E1307" s="151"/>
      <c r="F1307" s="152"/>
      <c r="G1307" s="148"/>
      <c r="H1307" s="154"/>
      <c r="I1307" s="154"/>
      <c r="J1307" s="154"/>
      <c r="K1307" s="154"/>
      <c r="L1307" s="154"/>
      <c r="M1307" s="154"/>
      <c r="N1307" s="154"/>
      <c r="O1307" s="154"/>
      <c r="P1307" s="154"/>
      <c r="Q1307" s="154"/>
      <c r="R1307" s="14"/>
      <c r="S1307" s="14"/>
      <c r="T1307" s="14"/>
      <c r="U1307" s="14"/>
      <c r="V1307" s="14"/>
      <c r="W1307" s="14"/>
    </row>
    <row r="1308" ht="35.25" customHeight="1">
      <c r="A1308" s="147"/>
      <c r="B1308" s="148"/>
      <c r="C1308" s="149"/>
      <c r="D1308" s="150"/>
      <c r="E1308" s="151"/>
      <c r="F1308" s="152"/>
      <c r="G1308" s="148"/>
      <c r="H1308" s="154"/>
      <c r="I1308" s="154"/>
      <c r="J1308" s="154"/>
      <c r="K1308" s="154"/>
      <c r="L1308" s="154"/>
      <c r="M1308" s="154"/>
      <c r="N1308" s="154"/>
      <c r="O1308" s="154"/>
      <c r="P1308" s="154"/>
      <c r="Q1308" s="154"/>
      <c r="R1308" s="14"/>
      <c r="S1308" s="14"/>
      <c r="T1308" s="14"/>
      <c r="U1308" s="14"/>
      <c r="V1308" s="14"/>
      <c r="W1308" s="14"/>
    </row>
    <row r="1309" ht="35.25" customHeight="1">
      <c r="A1309" s="147"/>
      <c r="B1309" s="148"/>
      <c r="C1309" s="149"/>
      <c r="D1309" s="150"/>
      <c r="E1309" s="151"/>
      <c r="F1309" s="152"/>
      <c r="G1309" s="148"/>
      <c r="H1309" s="155"/>
      <c r="I1309" s="155"/>
      <c r="J1309" s="155"/>
      <c r="K1309" s="155"/>
      <c r="L1309" s="155"/>
      <c r="M1309" s="155"/>
      <c r="N1309" s="155"/>
      <c r="O1309" s="155"/>
      <c r="P1309" s="155"/>
      <c r="Q1309" s="155"/>
      <c r="R1309" s="14"/>
      <c r="S1309" s="14"/>
      <c r="T1309" s="14"/>
      <c r="U1309" s="14"/>
      <c r="V1309" s="14"/>
      <c r="W1309" s="14"/>
    </row>
    <row r="1310" ht="35.25" customHeight="1">
      <c r="A1310" s="147"/>
      <c r="B1310" s="148"/>
      <c r="C1310" s="149"/>
      <c r="D1310" s="150"/>
      <c r="E1310" s="151"/>
      <c r="F1310" s="152"/>
      <c r="G1310" s="148"/>
      <c r="H1310" s="76"/>
      <c r="I1310" s="76"/>
      <c r="J1310" s="76"/>
      <c r="K1310" s="76"/>
      <c r="L1310" s="76"/>
      <c r="M1310" s="76"/>
      <c r="N1310" s="76"/>
      <c r="O1310" s="76"/>
      <c r="P1310" s="76"/>
      <c r="Q1310" s="76"/>
      <c r="R1310" s="14"/>
      <c r="S1310" s="14"/>
      <c r="T1310" s="14"/>
      <c r="U1310" s="14"/>
      <c r="V1310" s="14"/>
      <c r="W1310" s="14"/>
    </row>
    <row r="1311" ht="35.25" customHeight="1">
      <c r="A1311" s="147"/>
      <c r="B1311" s="148"/>
      <c r="C1311" s="149"/>
      <c r="D1311" s="150"/>
      <c r="E1311" s="151"/>
      <c r="F1311" s="152"/>
      <c r="G1311" s="148"/>
      <c r="H1311" s="76"/>
      <c r="I1311" s="76"/>
      <c r="J1311" s="76"/>
      <c r="K1311" s="76"/>
      <c r="L1311" s="76"/>
      <c r="M1311" s="76"/>
      <c r="N1311" s="76"/>
      <c r="O1311" s="76"/>
      <c r="P1311" s="76"/>
      <c r="Q1311" s="76"/>
      <c r="R1311" s="14"/>
      <c r="S1311" s="14"/>
      <c r="T1311" s="14"/>
      <c r="U1311" s="14"/>
      <c r="V1311" s="14"/>
      <c r="W1311" s="14"/>
    </row>
    <row r="1312" ht="35.25" customHeight="1">
      <c r="A1312" s="147"/>
      <c r="B1312" s="148"/>
      <c r="C1312" s="149"/>
      <c r="D1312" s="150"/>
      <c r="E1312" s="151"/>
      <c r="F1312" s="152"/>
      <c r="G1312" s="148"/>
      <c r="H1312" s="76"/>
      <c r="I1312" s="76"/>
      <c r="J1312" s="76"/>
      <c r="K1312" s="76"/>
      <c r="L1312" s="76"/>
      <c r="M1312" s="76"/>
      <c r="N1312" s="76"/>
      <c r="O1312" s="76"/>
      <c r="P1312" s="76"/>
      <c r="Q1312" s="76"/>
      <c r="R1312" s="14"/>
      <c r="S1312" s="14"/>
      <c r="T1312" s="14"/>
      <c r="U1312" s="14"/>
      <c r="V1312" s="14"/>
      <c r="W1312" s="14"/>
    </row>
    <row r="1313" ht="35.25" customHeight="1">
      <c r="A1313" s="147"/>
      <c r="B1313" s="148"/>
      <c r="C1313" s="149"/>
      <c r="D1313" s="150"/>
      <c r="E1313" s="151"/>
      <c r="F1313" s="152"/>
      <c r="G1313" s="148"/>
      <c r="H1313" s="76"/>
      <c r="I1313" s="76"/>
      <c r="J1313" s="76"/>
      <c r="K1313" s="76"/>
      <c r="L1313" s="76"/>
      <c r="M1313" s="76"/>
      <c r="N1313" s="76"/>
      <c r="O1313" s="76"/>
      <c r="P1313" s="76"/>
      <c r="Q1313" s="76"/>
      <c r="R1313" s="14"/>
      <c r="S1313" s="14"/>
      <c r="T1313" s="14"/>
      <c r="U1313" s="14"/>
      <c r="V1313" s="14"/>
      <c r="W1313" s="14"/>
    </row>
    <row r="1314" ht="35.25" customHeight="1">
      <c r="A1314" s="147"/>
      <c r="B1314" s="148"/>
      <c r="C1314" s="149"/>
      <c r="D1314" s="150"/>
      <c r="E1314" s="151"/>
      <c r="F1314" s="152"/>
      <c r="G1314" s="148"/>
      <c r="H1314" s="76"/>
      <c r="I1314" s="76"/>
      <c r="J1314" s="76"/>
      <c r="K1314" s="76"/>
      <c r="L1314" s="76"/>
      <c r="M1314" s="76"/>
      <c r="N1314" s="76"/>
      <c r="O1314" s="76"/>
      <c r="P1314" s="76"/>
      <c r="Q1314" s="76"/>
      <c r="R1314" s="14"/>
      <c r="S1314" s="14"/>
      <c r="T1314" s="14"/>
      <c r="U1314" s="14"/>
      <c r="V1314" s="14"/>
      <c r="W1314" s="14"/>
    </row>
    <row r="1315" ht="35.25" customHeight="1">
      <c r="A1315" s="147"/>
      <c r="B1315" s="148"/>
      <c r="C1315" s="149"/>
      <c r="D1315" s="150"/>
      <c r="E1315" s="151"/>
      <c r="F1315" s="152"/>
      <c r="G1315" s="148"/>
      <c r="H1315" s="76"/>
      <c r="I1315" s="76"/>
      <c r="J1315" s="76"/>
      <c r="K1315" s="76"/>
      <c r="L1315" s="76"/>
      <c r="M1315" s="76"/>
      <c r="N1315" s="76"/>
      <c r="O1315" s="76"/>
      <c r="P1315" s="76"/>
      <c r="Q1315" s="76"/>
      <c r="R1315" s="14"/>
      <c r="S1315" s="14"/>
      <c r="T1315" s="14"/>
      <c r="U1315" s="14"/>
      <c r="V1315" s="14"/>
      <c r="W1315" s="14"/>
    </row>
    <row r="1316" ht="35.25" customHeight="1">
      <c r="A1316" s="147"/>
      <c r="B1316" s="148"/>
      <c r="C1316" s="149"/>
      <c r="D1316" s="150"/>
      <c r="E1316" s="151"/>
      <c r="F1316" s="152"/>
      <c r="G1316" s="148"/>
      <c r="H1316" s="76"/>
      <c r="I1316" s="76"/>
      <c r="J1316" s="76"/>
      <c r="K1316" s="76"/>
      <c r="L1316" s="76"/>
      <c r="M1316" s="76"/>
      <c r="N1316" s="76"/>
      <c r="O1316" s="76"/>
      <c r="P1316" s="76"/>
      <c r="Q1316" s="76"/>
      <c r="R1316" s="14"/>
      <c r="S1316" s="14"/>
      <c r="T1316" s="14"/>
      <c r="U1316" s="14"/>
      <c r="V1316" s="14"/>
      <c r="W1316" s="14"/>
    </row>
    <row r="1317" ht="35.25" customHeight="1">
      <c r="A1317" s="147"/>
      <c r="B1317" s="148"/>
      <c r="C1317" s="149"/>
      <c r="D1317" s="150"/>
      <c r="E1317" s="151"/>
      <c r="F1317" s="152"/>
      <c r="G1317" s="148"/>
      <c r="H1317" s="76"/>
      <c r="I1317" s="76"/>
      <c r="J1317" s="76"/>
      <c r="K1317" s="76"/>
      <c r="L1317" s="76"/>
      <c r="M1317" s="76"/>
      <c r="N1317" s="76"/>
      <c r="O1317" s="76"/>
      <c r="P1317" s="76"/>
      <c r="Q1317" s="76"/>
      <c r="R1317" s="14"/>
      <c r="S1317" s="14"/>
      <c r="T1317" s="14"/>
      <c r="U1317" s="14"/>
      <c r="V1317" s="14"/>
      <c r="W1317" s="14"/>
    </row>
    <row r="1318" ht="35.25" customHeight="1">
      <c r="A1318" s="147"/>
      <c r="B1318" s="148"/>
      <c r="C1318" s="149"/>
      <c r="D1318" s="150"/>
      <c r="E1318" s="151"/>
      <c r="F1318" s="152"/>
      <c r="G1318" s="148"/>
      <c r="H1318" s="76"/>
      <c r="I1318" s="76"/>
      <c r="J1318" s="76"/>
      <c r="K1318" s="76"/>
      <c r="L1318" s="76"/>
      <c r="M1318" s="76"/>
      <c r="N1318" s="76"/>
      <c r="O1318" s="76"/>
      <c r="P1318" s="76"/>
      <c r="Q1318" s="76"/>
      <c r="R1318" s="14"/>
      <c r="S1318" s="14"/>
      <c r="T1318" s="14"/>
      <c r="U1318" s="14"/>
      <c r="V1318" s="14"/>
      <c r="W1318" s="14"/>
    </row>
    <row r="1319" ht="35.25" customHeight="1">
      <c r="A1319" s="147"/>
      <c r="B1319" s="148"/>
      <c r="C1319" s="149"/>
      <c r="D1319" s="150"/>
      <c r="E1319" s="151"/>
      <c r="F1319" s="152"/>
      <c r="G1319" s="148"/>
      <c r="H1319" s="76"/>
      <c r="I1319" s="76"/>
      <c r="J1319" s="76"/>
      <c r="K1319" s="76"/>
      <c r="L1319" s="76"/>
      <c r="M1319" s="76"/>
      <c r="N1319" s="76"/>
      <c r="O1319" s="76"/>
      <c r="P1319" s="76"/>
      <c r="Q1319" s="76"/>
      <c r="R1319" s="14"/>
      <c r="S1319" s="14"/>
      <c r="T1319" s="14"/>
      <c r="U1319" s="14"/>
      <c r="V1319" s="14"/>
      <c r="W1319" s="14"/>
    </row>
    <row r="1320" ht="35.25" customHeight="1">
      <c r="A1320" s="147"/>
      <c r="B1320" s="148"/>
      <c r="C1320" s="149"/>
      <c r="D1320" s="150"/>
      <c r="E1320" s="151"/>
      <c r="F1320" s="152"/>
      <c r="G1320" s="148"/>
      <c r="H1320" s="76"/>
      <c r="I1320" s="76"/>
      <c r="J1320" s="76"/>
      <c r="K1320" s="76"/>
      <c r="L1320" s="76"/>
      <c r="M1320" s="76"/>
      <c r="N1320" s="76"/>
      <c r="O1320" s="76"/>
      <c r="P1320" s="76"/>
      <c r="Q1320" s="76"/>
      <c r="R1320" s="14"/>
      <c r="S1320" s="14"/>
      <c r="T1320" s="14"/>
      <c r="U1320" s="14"/>
      <c r="V1320" s="14"/>
      <c r="W1320" s="14"/>
    </row>
    <row r="1321" ht="35.25" customHeight="1">
      <c r="A1321" s="147"/>
      <c r="B1321" s="148"/>
      <c r="C1321" s="149"/>
      <c r="D1321" s="150"/>
      <c r="E1321" s="151"/>
      <c r="F1321" s="152"/>
      <c r="G1321" s="148"/>
      <c r="H1321" s="76"/>
      <c r="I1321" s="76"/>
      <c r="J1321" s="76"/>
      <c r="K1321" s="76"/>
      <c r="L1321" s="76"/>
      <c r="M1321" s="76"/>
      <c r="N1321" s="76"/>
      <c r="O1321" s="76"/>
      <c r="P1321" s="76"/>
      <c r="Q1321" s="76"/>
      <c r="R1321" s="14"/>
      <c r="S1321" s="14"/>
      <c r="T1321" s="14"/>
      <c r="U1321" s="14"/>
      <c r="V1321" s="14"/>
      <c r="W1321" s="14"/>
    </row>
    <row r="1322" ht="35.25" customHeight="1">
      <c r="A1322" s="147"/>
      <c r="B1322" s="148"/>
      <c r="C1322" s="149"/>
      <c r="D1322" s="150"/>
      <c r="E1322" s="151"/>
      <c r="F1322" s="152"/>
      <c r="G1322" s="148"/>
      <c r="H1322" s="76"/>
      <c r="I1322" s="76"/>
      <c r="J1322" s="76"/>
      <c r="K1322" s="76"/>
      <c r="L1322" s="76"/>
      <c r="M1322" s="76"/>
      <c r="N1322" s="76"/>
      <c r="O1322" s="76"/>
      <c r="P1322" s="76"/>
      <c r="Q1322" s="76"/>
      <c r="R1322" s="14"/>
      <c r="S1322" s="14"/>
      <c r="T1322" s="14"/>
      <c r="U1322" s="14"/>
      <c r="V1322" s="14"/>
      <c r="W1322" s="14"/>
    </row>
    <row r="1323" ht="35.25" customHeight="1">
      <c r="A1323" s="147"/>
      <c r="B1323" s="148"/>
      <c r="C1323" s="149"/>
      <c r="D1323" s="150"/>
      <c r="E1323" s="151"/>
      <c r="F1323" s="152"/>
      <c r="G1323" s="148"/>
      <c r="H1323" s="76"/>
      <c r="I1323" s="76"/>
      <c r="J1323" s="76"/>
      <c r="K1323" s="76"/>
      <c r="L1323" s="76"/>
      <c r="M1323" s="76"/>
      <c r="N1323" s="76"/>
      <c r="O1323" s="76"/>
      <c r="P1323" s="76"/>
      <c r="Q1323" s="76"/>
      <c r="R1323" s="14"/>
      <c r="S1323" s="14"/>
      <c r="T1323" s="14"/>
      <c r="U1323" s="14"/>
      <c r="V1323" s="14"/>
      <c r="W1323" s="14"/>
    </row>
    <row r="1324" ht="35.25" customHeight="1">
      <c r="A1324" s="147"/>
      <c r="B1324" s="148"/>
      <c r="C1324" s="149"/>
      <c r="D1324" s="150"/>
      <c r="E1324" s="151"/>
      <c r="F1324" s="152"/>
      <c r="G1324" s="148"/>
      <c r="H1324" s="76"/>
      <c r="I1324" s="76"/>
      <c r="J1324" s="76"/>
      <c r="K1324" s="76"/>
      <c r="L1324" s="76"/>
      <c r="M1324" s="76"/>
      <c r="N1324" s="76"/>
      <c r="O1324" s="76"/>
      <c r="P1324" s="76"/>
      <c r="Q1324" s="76"/>
      <c r="R1324" s="14"/>
      <c r="S1324" s="14"/>
      <c r="T1324" s="14"/>
      <c r="U1324" s="14"/>
      <c r="V1324" s="14"/>
      <c r="W1324" s="14"/>
    </row>
    <row r="1325" ht="35.25" customHeight="1">
      <c r="A1325" s="147"/>
      <c r="B1325" s="148"/>
      <c r="C1325" s="149"/>
      <c r="D1325" s="150"/>
      <c r="E1325" s="151"/>
      <c r="F1325" s="152"/>
      <c r="G1325" s="148"/>
      <c r="H1325" s="76"/>
      <c r="I1325" s="76"/>
      <c r="J1325" s="76"/>
      <c r="K1325" s="76"/>
      <c r="L1325" s="76"/>
      <c r="M1325" s="76"/>
      <c r="N1325" s="76"/>
      <c r="O1325" s="76"/>
      <c r="P1325" s="76"/>
      <c r="Q1325" s="76"/>
      <c r="R1325" s="14"/>
      <c r="S1325" s="14"/>
      <c r="T1325" s="14"/>
      <c r="U1325" s="14"/>
      <c r="V1325" s="14"/>
      <c r="W1325" s="14"/>
    </row>
    <row r="1326" ht="35.25" customHeight="1">
      <c r="A1326" s="147"/>
      <c r="B1326" s="148"/>
      <c r="C1326" s="149"/>
      <c r="D1326" s="150"/>
      <c r="E1326" s="151"/>
      <c r="F1326" s="152"/>
      <c r="G1326" s="148"/>
      <c r="H1326" s="76"/>
      <c r="I1326" s="76"/>
      <c r="J1326" s="76"/>
      <c r="K1326" s="76"/>
      <c r="L1326" s="76"/>
      <c r="M1326" s="76"/>
      <c r="N1326" s="76"/>
      <c r="O1326" s="76"/>
      <c r="P1326" s="76"/>
      <c r="Q1326" s="76"/>
      <c r="R1326" s="14"/>
      <c r="S1326" s="14"/>
      <c r="T1326" s="14"/>
      <c r="U1326" s="14"/>
      <c r="V1326" s="14"/>
      <c r="W1326" s="14"/>
    </row>
    <row r="1327" ht="35.25" customHeight="1">
      <c r="A1327" s="147"/>
      <c r="B1327" s="148"/>
      <c r="C1327" s="149"/>
      <c r="D1327" s="150"/>
      <c r="E1327" s="151"/>
      <c r="F1327" s="152"/>
      <c r="G1327" s="148"/>
      <c r="H1327" s="76"/>
      <c r="I1327" s="76"/>
      <c r="J1327" s="76"/>
      <c r="K1327" s="76"/>
      <c r="L1327" s="76"/>
      <c r="M1327" s="76"/>
      <c r="N1327" s="76"/>
      <c r="O1327" s="76"/>
      <c r="P1327" s="76"/>
      <c r="Q1327" s="76"/>
      <c r="R1327" s="14"/>
      <c r="S1327" s="14"/>
      <c r="T1327" s="14"/>
      <c r="U1327" s="14"/>
      <c r="V1327" s="14"/>
      <c r="W1327" s="14"/>
    </row>
    <row r="1328" ht="35.25" customHeight="1">
      <c r="A1328" s="147"/>
      <c r="B1328" s="148"/>
      <c r="C1328" s="149"/>
      <c r="D1328" s="150"/>
      <c r="E1328" s="151"/>
      <c r="F1328" s="152"/>
      <c r="G1328" s="148"/>
      <c r="H1328" s="76"/>
      <c r="I1328" s="76"/>
      <c r="J1328" s="76"/>
      <c r="K1328" s="76"/>
      <c r="L1328" s="76"/>
      <c r="M1328" s="76"/>
      <c r="N1328" s="76"/>
      <c r="O1328" s="76"/>
      <c r="P1328" s="76"/>
      <c r="Q1328" s="76"/>
      <c r="R1328" s="14"/>
      <c r="S1328" s="14"/>
      <c r="T1328" s="14"/>
      <c r="U1328" s="14"/>
      <c r="V1328" s="14"/>
      <c r="W1328" s="14"/>
    </row>
    <row r="1329" ht="35.25" customHeight="1">
      <c r="A1329" s="147"/>
      <c r="B1329" s="148"/>
      <c r="C1329" s="149"/>
      <c r="D1329" s="150"/>
      <c r="E1329" s="151"/>
      <c r="F1329" s="152"/>
      <c r="G1329" s="148"/>
      <c r="H1329" s="76"/>
      <c r="I1329" s="76"/>
      <c r="J1329" s="76"/>
      <c r="K1329" s="76"/>
      <c r="L1329" s="76"/>
      <c r="M1329" s="76"/>
      <c r="N1329" s="76"/>
      <c r="O1329" s="76"/>
      <c r="P1329" s="76"/>
      <c r="Q1329" s="76"/>
      <c r="R1329" s="14"/>
      <c r="S1329" s="14"/>
      <c r="T1329" s="14"/>
      <c r="U1329" s="14"/>
      <c r="V1329" s="14"/>
      <c r="W1329" s="14"/>
    </row>
    <row r="1330" ht="35.25" customHeight="1">
      <c r="A1330" s="147"/>
      <c r="B1330" s="148"/>
      <c r="C1330" s="149"/>
      <c r="D1330" s="150"/>
      <c r="E1330" s="151"/>
      <c r="F1330" s="152"/>
      <c r="G1330" s="148"/>
      <c r="H1330" s="76"/>
      <c r="I1330" s="76"/>
      <c r="J1330" s="76"/>
      <c r="K1330" s="76"/>
      <c r="L1330" s="76"/>
      <c r="M1330" s="76"/>
      <c r="N1330" s="76"/>
      <c r="O1330" s="76"/>
      <c r="P1330" s="76"/>
      <c r="Q1330" s="76"/>
      <c r="R1330" s="14"/>
      <c r="S1330" s="14"/>
      <c r="T1330" s="14"/>
      <c r="U1330" s="14"/>
      <c r="V1330" s="14"/>
      <c r="W1330" s="14"/>
    </row>
    <row r="1331" ht="35.25" customHeight="1">
      <c r="A1331" s="147"/>
      <c r="B1331" s="148"/>
      <c r="C1331" s="149"/>
      <c r="D1331" s="150"/>
      <c r="E1331" s="151"/>
      <c r="F1331" s="152"/>
      <c r="G1331" s="148"/>
      <c r="H1331" s="76"/>
      <c r="I1331" s="76"/>
      <c r="J1331" s="76"/>
      <c r="K1331" s="76"/>
      <c r="L1331" s="76"/>
      <c r="M1331" s="76"/>
      <c r="N1331" s="76"/>
      <c r="O1331" s="76"/>
      <c r="P1331" s="76"/>
      <c r="Q1331" s="76"/>
      <c r="R1331" s="14"/>
      <c r="S1331" s="14"/>
      <c r="T1331" s="14"/>
      <c r="U1331" s="14"/>
      <c r="V1331" s="14"/>
      <c r="W1331" s="14"/>
    </row>
    <row r="1332" ht="35.25" customHeight="1">
      <c r="A1332" s="147"/>
      <c r="B1332" s="148"/>
      <c r="C1332" s="149"/>
      <c r="D1332" s="150"/>
      <c r="E1332" s="151"/>
      <c r="F1332" s="152"/>
      <c r="G1332" s="148"/>
      <c r="H1332" s="76"/>
      <c r="I1332" s="76"/>
      <c r="J1332" s="76"/>
      <c r="K1332" s="76"/>
      <c r="L1332" s="76"/>
      <c r="M1332" s="76"/>
      <c r="N1332" s="76"/>
      <c r="O1332" s="76"/>
      <c r="P1332" s="76"/>
      <c r="Q1332" s="76"/>
      <c r="R1332" s="14"/>
      <c r="S1332" s="14"/>
      <c r="T1332" s="14"/>
      <c r="U1332" s="14"/>
      <c r="V1332" s="14"/>
      <c r="W1332" s="14"/>
    </row>
    <row r="1333" ht="35.25" customHeight="1">
      <c r="A1333" s="147"/>
      <c r="B1333" s="148"/>
      <c r="C1333" s="149"/>
      <c r="D1333" s="150"/>
      <c r="E1333" s="151"/>
      <c r="F1333" s="152"/>
      <c r="G1333" s="148"/>
      <c r="H1333" s="76"/>
      <c r="I1333" s="76"/>
      <c r="J1333" s="76"/>
      <c r="K1333" s="76"/>
      <c r="L1333" s="76"/>
      <c r="M1333" s="76"/>
      <c r="N1333" s="76"/>
      <c r="O1333" s="76"/>
      <c r="P1333" s="76"/>
      <c r="Q1333" s="76"/>
      <c r="R1333" s="14"/>
      <c r="S1333" s="14"/>
      <c r="T1333" s="14"/>
      <c r="U1333" s="14"/>
      <c r="V1333" s="14"/>
      <c r="W1333" s="14"/>
    </row>
    <row r="1334" ht="35.25" customHeight="1">
      <c r="A1334" s="147"/>
      <c r="B1334" s="148"/>
      <c r="C1334" s="149"/>
      <c r="D1334" s="150"/>
      <c r="E1334" s="151"/>
      <c r="F1334" s="152"/>
      <c r="G1334" s="148"/>
      <c r="H1334" s="76"/>
      <c r="I1334" s="76"/>
      <c r="J1334" s="76"/>
      <c r="K1334" s="76"/>
      <c r="L1334" s="76"/>
      <c r="M1334" s="76"/>
      <c r="N1334" s="76"/>
      <c r="O1334" s="76"/>
      <c r="P1334" s="76"/>
      <c r="Q1334" s="76"/>
      <c r="R1334" s="14"/>
      <c r="S1334" s="14"/>
      <c r="T1334" s="14"/>
      <c r="U1334" s="14"/>
      <c r="V1334" s="14"/>
      <c r="W1334" s="14"/>
    </row>
    <row r="1335" ht="35.25" customHeight="1">
      <c r="A1335" s="147"/>
      <c r="B1335" s="148"/>
      <c r="C1335" s="149"/>
      <c r="D1335" s="150"/>
      <c r="E1335" s="151"/>
      <c r="F1335" s="152"/>
      <c r="G1335" s="148"/>
      <c r="H1335" s="76"/>
      <c r="I1335" s="76"/>
      <c r="J1335" s="76"/>
      <c r="K1335" s="76"/>
      <c r="L1335" s="76"/>
      <c r="M1335" s="76"/>
      <c r="N1335" s="76"/>
      <c r="O1335" s="76"/>
      <c r="P1335" s="76"/>
      <c r="Q1335" s="76"/>
      <c r="R1335" s="14"/>
      <c r="S1335" s="14"/>
      <c r="T1335" s="14"/>
      <c r="U1335" s="14"/>
      <c r="V1335" s="14"/>
      <c r="W1335" s="14"/>
    </row>
    <row r="1336" ht="35.25" customHeight="1">
      <c r="A1336" s="147"/>
      <c r="B1336" s="148"/>
      <c r="C1336" s="149"/>
      <c r="D1336" s="150"/>
      <c r="E1336" s="151"/>
      <c r="F1336" s="152"/>
      <c r="G1336" s="148"/>
      <c r="H1336" s="76"/>
      <c r="I1336" s="76"/>
      <c r="J1336" s="76"/>
      <c r="K1336" s="76"/>
      <c r="L1336" s="76"/>
      <c r="M1336" s="76"/>
      <c r="N1336" s="76"/>
      <c r="O1336" s="76"/>
      <c r="P1336" s="76"/>
      <c r="Q1336" s="76"/>
      <c r="R1336" s="14"/>
      <c r="S1336" s="14"/>
      <c r="T1336" s="14"/>
      <c r="U1336" s="14"/>
      <c r="V1336" s="14"/>
      <c r="W1336" s="14"/>
    </row>
    <row r="1337" ht="35.25" customHeight="1">
      <c r="A1337" s="147"/>
      <c r="B1337" s="148"/>
      <c r="C1337" s="149"/>
      <c r="D1337" s="150"/>
      <c r="E1337" s="151"/>
      <c r="F1337" s="152"/>
      <c r="G1337" s="148"/>
      <c r="H1337" s="76"/>
      <c r="I1337" s="76"/>
      <c r="J1337" s="76"/>
      <c r="K1337" s="76"/>
      <c r="L1337" s="76"/>
      <c r="M1337" s="76"/>
      <c r="N1337" s="76"/>
      <c r="O1337" s="76"/>
      <c r="P1337" s="76"/>
      <c r="Q1337" s="76"/>
      <c r="R1337" s="14"/>
      <c r="S1337" s="14"/>
      <c r="T1337" s="14"/>
      <c r="U1337" s="14"/>
      <c r="V1337" s="14"/>
      <c r="W1337" s="14"/>
    </row>
    <row r="1338" ht="35.25" customHeight="1">
      <c r="A1338" s="147"/>
      <c r="B1338" s="148"/>
      <c r="C1338" s="149"/>
      <c r="D1338" s="150"/>
      <c r="E1338" s="151"/>
      <c r="F1338" s="152"/>
      <c r="G1338" s="148"/>
      <c r="H1338" s="76"/>
      <c r="I1338" s="76"/>
      <c r="J1338" s="76"/>
      <c r="K1338" s="76"/>
      <c r="L1338" s="76"/>
      <c r="M1338" s="76"/>
      <c r="N1338" s="76"/>
      <c r="O1338" s="76"/>
      <c r="P1338" s="76"/>
      <c r="Q1338" s="76"/>
      <c r="R1338" s="14"/>
      <c r="S1338" s="14"/>
      <c r="T1338" s="14"/>
      <c r="U1338" s="14"/>
      <c r="V1338" s="14"/>
      <c r="W1338" s="14"/>
    </row>
    <row r="1339" ht="35.25" customHeight="1">
      <c r="A1339" s="147"/>
      <c r="B1339" s="148"/>
      <c r="C1339" s="149"/>
      <c r="D1339" s="150"/>
      <c r="E1339" s="151"/>
      <c r="F1339" s="152"/>
      <c r="G1339" s="148"/>
      <c r="H1339" s="76"/>
      <c r="I1339" s="76"/>
      <c r="J1339" s="76"/>
      <c r="K1339" s="76"/>
      <c r="L1339" s="76"/>
      <c r="M1339" s="76"/>
      <c r="N1339" s="76"/>
      <c r="O1339" s="76"/>
      <c r="P1339" s="76"/>
      <c r="Q1339" s="76"/>
      <c r="R1339" s="14"/>
      <c r="S1339" s="14"/>
      <c r="T1339" s="14"/>
      <c r="U1339" s="14"/>
      <c r="V1339" s="14"/>
      <c r="W1339" s="14"/>
    </row>
    <row r="1340" ht="35.25" customHeight="1">
      <c r="A1340" s="147"/>
      <c r="B1340" s="148"/>
      <c r="C1340" s="149"/>
      <c r="D1340" s="150"/>
      <c r="E1340" s="151"/>
      <c r="F1340" s="152"/>
      <c r="G1340" s="148"/>
      <c r="H1340" s="76"/>
      <c r="I1340" s="76"/>
      <c r="J1340" s="76"/>
      <c r="K1340" s="76"/>
      <c r="L1340" s="76"/>
      <c r="M1340" s="76"/>
      <c r="N1340" s="76"/>
      <c r="O1340" s="76"/>
      <c r="P1340" s="76"/>
      <c r="Q1340" s="76"/>
      <c r="R1340" s="14"/>
      <c r="S1340" s="14"/>
      <c r="T1340" s="14"/>
      <c r="U1340" s="14"/>
      <c r="V1340" s="14"/>
      <c r="W1340" s="14"/>
    </row>
    <row r="1341" ht="35.25" customHeight="1">
      <c r="A1341" s="147"/>
      <c r="B1341" s="148"/>
      <c r="C1341" s="149"/>
      <c r="D1341" s="150"/>
      <c r="E1341" s="151"/>
      <c r="F1341" s="152"/>
      <c r="G1341" s="148"/>
      <c r="H1341" s="76"/>
      <c r="I1341" s="76"/>
      <c r="J1341" s="76"/>
      <c r="K1341" s="76"/>
      <c r="L1341" s="76"/>
      <c r="M1341" s="76"/>
      <c r="N1341" s="76"/>
      <c r="O1341" s="76"/>
      <c r="P1341" s="76"/>
      <c r="Q1341" s="76"/>
      <c r="R1341" s="14"/>
      <c r="S1341" s="14"/>
      <c r="T1341" s="14"/>
      <c r="U1341" s="14"/>
      <c r="V1341" s="14"/>
      <c r="W1341" s="14"/>
    </row>
    <row r="1342" ht="35.25" customHeight="1">
      <c r="A1342" s="147"/>
      <c r="B1342" s="148"/>
      <c r="C1342" s="149"/>
      <c r="D1342" s="150"/>
      <c r="E1342" s="151"/>
      <c r="F1342" s="152"/>
      <c r="G1342" s="148"/>
      <c r="H1342" s="76"/>
      <c r="I1342" s="76"/>
      <c r="J1342" s="76"/>
      <c r="K1342" s="76"/>
      <c r="L1342" s="76"/>
      <c r="M1342" s="76"/>
      <c r="N1342" s="76"/>
      <c r="O1342" s="76"/>
      <c r="P1342" s="76"/>
      <c r="Q1342" s="76"/>
      <c r="R1342" s="14"/>
      <c r="S1342" s="14"/>
      <c r="T1342" s="14"/>
      <c r="U1342" s="14"/>
      <c r="V1342" s="14"/>
      <c r="W1342" s="14"/>
    </row>
    <row r="1343" ht="35.25" customHeight="1">
      <c r="A1343" s="147"/>
      <c r="B1343" s="148"/>
      <c r="C1343" s="149"/>
      <c r="D1343" s="150"/>
      <c r="E1343" s="151"/>
      <c r="F1343" s="152"/>
      <c r="G1343" s="148"/>
      <c r="H1343" s="76"/>
      <c r="I1343" s="76"/>
      <c r="J1343" s="76"/>
      <c r="K1343" s="76"/>
      <c r="L1343" s="76"/>
      <c r="M1343" s="76"/>
      <c r="N1343" s="76"/>
      <c r="O1343" s="76"/>
      <c r="P1343" s="76"/>
      <c r="Q1343" s="76"/>
      <c r="R1343" s="14"/>
      <c r="S1343" s="14"/>
      <c r="T1343" s="14"/>
      <c r="U1343" s="14"/>
      <c r="V1343" s="14"/>
      <c r="W1343" s="14"/>
    </row>
    <row r="1344" ht="35.25" customHeight="1">
      <c r="A1344" s="147"/>
      <c r="B1344" s="148"/>
      <c r="C1344" s="149"/>
      <c r="D1344" s="150"/>
      <c r="E1344" s="151"/>
      <c r="F1344" s="152"/>
      <c r="G1344" s="148"/>
      <c r="H1344" s="76"/>
      <c r="I1344" s="76"/>
      <c r="J1344" s="76"/>
      <c r="K1344" s="76"/>
      <c r="L1344" s="76"/>
      <c r="M1344" s="76"/>
      <c r="N1344" s="76"/>
      <c r="O1344" s="76"/>
      <c r="P1344" s="76"/>
      <c r="Q1344" s="76"/>
      <c r="R1344" s="14"/>
      <c r="S1344" s="14"/>
      <c r="T1344" s="14"/>
      <c r="U1344" s="14"/>
      <c r="V1344" s="14"/>
      <c r="W1344" s="14"/>
    </row>
    <row r="1345" ht="35.25" customHeight="1">
      <c r="A1345" s="147"/>
      <c r="B1345" s="148"/>
      <c r="C1345" s="149"/>
      <c r="D1345" s="150"/>
      <c r="E1345" s="151"/>
      <c r="F1345" s="152"/>
      <c r="G1345" s="148"/>
      <c r="H1345" s="76"/>
      <c r="I1345" s="76"/>
      <c r="J1345" s="76"/>
      <c r="K1345" s="76"/>
      <c r="L1345" s="76"/>
      <c r="M1345" s="76"/>
      <c r="N1345" s="76"/>
      <c r="O1345" s="76"/>
      <c r="P1345" s="76"/>
      <c r="Q1345" s="76"/>
      <c r="R1345" s="14"/>
      <c r="S1345" s="14"/>
      <c r="T1345" s="14"/>
      <c r="U1345" s="14"/>
      <c r="V1345" s="14"/>
      <c r="W1345" s="14"/>
    </row>
    <row r="1346" ht="35.25" customHeight="1">
      <c r="A1346" s="147"/>
      <c r="B1346" s="148"/>
      <c r="C1346" s="149"/>
      <c r="D1346" s="150"/>
      <c r="E1346" s="151"/>
      <c r="F1346" s="152"/>
      <c r="G1346" s="148"/>
      <c r="H1346" s="76"/>
      <c r="I1346" s="76"/>
      <c r="J1346" s="76"/>
      <c r="K1346" s="76"/>
      <c r="L1346" s="76"/>
      <c r="M1346" s="76"/>
      <c r="N1346" s="76"/>
      <c r="O1346" s="76"/>
      <c r="P1346" s="76"/>
      <c r="Q1346" s="76"/>
      <c r="R1346" s="14"/>
      <c r="S1346" s="14"/>
      <c r="T1346" s="14"/>
      <c r="U1346" s="14"/>
      <c r="V1346" s="14"/>
      <c r="W1346" s="14"/>
    </row>
    <row r="1347" ht="35.25" customHeight="1">
      <c r="A1347" s="147"/>
      <c r="B1347" s="148"/>
      <c r="C1347" s="149"/>
      <c r="D1347" s="150"/>
      <c r="E1347" s="151"/>
      <c r="F1347" s="152"/>
      <c r="G1347" s="148"/>
      <c r="H1347" s="76"/>
      <c r="I1347" s="76"/>
      <c r="J1347" s="76"/>
      <c r="K1347" s="76"/>
      <c r="L1347" s="76"/>
      <c r="M1347" s="76"/>
      <c r="N1347" s="76"/>
      <c r="O1347" s="76"/>
      <c r="P1347" s="76"/>
      <c r="Q1347" s="76"/>
      <c r="R1347" s="14"/>
      <c r="S1347" s="14"/>
      <c r="T1347" s="14"/>
      <c r="U1347" s="14"/>
      <c r="V1347" s="14"/>
      <c r="W1347" s="14"/>
    </row>
    <row r="1348" ht="35.25" customHeight="1">
      <c r="A1348" s="147"/>
      <c r="B1348" s="148"/>
      <c r="C1348" s="149"/>
      <c r="D1348" s="150"/>
      <c r="E1348" s="151"/>
      <c r="F1348" s="152"/>
      <c r="G1348" s="148"/>
      <c r="H1348" s="76"/>
      <c r="I1348" s="76"/>
      <c r="J1348" s="76"/>
      <c r="K1348" s="76"/>
      <c r="L1348" s="76"/>
      <c r="M1348" s="76"/>
      <c r="N1348" s="76"/>
      <c r="O1348" s="76"/>
      <c r="P1348" s="76"/>
      <c r="Q1348" s="76"/>
      <c r="R1348" s="14"/>
      <c r="S1348" s="14"/>
      <c r="T1348" s="14"/>
      <c r="U1348" s="14"/>
      <c r="V1348" s="14"/>
      <c r="W1348" s="14"/>
    </row>
    <row r="1349" ht="35.25" customHeight="1">
      <c r="A1349" s="147"/>
      <c r="B1349" s="148"/>
      <c r="C1349" s="149"/>
      <c r="D1349" s="150"/>
      <c r="E1349" s="151"/>
      <c r="F1349" s="152"/>
      <c r="G1349" s="148"/>
      <c r="H1349" s="76"/>
      <c r="I1349" s="76"/>
      <c r="J1349" s="76"/>
      <c r="K1349" s="76"/>
      <c r="L1349" s="76"/>
      <c r="M1349" s="76"/>
      <c r="N1349" s="76"/>
      <c r="O1349" s="76"/>
      <c r="P1349" s="76"/>
      <c r="Q1349" s="76"/>
      <c r="R1349" s="14"/>
      <c r="S1349" s="14"/>
      <c r="T1349" s="14"/>
      <c r="U1349" s="14"/>
      <c r="V1349" s="14"/>
      <c r="W1349" s="14"/>
    </row>
    <row r="1350" ht="35.25" customHeight="1">
      <c r="A1350" s="147"/>
      <c r="B1350" s="148"/>
      <c r="C1350" s="149"/>
      <c r="D1350" s="150"/>
      <c r="E1350" s="151"/>
      <c r="F1350" s="152"/>
      <c r="G1350" s="148"/>
      <c r="H1350" s="76"/>
      <c r="I1350" s="76"/>
      <c r="J1350" s="76"/>
      <c r="K1350" s="76"/>
      <c r="L1350" s="76"/>
      <c r="M1350" s="76"/>
      <c r="N1350" s="76"/>
      <c r="O1350" s="76"/>
      <c r="P1350" s="76"/>
      <c r="Q1350" s="76"/>
      <c r="R1350" s="14"/>
      <c r="S1350" s="14"/>
      <c r="T1350" s="14"/>
      <c r="U1350" s="14"/>
      <c r="V1350" s="14"/>
      <c r="W1350" s="14"/>
    </row>
    <row r="1351" ht="35.25" customHeight="1">
      <c r="A1351" s="147"/>
      <c r="B1351" s="148"/>
      <c r="C1351" s="149"/>
      <c r="D1351" s="150"/>
      <c r="E1351" s="151"/>
      <c r="F1351" s="152"/>
      <c r="G1351" s="148"/>
      <c r="H1351" s="76"/>
      <c r="I1351" s="76"/>
      <c r="J1351" s="76"/>
      <c r="K1351" s="76"/>
      <c r="L1351" s="76"/>
      <c r="M1351" s="76"/>
      <c r="N1351" s="76"/>
      <c r="O1351" s="76"/>
      <c r="P1351" s="76"/>
      <c r="Q1351" s="76"/>
      <c r="R1351" s="14"/>
      <c r="S1351" s="14"/>
      <c r="T1351" s="14"/>
      <c r="U1351" s="14"/>
      <c r="V1351" s="14"/>
      <c r="W1351" s="14"/>
    </row>
    <row r="1352" ht="35.25" customHeight="1">
      <c r="A1352" s="147"/>
      <c r="B1352" s="148"/>
      <c r="C1352" s="149"/>
      <c r="D1352" s="150"/>
      <c r="E1352" s="151"/>
      <c r="F1352" s="152"/>
      <c r="G1352" s="148"/>
      <c r="H1352" s="76"/>
      <c r="I1352" s="76"/>
      <c r="J1352" s="76"/>
      <c r="K1352" s="76"/>
      <c r="L1352" s="76"/>
      <c r="M1352" s="76"/>
      <c r="N1352" s="76"/>
      <c r="O1352" s="76"/>
      <c r="P1352" s="76"/>
      <c r="Q1352" s="76"/>
      <c r="R1352" s="14"/>
      <c r="S1352" s="14"/>
      <c r="T1352" s="14"/>
      <c r="U1352" s="14"/>
      <c r="V1352" s="14"/>
      <c r="W1352" s="14"/>
    </row>
    <row r="1353" ht="35.25" customHeight="1">
      <c r="A1353" s="147"/>
      <c r="B1353" s="148"/>
      <c r="C1353" s="149"/>
      <c r="D1353" s="150"/>
      <c r="E1353" s="151"/>
      <c r="F1353" s="152"/>
      <c r="G1353" s="148"/>
      <c r="H1353" s="76"/>
      <c r="I1353" s="76"/>
      <c r="J1353" s="76"/>
      <c r="K1353" s="76"/>
      <c r="L1353" s="76"/>
      <c r="M1353" s="76"/>
      <c r="N1353" s="76"/>
      <c r="O1353" s="76"/>
      <c r="P1353" s="76"/>
      <c r="Q1353" s="76"/>
      <c r="R1353" s="14"/>
      <c r="S1353" s="14"/>
      <c r="T1353" s="14"/>
      <c r="U1353" s="14"/>
      <c r="V1353" s="14"/>
      <c r="W1353" s="14"/>
    </row>
    <row r="1354" ht="35.25" customHeight="1">
      <c r="A1354" s="147"/>
      <c r="B1354" s="148"/>
      <c r="C1354" s="149"/>
      <c r="D1354" s="150"/>
      <c r="E1354" s="151"/>
      <c r="F1354" s="152"/>
      <c r="G1354" s="148"/>
      <c r="H1354" s="76"/>
      <c r="I1354" s="76"/>
      <c r="J1354" s="76"/>
      <c r="K1354" s="76"/>
      <c r="L1354" s="76"/>
      <c r="M1354" s="76"/>
      <c r="N1354" s="76"/>
      <c r="O1354" s="76"/>
      <c r="P1354" s="76"/>
      <c r="Q1354" s="76"/>
      <c r="R1354" s="14"/>
      <c r="S1354" s="14"/>
      <c r="T1354" s="14"/>
      <c r="U1354" s="14"/>
      <c r="V1354" s="14"/>
      <c r="W1354" s="14"/>
    </row>
    <row r="1355" ht="35.25" customHeight="1">
      <c r="A1355" s="147"/>
      <c r="B1355" s="148"/>
      <c r="C1355" s="149"/>
      <c r="D1355" s="150"/>
      <c r="E1355" s="151"/>
      <c r="F1355" s="152"/>
      <c r="G1355" s="148"/>
      <c r="H1355" s="76"/>
      <c r="I1355" s="76"/>
      <c r="J1355" s="76"/>
      <c r="K1355" s="76"/>
      <c r="L1355" s="76"/>
      <c r="M1355" s="76"/>
      <c r="N1355" s="76"/>
      <c r="O1355" s="76"/>
      <c r="P1355" s="76"/>
      <c r="Q1355" s="76"/>
      <c r="R1355" s="14"/>
      <c r="S1355" s="14"/>
      <c r="T1355" s="14"/>
      <c r="U1355" s="14"/>
      <c r="V1355" s="14"/>
      <c r="W1355" s="14"/>
    </row>
    <row r="1356" ht="35.25" customHeight="1">
      <c r="A1356" s="147"/>
      <c r="B1356" s="148"/>
      <c r="C1356" s="149"/>
      <c r="D1356" s="150"/>
      <c r="E1356" s="151"/>
      <c r="F1356" s="152"/>
      <c r="G1356" s="148"/>
      <c r="H1356" s="76"/>
      <c r="I1356" s="76"/>
      <c r="J1356" s="76"/>
      <c r="K1356" s="76"/>
      <c r="L1356" s="76"/>
      <c r="M1356" s="76"/>
      <c r="N1356" s="76"/>
      <c r="O1356" s="76"/>
      <c r="P1356" s="76"/>
      <c r="Q1356" s="76"/>
      <c r="R1356" s="14"/>
      <c r="S1356" s="14"/>
      <c r="T1356" s="14"/>
      <c r="U1356" s="14"/>
      <c r="V1356" s="14"/>
      <c r="W1356" s="14"/>
    </row>
    <row r="1357" ht="35.25" customHeight="1">
      <c r="A1357" s="147"/>
      <c r="B1357" s="148"/>
      <c r="C1357" s="149"/>
      <c r="D1357" s="150"/>
      <c r="E1357" s="151"/>
      <c r="F1357" s="152"/>
      <c r="G1357" s="148"/>
      <c r="H1357" s="76"/>
      <c r="I1357" s="76"/>
      <c r="J1357" s="76"/>
      <c r="K1357" s="76"/>
      <c r="L1357" s="76"/>
      <c r="M1357" s="76"/>
      <c r="N1357" s="76"/>
      <c r="O1357" s="76"/>
      <c r="P1357" s="76"/>
      <c r="Q1357" s="76"/>
      <c r="R1357" s="14"/>
      <c r="S1357" s="14"/>
      <c r="T1357" s="14"/>
      <c r="U1357" s="14"/>
      <c r="V1357" s="14"/>
      <c r="W1357" s="14"/>
    </row>
    <row r="1358" ht="35.25" customHeight="1">
      <c r="A1358" s="147"/>
      <c r="B1358" s="148"/>
      <c r="C1358" s="149"/>
      <c r="D1358" s="150"/>
      <c r="E1358" s="151"/>
      <c r="F1358" s="152"/>
      <c r="G1358" s="148"/>
      <c r="H1358" s="76"/>
      <c r="I1358" s="76"/>
      <c r="J1358" s="76"/>
      <c r="K1358" s="76"/>
      <c r="L1358" s="76"/>
      <c r="M1358" s="76"/>
      <c r="N1358" s="76"/>
      <c r="O1358" s="76"/>
      <c r="P1358" s="76"/>
      <c r="Q1358" s="76"/>
      <c r="R1358" s="14"/>
      <c r="S1358" s="14"/>
      <c r="T1358" s="14"/>
      <c r="U1358" s="14"/>
      <c r="V1358" s="14"/>
      <c r="W1358" s="14"/>
    </row>
    <row r="1359" ht="35.25" customHeight="1">
      <c r="A1359" s="147"/>
      <c r="B1359" s="148"/>
      <c r="C1359" s="149"/>
      <c r="D1359" s="150"/>
      <c r="E1359" s="151"/>
      <c r="F1359" s="152"/>
      <c r="G1359" s="148"/>
      <c r="H1359" s="76"/>
      <c r="I1359" s="76"/>
      <c r="J1359" s="76"/>
      <c r="K1359" s="76"/>
      <c r="L1359" s="76"/>
      <c r="M1359" s="76"/>
      <c r="N1359" s="76"/>
      <c r="O1359" s="76"/>
      <c r="P1359" s="76"/>
      <c r="Q1359" s="76"/>
      <c r="R1359" s="14"/>
      <c r="S1359" s="14"/>
      <c r="T1359" s="14"/>
      <c r="U1359" s="14"/>
      <c r="V1359" s="14"/>
      <c r="W1359" s="14"/>
    </row>
    <row r="1360" ht="35.25" customHeight="1">
      <c r="A1360" s="147"/>
      <c r="B1360" s="148"/>
      <c r="C1360" s="149"/>
      <c r="D1360" s="150"/>
      <c r="E1360" s="151"/>
      <c r="F1360" s="152"/>
      <c r="G1360" s="148"/>
      <c r="H1360" s="76"/>
      <c r="I1360" s="76"/>
      <c r="J1360" s="76"/>
      <c r="K1360" s="76"/>
      <c r="L1360" s="76"/>
      <c r="M1360" s="76"/>
      <c r="N1360" s="76"/>
      <c r="O1360" s="76"/>
      <c r="P1360" s="76"/>
      <c r="Q1360" s="76"/>
      <c r="R1360" s="14"/>
      <c r="S1360" s="14"/>
      <c r="T1360" s="14"/>
      <c r="U1360" s="14"/>
      <c r="V1360" s="14"/>
      <c r="W1360" s="14"/>
    </row>
    <row r="1361" ht="35.25" customHeight="1">
      <c r="A1361" s="147"/>
      <c r="B1361" s="148"/>
      <c r="C1361" s="149"/>
      <c r="D1361" s="150"/>
      <c r="E1361" s="151"/>
      <c r="F1361" s="152"/>
      <c r="G1361" s="148"/>
      <c r="H1361" s="76"/>
      <c r="I1361" s="76"/>
      <c r="J1361" s="76"/>
      <c r="K1361" s="76"/>
      <c r="L1361" s="76"/>
      <c r="M1361" s="76"/>
      <c r="N1361" s="76"/>
      <c r="O1361" s="76"/>
      <c r="P1361" s="76"/>
      <c r="Q1361" s="76"/>
      <c r="R1361" s="14"/>
      <c r="S1361" s="14"/>
      <c r="T1361" s="14"/>
      <c r="U1361" s="14"/>
      <c r="V1361" s="14"/>
      <c r="W1361" s="14"/>
    </row>
    <row r="1362" ht="35.25" customHeight="1">
      <c r="A1362" s="147"/>
      <c r="B1362" s="148"/>
      <c r="C1362" s="149"/>
      <c r="D1362" s="150"/>
      <c r="E1362" s="151"/>
      <c r="F1362" s="152"/>
      <c r="G1362" s="148"/>
      <c r="H1362" s="76"/>
      <c r="I1362" s="76"/>
      <c r="J1362" s="76"/>
      <c r="K1362" s="76"/>
      <c r="L1362" s="76"/>
      <c r="M1362" s="76"/>
      <c r="N1362" s="76"/>
      <c r="O1362" s="76"/>
      <c r="P1362" s="76"/>
      <c r="Q1362" s="76"/>
      <c r="R1362" s="14"/>
      <c r="S1362" s="14"/>
      <c r="T1362" s="14"/>
      <c r="U1362" s="14"/>
      <c r="V1362" s="14"/>
      <c r="W1362" s="14"/>
    </row>
    <row r="1363" ht="35.25" customHeight="1">
      <c r="A1363" s="147"/>
      <c r="B1363" s="148"/>
      <c r="C1363" s="149"/>
      <c r="D1363" s="150"/>
      <c r="E1363" s="151"/>
      <c r="F1363" s="152"/>
      <c r="G1363" s="148"/>
      <c r="H1363" s="76"/>
      <c r="I1363" s="76"/>
      <c r="J1363" s="76"/>
      <c r="K1363" s="76"/>
      <c r="L1363" s="76"/>
      <c r="M1363" s="76"/>
      <c r="N1363" s="76"/>
      <c r="O1363" s="76"/>
      <c r="P1363" s="76"/>
      <c r="Q1363" s="76"/>
      <c r="R1363" s="14"/>
      <c r="S1363" s="14"/>
      <c r="T1363" s="14"/>
      <c r="U1363" s="14"/>
      <c r="V1363" s="14"/>
      <c r="W1363" s="14"/>
    </row>
    <row r="1364" ht="35.25" customHeight="1">
      <c r="A1364" s="147"/>
      <c r="B1364" s="148"/>
      <c r="C1364" s="149"/>
      <c r="D1364" s="150"/>
      <c r="E1364" s="151"/>
      <c r="F1364" s="152"/>
      <c r="G1364" s="148"/>
      <c r="H1364" s="76"/>
      <c r="I1364" s="76"/>
      <c r="J1364" s="76"/>
      <c r="K1364" s="76"/>
      <c r="L1364" s="76"/>
      <c r="M1364" s="76"/>
      <c r="N1364" s="76"/>
      <c r="O1364" s="76"/>
      <c r="P1364" s="76"/>
      <c r="Q1364" s="76"/>
      <c r="R1364" s="14"/>
      <c r="S1364" s="14"/>
      <c r="T1364" s="14"/>
      <c r="U1364" s="14"/>
      <c r="V1364" s="14"/>
      <c r="W1364" s="14"/>
    </row>
    <row r="1365" ht="35.25" customHeight="1">
      <c r="A1365" s="147"/>
      <c r="B1365" s="148"/>
      <c r="C1365" s="149"/>
      <c r="D1365" s="150"/>
      <c r="E1365" s="151"/>
      <c r="F1365" s="152"/>
      <c r="G1365" s="148"/>
      <c r="H1365" s="76"/>
      <c r="I1365" s="76"/>
      <c r="J1365" s="76"/>
      <c r="K1365" s="76"/>
      <c r="L1365" s="76"/>
      <c r="M1365" s="76"/>
      <c r="N1365" s="76"/>
      <c r="O1365" s="76"/>
      <c r="P1365" s="76"/>
      <c r="Q1365" s="76"/>
      <c r="R1365" s="14"/>
      <c r="S1365" s="14"/>
      <c r="T1365" s="14"/>
      <c r="U1365" s="14"/>
      <c r="V1365" s="14"/>
      <c r="W1365" s="14"/>
    </row>
    <row r="1366" ht="35.25" customHeight="1">
      <c r="A1366" s="147"/>
      <c r="B1366" s="148"/>
      <c r="C1366" s="149"/>
      <c r="D1366" s="150"/>
      <c r="E1366" s="151"/>
      <c r="F1366" s="152"/>
      <c r="G1366" s="148"/>
      <c r="H1366" s="76"/>
      <c r="I1366" s="76"/>
      <c r="J1366" s="76"/>
      <c r="K1366" s="76"/>
      <c r="L1366" s="76"/>
      <c r="M1366" s="76"/>
      <c r="N1366" s="76"/>
      <c r="O1366" s="76"/>
      <c r="P1366" s="76"/>
      <c r="Q1366" s="76"/>
      <c r="R1366" s="14"/>
      <c r="S1366" s="14"/>
      <c r="T1366" s="14"/>
      <c r="U1366" s="14"/>
      <c r="V1366" s="14"/>
      <c r="W1366" s="14"/>
    </row>
    <row r="1367" ht="35.25" customHeight="1">
      <c r="A1367" s="147"/>
      <c r="B1367" s="148"/>
      <c r="C1367" s="149"/>
      <c r="D1367" s="150"/>
      <c r="E1367" s="151"/>
      <c r="F1367" s="152"/>
      <c r="G1367" s="148"/>
      <c r="H1367" s="76"/>
      <c r="I1367" s="76"/>
      <c r="J1367" s="76"/>
      <c r="K1367" s="76"/>
      <c r="L1367" s="76"/>
      <c r="M1367" s="76"/>
      <c r="N1367" s="76"/>
      <c r="O1367" s="76"/>
      <c r="P1367" s="76"/>
      <c r="Q1367" s="76"/>
      <c r="R1367" s="14"/>
      <c r="S1367" s="14"/>
      <c r="T1367" s="14"/>
      <c r="U1367" s="14"/>
      <c r="V1367" s="14"/>
      <c r="W1367" s="14"/>
    </row>
    <row r="1368" ht="35.25" customHeight="1">
      <c r="A1368" s="147"/>
      <c r="B1368" s="148"/>
      <c r="C1368" s="149"/>
      <c r="D1368" s="150"/>
      <c r="E1368" s="151"/>
      <c r="F1368" s="152"/>
      <c r="G1368" s="148"/>
      <c r="H1368" s="76"/>
      <c r="I1368" s="76"/>
      <c r="J1368" s="76"/>
      <c r="K1368" s="76"/>
      <c r="L1368" s="76"/>
      <c r="M1368" s="76"/>
      <c r="N1368" s="76"/>
      <c r="O1368" s="76"/>
      <c r="P1368" s="76"/>
      <c r="Q1368" s="76"/>
      <c r="R1368" s="14"/>
      <c r="S1368" s="14"/>
      <c r="T1368" s="14"/>
      <c r="U1368" s="14"/>
      <c r="V1368" s="14"/>
      <c r="W1368" s="14"/>
    </row>
    <row r="1369" ht="35.25" customHeight="1">
      <c r="A1369" s="147"/>
      <c r="B1369" s="148"/>
      <c r="C1369" s="149"/>
      <c r="D1369" s="150"/>
      <c r="E1369" s="151"/>
      <c r="F1369" s="152"/>
      <c r="G1369" s="148"/>
      <c r="H1369" s="76"/>
      <c r="I1369" s="76"/>
      <c r="J1369" s="76"/>
      <c r="K1369" s="76"/>
      <c r="L1369" s="76"/>
      <c r="M1369" s="76"/>
      <c r="N1369" s="76"/>
      <c r="O1369" s="76"/>
      <c r="P1369" s="76"/>
      <c r="Q1369" s="76"/>
      <c r="R1369" s="14"/>
      <c r="S1369" s="14"/>
      <c r="T1369" s="14"/>
      <c r="U1369" s="14"/>
      <c r="V1369" s="14"/>
      <c r="W1369" s="14"/>
    </row>
    <row r="1370" ht="35.25" customHeight="1">
      <c r="A1370" s="147"/>
      <c r="B1370" s="148"/>
      <c r="C1370" s="149"/>
      <c r="D1370" s="150"/>
      <c r="E1370" s="151"/>
      <c r="F1370" s="152"/>
      <c r="G1370" s="148"/>
      <c r="H1370" s="76"/>
      <c r="I1370" s="76"/>
      <c r="J1370" s="76"/>
      <c r="K1370" s="76"/>
      <c r="L1370" s="76"/>
      <c r="M1370" s="76"/>
      <c r="N1370" s="76"/>
      <c r="O1370" s="76"/>
      <c r="P1370" s="76"/>
      <c r="Q1370" s="76"/>
      <c r="R1370" s="14"/>
      <c r="S1370" s="14"/>
      <c r="T1370" s="14"/>
      <c r="U1370" s="14"/>
      <c r="V1370" s="14"/>
      <c r="W1370" s="14"/>
    </row>
    <row r="1371" ht="35.25" customHeight="1">
      <c r="A1371" s="147"/>
      <c r="B1371" s="148"/>
      <c r="C1371" s="149"/>
      <c r="D1371" s="150"/>
      <c r="E1371" s="151"/>
      <c r="F1371" s="152"/>
      <c r="G1371" s="148"/>
      <c r="H1371" s="76"/>
      <c r="I1371" s="76"/>
      <c r="J1371" s="76"/>
      <c r="K1371" s="76"/>
      <c r="L1371" s="76"/>
      <c r="M1371" s="76"/>
      <c r="N1371" s="76"/>
      <c r="O1371" s="76"/>
      <c r="P1371" s="76"/>
      <c r="Q1371" s="76"/>
      <c r="R1371" s="14"/>
      <c r="S1371" s="14"/>
      <c r="T1371" s="14"/>
      <c r="U1371" s="14"/>
      <c r="V1371" s="14"/>
      <c r="W1371" s="14"/>
    </row>
    <row r="1372" ht="35.25" customHeight="1">
      <c r="A1372" s="147"/>
      <c r="B1372" s="148"/>
      <c r="C1372" s="149"/>
      <c r="D1372" s="150"/>
      <c r="E1372" s="151"/>
      <c r="F1372" s="152"/>
      <c r="G1372" s="148"/>
      <c r="H1372" s="76"/>
      <c r="I1372" s="76"/>
      <c r="J1372" s="76"/>
      <c r="K1372" s="76"/>
      <c r="L1372" s="76"/>
      <c r="M1372" s="76"/>
      <c r="N1372" s="76"/>
      <c r="O1372" s="76"/>
      <c r="P1372" s="76"/>
      <c r="Q1372" s="76"/>
      <c r="R1372" s="14"/>
      <c r="S1372" s="14"/>
      <c r="T1372" s="14"/>
      <c r="U1372" s="14"/>
      <c r="V1372" s="14"/>
      <c r="W1372" s="14"/>
    </row>
    <row r="1373" ht="35.25" customHeight="1">
      <c r="A1373" s="147"/>
      <c r="B1373" s="148"/>
      <c r="C1373" s="149"/>
      <c r="D1373" s="150"/>
      <c r="E1373" s="151"/>
      <c r="F1373" s="152"/>
      <c r="G1373" s="148"/>
      <c r="H1373" s="76"/>
      <c r="I1373" s="76"/>
      <c r="J1373" s="76"/>
      <c r="K1373" s="76"/>
      <c r="L1373" s="76"/>
      <c r="M1373" s="76"/>
      <c r="N1373" s="76"/>
      <c r="O1373" s="76"/>
      <c r="P1373" s="76"/>
      <c r="Q1373" s="76"/>
      <c r="R1373" s="14"/>
      <c r="S1373" s="14"/>
      <c r="T1373" s="14"/>
      <c r="U1373" s="14"/>
      <c r="V1373" s="14"/>
      <c r="W1373" s="14"/>
    </row>
    <row r="1374" ht="35.25" customHeight="1">
      <c r="A1374" s="147"/>
      <c r="B1374" s="148"/>
      <c r="C1374" s="149"/>
      <c r="D1374" s="150"/>
      <c r="E1374" s="151"/>
      <c r="F1374" s="152"/>
      <c r="G1374" s="148"/>
      <c r="H1374" s="76"/>
      <c r="I1374" s="76"/>
      <c r="J1374" s="76"/>
      <c r="K1374" s="76"/>
      <c r="L1374" s="76"/>
      <c r="M1374" s="76"/>
      <c r="N1374" s="76"/>
      <c r="O1374" s="76"/>
      <c r="P1374" s="76"/>
      <c r="Q1374" s="76"/>
      <c r="R1374" s="14"/>
      <c r="S1374" s="14"/>
      <c r="T1374" s="14"/>
      <c r="U1374" s="14"/>
      <c r="V1374" s="14"/>
      <c r="W1374" s="14"/>
    </row>
    <row r="1375" ht="35.25" customHeight="1">
      <c r="A1375" s="147"/>
      <c r="B1375" s="148"/>
      <c r="C1375" s="149"/>
      <c r="D1375" s="150"/>
      <c r="E1375" s="151"/>
      <c r="F1375" s="152"/>
      <c r="G1375" s="148"/>
      <c r="H1375" s="76"/>
      <c r="I1375" s="76"/>
      <c r="J1375" s="76"/>
      <c r="K1375" s="76"/>
      <c r="L1375" s="76"/>
      <c r="M1375" s="76"/>
      <c r="N1375" s="76"/>
      <c r="O1375" s="76"/>
      <c r="P1375" s="76"/>
      <c r="Q1375" s="76"/>
      <c r="R1375" s="14"/>
      <c r="S1375" s="14"/>
      <c r="T1375" s="14"/>
      <c r="U1375" s="14"/>
      <c r="V1375" s="14"/>
      <c r="W1375" s="14"/>
    </row>
    <row r="1376" ht="35.25" customHeight="1">
      <c r="A1376" s="147"/>
      <c r="B1376" s="148"/>
      <c r="C1376" s="149"/>
      <c r="D1376" s="150"/>
      <c r="E1376" s="151"/>
      <c r="F1376" s="152"/>
      <c r="G1376" s="148"/>
      <c r="H1376" s="76"/>
      <c r="I1376" s="76"/>
      <c r="J1376" s="76"/>
      <c r="K1376" s="76"/>
      <c r="L1376" s="76"/>
      <c r="M1376" s="76"/>
      <c r="N1376" s="76"/>
      <c r="O1376" s="76"/>
      <c r="P1376" s="76"/>
      <c r="Q1376" s="76"/>
      <c r="R1376" s="14"/>
      <c r="S1376" s="14"/>
      <c r="T1376" s="14"/>
      <c r="U1376" s="14"/>
      <c r="V1376" s="14"/>
      <c r="W1376" s="14"/>
    </row>
    <row r="1377" ht="35.25" customHeight="1">
      <c r="A1377" s="147"/>
      <c r="B1377" s="148"/>
      <c r="C1377" s="149"/>
      <c r="D1377" s="150"/>
      <c r="E1377" s="151"/>
      <c r="F1377" s="152"/>
      <c r="G1377" s="148"/>
      <c r="H1377" s="76"/>
      <c r="I1377" s="76"/>
      <c r="J1377" s="76"/>
      <c r="K1377" s="76"/>
      <c r="L1377" s="76"/>
      <c r="M1377" s="76"/>
      <c r="N1377" s="76"/>
      <c r="O1377" s="76"/>
      <c r="P1377" s="76"/>
      <c r="Q1377" s="76"/>
      <c r="R1377" s="14"/>
      <c r="S1377" s="14"/>
      <c r="T1377" s="14"/>
      <c r="U1377" s="14"/>
      <c r="V1377" s="14"/>
      <c r="W1377" s="14"/>
    </row>
    <row r="1378" ht="35.25" customHeight="1">
      <c r="A1378" s="147"/>
      <c r="B1378" s="148"/>
      <c r="C1378" s="149"/>
      <c r="D1378" s="150"/>
      <c r="E1378" s="151"/>
      <c r="F1378" s="152"/>
      <c r="G1378" s="148"/>
      <c r="H1378" s="76"/>
      <c r="I1378" s="76"/>
      <c r="J1378" s="76"/>
      <c r="K1378" s="76"/>
      <c r="L1378" s="76"/>
      <c r="M1378" s="76"/>
      <c r="N1378" s="76"/>
      <c r="O1378" s="76"/>
      <c r="P1378" s="76"/>
      <c r="Q1378" s="76"/>
      <c r="R1378" s="14"/>
      <c r="S1378" s="14"/>
      <c r="T1378" s="14"/>
      <c r="U1378" s="14"/>
      <c r="V1378" s="14"/>
      <c r="W1378" s="14"/>
    </row>
    <row r="1379" ht="35.25" customHeight="1">
      <c r="A1379" s="147"/>
      <c r="B1379" s="148"/>
      <c r="C1379" s="149"/>
      <c r="D1379" s="150"/>
      <c r="E1379" s="151"/>
      <c r="F1379" s="152"/>
      <c r="G1379" s="148"/>
      <c r="H1379" s="76"/>
      <c r="I1379" s="76"/>
      <c r="J1379" s="76"/>
      <c r="K1379" s="76"/>
      <c r="L1379" s="76"/>
      <c r="M1379" s="76"/>
      <c r="N1379" s="76"/>
      <c r="O1379" s="76"/>
      <c r="P1379" s="76"/>
      <c r="Q1379" s="76"/>
      <c r="R1379" s="14"/>
      <c r="S1379" s="14"/>
      <c r="T1379" s="14"/>
      <c r="U1379" s="14"/>
      <c r="V1379" s="14"/>
      <c r="W1379" s="14"/>
    </row>
    <row r="1380" ht="35.25" customHeight="1">
      <c r="A1380" s="147"/>
      <c r="B1380" s="148"/>
      <c r="C1380" s="149"/>
      <c r="D1380" s="150"/>
      <c r="E1380" s="151"/>
      <c r="F1380" s="152"/>
      <c r="G1380" s="148"/>
      <c r="H1380" s="76"/>
      <c r="I1380" s="76"/>
      <c r="J1380" s="76"/>
      <c r="K1380" s="76"/>
      <c r="L1380" s="76"/>
      <c r="M1380" s="76"/>
      <c r="N1380" s="76"/>
      <c r="O1380" s="76"/>
      <c r="P1380" s="76"/>
      <c r="Q1380" s="76"/>
      <c r="R1380" s="14"/>
      <c r="S1380" s="14"/>
      <c r="T1380" s="14"/>
      <c r="U1380" s="14"/>
      <c r="V1380" s="14"/>
      <c r="W1380" s="14"/>
    </row>
    <row r="1381" ht="35.25" customHeight="1">
      <c r="A1381" s="147"/>
      <c r="B1381" s="148"/>
      <c r="C1381" s="149"/>
      <c r="D1381" s="150"/>
      <c r="E1381" s="151"/>
      <c r="F1381" s="152"/>
      <c r="G1381" s="148"/>
      <c r="H1381" s="76"/>
      <c r="I1381" s="76"/>
      <c r="J1381" s="76"/>
      <c r="K1381" s="76"/>
      <c r="L1381" s="76"/>
      <c r="M1381" s="76"/>
      <c r="N1381" s="76"/>
      <c r="O1381" s="76"/>
      <c r="P1381" s="76"/>
      <c r="Q1381" s="76"/>
      <c r="R1381" s="14"/>
      <c r="S1381" s="14"/>
      <c r="T1381" s="14"/>
      <c r="U1381" s="14"/>
      <c r="V1381" s="14"/>
      <c r="W1381" s="14"/>
    </row>
    <row r="1382" ht="35.25" customHeight="1">
      <c r="A1382" s="147"/>
      <c r="B1382" s="148"/>
      <c r="C1382" s="149"/>
      <c r="D1382" s="150"/>
      <c r="E1382" s="151"/>
      <c r="F1382" s="152"/>
      <c r="G1382" s="148"/>
      <c r="H1382" s="76"/>
      <c r="I1382" s="76"/>
      <c r="J1382" s="76"/>
      <c r="K1382" s="76"/>
      <c r="L1382" s="76"/>
      <c r="M1382" s="76"/>
      <c r="N1382" s="76"/>
      <c r="O1382" s="76"/>
      <c r="P1382" s="76"/>
      <c r="Q1382" s="76"/>
      <c r="R1382" s="14"/>
      <c r="S1382" s="14"/>
      <c r="T1382" s="14"/>
      <c r="U1382" s="14"/>
      <c r="V1382" s="14"/>
      <c r="W1382" s="14"/>
    </row>
    <row r="1383" ht="35.25" customHeight="1">
      <c r="A1383" s="147"/>
      <c r="B1383" s="148"/>
      <c r="C1383" s="149"/>
      <c r="D1383" s="150"/>
      <c r="E1383" s="151"/>
      <c r="F1383" s="152"/>
      <c r="G1383" s="148"/>
      <c r="H1383" s="76"/>
      <c r="I1383" s="76"/>
      <c r="J1383" s="76"/>
      <c r="K1383" s="76"/>
      <c r="L1383" s="76"/>
      <c r="M1383" s="76"/>
      <c r="N1383" s="76"/>
      <c r="O1383" s="76"/>
      <c r="P1383" s="76"/>
      <c r="Q1383" s="76"/>
      <c r="R1383" s="14"/>
      <c r="S1383" s="14"/>
      <c r="T1383" s="14"/>
      <c r="U1383" s="14"/>
      <c r="V1383" s="14"/>
      <c r="W1383" s="14"/>
    </row>
    <row r="1384" ht="35.25" customHeight="1">
      <c r="A1384" s="147"/>
      <c r="B1384" s="148"/>
      <c r="C1384" s="149"/>
      <c r="D1384" s="150"/>
      <c r="E1384" s="151"/>
      <c r="F1384" s="152"/>
      <c r="G1384" s="148"/>
      <c r="H1384" s="76"/>
      <c r="I1384" s="76"/>
      <c r="J1384" s="76"/>
      <c r="K1384" s="76"/>
      <c r="L1384" s="76"/>
      <c r="M1384" s="76"/>
      <c r="N1384" s="76"/>
      <c r="O1384" s="76"/>
      <c r="P1384" s="76"/>
      <c r="Q1384" s="76"/>
      <c r="R1384" s="14"/>
      <c r="S1384" s="14"/>
      <c r="T1384" s="14"/>
      <c r="U1384" s="14"/>
      <c r="V1384" s="14"/>
      <c r="W1384" s="14"/>
    </row>
    <row r="1385" ht="35.25" customHeight="1">
      <c r="A1385" s="147"/>
      <c r="B1385" s="148"/>
      <c r="C1385" s="149"/>
      <c r="D1385" s="150"/>
      <c r="E1385" s="151"/>
      <c r="F1385" s="152"/>
      <c r="G1385" s="148"/>
      <c r="H1385" s="76"/>
      <c r="I1385" s="76"/>
      <c r="J1385" s="76"/>
      <c r="K1385" s="76"/>
      <c r="L1385" s="76"/>
      <c r="M1385" s="76"/>
      <c r="N1385" s="76"/>
      <c r="O1385" s="76"/>
      <c r="P1385" s="76"/>
      <c r="Q1385" s="76"/>
      <c r="R1385" s="14"/>
      <c r="S1385" s="14"/>
      <c r="T1385" s="14"/>
      <c r="U1385" s="14"/>
      <c r="V1385" s="14"/>
      <c r="W1385" s="14"/>
    </row>
    <row r="1386" ht="35.25" customHeight="1">
      <c r="A1386" s="147"/>
      <c r="B1386" s="148"/>
      <c r="C1386" s="149"/>
      <c r="D1386" s="150"/>
      <c r="E1386" s="151"/>
      <c r="F1386" s="152"/>
      <c r="G1386" s="148"/>
      <c r="H1386" s="76"/>
      <c r="I1386" s="76"/>
      <c r="J1386" s="76"/>
      <c r="K1386" s="76"/>
      <c r="L1386" s="76"/>
      <c r="M1386" s="76"/>
      <c r="N1386" s="76"/>
      <c r="O1386" s="76"/>
      <c r="P1386" s="76"/>
      <c r="Q1386" s="76"/>
      <c r="R1386" s="14"/>
      <c r="S1386" s="14"/>
      <c r="T1386" s="14"/>
      <c r="U1386" s="14"/>
      <c r="V1386" s="14"/>
      <c r="W1386" s="14"/>
    </row>
    <row r="1387" ht="35.25" customHeight="1">
      <c r="A1387" s="147"/>
      <c r="B1387" s="148"/>
      <c r="C1387" s="149"/>
      <c r="D1387" s="150"/>
      <c r="E1387" s="151"/>
      <c r="F1387" s="152"/>
      <c r="G1387" s="148"/>
      <c r="H1387" s="76"/>
      <c r="I1387" s="76"/>
      <c r="J1387" s="76"/>
      <c r="K1387" s="76"/>
      <c r="L1387" s="76"/>
      <c r="M1387" s="76"/>
      <c r="N1387" s="76"/>
      <c r="O1387" s="76"/>
      <c r="P1387" s="76"/>
      <c r="Q1387" s="76"/>
      <c r="R1387" s="14"/>
      <c r="S1387" s="14"/>
      <c r="T1387" s="14"/>
      <c r="U1387" s="14"/>
      <c r="V1387" s="14"/>
      <c r="W1387" s="14"/>
    </row>
    <row r="1388" ht="35.25" customHeight="1">
      <c r="A1388" s="147"/>
      <c r="B1388" s="148"/>
      <c r="C1388" s="149"/>
      <c r="D1388" s="150"/>
      <c r="E1388" s="151"/>
      <c r="F1388" s="152"/>
      <c r="G1388" s="148"/>
      <c r="H1388" s="76"/>
      <c r="I1388" s="76"/>
      <c r="J1388" s="76"/>
      <c r="K1388" s="76"/>
      <c r="L1388" s="76"/>
      <c r="M1388" s="76"/>
      <c r="N1388" s="76"/>
      <c r="O1388" s="76"/>
      <c r="P1388" s="76"/>
      <c r="Q1388" s="76"/>
      <c r="R1388" s="14"/>
      <c r="S1388" s="14"/>
      <c r="T1388" s="14"/>
      <c r="U1388" s="14"/>
      <c r="V1388" s="14"/>
      <c r="W1388" s="14"/>
    </row>
    <row r="1389" ht="35.25" customHeight="1">
      <c r="A1389" s="147"/>
      <c r="B1389" s="148"/>
      <c r="C1389" s="149"/>
      <c r="D1389" s="150"/>
      <c r="E1389" s="151"/>
      <c r="F1389" s="152"/>
      <c r="G1389" s="148"/>
      <c r="H1389" s="76"/>
      <c r="I1389" s="76"/>
      <c r="J1389" s="76"/>
      <c r="K1389" s="76"/>
      <c r="L1389" s="76"/>
      <c r="M1389" s="76"/>
      <c r="N1389" s="76"/>
      <c r="O1389" s="76"/>
      <c r="P1389" s="76"/>
      <c r="Q1389" s="76"/>
      <c r="R1389" s="14"/>
      <c r="S1389" s="14"/>
      <c r="T1389" s="14"/>
      <c r="U1389" s="14"/>
      <c r="V1389" s="14"/>
      <c r="W1389" s="14"/>
    </row>
    <row r="1390" ht="35.25" customHeight="1">
      <c r="A1390" s="147"/>
      <c r="B1390" s="148"/>
      <c r="C1390" s="149"/>
      <c r="D1390" s="150"/>
      <c r="E1390" s="151"/>
      <c r="F1390" s="152"/>
      <c r="G1390" s="148"/>
      <c r="H1390" s="76"/>
      <c r="I1390" s="76"/>
      <c r="J1390" s="76"/>
      <c r="K1390" s="76"/>
      <c r="L1390" s="76"/>
      <c r="M1390" s="76"/>
      <c r="N1390" s="76"/>
      <c r="O1390" s="76"/>
      <c r="P1390" s="76"/>
      <c r="Q1390" s="76"/>
      <c r="R1390" s="14"/>
      <c r="S1390" s="14"/>
      <c r="T1390" s="14"/>
      <c r="U1390" s="14"/>
      <c r="V1390" s="14"/>
      <c r="W1390" s="14"/>
    </row>
    <row r="1391" ht="35.25" customHeight="1">
      <c r="A1391" s="147"/>
      <c r="B1391" s="148"/>
      <c r="C1391" s="149"/>
      <c r="D1391" s="150"/>
      <c r="E1391" s="151"/>
      <c r="F1391" s="152"/>
      <c r="G1391" s="148"/>
      <c r="H1391" s="76"/>
      <c r="I1391" s="76"/>
      <c r="J1391" s="76"/>
      <c r="K1391" s="76"/>
      <c r="L1391" s="76"/>
      <c r="M1391" s="76"/>
      <c r="N1391" s="76"/>
      <c r="O1391" s="76"/>
      <c r="P1391" s="76"/>
      <c r="Q1391" s="76"/>
      <c r="R1391" s="14"/>
      <c r="S1391" s="14"/>
      <c r="T1391" s="14"/>
      <c r="U1391" s="14"/>
      <c r="V1391" s="14"/>
      <c r="W1391" s="14"/>
    </row>
    <row r="1392" ht="35.25" customHeight="1">
      <c r="A1392" s="147"/>
      <c r="B1392" s="148"/>
      <c r="C1392" s="149"/>
      <c r="D1392" s="150"/>
      <c r="E1392" s="151"/>
      <c r="F1392" s="152"/>
      <c r="G1392" s="148"/>
      <c r="H1392" s="76"/>
      <c r="I1392" s="76"/>
      <c r="J1392" s="76"/>
      <c r="K1392" s="76"/>
      <c r="L1392" s="76"/>
      <c r="M1392" s="76"/>
      <c r="N1392" s="76"/>
      <c r="O1392" s="76"/>
      <c r="P1392" s="76"/>
      <c r="Q1392" s="76"/>
      <c r="R1392" s="14"/>
      <c r="S1392" s="14"/>
      <c r="T1392" s="14"/>
      <c r="U1392" s="14"/>
      <c r="V1392" s="14"/>
      <c r="W1392" s="14"/>
    </row>
    <row r="1393" ht="35.25" customHeight="1">
      <c r="A1393" s="147"/>
      <c r="B1393" s="148"/>
      <c r="C1393" s="149"/>
      <c r="D1393" s="150"/>
      <c r="E1393" s="151"/>
      <c r="F1393" s="152"/>
      <c r="G1393" s="148"/>
      <c r="H1393" s="76"/>
      <c r="I1393" s="76"/>
      <c r="J1393" s="76"/>
      <c r="K1393" s="76"/>
      <c r="L1393" s="76"/>
      <c r="M1393" s="76"/>
      <c r="N1393" s="76"/>
      <c r="O1393" s="76"/>
      <c r="P1393" s="76"/>
      <c r="Q1393" s="76"/>
      <c r="R1393" s="14"/>
      <c r="S1393" s="14"/>
      <c r="T1393" s="14"/>
      <c r="U1393" s="14"/>
      <c r="V1393" s="14"/>
      <c r="W1393" s="14"/>
    </row>
    <row r="1394" ht="35.25" customHeight="1">
      <c r="A1394" s="147"/>
      <c r="B1394" s="148"/>
      <c r="C1394" s="149"/>
      <c r="D1394" s="150"/>
      <c r="E1394" s="151"/>
      <c r="F1394" s="152"/>
      <c r="G1394" s="148"/>
      <c r="H1394" s="76"/>
      <c r="I1394" s="76"/>
      <c r="J1394" s="76"/>
      <c r="K1394" s="76"/>
      <c r="L1394" s="76"/>
      <c r="M1394" s="76"/>
      <c r="N1394" s="76"/>
      <c r="O1394" s="76"/>
      <c r="P1394" s="76"/>
      <c r="Q1394" s="76"/>
      <c r="R1394" s="14"/>
      <c r="S1394" s="14"/>
      <c r="T1394" s="14"/>
      <c r="U1394" s="14"/>
      <c r="V1394" s="14"/>
      <c r="W1394" s="14"/>
    </row>
    <row r="1395" ht="35.25" customHeight="1">
      <c r="A1395" s="147"/>
      <c r="B1395" s="148"/>
      <c r="C1395" s="149"/>
      <c r="D1395" s="150"/>
      <c r="E1395" s="151"/>
      <c r="F1395" s="152"/>
      <c r="G1395" s="148"/>
      <c r="H1395" s="76"/>
      <c r="I1395" s="76"/>
      <c r="J1395" s="76"/>
      <c r="K1395" s="76"/>
      <c r="L1395" s="76"/>
      <c r="M1395" s="76"/>
      <c r="N1395" s="76"/>
      <c r="O1395" s="76"/>
      <c r="P1395" s="76"/>
      <c r="Q1395" s="76"/>
      <c r="R1395" s="14"/>
      <c r="S1395" s="14"/>
      <c r="T1395" s="14"/>
      <c r="U1395" s="14"/>
      <c r="V1395" s="14"/>
      <c r="W1395" s="14"/>
    </row>
    <row r="1396" ht="35.25" customHeight="1">
      <c r="A1396" s="147"/>
      <c r="B1396" s="148"/>
      <c r="C1396" s="149"/>
      <c r="D1396" s="150"/>
      <c r="E1396" s="151"/>
      <c r="F1396" s="152"/>
      <c r="G1396" s="148"/>
      <c r="H1396" s="76"/>
      <c r="I1396" s="76"/>
      <c r="J1396" s="76"/>
      <c r="K1396" s="76"/>
      <c r="L1396" s="76"/>
      <c r="M1396" s="76"/>
      <c r="N1396" s="76"/>
      <c r="O1396" s="76"/>
      <c r="P1396" s="76"/>
      <c r="Q1396" s="76"/>
      <c r="R1396" s="14"/>
      <c r="S1396" s="14"/>
      <c r="T1396" s="14"/>
      <c r="U1396" s="14"/>
      <c r="V1396" s="14"/>
      <c r="W1396" s="14"/>
    </row>
    <row r="1397" ht="35.25" customHeight="1">
      <c r="A1397" s="147"/>
      <c r="B1397" s="148"/>
      <c r="C1397" s="149"/>
      <c r="D1397" s="150"/>
      <c r="E1397" s="151"/>
      <c r="F1397" s="152"/>
      <c r="G1397" s="148"/>
      <c r="H1397" s="76"/>
      <c r="I1397" s="76"/>
      <c r="J1397" s="76"/>
      <c r="K1397" s="76"/>
      <c r="L1397" s="76"/>
      <c r="M1397" s="76"/>
      <c r="N1397" s="76"/>
      <c r="O1397" s="76"/>
      <c r="P1397" s="76"/>
      <c r="Q1397" s="76"/>
      <c r="R1397" s="14"/>
      <c r="S1397" s="14"/>
      <c r="T1397" s="14"/>
      <c r="U1397" s="14"/>
      <c r="V1397" s="14"/>
      <c r="W1397" s="14"/>
    </row>
    <row r="1398" ht="35.25" customHeight="1">
      <c r="A1398" s="147"/>
      <c r="B1398" s="148"/>
      <c r="C1398" s="149"/>
      <c r="D1398" s="150"/>
      <c r="E1398" s="151"/>
      <c r="F1398" s="152"/>
      <c r="G1398" s="148"/>
      <c r="H1398" s="76"/>
      <c r="I1398" s="76"/>
      <c r="J1398" s="76"/>
      <c r="K1398" s="76"/>
      <c r="L1398" s="76"/>
      <c r="M1398" s="76"/>
      <c r="N1398" s="76"/>
      <c r="O1398" s="76"/>
      <c r="P1398" s="76"/>
      <c r="Q1398" s="76"/>
      <c r="R1398" s="14"/>
      <c r="S1398" s="14"/>
      <c r="T1398" s="14"/>
      <c r="U1398" s="14"/>
      <c r="V1398" s="14"/>
      <c r="W1398" s="14"/>
    </row>
    <row r="1399" ht="35.25" customHeight="1">
      <c r="A1399" s="147"/>
      <c r="B1399" s="148"/>
      <c r="C1399" s="149"/>
      <c r="D1399" s="150"/>
      <c r="E1399" s="151"/>
      <c r="F1399" s="152"/>
      <c r="G1399" s="148"/>
      <c r="H1399" s="76"/>
      <c r="I1399" s="76"/>
      <c r="J1399" s="76"/>
      <c r="K1399" s="76"/>
      <c r="L1399" s="76"/>
      <c r="M1399" s="76"/>
      <c r="N1399" s="76"/>
      <c r="O1399" s="76"/>
      <c r="P1399" s="76"/>
      <c r="Q1399" s="76"/>
      <c r="R1399" s="14"/>
      <c r="S1399" s="14"/>
      <c r="T1399" s="14"/>
      <c r="U1399" s="14"/>
      <c r="V1399" s="14"/>
      <c r="W1399" s="14"/>
    </row>
    <row r="1400" ht="35.25" customHeight="1">
      <c r="A1400" s="147"/>
      <c r="B1400" s="148"/>
      <c r="C1400" s="149"/>
      <c r="D1400" s="150"/>
      <c r="E1400" s="151"/>
      <c r="F1400" s="152"/>
      <c r="G1400" s="148"/>
      <c r="H1400" s="76"/>
      <c r="I1400" s="76"/>
      <c r="J1400" s="76"/>
      <c r="K1400" s="76"/>
      <c r="L1400" s="76"/>
      <c r="M1400" s="76"/>
      <c r="N1400" s="76"/>
      <c r="O1400" s="76"/>
      <c r="P1400" s="76"/>
      <c r="Q1400" s="76"/>
      <c r="R1400" s="14"/>
      <c r="S1400" s="14"/>
      <c r="T1400" s="14"/>
      <c r="U1400" s="14"/>
      <c r="V1400" s="14"/>
      <c r="W1400" s="14"/>
    </row>
    <row r="1401" ht="35.25" customHeight="1">
      <c r="A1401" s="147"/>
      <c r="B1401" s="148"/>
      <c r="C1401" s="149"/>
      <c r="D1401" s="150"/>
      <c r="E1401" s="151"/>
      <c r="F1401" s="152"/>
      <c r="G1401" s="148"/>
      <c r="H1401" s="76"/>
      <c r="I1401" s="76"/>
      <c r="J1401" s="76"/>
      <c r="K1401" s="76"/>
      <c r="L1401" s="76"/>
      <c r="M1401" s="76"/>
      <c r="N1401" s="76"/>
      <c r="O1401" s="76"/>
      <c r="P1401" s="76"/>
      <c r="Q1401" s="76"/>
      <c r="R1401" s="14"/>
      <c r="S1401" s="14"/>
      <c r="T1401" s="14"/>
      <c r="U1401" s="14"/>
      <c r="V1401" s="14"/>
      <c r="W1401" s="14"/>
    </row>
    <row r="1402" ht="35.25" customHeight="1">
      <c r="A1402" s="147"/>
      <c r="B1402" s="148"/>
      <c r="C1402" s="149"/>
      <c r="D1402" s="150"/>
      <c r="E1402" s="151"/>
      <c r="F1402" s="152"/>
      <c r="G1402" s="148"/>
      <c r="H1402" s="76"/>
      <c r="I1402" s="76"/>
      <c r="J1402" s="76"/>
      <c r="K1402" s="76"/>
      <c r="L1402" s="76"/>
      <c r="M1402" s="76"/>
      <c r="N1402" s="76"/>
      <c r="O1402" s="76"/>
      <c r="P1402" s="76"/>
      <c r="Q1402" s="76"/>
      <c r="R1402" s="14"/>
      <c r="S1402" s="14"/>
      <c r="T1402" s="14"/>
      <c r="U1402" s="14"/>
      <c r="V1402" s="14"/>
      <c r="W1402" s="14"/>
    </row>
    <row r="1403" ht="35.25" customHeight="1">
      <c r="A1403" s="147"/>
      <c r="B1403" s="148"/>
      <c r="C1403" s="149"/>
      <c r="D1403" s="150"/>
      <c r="E1403" s="151"/>
      <c r="F1403" s="152"/>
      <c r="G1403" s="148"/>
      <c r="H1403" s="76"/>
      <c r="I1403" s="76"/>
      <c r="J1403" s="76"/>
      <c r="K1403" s="76"/>
      <c r="L1403" s="76"/>
      <c r="M1403" s="76"/>
      <c r="N1403" s="76"/>
      <c r="O1403" s="76"/>
      <c r="P1403" s="76"/>
      <c r="Q1403" s="76"/>
      <c r="R1403" s="14"/>
      <c r="S1403" s="14"/>
      <c r="T1403" s="14"/>
      <c r="U1403" s="14"/>
      <c r="V1403" s="14"/>
      <c r="W1403" s="14"/>
    </row>
    <row r="1404" ht="35.25" customHeight="1">
      <c r="A1404" s="147"/>
      <c r="B1404" s="148"/>
      <c r="C1404" s="149"/>
      <c r="D1404" s="150"/>
      <c r="E1404" s="151"/>
      <c r="F1404" s="152"/>
      <c r="G1404" s="148"/>
      <c r="H1404" s="76"/>
      <c r="I1404" s="76"/>
      <c r="J1404" s="76"/>
      <c r="K1404" s="76"/>
      <c r="L1404" s="76"/>
      <c r="M1404" s="76"/>
      <c r="N1404" s="76"/>
      <c r="O1404" s="76"/>
      <c r="P1404" s="76"/>
      <c r="Q1404" s="76"/>
      <c r="R1404" s="14"/>
      <c r="S1404" s="14"/>
      <c r="T1404" s="14"/>
      <c r="U1404" s="14"/>
      <c r="V1404" s="14"/>
      <c r="W1404" s="14"/>
    </row>
    <row r="1405" ht="35.25" customHeight="1">
      <c r="A1405" s="147"/>
      <c r="B1405" s="148"/>
      <c r="C1405" s="149"/>
      <c r="D1405" s="150"/>
      <c r="E1405" s="151"/>
      <c r="F1405" s="152"/>
      <c r="G1405" s="148"/>
      <c r="H1405" s="76"/>
      <c r="I1405" s="76"/>
      <c r="J1405" s="76"/>
      <c r="K1405" s="76"/>
      <c r="L1405" s="76"/>
      <c r="M1405" s="76"/>
      <c r="N1405" s="76"/>
      <c r="O1405" s="76"/>
      <c r="P1405" s="76"/>
      <c r="Q1405" s="76"/>
      <c r="R1405" s="14"/>
      <c r="S1405" s="14"/>
      <c r="T1405" s="14"/>
      <c r="U1405" s="14"/>
      <c r="V1405" s="14"/>
      <c r="W1405" s="14"/>
    </row>
    <row r="1406" ht="35.25" customHeight="1">
      <c r="A1406" s="147"/>
      <c r="B1406" s="148"/>
      <c r="C1406" s="149"/>
      <c r="D1406" s="150"/>
      <c r="E1406" s="151"/>
      <c r="F1406" s="152"/>
      <c r="G1406" s="148"/>
      <c r="H1406" s="76"/>
      <c r="I1406" s="76"/>
      <c r="J1406" s="76"/>
      <c r="K1406" s="76"/>
      <c r="L1406" s="76"/>
      <c r="M1406" s="76"/>
      <c r="N1406" s="76"/>
      <c r="O1406" s="76"/>
      <c r="P1406" s="76"/>
      <c r="Q1406" s="76"/>
      <c r="R1406" s="14"/>
      <c r="S1406" s="14"/>
      <c r="T1406" s="14"/>
      <c r="U1406" s="14"/>
      <c r="V1406" s="14"/>
      <c r="W1406" s="14"/>
    </row>
    <row r="1407" ht="35.25" customHeight="1">
      <c r="A1407" s="147"/>
      <c r="B1407" s="148"/>
      <c r="C1407" s="149"/>
      <c r="D1407" s="150"/>
      <c r="E1407" s="151"/>
      <c r="F1407" s="152"/>
      <c r="G1407" s="148"/>
      <c r="H1407" s="76"/>
      <c r="I1407" s="76"/>
      <c r="J1407" s="76"/>
      <c r="K1407" s="76"/>
      <c r="L1407" s="76"/>
      <c r="M1407" s="76"/>
      <c r="N1407" s="76"/>
      <c r="O1407" s="76"/>
      <c r="P1407" s="76"/>
      <c r="Q1407" s="76"/>
      <c r="R1407" s="14"/>
      <c r="S1407" s="14"/>
      <c r="T1407" s="14"/>
      <c r="U1407" s="14"/>
      <c r="V1407" s="14"/>
      <c r="W1407" s="14"/>
    </row>
    <row r="1408" ht="35.25" customHeight="1">
      <c r="A1408" s="147"/>
      <c r="B1408" s="148"/>
      <c r="C1408" s="149"/>
      <c r="D1408" s="150"/>
      <c r="E1408" s="151"/>
      <c r="F1408" s="152"/>
      <c r="G1408" s="148"/>
      <c r="H1408" s="76"/>
      <c r="I1408" s="76"/>
      <c r="J1408" s="76"/>
      <c r="K1408" s="76"/>
      <c r="L1408" s="76"/>
      <c r="M1408" s="76"/>
      <c r="N1408" s="76"/>
      <c r="O1408" s="76"/>
      <c r="P1408" s="76"/>
      <c r="Q1408" s="76"/>
      <c r="R1408" s="14"/>
      <c r="S1408" s="14"/>
      <c r="T1408" s="14"/>
      <c r="U1408" s="14"/>
      <c r="V1408" s="14"/>
      <c r="W1408" s="14"/>
    </row>
    <row r="1409" ht="35.25" customHeight="1">
      <c r="A1409" s="147"/>
      <c r="B1409" s="148"/>
      <c r="C1409" s="149"/>
      <c r="D1409" s="150"/>
      <c r="E1409" s="151"/>
      <c r="F1409" s="152"/>
      <c r="G1409" s="148"/>
      <c r="H1409" s="76"/>
      <c r="I1409" s="76"/>
      <c r="J1409" s="76"/>
      <c r="K1409" s="76"/>
      <c r="L1409" s="76"/>
      <c r="M1409" s="76"/>
      <c r="N1409" s="76"/>
      <c r="O1409" s="76"/>
      <c r="P1409" s="76"/>
      <c r="Q1409" s="76"/>
      <c r="R1409" s="14"/>
      <c r="S1409" s="14"/>
      <c r="T1409" s="14"/>
      <c r="U1409" s="14"/>
      <c r="V1409" s="14"/>
      <c r="W1409" s="14"/>
    </row>
    <row r="1410" ht="35.25" customHeight="1">
      <c r="A1410" s="147"/>
      <c r="B1410" s="148"/>
      <c r="C1410" s="149"/>
      <c r="D1410" s="150"/>
      <c r="E1410" s="151"/>
      <c r="F1410" s="152"/>
      <c r="G1410" s="148"/>
      <c r="H1410" s="76"/>
      <c r="I1410" s="76"/>
      <c r="J1410" s="76"/>
      <c r="K1410" s="76"/>
      <c r="L1410" s="76"/>
      <c r="M1410" s="76"/>
      <c r="N1410" s="76"/>
      <c r="O1410" s="76"/>
      <c r="P1410" s="76"/>
      <c r="Q1410" s="76"/>
      <c r="R1410" s="14"/>
      <c r="S1410" s="14"/>
      <c r="T1410" s="14"/>
      <c r="U1410" s="14"/>
      <c r="V1410" s="14"/>
      <c r="W1410" s="14"/>
    </row>
    <row r="1411" ht="35.25" customHeight="1">
      <c r="A1411" s="147"/>
      <c r="B1411" s="148"/>
      <c r="C1411" s="149"/>
      <c r="D1411" s="150"/>
      <c r="E1411" s="151"/>
      <c r="F1411" s="152"/>
      <c r="G1411" s="148"/>
      <c r="H1411" s="76"/>
      <c r="I1411" s="76"/>
      <c r="J1411" s="76"/>
      <c r="K1411" s="76"/>
      <c r="L1411" s="76"/>
      <c r="M1411" s="76"/>
      <c r="N1411" s="76"/>
      <c r="O1411" s="76"/>
      <c r="P1411" s="76"/>
      <c r="Q1411" s="76"/>
      <c r="R1411" s="14"/>
      <c r="S1411" s="14"/>
      <c r="T1411" s="14"/>
      <c r="U1411" s="14"/>
      <c r="V1411" s="14"/>
      <c r="W1411" s="14"/>
    </row>
    <row r="1412" ht="35.25" customHeight="1">
      <c r="A1412" s="147"/>
      <c r="B1412" s="148"/>
      <c r="C1412" s="149"/>
      <c r="D1412" s="150"/>
      <c r="E1412" s="151"/>
      <c r="F1412" s="152"/>
      <c r="G1412" s="148"/>
      <c r="H1412" s="76"/>
      <c r="I1412" s="76"/>
      <c r="J1412" s="76"/>
      <c r="K1412" s="76"/>
      <c r="L1412" s="76"/>
      <c r="M1412" s="76"/>
      <c r="N1412" s="76"/>
      <c r="O1412" s="76"/>
      <c r="P1412" s="76"/>
      <c r="Q1412" s="76"/>
      <c r="R1412" s="14"/>
      <c r="S1412" s="14"/>
      <c r="T1412" s="14"/>
      <c r="U1412" s="14"/>
      <c r="V1412" s="14"/>
      <c r="W1412" s="14"/>
    </row>
    <row r="1413" ht="35.25" customHeight="1">
      <c r="A1413" s="147"/>
      <c r="B1413" s="148"/>
      <c r="C1413" s="149"/>
      <c r="D1413" s="150"/>
      <c r="E1413" s="151"/>
      <c r="F1413" s="152"/>
      <c r="G1413" s="148"/>
      <c r="H1413" s="76"/>
      <c r="I1413" s="76"/>
      <c r="J1413" s="76"/>
      <c r="K1413" s="76"/>
      <c r="L1413" s="76"/>
      <c r="M1413" s="76"/>
      <c r="N1413" s="76"/>
      <c r="O1413" s="76"/>
      <c r="P1413" s="76"/>
      <c r="Q1413" s="76"/>
      <c r="R1413" s="14"/>
      <c r="S1413" s="14"/>
      <c r="T1413" s="14"/>
      <c r="U1413" s="14"/>
      <c r="V1413" s="14"/>
      <c r="W1413" s="14"/>
    </row>
    <row r="1414" ht="35.25" customHeight="1">
      <c r="A1414" s="147"/>
      <c r="B1414" s="148"/>
      <c r="C1414" s="149"/>
      <c r="D1414" s="150"/>
      <c r="E1414" s="151"/>
      <c r="F1414" s="152"/>
      <c r="G1414" s="148"/>
      <c r="H1414" s="76"/>
      <c r="I1414" s="76"/>
      <c r="J1414" s="76"/>
      <c r="K1414" s="76"/>
      <c r="L1414" s="76"/>
      <c r="M1414" s="76"/>
      <c r="N1414" s="76"/>
      <c r="O1414" s="76"/>
      <c r="P1414" s="76"/>
      <c r="Q1414" s="76"/>
      <c r="R1414" s="14"/>
      <c r="S1414" s="14"/>
      <c r="T1414" s="14"/>
      <c r="U1414" s="14"/>
      <c r="V1414" s="14"/>
      <c r="W1414" s="14"/>
    </row>
    <row r="1415" ht="35.25" customHeight="1">
      <c r="A1415" s="147"/>
      <c r="B1415" s="148"/>
      <c r="C1415" s="149"/>
      <c r="D1415" s="150"/>
      <c r="E1415" s="151"/>
      <c r="F1415" s="152"/>
      <c r="G1415" s="148"/>
      <c r="H1415" s="76"/>
      <c r="I1415" s="76"/>
      <c r="J1415" s="76"/>
      <c r="K1415" s="76"/>
      <c r="L1415" s="76"/>
      <c r="M1415" s="76"/>
      <c r="N1415" s="76"/>
      <c r="O1415" s="76"/>
      <c r="P1415" s="76"/>
      <c r="Q1415" s="76"/>
      <c r="R1415" s="14"/>
      <c r="S1415" s="14"/>
      <c r="T1415" s="14"/>
      <c r="U1415" s="14"/>
      <c r="V1415" s="14"/>
      <c r="W1415" s="14"/>
    </row>
    <row r="1416" ht="35.25" customHeight="1">
      <c r="A1416" s="147"/>
      <c r="B1416" s="148"/>
      <c r="C1416" s="149"/>
      <c r="D1416" s="150"/>
      <c r="E1416" s="151"/>
      <c r="F1416" s="152"/>
      <c r="G1416" s="148"/>
      <c r="H1416" s="76"/>
      <c r="I1416" s="76"/>
      <c r="J1416" s="76"/>
      <c r="K1416" s="76"/>
      <c r="L1416" s="76"/>
      <c r="M1416" s="76"/>
      <c r="N1416" s="76"/>
      <c r="O1416" s="76"/>
      <c r="P1416" s="76"/>
      <c r="Q1416" s="76"/>
      <c r="R1416" s="14"/>
      <c r="S1416" s="14"/>
      <c r="T1416" s="14"/>
      <c r="U1416" s="14"/>
      <c r="V1416" s="14"/>
      <c r="W1416" s="14"/>
    </row>
    <row r="1417" ht="35.25" customHeight="1">
      <c r="A1417" s="147"/>
      <c r="B1417" s="148"/>
      <c r="C1417" s="149"/>
      <c r="D1417" s="150"/>
      <c r="E1417" s="151"/>
      <c r="F1417" s="152"/>
      <c r="G1417" s="148"/>
      <c r="H1417" s="76"/>
      <c r="I1417" s="76"/>
      <c r="J1417" s="76"/>
      <c r="K1417" s="76"/>
      <c r="L1417" s="76"/>
      <c r="M1417" s="76"/>
      <c r="N1417" s="76"/>
      <c r="O1417" s="76"/>
      <c r="P1417" s="76"/>
      <c r="Q1417" s="76"/>
      <c r="R1417" s="14"/>
      <c r="S1417" s="14"/>
      <c r="T1417" s="14"/>
      <c r="U1417" s="14"/>
      <c r="V1417" s="14"/>
      <c r="W1417" s="14"/>
    </row>
    <row r="1418" ht="35.25" customHeight="1">
      <c r="A1418" s="147"/>
      <c r="B1418" s="148"/>
      <c r="C1418" s="149"/>
      <c r="D1418" s="150"/>
      <c r="E1418" s="151"/>
      <c r="F1418" s="152"/>
      <c r="G1418" s="148"/>
      <c r="H1418" s="76"/>
      <c r="I1418" s="76"/>
      <c r="J1418" s="76"/>
      <c r="K1418" s="76"/>
      <c r="L1418" s="76"/>
      <c r="M1418" s="76"/>
      <c r="N1418" s="76"/>
      <c r="O1418" s="76"/>
      <c r="P1418" s="76"/>
      <c r="Q1418" s="76"/>
      <c r="R1418" s="14"/>
      <c r="S1418" s="14"/>
      <c r="T1418" s="14"/>
      <c r="U1418" s="14"/>
      <c r="V1418" s="14"/>
      <c r="W1418" s="14"/>
    </row>
    <row r="1419" ht="35.25" customHeight="1">
      <c r="A1419" s="147"/>
      <c r="B1419" s="148"/>
      <c r="C1419" s="149"/>
      <c r="D1419" s="150"/>
      <c r="E1419" s="151"/>
      <c r="F1419" s="152"/>
      <c r="G1419" s="148"/>
      <c r="H1419" s="76"/>
      <c r="I1419" s="76"/>
      <c r="J1419" s="76"/>
      <c r="K1419" s="76"/>
      <c r="L1419" s="76"/>
      <c r="M1419" s="76"/>
      <c r="N1419" s="76"/>
      <c r="O1419" s="76"/>
      <c r="P1419" s="76"/>
      <c r="Q1419" s="76"/>
      <c r="R1419" s="14"/>
      <c r="S1419" s="14"/>
      <c r="T1419" s="14"/>
      <c r="U1419" s="14"/>
      <c r="V1419" s="14"/>
      <c r="W1419" s="14"/>
    </row>
    <row r="1420" ht="35.25" customHeight="1">
      <c r="A1420" s="147"/>
      <c r="B1420" s="148"/>
      <c r="C1420" s="149"/>
      <c r="D1420" s="150"/>
      <c r="E1420" s="151"/>
      <c r="F1420" s="152"/>
      <c r="G1420" s="148"/>
      <c r="H1420" s="76"/>
      <c r="I1420" s="76"/>
      <c r="J1420" s="76"/>
      <c r="K1420" s="76"/>
      <c r="L1420" s="76"/>
      <c r="M1420" s="76"/>
      <c r="N1420" s="76"/>
      <c r="O1420" s="76"/>
      <c r="P1420" s="76"/>
      <c r="Q1420" s="76"/>
      <c r="R1420" s="14"/>
      <c r="S1420" s="14"/>
      <c r="T1420" s="14"/>
      <c r="U1420" s="14"/>
      <c r="V1420" s="14"/>
      <c r="W1420" s="14"/>
    </row>
    <row r="1421" ht="35.25" customHeight="1">
      <c r="A1421" s="147"/>
      <c r="B1421" s="148"/>
      <c r="C1421" s="149"/>
      <c r="D1421" s="150"/>
      <c r="E1421" s="151"/>
      <c r="F1421" s="152"/>
      <c r="G1421" s="148"/>
      <c r="H1421" s="76"/>
      <c r="I1421" s="76"/>
      <c r="J1421" s="76"/>
      <c r="K1421" s="76"/>
      <c r="L1421" s="76"/>
      <c r="M1421" s="76"/>
      <c r="N1421" s="76"/>
      <c r="O1421" s="76"/>
      <c r="P1421" s="76"/>
      <c r="Q1421" s="76"/>
      <c r="R1421" s="14"/>
      <c r="S1421" s="14"/>
      <c r="T1421" s="14"/>
      <c r="U1421" s="14"/>
      <c r="V1421" s="14"/>
      <c r="W1421" s="14"/>
    </row>
    <row r="1422" ht="35.25" customHeight="1">
      <c r="A1422" s="147"/>
      <c r="B1422" s="148"/>
      <c r="C1422" s="149"/>
      <c r="D1422" s="150"/>
      <c r="E1422" s="151"/>
      <c r="F1422" s="152"/>
      <c r="G1422" s="148"/>
      <c r="H1422" s="76"/>
      <c r="I1422" s="76"/>
      <c r="J1422" s="76"/>
      <c r="K1422" s="76"/>
      <c r="L1422" s="76"/>
      <c r="M1422" s="76"/>
      <c r="N1422" s="76"/>
      <c r="O1422" s="76"/>
      <c r="P1422" s="76"/>
      <c r="Q1422" s="76"/>
      <c r="R1422" s="14"/>
      <c r="S1422" s="14"/>
      <c r="T1422" s="14"/>
      <c r="U1422" s="14"/>
      <c r="V1422" s="14"/>
      <c r="W1422" s="14"/>
    </row>
    <row r="1423" ht="35.25" customHeight="1">
      <c r="A1423" s="147"/>
      <c r="B1423" s="148"/>
      <c r="C1423" s="149"/>
      <c r="D1423" s="150"/>
      <c r="E1423" s="151"/>
      <c r="F1423" s="152"/>
      <c r="G1423" s="148"/>
      <c r="H1423" s="76"/>
      <c r="I1423" s="76"/>
      <c r="J1423" s="76"/>
      <c r="K1423" s="76"/>
      <c r="L1423" s="76"/>
      <c r="M1423" s="76"/>
      <c r="N1423" s="76"/>
      <c r="O1423" s="76"/>
      <c r="P1423" s="76"/>
      <c r="Q1423" s="76"/>
      <c r="R1423" s="14"/>
      <c r="S1423" s="14"/>
      <c r="T1423" s="14"/>
      <c r="U1423" s="14"/>
      <c r="V1423" s="14"/>
      <c r="W1423" s="14"/>
    </row>
    <row r="1424" ht="35.25" customHeight="1">
      <c r="A1424" s="147"/>
      <c r="B1424" s="148"/>
      <c r="C1424" s="149"/>
      <c r="D1424" s="150"/>
      <c r="E1424" s="151"/>
      <c r="F1424" s="152"/>
      <c r="G1424" s="148"/>
      <c r="H1424" s="76"/>
      <c r="I1424" s="76"/>
      <c r="J1424" s="76"/>
      <c r="K1424" s="76"/>
      <c r="L1424" s="76"/>
      <c r="M1424" s="76"/>
      <c r="N1424" s="76"/>
      <c r="O1424" s="76"/>
      <c r="P1424" s="76"/>
      <c r="Q1424" s="76"/>
      <c r="R1424" s="14"/>
      <c r="S1424" s="14"/>
      <c r="T1424" s="14"/>
      <c r="U1424" s="14"/>
      <c r="V1424" s="14"/>
      <c r="W1424" s="14"/>
    </row>
    <row r="1425" ht="35.25" customHeight="1">
      <c r="A1425" s="147"/>
      <c r="B1425" s="148"/>
      <c r="C1425" s="149"/>
      <c r="D1425" s="150"/>
      <c r="E1425" s="151"/>
      <c r="F1425" s="152"/>
      <c r="G1425" s="148"/>
      <c r="H1425" s="76"/>
      <c r="I1425" s="76"/>
      <c r="J1425" s="76"/>
      <c r="K1425" s="76"/>
      <c r="L1425" s="76"/>
      <c r="M1425" s="76"/>
      <c r="N1425" s="76"/>
      <c r="O1425" s="76"/>
      <c r="P1425" s="76"/>
      <c r="Q1425" s="76"/>
      <c r="R1425" s="14"/>
      <c r="S1425" s="14"/>
      <c r="T1425" s="14"/>
      <c r="U1425" s="14"/>
      <c r="V1425" s="14"/>
      <c r="W1425" s="14"/>
    </row>
    <row r="1426" ht="35.25" customHeight="1">
      <c r="A1426" s="147"/>
      <c r="B1426" s="148"/>
      <c r="C1426" s="149"/>
      <c r="D1426" s="150"/>
      <c r="E1426" s="151"/>
      <c r="F1426" s="152"/>
      <c r="G1426" s="148"/>
      <c r="H1426" s="76"/>
      <c r="I1426" s="76"/>
      <c r="J1426" s="76"/>
      <c r="K1426" s="76"/>
      <c r="L1426" s="76"/>
      <c r="M1426" s="76"/>
      <c r="N1426" s="76"/>
      <c r="O1426" s="76"/>
      <c r="P1426" s="76"/>
      <c r="Q1426" s="76"/>
      <c r="R1426" s="14"/>
      <c r="S1426" s="14"/>
      <c r="T1426" s="14"/>
      <c r="U1426" s="14"/>
      <c r="V1426" s="14"/>
      <c r="W1426" s="14"/>
    </row>
    <row r="1427" ht="35.25" customHeight="1">
      <c r="A1427" s="147"/>
      <c r="B1427" s="148"/>
      <c r="C1427" s="149"/>
      <c r="D1427" s="150"/>
      <c r="E1427" s="151"/>
      <c r="F1427" s="152"/>
      <c r="G1427" s="148"/>
      <c r="H1427" s="76"/>
      <c r="I1427" s="76"/>
      <c r="J1427" s="76"/>
      <c r="K1427" s="76"/>
      <c r="L1427" s="76"/>
      <c r="M1427" s="76"/>
      <c r="N1427" s="76"/>
      <c r="O1427" s="76"/>
      <c r="P1427" s="76"/>
      <c r="Q1427" s="76"/>
      <c r="R1427" s="14"/>
      <c r="S1427" s="14"/>
      <c r="T1427" s="14"/>
      <c r="U1427" s="14"/>
      <c r="V1427" s="14"/>
      <c r="W1427" s="14"/>
    </row>
    <row r="1428" ht="35.25" customHeight="1">
      <c r="A1428" s="147"/>
      <c r="B1428" s="148"/>
      <c r="C1428" s="149"/>
      <c r="D1428" s="150"/>
      <c r="E1428" s="151"/>
      <c r="F1428" s="152"/>
      <c r="G1428" s="148"/>
      <c r="H1428" s="76"/>
      <c r="I1428" s="76"/>
      <c r="J1428" s="76"/>
      <c r="K1428" s="76"/>
      <c r="L1428" s="76"/>
      <c r="M1428" s="76"/>
      <c r="N1428" s="76"/>
      <c r="O1428" s="76"/>
      <c r="P1428" s="76"/>
      <c r="Q1428" s="76"/>
      <c r="R1428" s="14"/>
      <c r="S1428" s="14"/>
      <c r="T1428" s="14"/>
      <c r="U1428" s="14"/>
      <c r="V1428" s="14"/>
      <c r="W1428" s="14"/>
    </row>
    <row r="1429" ht="35.25" customHeight="1">
      <c r="A1429" s="147"/>
      <c r="B1429" s="148"/>
      <c r="C1429" s="149"/>
      <c r="D1429" s="150"/>
      <c r="E1429" s="151"/>
      <c r="F1429" s="152"/>
      <c r="G1429" s="148"/>
      <c r="H1429" s="76"/>
      <c r="I1429" s="76"/>
      <c r="J1429" s="76"/>
      <c r="K1429" s="76"/>
      <c r="L1429" s="76"/>
      <c r="M1429" s="76"/>
      <c r="N1429" s="76"/>
      <c r="O1429" s="76"/>
      <c r="P1429" s="76"/>
      <c r="Q1429" s="76"/>
      <c r="R1429" s="14"/>
      <c r="S1429" s="14"/>
      <c r="T1429" s="14"/>
      <c r="U1429" s="14"/>
      <c r="V1429" s="14"/>
      <c r="W1429" s="14"/>
    </row>
    <row r="1430" ht="35.25" customHeight="1">
      <c r="A1430" s="147"/>
      <c r="B1430" s="148"/>
      <c r="C1430" s="149"/>
      <c r="D1430" s="150"/>
      <c r="E1430" s="151"/>
      <c r="F1430" s="152"/>
      <c r="G1430" s="148"/>
      <c r="H1430" s="76"/>
      <c r="I1430" s="76"/>
      <c r="J1430" s="76"/>
      <c r="K1430" s="76"/>
      <c r="L1430" s="76"/>
      <c r="M1430" s="76"/>
      <c r="N1430" s="76"/>
      <c r="O1430" s="76"/>
      <c r="P1430" s="76"/>
      <c r="Q1430" s="76"/>
      <c r="R1430" s="14"/>
      <c r="S1430" s="14"/>
      <c r="T1430" s="14"/>
      <c r="U1430" s="14"/>
      <c r="V1430" s="14"/>
      <c r="W1430" s="14"/>
    </row>
    <row r="1431" ht="35.25" customHeight="1">
      <c r="A1431" s="147"/>
      <c r="B1431" s="148"/>
      <c r="C1431" s="149"/>
      <c r="D1431" s="150"/>
      <c r="E1431" s="151"/>
      <c r="F1431" s="152"/>
      <c r="G1431" s="148"/>
      <c r="H1431" s="76"/>
      <c r="I1431" s="76"/>
      <c r="J1431" s="76"/>
      <c r="K1431" s="76"/>
      <c r="L1431" s="76"/>
      <c r="M1431" s="76"/>
      <c r="N1431" s="76"/>
      <c r="O1431" s="76"/>
      <c r="P1431" s="76"/>
      <c r="Q1431" s="76"/>
      <c r="R1431" s="14"/>
      <c r="S1431" s="14"/>
      <c r="T1431" s="14"/>
      <c r="U1431" s="14"/>
      <c r="V1431" s="14"/>
      <c r="W1431" s="14"/>
    </row>
    <row r="1432" ht="35.25" customHeight="1">
      <c r="A1432" s="147"/>
      <c r="B1432" s="148"/>
      <c r="C1432" s="149"/>
      <c r="D1432" s="150"/>
      <c r="E1432" s="151"/>
      <c r="F1432" s="152"/>
      <c r="G1432" s="148"/>
      <c r="H1432" s="76"/>
      <c r="I1432" s="76"/>
      <c r="J1432" s="76"/>
      <c r="K1432" s="76"/>
      <c r="L1432" s="76"/>
      <c r="M1432" s="76"/>
      <c r="N1432" s="76"/>
      <c r="O1432" s="76"/>
      <c r="P1432" s="76"/>
      <c r="Q1432" s="76"/>
      <c r="R1432" s="14"/>
      <c r="S1432" s="14"/>
      <c r="T1432" s="14"/>
      <c r="U1432" s="14"/>
      <c r="V1432" s="14"/>
      <c r="W1432" s="14"/>
    </row>
    <row r="1433" ht="35.25" customHeight="1">
      <c r="A1433" s="147"/>
      <c r="B1433" s="148"/>
      <c r="C1433" s="149"/>
      <c r="D1433" s="150"/>
      <c r="E1433" s="151"/>
      <c r="F1433" s="152"/>
      <c r="G1433" s="148"/>
      <c r="H1433" s="76"/>
      <c r="I1433" s="76"/>
      <c r="J1433" s="76"/>
      <c r="K1433" s="76"/>
      <c r="L1433" s="76"/>
      <c r="M1433" s="76"/>
      <c r="N1433" s="76"/>
      <c r="O1433" s="76"/>
      <c r="P1433" s="76"/>
      <c r="Q1433" s="76"/>
      <c r="R1433" s="14"/>
      <c r="S1433" s="14"/>
      <c r="T1433" s="14"/>
      <c r="U1433" s="14"/>
      <c r="V1433" s="14"/>
      <c r="W1433" s="14"/>
    </row>
    <row r="1434" ht="35.25" customHeight="1">
      <c r="A1434" s="147"/>
      <c r="B1434" s="148"/>
      <c r="C1434" s="149"/>
      <c r="D1434" s="150"/>
      <c r="E1434" s="151"/>
      <c r="F1434" s="152"/>
      <c r="G1434" s="148"/>
      <c r="H1434" s="76"/>
      <c r="I1434" s="76"/>
      <c r="J1434" s="76"/>
      <c r="K1434" s="76"/>
      <c r="L1434" s="76"/>
      <c r="M1434" s="76"/>
      <c r="N1434" s="76"/>
      <c r="O1434" s="76"/>
      <c r="P1434" s="76"/>
      <c r="Q1434" s="76"/>
      <c r="R1434" s="14"/>
      <c r="S1434" s="14"/>
      <c r="T1434" s="14"/>
      <c r="U1434" s="14"/>
      <c r="V1434" s="14"/>
      <c r="W1434" s="14"/>
    </row>
    <row r="1435" ht="35.25" customHeight="1">
      <c r="A1435" s="147"/>
      <c r="B1435" s="148"/>
      <c r="C1435" s="149"/>
      <c r="D1435" s="150"/>
      <c r="E1435" s="151"/>
      <c r="F1435" s="152"/>
      <c r="G1435" s="148"/>
      <c r="H1435" s="76"/>
      <c r="I1435" s="76"/>
      <c r="J1435" s="76"/>
      <c r="K1435" s="76"/>
      <c r="L1435" s="76"/>
      <c r="M1435" s="76"/>
      <c r="N1435" s="76"/>
      <c r="O1435" s="76"/>
      <c r="P1435" s="76"/>
      <c r="Q1435" s="76"/>
      <c r="R1435" s="14"/>
      <c r="S1435" s="14"/>
      <c r="T1435" s="14"/>
      <c r="U1435" s="14"/>
      <c r="V1435" s="14"/>
      <c r="W1435" s="14"/>
    </row>
    <row r="1436" ht="35.25" customHeight="1">
      <c r="A1436" s="147"/>
      <c r="B1436" s="148"/>
      <c r="C1436" s="149"/>
      <c r="D1436" s="150"/>
      <c r="E1436" s="151"/>
      <c r="F1436" s="152"/>
      <c r="G1436" s="148"/>
      <c r="H1436" s="76"/>
      <c r="I1436" s="76"/>
      <c r="J1436" s="76"/>
      <c r="K1436" s="76"/>
      <c r="L1436" s="76"/>
      <c r="M1436" s="76"/>
      <c r="N1436" s="76"/>
      <c r="O1436" s="76"/>
      <c r="P1436" s="76"/>
      <c r="Q1436" s="76"/>
      <c r="R1436" s="14"/>
      <c r="S1436" s="14"/>
      <c r="T1436" s="14"/>
      <c r="U1436" s="14"/>
      <c r="V1436" s="14"/>
      <c r="W1436" s="14"/>
    </row>
    <row r="1437" ht="35.25" customHeight="1">
      <c r="A1437" s="147"/>
      <c r="B1437" s="148"/>
      <c r="C1437" s="149"/>
      <c r="D1437" s="150"/>
      <c r="E1437" s="151"/>
      <c r="F1437" s="152"/>
      <c r="G1437" s="148"/>
      <c r="H1437" s="76"/>
      <c r="I1437" s="76"/>
      <c r="J1437" s="76"/>
      <c r="K1437" s="76"/>
      <c r="L1437" s="76"/>
      <c r="M1437" s="76"/>
      <c r="N1437" s="76"/>
      <c r="O1437" s="76"/>
      <c r="P1437" s="76"/>
      <c r="Q1437" s="76"/>
      <c r="R1437" s="14"/>
      <c r="S1437" s="14"/>
      <c r="T1437" s="14"/>
      <c r="U1437" s="14"/>
      <c r="V1437" s="14"/>
      <c r="W1437" s="14"/>
    </row>
    <row r="1438" ht="35.25" customHeight="1">
      <c r="A1438" s="147"/>
      <c r="B1438" s="148"/>
      <c r="C1438" s="149"/>
      <c r="D1438" s="150"/>
      <c r="E1438" s="151"/>
      <c r="F1438" s="152"/>
      <c r="G1438" s="148"/>
      <c r="H1438" s="76"/>
      <c r="I1438" s="76"/>
      <c r="J1438" s="76"/>
      <c r="K1438" s="76"/>
      <c r="L1438" s="76"/>
      <c r="M1438" s="76"/>
      <c r="N1438" s="76"/>
      <c r="O1438" s="76"/>
      <c r="P1438" s="76"/>
      <c r="Q1438" s="76"/>
      <c r="R1438" s="14"/>
      <c r="S1438" s="14"/>
      <c r="T1438" s="14"/>
      <c r="U1438" s="14"/>
      <c r="V1438" s="14"/>
      <c r="W1438" s="14"/>
    </row>
    <row r="1439" ht="35.25" customHeight="1">
      <c r="A1439" s="147"/>
      <c r="B1439" s="148"/>
      <c r="C1439" s="149"/>
      <c r="D1439" s="150"/>
      <c r="E1439" s="151"/>
      <c r="F1439" s="152"/>
      <c r="G1439" s="148"/>
      <c r="H1439" s="76"/>
      <c r="I1439" s="76"/>
      <c r="J1439" s="76"/>
      <c r="K1439" s="76"/>
      <c r="L1439" s="76"/>
      <c r="M1439" s="76"/>
      <c r="N1439" s="76"/>
      <c r="O1439" s="76"/>
      <c r="P1439" s="76"/>
      <c r="Q1439" s="76"/>
      <c r="R1439" s="14"/>
      <c r="S1439" s="14"/>
      <c r="T1439" s="14"/>
      <c r="U1439" s="14"/>
      <c r="V1439" s="14"/>
      <c r="W1439" s="14"/>
    </row>
    <row r="1440" ht="35.25" customHeight="1">
      <c r="A1440" s="147"/>
      <c r="B1440" s="148"/>
      <c r="C1440" s="149"/>
      <c r="D1440" s="150"/>
      <c r="E1440" s="151"/>
      <c r="F1440" s="152"/>
      <c r="G1440" s="148"/>
      <c r="H1440" s="76"/>
      <c r="I1440" s="76"/>
      <c r="J1440" s="76"/>
      <c r="K1440" s="76"/>
      <c r="L1440" s="76"/>
      <c r="M1440" s="76"/>
      <c r="N1440" s="76"/>
      <c r="O1440" s="76"/>
      <c r="P1440" s="76"/>
      <c r="Q1440" s="76"/>
      <c r="R1440" s="14"/>
      <c r="S1440" s="14"/>
      <c r="T1440" s="14"/>
      <c r="U1440" s="14"/>
      <c r="V1440" s="14"/>
      <c r="W1440" s="14"/>
    </row>
    <row r="1441" ht="35.25" customHeight="1">
      <c r="A1441" s="147"/>
      <c r="B1441" s="148"/>
      <c r="C1441" s="149"/>
      <c r="D1441" s="150"/>
      <c r="E1441" s="151"/>
      <c r="F1441" s="152"/>
      <c r="G1441" s="148"/>
      <c r="H1441" s="76"/>
      <c r="I1441" s="76"/>
      <c r="J1441" s="76"/>
      <c r="K1441" s="76"/>
      <c r="L1441" s="76"/>
      <c r="M1441" s="76"/>
      <c r="N1441" s="76"/>
      <c r="O1441" s="76"/>
      <c r="P1441" s="76"/>
      <c r="Q1441" s="76"/>
      <c r="R1441" s="14"/>
      <c r="S1441" s="14"/>
      <c r="T1441" s="14"/>
      <c r="U1441" s="14"/>
      <c r="V1441" s="14"/>
      <c r="W1441" s="14"/>
    </row>
    <row r="1442" ht="35.25" customHeight="1">
      <c r="A1442" s="147"/>
      <c r="B1442" s="148"/>
      <c r="C1442" s="149"/>
      <c r="D1442" s="150"/>
      <c r="E1442" s="151"/>
      <c r="F1442" s="152"/>
      <c r="G1442" s="148"/>
      <c r="H1442" s="76"/>
      <c r="I1442" s="76"/>
      <c r="J1442" s="76"/>
      <c r="K1442" s="76"/>
      <c r="L1442" s="76"/>
      <c r="M1442" s="76"/>
      <c r="N1442" s="76"/>
      <c r="O1442" s="76"/>
      <c r="P1442" s="76"/>
      <c r="Q1442" s="76"/>
      <c r="R1442" s="14"/>
      <c r="S1442" s="14"/>
      <c r="T1442" s="14"/>
      <c r="U1442" s="14"/>
      <c r="V1442" s="14"/>
      <c r="W1442" s="14"/>
    </row>
    <row r="1443" ht="35.25" customHeight="1">
      <c r="A1443" s="147"/>
      <c r="B1443" s="148"/>
      <c r="C1443" s="149"/>
      <c r="D1443" s="150"/>
      <c r="E1443" s="151"/>
      <c r="F1443" s="152"/>
      <c r="G1443" s="148"/>
      <c r="H1443" s="76"/>
      <c r="I1443" s="76"/>
      <c r="J1443" s="76"/>
      <c r="K1443" s="76"/>
      <c r="L1443" s="76"/>
      <c r="M1443" s="76"/>
      <c r="N1443" s="76"/>
      <c r="O1443" s="76"/>
      <c r="P1443" s="76"/>
      <c r="Q1443" s="76"/>
      <c r="R1443" s="14"/>
      <c r="S1443" s="14"/>
      <c r="T1443" s="14"/>
      <c r="U1443" s="14"/>
      <c r="V1443" s="14"/>
      <c r="W1443" s="14"/>
    </row>
    <row r="1444" ht="35.25" customHeight="1">
      <c r="A1444" s="147"/>
      <c r="B1444" s="148"/>
      <c r="C1444" s="149"/>
      <c r="D1444" s="150"/>
      <c r="E1444" s="151"/>
      <c r="F1444" s="152"/>
      <c r="G1444" s="148"/>
      <c r="H1444" s="76"/>
      <c r="I1444" s="76"/>
      <c r="J1444" s="76"/>
      <c r="K1444" s="76"/>
      <c r="L1444" s="76"/>
      <c r="M1444" s="76"/>
      <c r="N1444" s="76"/>
      <c r="O1444" s="76"/>
      <c r="P1444" s="76"/>
      <c r="Q1444" s="76"/>
      <c r="R1444" s="14"/>
      <c r="S1444" s="14"/>
      <c r="T1444" s="14"/>
      <c r="U1444" s="14"/>
      <c r="V1444" s="14"/>
      <c r="W1444" s="14"/>
    </row>
    <row r="1445" ht="35.25" customHeight="1">
      <c r="A1445" s="147"/>
      <c r="B1445" s="148"/>
      <c r="C1445" s="149"/>
      <c r="D1445" s="150"/>
      <c r="E1445" s="151"/>
      <c r="F1445" s="152"/>
      <c r="G1445" s="148"/>
      <c r="H1445" s="76"/>
      <c r="I1445" s="76"/>
      <c r="J1445" s="76"/>
      <c r="K1445" s="76"/>
      <c r="L1445" s="76"/>
      <c r="M1445" s="76"/>
      <c r="N1445" s="76"/>
      <c r="O1445" s="76"/>
      <c r="P1445" s="76"/>
      <c r="Q1445" s="76"/>
      <c r="R1445" s="14"/>
      <c r="S1445" s="14"/>
      <c r="T1445" s="14"/>
      <c r="U1445" s="14"/>
      <c r="V1445" s="14"/>
      <c r="W1445" s="14"/>
    </row>
    <row r="1446" ht="35.25" customHeight="1">
      <c r="A1446" s="147"/>
      <c r="B1446" s="148"/>
      <c r="C1446" s="149"/>
      <c r="D1446" s="150"/>
      <c r="E1446" s="151"/>
      <c r="F1446" s="152"/>
      <c r="G1446" s="148"/>
      <c r="H1446" s="76"/>
      <c r="I1446" s="76"/>
      <c r="J1446" s="76"/>
      <c r="K1446" s="76"/>
      <c r="L1446" s="76"/>
      <c r="M1446" s="76"/>
      <c r="N1446" s="76"/>
      <c r="O1446" s="76"/>
      <c r="P1446" s="76"/>
      <c r="Q1446" s="76"/>
      <c r="R1446" s="14"/>
      <c r="S1446" s="14"/>
      <c r="T1446" s="14"/>
      <c r="U1446" s="14"/>
      <c r="V1446" s="14"/>
      <c r="W1446" s="14"/>
    </row>
    <row r="1447" ht="35.25" customHeight="1">
      <c r="A1447" s="147"/>
      <c r="B1447" s="148"/>
      <c r="C1447" s="149"/>
      <c r="D1447" s="150"/>
      <c r="E1447" s="151"/>
      <c r="F1447" s="152"/>
      <c r="G1447" s="148"/>
      <c r="H1447" s="76"/>
      <c r="I1447" s="76"/>
      <c r="J1447" s="76"/>
      <c r="K1447" s="76"/>
      <c r="L1447" s="76"/>
      <c r="M1447" s="76"/>
      <c r="N1447" s="76"/>
      <c r="O1447" s="76"/>
      <c r="P1447" s="76"/>
      <c r="Q1447" s="76"/>
      <c r="R1447" s="14"/>
      <c r="S1447" s="14"/>
      <c r="T1447" s="14"/>
      <c r="U1447" s="14"/>
      <c r="V1447" s="14"/>
      <c r="W1447" s="14"/>
    </row>
    <row r="1448" ht="35.25" customHeight="1">
      <c r="A1448" s="147"/>
      <c r="B1448" s="148"/>
      <c r="C1448" s="149"/>
      <c r="D1448" s="150"/>
      <c r="E1448" s="151"/>
      <c r="F1448" s="152"/>
      <c r="G1448" s="148"/>
      <c r="H1448" s="76"/>
      <c r="I1448" s="76"/>
      <c r="J1448" s="76"/>
      <c r="K1448" s="76"/>
      <c r="L1448" s="76"/>
      <c r="M1448" s="76"/>
      <c r="N1448" s="76"/>
      <c r="O1448" s="76"/>
      <c r="P1448" s="76"/>
      <c r="Q1448" s="76"/>
      <c r="R1448" s="14"/>
      <c r="S1448" s="14"/>
      <c r="T1448" s="14"/>
      <c r="U1448" s="14"/>
      <c r="V1448" s="14"/>
      <c r="W1448" s="14"/>
    </row>
    <row r="1449" ht="35.25" customHeight="1">
      <c r="A1449" s="147"/>
      <c r="B1449" s="148"/>
      <c r="C1449" s="149"/>
      <c r="D1449" s="150"/>
      <c r="E1449" s="151"/>
      <c r="F1449" s="152"/>
      <c r="G1449" s="148"/>
      <c r="H1449" s="76"/>
      <c r="I1449" s="76"/>
      <c r="J1449" s="76"/>
      <c r="K1449" s="76"/>
      <c r="L1449" s="76"/>
      <c r="M1449" s="76"/>
      <c r="N1449" s="76"/>
      <c r="O1449" s="76"/>
      <c r="P1449" s="76"/>
      <c r="Q1449" s="76"/>
      <c r="R1449" s="14"/>
      <c r="S1449" s="14"/>
      <c r="T1449" s="14"/>
      <c r="U1449" s="14"/>
      <c r="V1449" s="14"/>
      <c r="W1449" s="14"/>
    </row>
    <row r="1450" ht="35.25" customHeight="1">
      <c r="A1450" s="147"/>
      <c r="B1450" s="148"/>
      <c r="C1450" s="149"/>
      <c r="D1450" s="150"/>
      <c r="E1450" s="151"/>
      <c r="F1450" s="152"/>
      <c r="G1450" s="148"/>
      <c r="H1450" s="76"/>
      <c r="I1450" s="76"/>
      <c r="J1450" s="76"/>
      <c r="K1450" s="76"/>
      <c r="L1450" s="76"/>
      <c r="M1450" s="76"/>
      <c r="N1450" s="76"/>
      <c r="O1450" s="76"/>
      <c r="P1450" s="76"/>
      <c r="Q1450" s="76"/>
      <c r="R1450" s="14"/>
      <c r="S1450" s="14"/>
      <c r="T1450" s="14"/>
      <c r="U1450" s="14"/>
      <c r="V1450" s="14"/>
      <c r="W1450" s="14"/>
    </row>
    <row r="1451" ht="35.25" customHeight="1">
      <c r="A1451" s="147"/>
      <c r="B1451" s="148"/>
      <c r="C1451" s="149"/>
      <c r="D1451" s="150"/>
      <c r="E1451" s="151"/>
      <c r="F1451" s="152"/>
      <c r="G1451" s="148"/>
      <c r="H1451" s="76"/>
      <c r="I1451" s="76"/>
      <c r="J1451" s="76"/>
      <c r="K1451" s="76"/>
      <c r="L1451" s="76"/>
      <c r="M1451" s="76"/>
      <c r="N1451" s="76"/>
      <c r="O1451" s="76"/>
      <c r="P1451" s="76"/>
      <c r="Q1451" s="76"/>
      <c r="R1451" s="14"/>
      <c r="S1451" s="14"/>
      <c r="T1451" s="14"/>
      <c r="U1451" s="14"/>
      <c r="V1451" s="14"/>
      <c r="W1451" s="14"/>
    </row>
    <row r="1452" ht="35.25" customHeight="1">
      <c r="A1452" s="147"/>
      <c r="B1452" s="148"/>
      <c r="C1452" s="149"/>
      <c r="D1452" s="150"/>
      <c r="E1452" s="151"/>
      <c r="F1452" s="152"/>
      <c r="G1452" s="148"/>
      <c r="H1452" s="76"/>
      <c r="I1452" s="76"/>
      <c r="J1452" s="76"/>
      <c r="K1452" s="76"/>
      <c r="L1452" s="76"/>
      <c r="M1452" s="76"/>
      <c r="N1452" s="76"/>
      <c r="O1452" s="76"/>
      <c r="P1452" s="76"/>
      <c r="Q1452" s="76"/>
      <c r="R1452" s="14"/>
      <c r="S1452" s="14"/>
      <c r="T1452" s="14"/>
      <c r="U1452" s="14"/>
      <c r="V1452" s="14"/>
      <c r="W1452" s="14"/>
    </row>
    <row r="1453" ht="35.25" customHeight="1">
      <c r="A1453" s="147"/>
      <c r="B1453" s="148"/>
      <c r="C1453" s="149"/>
      <c r="D1453" s="150"/>
      <c r="E1453" s="151"/>
      <c r="F1453" s="152"/>
      <c r="G1453" s="148"/>
      <c r="H1453" s="76"/>
      <c r="I1453" s="76"/>
      <c r="J1453" s="76"/>
      <c r="K1453" s="76"/>
      <c r="L1453" s="76"/>
      <c r="M1453" s="76"/>
      <c r="N1453" s="76"/>
      <c r="O1453" s="76"/>
      <c r="P1453" s="76"/>
      <c r="Q1453" s="76"/>
      <c r="R1453" s="14"/>
      <c r="S1453" s="14"/>
      <c r="T1453" s="14"/>
      <c r="U1453" s="14"/>
      <c r="V1453" s="14"/>
      <c r="W1453" s="14"/>
    </row>
    <row r="1454" ht="35.25" customHeight="1">
      <c r="A1454" s="147"/>
      <c r="B1454" s="148"/>
      <c r="C1454" s="149"/>
      <c r="D1454" s="150"/>
      <c r="E1454" s="151"/>
      <c r="F1454" s="152"/>
      <c r="G1454" s="148"/>
      <c r="H1454" s="76"/>
      <c r="I1454" s="76"/>
      <c r="J1454" s="76"/>
      <c r="K1454" s="76"/>
      <c r="L1454" s="76"/>
      <c r="M1454" s="76"/>
      <c r="N1454" s="76"/>
      <c r="O1454" s="76"/>
      <c r="P1454" s="76"/>
      <c r="Q1454" s="76"/>
      <c r="R1454" s="14"/>
      <c r="S1454" s="14"/>
      <c r="T1454" s="14"/>
      <c r="U1454" s="14"/>
      <c r="V1454" s="14"/>
      <c r="W1454" s="14"/>
    </row>
    <row r="1455" ht="35.25" customHeight="1">
      <c r="A1455" s="147"/>
      <c r="B1455" s="148"/>
      <c r="C1455" s="149"/>
      <c r="D1455" s="150"/>
      <c r="E1455" s="151"/>
      <c r="F1455" s="152"/>
      <c r="G1455" s="148"/>
      <c r="H1455" s="76"/>
      <c r="I1455" s="76"/>
      <c r="J1455" s="76"/>
      <c r="K1455" s="76"/>
      <c r="L1455" s="76"/>
      <c r="M1455" s="76"/>
      <c r="N1455" s="76"/>
      <c r="O1455" s="76"/>
      <c r="P1455" s="76"/>
      <c r="Q1455" s="76"/>
      <c r="R1455" s="14"/>
      <c r="S1455" s="14"/>
      <c r="T1455" s="14"/>
      <c r="U1455" s="14"/>
      <c r="V1455" s="14"/>
      <c r="W1455" s="14"/>
    </row>
    <row r="1456" ht="35.25" customHeight="1">
      <c r="A1456" s="147"/>
      <c r="B1456" s="148"/>
      <c r="C1456" s="149"/>
      <c r="D1456" s="150"/>
      <c r="E1456" s="151"/>
      <c r="F1456" s="152"/>
      <c r="G1456" s="148"/>
      <c r="H1456" s="76"/>
      <c r="I1456" s="76"/>
      <c r="J1456" s="76"/>
      <c r="K1456" s="76"/>
      <c r="L1456" s="76"/>
      <c r="M1456" s="76"/>
      <c r="N1456" s="76"/>
      <c r="O1456" s="76"/>
      <c r="P1456" s="76"/>
      <c r="Q1456" s="76"/>
      <c r="R1456" s="14"/>
      <c r="S1456" s="14"/>
      <c r="T1456" s="14"/>
      <c r="U1456" s="14"/>
      <c r="V1456" s="14"/>
      <c r="W1456" s="14"/>
    </row>
    <row r="1457" ht="35.25" customHeight="1">
      <c r="A1457" s="147"/>
      <c r="B1457" s="148"/>
      <c r="C1457" s="149"/>
      <c r="D1457" s="150"/>
      <c r="E1457" s="151"/>
      <c r="F1457" s="152"/>
      <c r="G1457" s="148"/>
      <c r="H1457" s="76"/>
      <c r="I1457" s="76"/>
      <c r="J1457" s="76"/>
      <c r="K1457" s="76"/>
      <c r="L1457" s="76"/>
      <c r="M1457" s="76"/>
      <c r="N1457" s="76"/>
      <c r="O1457" s="76"/>
      <c r="P1457" s="76"/>
      <c r="Q1457" s="76"/>
      <c r="R1457" s="14"/>
      <c r="S1457" s="14"/>
      <c r="T1457" s="14"/>
      <c r="U1457" s="14"/>
      <c r="V1457" s="14"/>
      <c r="W1457" s="14"/>
    </row>
    <row r="1458" ht="35.25" customHeight="1">
      <c r="A1458" s="147"/>
      <c r="B1458" s="148"/>
      <c r="C1458" s="149"/>
      <c r="D1458" s="150"/>
      <c r="E1458" s="151"/>
      <c r="F1458" s="152"/>
      <c r="G1458" s="148"/>
      <c r="H1458" s="76"/>
      <c r="I1458" s="76"/>
      <c r="J1458" s="76"/>
      <c r="K1458" s="76"/>
      <c r="L1458" s="76"/>
      <c r="M1458" s="76"/>
      <c r="N1458" s="76"/>
      <c r="O1458" s="76"/>
      <c r="P1458" s="76"/>
      <c r="Q1458" s="76"/>
      <c r="R1458" s="14"/>
      <c r="S1458" s="14"/>
      <c r="T1458" s="14"/>
      <c r="U1458" s="14"/>
      <c r="V1458" s="14"/>
      <c r="W1458" s="14"/>
    </row>
    <row r="1459" ht="35.25" customHeight="1">
      <c r="A1459" s="147"/>
      <c r="B1459" s="148"/>
      <c r="C1459" s="149"/>
      <c r="D1459" s="150"/>
      <c r="E1459" s="151"/>
      <c r="F1459" s="152"/>
      <c r="G1459" s="148"/>
      <c r="H1459" s="76"/>
      <c r="I1459" s="76"/>
      <c r="J1459" s="76"/>
      <c r="K1459" s="76"/>
      <c r="L1459" s="76"/>
      <c r="M1459" s="76"/>
      <c r="N1459" s="76"/>
      <c r="O1459" s="76"/>
      <c r="P1459" s="76"/>
      <c r="Q1459" s="76"/>
      <c r="R1459" s="14"/>
      <c r="S1459" s="14"/>
      <c r="T1459" s="14"/>
      <c r="U1459" s="14"/>
      <c r="V1459" s="14"/>
      <c r="W1459" s="14"/>
    </row>
    <row r="1460" ht="35.25" customHeight="1">
      <c r="A1460" s="147"/>
      <c r="B1460" s="148"/>
      <c r="C1460" s="149"/>
      <c r="D1460" s="150"/>
      <c r="E1460" s="151"/>
      <c r="F1460" s="152"/>
      <c r="G1460" s="148"/>
      <c r="H1460" s="76"/>
      <c r="I1460" s="76"/>
      <c r="J1460" s="76"/>
      <c r="K1460" s="76"/>
      <c r="L1460" s="76"/>
      <c r="M1460" s="76"/>
      <c r="N1460" s="76"/>
      <c r="O1460" s="76"/>
      <c r="P1460" s="76"/>
      <c r="Q1460" s="76"/>
      <c r="R1460" s="14"/>
      <c r="S1460" s="14"/>
      <c r="T1460" s="14"/>
      <c r="U1460" s="14"/>
      <c r="V1460" s="14"/>
      <c r="W1460" s="14"/>
    </row>
    <row r="1461" ht="35.25" customHeight="1">
      <c r="A1461" s="147"/>
      <c r="B1461" s="148"/>
      <c r="C1461" s="149"/>
      <c r="D1461" s="150"/>
      <c r="E1461" s="151"/>
      <c r="F1461" s="152"/>
      <c r="G1461" s="148"/>
      <c r="H1461" s="76"/>
      <c r="I1461" s="76"/>
      <c r="J1461" s="76"/>
      <c r="K1461" s="76"/>
      <c r="L1461" s="76"/>
      <c r="M1461" s="76"/>
      <c r="N1461" s="76"/>
      <c r="O1461" s="76"/>
      <c r="P1461" s="76"/>
      <c r="Q1461" s="76"/>
      <c r="R1461" s="14"/>
      <c r="S1461" s="14"/>
      <c r="T1461" s="14"/>
      <c r="U1461" s="14"/>
      <c r="V1461" s="14"/>
      <c r="W1461" s="14"/>
    </row>
    <row r="1462" ht="35.25" customHeight="1">
      <c r="A1462" s="147"/>
      <c r="B1462" s="148"/>
      <c r="C1462" s="149"/>
      <c r="D1462" s="150"/>
      <c r="E1462" s="151"/>
      <c r="F1462" s="152"/>
      <c r="G1462" s="148"/>
      <c r="H1462" s="76"/>
      <c r="I1462" s="76"/>
      <c r="J1462" s="76"/>
      <c r="K1462" s="76"/>
      <c r="L1462" s="76"/>
      <c r="M1462" s="76"/>
      <c r="N1462" s="76"/>
      <c r="O1462" s="76"/>
      <c r="P1462" s="76"/>
      <c r="Q1462" s="76"/>
      <c r="R1462" s="14"/>
      <c r="S1462" s="14"/>
      <c r="T1462" s="14"/>
      <c r="U1462" s="14"/>
      <c r="V1462" s="14"/>
      <c r="W1462" s="14"/>
    </row>
    <row r="1463" ht="35.25" customHeight="1">
      <c r="A1463" s="147"/>
      <c r="B1463" s="148"/>
      <c r="C1463" s="149"/>
      <c r="D1463" s="150"/>
      <c r="E1463" s="151"/>
      <c r="F1463" s="152"/>
      <c r="G1463" s="148"/>
      <c r="H1463" s="76"/>
      <c r="I1463" s="76"/>
      <c r="J1463" s="76"/>
      <c r="K1463" s="76"/>
      <c r="L1463" s="76"/>
      <c r="M1463" s="76"/>
      <c r="N1463" s="76"/>
      <c r="O1463" s="76"/>
      <c r="P1463" s="76"/>
      <c r="Q1463" s="76"/>
      <c r="R1463" s="14"/>
      <c r="S1463" s="14"/>
      <c r="T1463" s="14"/>
      <c r="U1463" s="14"/>
      <c r="V1463" s="14"/>
      <c r="W1463" s="14"/>
    </row>
    <row r="1464" ht="35.25" customHeight="1">
      <c r="A1464" s="147"/>
      <c r="B1464" s="148"/>
      <c r="C1464" s="149"/>
      <c r="D1464" s="150"/>
      <c r="E1464" s="151"/>
      <c r="F1464" s="152"/>
      <c r="G1464" s="148"/>
      <c r="H1464" s="76"/>
      <c r="I1464" s="76"/>
      <c r="J1464" s="76"/>
      <c r="K1464" s="76"/>
      <c r="L1464" s="76"/>
      <c r="M1464" s="76"/>
      <c r="N1464" s="76"/>
      <c r="O1464" s="76"/>
      <c r="P1464" s="76"/>
      <c r="Q1464" s="76"/>
      <c r="R1464" s="14"/>
      <c r="S1464" s="14"/>
      <c r="T1464" s="14"/>
      <c r="U1464" s="14"/>
      <c r="V1464" s="14"/>
      <c r="W1464" s="14"/>
    </row>
    <row r="1465" ht="35.25" customHeight="1">
      <c r="A1465" s="147"/>
      <c r="B1465" s="148"/>
      <c r="C1465" s="149"/>
      <c r="D1465" s="150"/>
      <c r="E1465" s="151"/>
      <c r="F1465" s="152"/>
      <c r="G1465" s="148"/>
      <c r="H1465" s="76"/>
      <c r="I1465" s="76"/>
      <c r="J1465" s="76"/>
      <c r="K1465" s="76"/>
      <c r="L1465" s="76"/>
      <c r="M1465" s="76"/>
      <c r="N1465" s="76"/>
      <c r="O1465" s="76"/>
      <c r="P1465" s="76"/>
      <c r="Q1465" s="76"/>
      <c r="R1465" s="14"/>
      <c r="S1465" s="14"/>
      <c r="T1465" s="14"/>
      <c r="U1465" s="14"/>
      <c r="V1465" s="14"/>
      <c r="W1465" s="14"/>
    </row>
    <row r="1466" ht="35.25" customHeight="1">
      <c r="A1466" s="147"/>
      <c r="B1466" s="148"/>
      <c r="C1466" s="149"/>
      <c r="D1466" s="150"/>
      <c r="E1466" s="151"/>
      <c r="F1466" s="152"/>
      <c r="G1466" s="148"/>
      <c r="H1466" s="76"/>
      <c r="I1466" s="76"/>
      <c r="J1466" s="76"/>
      <c r="K1466" s="76"/>
      <c r="L1466" s="76"/>
      <c r="M1466" s="76"/>
      <c r="N1466" s="76"/>
      <c r="O1466" s="76"/>
      <c r="P1466" s="76"/>
      <c r="Q1466" s="76"/>
      <c r="R1466" s="14"/>
      <c r="S1466" s="14"/>
      <c r="T1466" s="14"/>
      <c r="U1466" s="14"/>
      <c r="V1466" s="14"/>
      <c r="W1466" s="14"/>
    </row>
    <row r="1467" ht="35.25" customHeight="1">
      <c r="A1467" s="147"/>
      <c r="B1467" s="148"/>
      <c r="C1467" s="149"/>
      <c r="D1467" s="150"/>
      <c r="E1467" s="151"/>
      <c r="F1467" s="152"/>
      <c r="G1467" s="148"/>
      <c r="H1467" s="76"/>
      <c r="I1467" s="76"/>
      <c r="J1467" s="76"/>
      <c r="K1467" s="76"/>
      <c r="L1467" s="76"/>
      <c r="M1467" s="76"/>
      <c r="N1467" s="76"/>
      <c r="O1467" s="76"/>
      <c r="P1467" s="76"/>
      <c r="Q1467" s="76"/>
      <c r="R1467" s="14"/>
      <c r="S1467" s="14"/>
      <c r="T1467" s="14"/>
      <c r="U1467" s="14"/>
      <c r="V1467" s="14"/>
      <c r="W1467" s="14"/>
    </row>
    <row r="1468" ht="35.25" customHeight="1">
      <c r="A1468" s="147"/>
      <c r="B1468" s="148"/>
      <c r="C1468" s="149"/>
      <c r="D1468" s="150"/>
      <c r="E1468" s="151"/>
      <c r="F1468" s="152"/>
      <c r="G1468" s="148"/>
      <c r="H1468" s="76"/>
      <c r="I1468" s="76"/>
      <c r="J1468" s="76"/>
      <c r="K1468" s="76"/>
      <c r="L1468" s="76"/>
      <c r="M1468" s="76"/>
      <c r="N1468" s="76"/>
      <c r="O1468" s="76"/>
      <c r="P1468" s="76"/>
      <c r="Q1468" s="76"/>
      <c r="R1468" s="14"/>
      <c r="S1468" s="14"/>
      <c r="T1468" s="14"/>
      <c r="U1468" s="14"/>
      <c r="V1468" s="14"/>
      <c r="W1468" s="14"/>
    </row>
    <row r="1469" ht="35.25" customHeight="1">
      <c r="A1469" s="147"/>
      <c r="B1469" s="148"/>
      <c r="C1469" s="149"/>
      <c r="D1469" s="150"/>
      <c r="E1469" s="151"/>
      <c r="F1469" s="152"/>
      <c r="G1469" s="148"/>
      <c r="H1469" s="76"/>
      <c r="I1469" s="76"/>
      <c r="J1469" s="76"/>
      <c r="K1469" s="76"/>
      <c r="L1469" s="76"/>
      <c r="M1469" s="76"/>
      <c r="N1469" s="76"/>
      <c r="O1469" s="76"/>
      <c r="P1469" s="76"/>
      <c r="Q1469" s="76"/>
      <c r="R1469" s="14"/>
      <c r="S1469" s="14"/>
      <c r="T1469" s="14"/>
      <c r="U1469" s="14"/>
      <c r="V1469" s="14"/>
      <c r="W1469" s="14"/>
    </row>
    <row r="1470" ht="35.25" customHeight="1">
      <c r="A1470" s="147"/>
      <c r="B1470" s="148"/>
      <c r="C1470" s="149"/>
      <c r="D1470" s="150"/>
      <c r="E1470" s="151"/>
      <c r="F1470" s="152"/>
      <c r="G1470" s="148"/>
      <c r="H1470" s="76"/>
      <c r="I1470" s="76"/>
      <c r="J1470" s="76"/>
      <c r="K1470" s="76"/>
      <c r="L1470" s="76"/>
      <c r="M1470" s="76"/>
      <c r="N1470" s="76"/>
      <c r="O1470" s="76"/>
      <c r="P1470" s="76"/>
      <c r="Q1470" s="76"/>
      <c r="R1470" s="14"/>
      <c r="S1470" s="14"/>
      <c r="T1470" s="14"/>
      <c r="U1470" s="14"/>
      <c r="V1470" s="14"/>
      <c r="W1470" s="14"/>
    </row>
    <row r="1471" ht="35.25" customHeight="1">
      <c r="A1471" s="147"/>
      <c r="B1471" s="148"/>
      <c r="C1471" s="149"/>
      <c r="D1471" s="150"/>
      <c r="E1471" s="151"/>
      <c r="F1471" s="152"/>
      <c r="G1471" s="148"/>
      <c r="H1471" s="76"/>
      <c r="I1471" s="76"/>
      <c r="J1471" s="76"/>
      <c r="K1471" s="76"/>
      <c r="L1471" s="76"/>
      <c r="M1471" s="76"/>
      <c r="N1471" s="76"/>
      <c r="O1471" s="76"/>
      <c r="P1471" s="76"/>
      <c r="Q1471" s="76"/>
      <c r="R1471" s="14"/>
      <c r="S1471" s="14"/>
      <c r="T1471" s="14"/>
      <c r="U1471" s="14"/>
      <c r="V1471" s="14"/>
      <c r="W1471" s="14"/>
    </row>
    <row r="1472" ht="35.25" customHeight="1">
      <c r="A1472" s="147"/>
      <c r="B1472" s="148"/>
      <c r="C1472" s="149"/>
      <c r="D1472" s="150"/>
      <c r="E1472" s="151"/>
      <c r="F1472" s="152"/>
      <c r="G1472" s="148"/>
      <c r="H1472" s="76"/>
      <c r="I1472" s="76"/>
      <c r="J1472" s="76"/>
      <c r="K1472" s="76"/>
      <c r="L1472" s="76"/>
      <c r="M1472" s="76"/>
      <c r="N1472" s="76"/>
      <c r="O1472" s="76"/>
      <c r="P1472" s="76"/>
      <c r="Q1472" s="76"/>
      <c r="R1472" s="14"/>
      <c r="S1472" s="14"/>
      <c r="T1472" s="14"/>
      <c r="U1472" s="14"/>
      <c r="V1472" s="14"/>
      <c r="W1472" s="14"/>
    </row>
    <row r="1473" ht="35.25" customHeight="1">
      <c r="A1473" s="147"/>
      <c r="B1473" s="148"/>
      <c r="C1473" s="149"/>
      <c r="D1473" s="150"/>
      <c r="E1473" s="151"/>
      <c r="F1473" s="152"/>
      <c r="G1473" s="148"/>
      <c r="H1473" s="76"/>
      <c r="I1473" s="76"/>
      <c r="J1473" s="76"/>
      <c r="K1473" s="76"/>
      <c r="L1473" s="76"/>
      <c r="M1473" s="76"/>
      <c r="N1473" s="76"/>
      <c r="O1473" s="76"/>
      <c r="P1473" s="76"/>
      <c r="Q1473" s="76"/>
      <c r="R1473" s="14"/>
      <c r="S1473" s="14"/>
      <c r="T1473" s="14"/>
      <c r="U1473" s="14"/>
      <c r="V1473" s="14"/>
      <c r="W1473" s="14"/>
    </row>
    <row r="1474" ht="35.25" customHeight="1">
      <c r="A1474" s="147"/>
      <c r="B1474" s="148"/>
      <c r="C1474" s="149"/>
      <c r="D1474" s="150"/>
      <c r="E1474" s="151"/>
      <c r="F1474" s="152"/>
      <c r="G1474" s="148"/>
      <c r="H1474" s="76"/>
      <c r="I1474" s="76"/>
      <c r="J1474" s="76"/>
      <c r="K1474" s="76"/>
      <c r="L1474" s="76"/>
      <c r="M1474" s="76"/>
      <c r="N1474" s="76"/>
      <c r="O1474" s="76"/>
      <c r="P1474" s="76"/>
      <c r="Q1474" s="76"/>
      <c r="R1474" s="14"/>
      <c r="S1474" s="14"/>
      <c r="T1474" s="14"/>
      <c r="U1474" s="14"/>
      <c r="V1474" s="14"/>
      <c r="W1474" s="14"/>
    </row>
    <row r="1475" ht="35.25" customHeight="1">
      <c r="A1475" s="147"/>
      <c r="B1475" s="148"/>
      <c r="C1475" s="149"/>
      <c r="D1475" s="150"/>
      <c r="E1475" s="151"/>
      <c r="F1475" s="152"/>
      <c r="G1475" s="148"/>
      <c r="H1475" s="76"/>
      <c r="I1475" s="76"/>
      <c r="J1475" s="76"/>
      <c r="K1475" s="76"/>
      <c r="L1475" s="76"/>
      <c r="M1475" s="76"/>
      <c r="N1475" s="76"/>
      <c r="O1475" s="76"/>
      <c r="P1475" s="76"/>
      <c r="Q1475" s="76"/>
      <c r="R1475" s="14"/>
      <c r="S1475" s="14"/>
      <c r="T1475" s="14"/>
      <c r="U1475" s="14"/>
      <c r="V1475" s="14"/>
      <c r="W1475" s="14"/>
    </row>
    <row r="1476" ht="35.25" customHeight="1">
      <c r="A1476" s="147"/>
      <c r="B1476" s="148"/>
      <c r="C1476" s="149"/>
      <c r="D1476" s="150"/>
      <c r="E1476" s="151"/>
      <c r="F1476" s="152"/>
      <c r="G1476" s="148"/>
      <c r="H1476" s="76"/>
      <c r="I1476" s="76"/>
      <c r="J1476" s="76"/>
      <c r="K1476" s="76"/>
      <c r="L1476" s="76"/>
      <c r="M1476" s="76"/>
      <c r="N1476" s="76"/>
      <c r="O1476" s="76"/>
      <c r="P1476" s="76"/>
      <c r="Q1476" s="76"/>
      <c r="R1476" s="14"/>
      <c r="S1476" s="14"/>
      <c r="T1476" s="14"/>
      <c r="U1476" s="14"/>
      <c r="V1476" s="14"/>
      <c r="W1476" s="14"/>
    </row>
    <row r="1477" ht="35.25" customHeight="1">
      <c r="A1477" s="147"/>
      <c r="B1477" s="148"/>
      <c r="C1477" s="149"/>
      <c r="D1477" s="150"/>
      <c r="E1477" s="151"/>
      <c r="F1477" s="152"/>
      <c r="G1477" s="148"/>
      <c r="H1477" s="76"/>
      <c r="I1477" s="76"/>
      <c r="J1477" s="76"/>
      <c r="K1477" s="76"/>
      <c r="L1477" s="76"/>
      <c r="M1477" s="76"/>
      <c r="N1477" s="76"/>
      <c r="O1477" s="76"/>
      <c r="P1477" s="76"/>
      <c r="Q1477" s="76"/>
      <c r="R1477" s="14"/>
      <c r="S1477" s="14"/>
      <c r="T1477" s="14"/>
      <c r="U1477" s="14"/>
      <c r="V1477" s="14"/>
      <c r="W1477" s="14"/>
    </row>
    <row r="1478" ht="35.25" customHeight="1">
      <c r="A1478" s="147"/>
      <c r="B1478" s="148"/>
      <c r="C1478" s="149"/>
      <c r="D1478" s="150"/>
      <c r="E1478" s="151"/>
      <c r="F1478" s="152"/>
      <c r="G1478" s="148"/>
      <c r="H1478" s="76"/>
      <c r="I1478" s="76"/>
      <c r="J1478" s="76"/>
      <c r="K1478" s="76"/>
      <c r="L1478" s="76"/>
      <c r="M1478" s="76"/>
      <c r="N1478" s="76"/>
      <c r="O1478" s="76"/>
      <c r="P1478" s="76"/>
      <c r="Q1478" s="76"/>
      <c r="R1478" s="14"/>
      <c r="S1478" s="14"/>
      <c r="T1478" s="14"/>
      <c r="U1478" s="14"/>
      <c r="V1478" s="14"/>
      <c r="W1478" s="14"/>
    </row>
    <row r="1479" ht="35.25" customHeight="1">
      <c r="A1479" s="147"/>
      <c r="B1479" s="148"/>
      <c r="C1479" s="149"/>
      <c r="D1479" s="150"/>
      <c r="E1479" s="151"/>
      <c r="F1479" s="152"/>
      <c r="G1479" s="148"/>
      <c r="H1479" s="76"/>
      <c r="I1479" s="76"/>
      <c r="J1479" s="76"/>
      <c r="K1479" s="76"/>
      <c r="L1479" s="76"/>
      <c r="M1479" s="76"/>
      <c r="N1479" s="76"/>
      <c r="O1479" s="76"/>
      <c r="P1479" s="76"/>
      <c r="Q1479" s="76"/>
      <c r="R1479" s="14"/>
      <c r="S1479" s="14"/>
      <c r="T1479" s="14"/>
      <c r="U1479" s="14"/>
      <c r="V1479" s="14"/>
      <c r="W1479" s="14"/>
    </row>
    <row r="1480" ht="35.25" customHeight="1">
      <c r="A1480" s="147"/>
      <c r="B1480" s="148"/>
      <c r="C1480" s="149"/>
      <c r="D1480" s="150"/>
      <c r="E1480" s="151"/>
      <c r="F1480" s="152"/>
      <c r="G1480" s="148"/>
      <c r="H1480" s="76"/>
      <c r="I1480" s="76"/>
      <c r="J1480" s="76"/>
      <c r="K1480" s="76"/>
      <c r="L1480" s="76"/>
      <c r="M1480" s="76"/>
      <c r="N1480" s="76"/>
      <c r="O1480" s="76"/>
      <c r="P1480" s="76"/>
      <c r="Q1480" s="76"/>
      <c r="R1480" s="14"/>
      <c r="S1480" s="14"/>
      <c r="T1480" s="14"/>
      <c r="U1480" s="14"/>
      <c r="V1480" s="14"/>
      <c r="W1480" s="14"/>
    </row>
    <row r="1481" ht="35.25" customHeight="1">
      <c r="A1481" s="147"/>
      <c r="B1481" s="148"/>
      <c r="C1481" s="149"/>
      <c r="D1481" s="150"/>
      <c r="E1481" s="151"/>
      <c r="F1481" s="152"/>
      <c r="G1481" s="148"/>
      <c r="H1481" s="76"/>
      <c r="I1481" s="76"/>
      <c r="J1481" s="76"/>
      <c r="K1481" s="76"/>
      <c r="L1481" s="76"/>
      <c r="M1481" s="76"/>
      <c r="N1481" s="76"/>
      <c r="O1481" s="76"/>
      <c r="P1481" s="76"/>
      <c r="Q1481" s="76"/>
      <c r="R1481" s="14"/>
      <c r="S1481" s="14"/>
      <c r="T1481" s="14"/>
      <c r="U1481" s="14"/>
      <c r="V1481" s="14"/>
      <c r="W1481" s="14"/>
    </row>
    <row r="1482" ht="35.25" customHeight="1">
      <c r="A1482" s="147"/>
      <c r="B1482" s="148"/>
      <c r="C1482" s="149"/>
      <c r="D1482" s="150"/>
      <c r="E1482" s="151"/>
      <c r="F1482" s="152"/>
      <c r="G1482" s="148"/>
      <c r="H1482" s="76"/>
      <c r="I1482" s="76"/>
      <c r="J1482" s="76"/>
      <c r="K1482" s="76"/>
      <c r="L1482" s="76"/>
      <c r="M1482" s="76"/>
      <c r="N1482" s="76"/>
      <c r="O1482" s="76"/>
      <c r="P1482" s="76"/>
      <c r="Q1482" s="76"/>
      <c r="R1482" s="14"/>
      <c r="S1482" s="14"/>
      <c r="T1482" s="14"/>
      <c r="U1482" s="14"/>
      <c r="V1482" s="14"/>
      <c r="W1482" s="14"/>
    </row>
    <row r="1483" ht="35.25" customHeight="1">
      <c r="A1483" s="147"/>
      <c r="B1483" s="148"/>
      <c r="C1483" s="149"/>
      <c r="D1483" s="150"/>
      <c r="E1483" s="151"/>
      <c r="F1483" s="152"/>
      <c r="G1483" s="148"/>
      <c r="H1483" s="76"/>
      <c r="I1483" s="76"/>
      <c r="J1483" s="76"/>
      <c r="K1483" s="76"/>
      <c r="L1483" s="76"/>
      <c r="M1483" s="76"/>
      <c r="N1483" s="76"/>
      <c r="O1483" s="76"/>
      <c r="P1483" s="76"/>
      <c r="Q1483" s="76"/>
      <c r="R1483" s="14"/>
      <c r="S1483" s="14"/>
      <c r="T1483" s="14"/>
      <c r="U1483" s="14"/>
      <c r="V1483" s="14"/>
      <c r="W1483" s="14"/>
    </row>
    <row r="1484" ht="35.25" customHeight="1">
      <c r="A1484" s="147"/>
      <c r="B1484" s="148"/>
      <c r="C1484" s="149"/>
      <c r="D1484" s="150"/>
      <c r="E1484" s="151"/>
      <c r="F1484" s="152"/>
      <c r="G1484" s="148"/>
      <c r="H1484" s="76"/>
      <c r="I1484" s="76"/>
      <c r="J1484" s="76"/>
      <c r="K1484" s="76"/>
      <c r="L1484" s="76"/>
      <c r="M1484" s="76"/>
      <c r="N1484" s="76"/>
      <c r="O1484" s="76"/>
      <c r="P1484" s="76"/>
      <c r="Q1484" s="76"/>
      <c r="R1484" s="14"/>
      <c r="S1484" s="14"/>
      <c r="T1484" s="14"/>
      <c r="U1484" s="14"/>
      <c r="V1484" s="14"/>
      <c r="W1484" s="14"/>
    </row>
    <row r="1485" ht="35.25" customHeight="1">
      <c r="A1485" s="147"/>
      <c r="B1485" s="148"/>
      <c r="C1485" s="149"/>
      <c r="D1485" s="150"/>
      <c r="E1485" s="151"/>
      <c r="F1485" s="152"/>
      <c r="G1485" s="148"/>
      <c r="H1485" s="76"/>
      <c r="I1485" s="76"/>
      <c r="J1485" s="76"/>
      <c r="K1485" s="76"/>
      <c r="L1485" s="76"/>
      <c r="M1485" s="76"/>
      <c r="N1485" s="76"/>
      <c r="O1485" s="76"/>
      <c r="P1485" s="76"/>
      <c r="Q1485" s="76"/>
      <c r="R1485" s="14"/>
      <c r="S1485" s="14"/>
      <c r="T1485" s="14"/>
      <c r="U1485" s="14"/>
      <c r="V1485" s="14"/>
      <c r="W1485" s="14"/>
    </row>
    <row r="1486" ht="35.25" customHeight="1">
      <c r="A1486" s="147"/>
      <c r="B1486" s="148"/>
      <c r="C1486" s="149"/>
      <c r="D1486" s="150"/>
      <c r="E1486" s="151"/>
      <c r="F1486" s="152"/>
      <c r="G1486" s="148"/>
      <c r="H1486" s="76"/>
      <c r="I1486" s="76"/>
      <c r="J1486" s="76"/>
      <c r="K1486" s="76"/>
      <c r="L1486" s="76"/>
      <c r="M1486" s="76"/>
      <c r="N1486" s="76"/>
      <c r="O1486" s="76"/>
      <c r="P1486" s="76"/>
      <c r="Q1486" s="76"/>
      <c r="R1486" s="14"/>
      <c r="S1486" s="14"/>
      <c r="T1486" s="14"/>
      <c r="U1486" s="14"/>
      <c r="V1486" s="14"/>
      <c r="W1486" s="14"/>
    </row>
    <row r="1487" ht="35.25" customHeight="1">
      <c r="A1487" s="147"/>
      <c r="B1487" s="148"/>
      <c r="C1487" s="149"/>
      <c r="D1487" s="150"/>
      <c r="E1487" s="151"/>
      <c r="F1487" s="152"/>
      <c r="G1487" s="148"/>
      <c r="H1487" s="76"/>
      <c r="I1487" s="76"/>
      <c r="J1487" s="76"/>
      <c r="K1487" s="76"/>
      <c r="L1487" s="76"/>
      <c r="M1487" s="76"/>
      <c r="N1487" s="76"/>
      <c r="O1487" s="76"/>
      <c r="P1487" s="76"/>
      <c r="Q1487" s="76"/>
      <c r="R1487" s="14"/>
      <c r="S1487" s="14"/>
      <c r="T1487" s="14"/>
      <c r="U1487" s="14"/>
      <c r="V1487" s="14"/>
      <c r="W1487" s="14"/>
    </row>
    <row r="1488" ht="35.25" customHeight="1">
      <c r="A1488" s="147"/>
      <c r="B1488" s="148"/>
      <c r="C1488" s="149"/>
      <c r="D1488" s="150"/>
      <c r="E1488" s="151"/>
      <c r="F1488" s="152"/>
      <c r="G1488" s="148"/>
      <c r="H1488" s="76"/>
      <c r="I1488" s="76"/>
      <c r="J1488" s="76"/>
      <c r="K1488" s="76"/>
      <c r="L1488" s="76"/>
      <c r="M1488" s="76"/>
      <c r="N1488" s="76"/>
      <c r="O1488" s="76"/>
      <c r="P1488" s="76"/>
      <c r="Q1488" s="76"/>
      <c r="R1488" s="14"/>
      <c r="S1488" s="14"/>
      <c r="T1488" s="14"/>
      <c r="U1488" s="14"/>
      <c r="V1488" s="14"/>
      <c r="W1488" s="14"/>
    </row>
    <row r="1489" ht="35.25" customHeight="1">
      <c r="A1489" s="147"/>
      <c r="B1489" s="148"/>
      <c r="C1489" s="149"/>
      <c r="D1489" s="150"/>
      <c r="E1489" s="151"/>
      <c r="F1489" s="152"/>
      <c r="G1489" s="148"/>
      <c r="H1489" s="76"/>
      <c r="I1489" s="76"/>
      <c r="J1489" s="76"/>
      <c r="K1489" s="76"/>
      <c r="L1489" s="76"/>
      <c r="M1489" s="76"/>
      <c r="N1489" s="76"/>
      <c r="O1489" s="76"/>
      <c r="P1489" s="76"/>
      <c r="Q1489" s="76"/>
      <c r="R1489" s="14"/>
      <c r="S1489" s="14"/>
      <c r="T1489" s="14"/>
      <c r="U1489" s="14"/>
      <c r="V1489" s="14"/>
      <c r="W1489" s="14"/>
    </row>
    <row r="1490" ht="35.25" customHeight="1">
      <c r="A1490" s="147"/>
      <c r="B1490" s="148"/>
      <c r="C1490" s="149"/>
      <c r="D1490" s="150"/>
      <c r="E1490" s="151"/>
      <c r="F1490" s="152"/>
      <c r="G1490" s="148"/>
      <c r="H1490" s="76"/>
      <c r="I1490" s="76"/>
      <c r="J1490" s="76"/>
      <c r="K1490" s="76"/>
      <c r="L1490" s="76"/>
      <c r="M1490" s="76"/>
      <c r="N1490" s="76"/>
      <c r="O1490" s="76"/>
      <c r="P1490" s="76"/>
      <c r="Q1490" s="76"/>
      <c r="R1490" s="14"/>
      <c r="S1490" s="14"/>
      <c r="T1490" s="14"/>
      <c r="U1490" s="14"/>
      <c r="V1490" s="14"/>
      <c r="W1490" s="14"/>
    </row>
    <row r="1491" ht="35.25" customHeight="1">
      <c r="A1491" s="147"/>
      <c r="B1491" s="148"/>
      <c r="C1491" s="149"/>
      <c r="D1491" s="150"/>
      <c r="E1491" s="151"/>
      <c r="F1491" s="152"/>
      <c r="G1491" s="148"/>
      <c r="H1491" s="76"/>
      <c r="I1491" s="76"/>
      <c r="J1491" s="76"/>
      <c r="K1491" s="76"/>
      <c r="L1491" s="76"/>
      <c r="M1491" s="76"/>
      <c r="N1491" s="76"/>
      <c r="O1491" s="76"/>
      <c r="P1491" s="76"/>
      <c r="Q1491" s="76"/>
      <c r="R1491" s="14"/>
      <c r="S1491" s="14"/>
      <c r="T1491" s="14"/>
      <c r="U1491" s="14"/>
      <c r="V1491" s="14"/>
      <c r="W1491" s="14"/>
    </row>
    <row r="1492" ht="35.25" customHeight="1">
      <c r="A1492" s="147"/>
      <c r="B1492" s="148"/>
      <c r="C1492" s="149"/>
      <c r="D1492" s="150"/>
      <c r="E1492" s="151"/>
      <c r="F1492" s="152"/>
      <c r="G1492" s="148"/>
      <c r="H1492" s="76"/>
      <c r="I1492" s="76"/>
      <c r="J1492" s="76"/>
      <c r="K1492" s="76"/>
      <c r="L1492" s="76"/>
      <c r="M1492" s="76"/>
      <c r="N1492" s="76"/>
      <c r="O1492" s="76"/>
      <c r="P1492" s="76"/>
      <c r="Q1492" s="76"/>
      <c r="R1492" s="14"/>
      <c r="S1492" s="14"/>
      <c r="T1492" s="14"/>
      <c r="U1492" s="14"/>
      <c r="V1492" s="14"/>
      <c r="W1492" s="14"/>
    </row>
    <row r="1493" ht="35.25" customHeight="1">
      <c r="A1493" s="147"/>
      <c r="B1493" s="148"/>
      <c r="C1493" s="149"/>
      <c r="D1493" s="150"/>
      <c r="E1493" s="151"/>
      <c r="F1493" s="152"/>
      <c r="G1493" s="148"/>
      <c r="H1493" s="76"/>
      <c r="I1493" s="76"/>
      <c r="J1493" s="76"/>
      <c r="K1493" s="76"/>
      <c r="L1493" s="76"/>
      <c r="M1493" s="76"/>
      <c r="N1493" s="76"/>
      <c r="O1493" s="76"/>
      <c r="P1493" s="76"/>
      <c r="Q1493" s="76"/>
      <c r="R1493" s="14"/>
      <c r="S1493" s="14"/>
      <c r="T1493" s="14"/>
      <c r="U1493" s="14"/>
      <c r="V1493" s="14"/>
      <c r="W1493" s="14"/>
    </row>
    <row r="1494" ht="35.25" customHeight="1">
      <c r="A1494" s="147"/>
      <c r="B1494" s="148"/>
      <c r="C1494" s="149"/>
      <c r="D1494" s="150"/>
      <c r="E1494" s="151"/>
      <c r="F1494" s="152"/>
      <c r="G1494" s="148"/>
      <c r="H1494" s="76"/>
      <c r="I1494" s="76"/>
      <c r="J1494" s="76"/>
      <c r="K1494" s="76"/>
      <c r="L1494" s="76"/>
      <c r="M1494" s="76"/>
      <c r="N1494" s="76"/>
      <c r="O1494" s="76"/>
      <c r="P1494" s="76"/>
      <c r="Q1494" s="76"/>
      <c r="R1494" s="14"/>
      <c r="S1494" s="14"/>
      <c r="T1494" s="14"/>
      <c r="U1494" s="14"/>
      <c r="V1494" s="14"/>
      <c r="W1494" s="14"/>
    </row>
    <row r="1495" ht="35.25" customHeight="1">
      <c r="A1495" s="147"/>
      <c r="B1495" s="148"/>
      <c r="C1495" s="149"/>
      <c r="D1495" s="150"/>
      <c r="E1495" s="151"/>
      <c r="F1495" s="152"/>
      <c r="G1495" s="148"/>
      <c r="H1495" s="76"/>
      <c r="I1495" s="76"/>
      <c r="J1495" s="76"/>
      <c r="K1495" s="76"/>
      <c r="L1495" s="76"/>
      <c r="M1495" s="76"/>
      <c r="N1495" s="76"/>
      <c r="O1495" s="76"/>
      <c r="P1495" s="76"/>
      <c r="Q1495" s="76"/>
      <c r="R1495" s="14"/>
      <c r="S1495" s="14"/>
      <c r="T1495" s="14"/>
      <c r="U1495" s="14"/>
      <c r="V1495" s="14"/>
      <c r="W1495" s="14"/>
    </row>
    <row r="1496" ht="35.25" customHeight="1">
      <c r="A1496" s="147"/>
      <c r="B1496" s="148"/>
      <c r="C1496" s="149"/>
      <c r="D1496" s="150"/>
      <c r="E1496" s="151"/>
      <c r="F1496" s="152"/>
      <c r="G1496" s="148"/>
      <c r="H1496" s="76"/>
      <c r="I1496" s="76"/>
      <c r="J1496" s="76"/>
      <c r="K1496" s="76"/>
      <c r="L1496" s="76"/>
      <c r="M1496" s="76"/>
      <c r="N1496" s="76"/>
      <c r="O1496" s="76"/>
      <c r="P1496" s="76"/>
      <c r="Q1496" s="76"/>
      <c r="R1496" s="14"/>
      <c r="S1496" s="14"/>
      <c r="T1496" s="14"/>
      <c r="U1496" s="14"/>
      <c r="V1496" s="14"/>
      <c r="W1496" s="14"/>
    </row>
    <row r="1497" ht="35.25" customHeight="1">
      <c r="A1497" s="147"/>
      <c r="B1497" s="148"/>
      <c r="C1497" s="149"/>
      <c r="D1497" s="150"/>
      <c r="E1497" s="151"/>
      <c r="F1497" s="152"/>
      <c r="G1497" s="148"/>
      <c r="H1497" s="76"/>
      <c r="I1497" s="76"/>
      <c r="J1497" s="76"/>
      <c r="K1497" s="76"/>
      <c r="L1497" s="76"/>
      <c r="M1497" s="76"/>
      <c r="N1497" s="76"/>
      <c r="O1497" s="76"/>
      <c r="P1497" s="76"/>
      <c r="Q1497" s="76"/>
      <c r="R1497" s="14"/>
      <c r="S1497" s="14"/>
      <c r="T1497" s="14"/>
      <c r="U1497" s="14"/>
      <c r="V1497" s="14"/>
      <c r="W1497" s="14"/>
    </row>
    <row r="1498" ht="35.25" customHeight="1">
      <c r="A1498" s="147"/>
      <c r="B1498" s="148"/>
      <c r="C1498" s="149"/>
      <c r="D1498" s="150"/>
      <c r="E1498" s="151"/>
      <c r="F1498" s="152"/>
      <c r="G1498" s="148"/>
      <c r="H1498" s="76"/>
      <c r="I1498" s="76"/>
      <c r="J1498" s="76"/>
      <c r="K1498" s="76"/>
      <c r="L1498" s="76"/>
      <c r="M1498" s="76"/>
      <c r="N1498" s="76"/>
      <c r="O1498" s="76"/>
      <c r="P1498" s="76"/>
      <c r="Q1498" s="76"/>
      <c r="R1498" s="14"/>
      <c r="S1498" s="14"/>
      <c r="T1498" s="14"/>
      <c r="U1498" s="14"/>
      <c r="V1498" s="14"/>
      <c r="W1498" s="14"/>
    </row>
    <row r="1499" ht="35.25" customHeight="1">
      <c r="A1499" s="147"/>
      <c r="B1499" s="148"/>
      <c r="C1499" s="149"/>
      <c r="D1499" s="150"/>
      <c r="E1499" s="151"/>
      <c r="F1499" s="152"/>
      <c r="G1499" s="148"/>
      <c r="H1499" s="76"/>
      <c r="I1499" s="76"/>
      <c r="J1499" s="76"/>
      <c r="K1499" s="76"/>
      <c r="L1499" s="76"/>
      <c r="M1499" s="76"/>
      <c r="N1499" s="76"/>
      <c r="O1499" s="76"/>
      <c r="P1499" s="76"/>
      <c r="Q1499" s="76"/>
      <c r="R1499" s="14"/>
      <c r="S1499" s="14"/>
      <c r="T1499" s="14"/>
      <c r="U1499" s="14"/>
      <c r="V1499" s="14"/>
      <c r="W1499" s="14"/>
    </row>
    <row r="1500" ht="35.25" customHeight="1">
      <c r="A1500" s="147"/>
      <c r="B1500" s="148"/>
      <c r="C1500" s="149"/>
      <c r="D1500" s="150"/>
      <c r="E1500" s="151"/>
      <c r="F1500" s="152"/>
      <c r="G1500" s="148"/>
      <c r="H1500" s="76"/>
      <c r="I1500" s="76"/>
      <c r="J1500" s="76"/>
      <c r="K1500" s="76"/>
      <c r="L1500" s="76"/>
      <c r="M1500" s="76"/>
      <c r="N1500" s="76"/>
      <c r="O1500" s="76"/>
      <c r="P1500" s="76"/>
      <c r="Q1500" s="76"/>
      <c r="R1500" s="14"/>
      <c r="S1500" s="14"/>
      <c r="T1500" s="14"/>
      <c r="U1500" s="14"/>
      <c r="V1500" s="14"/>
      <c r="W1500" s="14"/>
    </row>
    <row r="1501" ht="35.25" customHeight="1">
      <c r="A1501" s="147"/>
      <c r="B1501" s="148"/>
      <c r="C1501" s="149"/>
      <c r="D1501" s="150"/>
      <c r="E1501" s="151"/>
      <c r="F1501" s="152"/>
      <c r="G1501" s="148"/>
      <c r="H1501" s="76"/>
      <c r="I1501" s="76"/>
      <c r="J1501" s="76"/>
      <c r="K1501" s="76"/>
      <c r="L1501" s="76"/>
      <c r="M1501" s="76"/>
      <c r="N1501" s="76"/>
      <c r="O1501" s="76"/>
      <c r="P1501" s="76"/>
      <c r="Q1501" s="76"/>
      <c r="R1501" s="14"/>
      <c r="S1501" s="14"/>
      <c r="T1501" s="14"/>
      <c r="U1501" s="14"/>
      <c r="V1501" s="14"/>
      <c r="W1501" s="14"/>
    </row>
    <row r="1502" ht="35.25" customHeight="1">
      <c r="A1502" s="147"/>
      <c r="B1502" s="148"/>
      <c r="C1502" s="149"/>
      <c r="D1502" s="150"/>
      <c r="E1502" s="151"/>
      <c r="F1502" s="152"/>
      <c r="G1502" s="148"/>
      <c r="H1502" s="76"/>
      <c r="I1502" s="76"/>
      <c r="J1502" s="76"/>
      <c r="K1502" s="76"/>
      <c r="L1502" s="76"/>
      <c r="M1502" s="76"/>
      <c r="N1502" s="76"/>
      <c r="O1502" s="76"/>
      <c r="P1502" s="76"/>
      <c r="Q1502" s="76"/>
      <c r="R1502" s="14"/>
      <c r="S1502" s="14"/>
      <c r="T1502" s="14"/>
      <c r="U1502" s="14"/>
      <c r="V1502" s="14"/>
      <c r="W1502" s="14"/>
    </row>
    <row r="1503" ht="35.25" customHeight="1">
      <c r="A1503" s="147"/>
      <c r="B1503" s="148"/>
      <c r="C1503" s="149"/>
      <c r="D1503" s="150"/>
      <c r="E1503" s="151"/>
      <c r="F1503" s="152"/>
      <c r="G1503" s="148"/>
      <c r="H1503" s="76"/>
      <c r="I1503" s="76"/>
      <c r="J1503" s="76"/>
      <c r="K1503" s="76"/>
      <c r="L1503" s="76"/>
      <c r="M1503" s="76"/>
      <c r="N1503" s="76"/>
      <c r="O1503" s="76"/>
      <c r="P1503" s="76"/>
      <c r="Q1503" s="76"/>
      <c r="R1503" s="14"/>
      <c r="S1503" s="14"/>
      <c r="T1503" s="14"/>
      <c r="U1503" s="14"/>
      <c r="V1503" s="14"/>
      <c r="W1503" s="14"/>
    </row>
    <row r="1504" ht="35.25" customHeight="1">
      <c r="A1504" s="147"/>
      <c r="B1504" s="148"/>
      <c r="C1504" s="149"/>
      <c r="D1504" s="150"/>
      <c r="E1504" s="151"/>
      <c r="F1504" s="152"/>
      <c r="G1504" s="148"/>
      <c r="H1504" s="76"/>
      <c r="I1504" s="76"/>
      <c r="J1504" s="76"/>
      <c r="K1504" s="76"/>
      <c r="L1504" s="76"/>
      <c r="M1504" s="76"/>
      <c r="N1504" s="76"/>
      <c r="O1504" s="76"/>
      <c r="P1504" s="76"/>
      <c r="Q1504" s="76"/>
      <c r="R1504" s="14"/>
      <c r="S1504" s="14"/>
      <c r="T1504" s="14"/>
      <c r="U1504" s="14"/>
      <c r="V1504" s="14"/>
      <c r="W1504" s="14"/>
    </row>
    <row r="1505" ht="35.25" customHeight="1">
      <c r="A1505" s="147"/>
      <c r="B1505" s="148"/>
      <c r="C1505" s="149"/>
      <c r="D1505" s="150"/>
      <c r="E1505" s="151"/>
      <c r="F1505" s="152"/>
      <c r="G1505" s="148"/>
      <c r="H1505" s="76"/>
      <c r="I1505" s="76"/>
      <c r="J1505" s="76"/>
      <c r="K1505" s="76"/>
      <c r="L1505" s="76"/>
      <c r="M1505" s="76"/>
      <c r="N1505" s="76"/>
      <c r="O1505" s="76"/>
      <c r="P1505" s="76"/>
      <c r="Q1505" s="76"/>
      <c r="R1505" s="14"/>
      <c r="S1505" s="14"/>
      <c r="T1505" s="14"/>
      <c r="U1505" s="14"/>
      <c r="V1505" s="14"/>
      <c r="W1505" s="14"/>
    </row>
    <row r="1506" ht="35.25" customHeight="1">
      <c r="A1506" s="147"/>
      <c r="B1506" s="148"/>
      <c r="C1506" s="149"/>
      <c r="D1506" s="150"/>
      <c r="E1506" s="151"/>
      <c r="F1506" s="152"/>
      <c r="G1506" s="148"/>
      <c r="H1506" s="76"/>
      <c r="I1506" s="76"/>
      <c r="J1506" s="76"/>
      <c r="K1506" s="76"/>
      <c r="L1506" s="76"/>
      <c r="M1506" s="76"/>
      <c r="N1506" s="76"/>
      <c r="O1506" s="76"/>
      <c r="P1506" s="76"/>
      <c r="Q1506" s="76"/>
      <c r="R1506" s="14"/>
      <c r="S1506" s="14"/>
      <c r="T1506" s="14"/>
      <c r="U1506" s="14"/>
      <c r="V1506" s="14"/>
      <c r="W1506" s="14"/>
    </row>
    <row r="1507" ht="35.25" customHeight="1">
      <c r="A1507" s="147"/>
      <c r="B1507" s="148"/>
      <c r="C1507" s="149"/>
      <c r="D1507" s="150"/>
      <c r="E1507" s="151"/>
      <c r="F1507" s="152"/>
      <c r="G1507" s="148"/>
      <c r="H1507" s="76"/>
      <c r="I1507" s="76"/>
      <c r="J1507" s="76"/>
      <c r="K1507" s="76"/>
      <c r="L1507" s="76"/>
      <c r="M1507" s="76"/>
      <c r="N1507" s="76"/>
      <c r="O1507" s="76"/>
      <c r="P1507" s="76"/>
      <c r="Q1507" s="76"/>
      <c r="R1507" s="14"/>
      <c r="S1507" s="14"/>
      <c r="T1507" s="14"/>
      <c r="U1507" s="14"/>
      <c r="V1507" s="14"/>
      <c r="W1507" s="14"/>
    </row>
    <row r="1508" ht="35.25" customHeight="1">
      <c r="A1508" s="147"/>
      <c r="B1508" s="148"/>
      <c r="C1508" s="149"/>
      <c r="D1508" s="150"/>
      <c r="E1508" s="151"/>
      <c r="F1508" s="152"/>
      <c r="G1508" s="148"/>
      <c r="H1508" s="76"/>
      <c r="I1508" s="76"/>
      <c r="J1508" s="76"/>
      <c r="K1508" s="76"/>
      <c r="L1508" s="76"/>
      <c r="M1508" s="76"/>
      <c r="N1508" s="76"/>
      <c r="O1508" s="76"/>
      <c r="P1508" s="76"/>
      <c r="Q1508" s="76"/>
      <c r="R1508" s="14"/>
      <c r="S1508" s="14"/>
      <c r="T1508" s="14"/>
      <c r="U1508" s="14"/>
      <c r="V1508" s="14"/>
      <c r="W1508" s="14"/>
    </row>
    <row r="1509" ht="35.25" customHeight="1">
      <c r="A1509" s="147"/>
      <c r="B1509" s="148"/>
      <c r="C1509" s="149"/>
      <c r="D1509" s="150"/>
      <c r="E1509" s="151"/>
      <c r="F1509" s="152"/>
      <c r="G1509" s="148"/>
      <c r="H1509" s="76"/>
      <c r="I1509" s="76"/>
      <c r="J1509" s="76"/>
      <c r="K1509" s="76"/>
      <c r="L1509" s="76"/>
      <c r="M1509" s="76"/>
      <c r="N1509" s="76"/>
      <c r="O1509" s="76"/>
      <c r="P1509" s="76"/>
      <c r="Q1509" s="76"/>
      <c r="R1509" s="14"/>
      <c r="S1509" s="14"/>
      <c r="T1509" s="14"/>
      <c r="U1509" s="14"/>
      <c r="V1509" s="14"/>
      <c r="W1509" s="14"/>
    </row>
    <row r="1510" ht="35.25" customHeight="1">
      <c r="A1510" s="147"/>
      <c r="B1510" s="148"/>
      <c r="C1510" s="149"/>
      <c r="D1510" s="150"/>
      <c r="E1510" s="151"/>
      <c r="F1510" s="152"/>
      <c r="G1510" s="148"/>
      <c r="H1510" s="76"/>
      <c r="I1510" s="76"/>
      <c r="J1510" s="76"/>
      <c r="K1510" s="76"/>
      <c r="L1510" s="76"/>
      <c r="M1510" s="76"/>
      <c r="N1510" s="76"/>
      <c r="O1510" s="76"/>
      <c r="P1510" s="76"/>
      <c r="Q1510" s="76"/>
      <c r="R1510" s="14"/>
      <c r="S1510" s="14"/>
      <c r="T1510" s="14"/>
      <c r="U1510" s="14"/>
      <c r="V1510" s="14"/>
      <c r="W1510" s="14"/>
    </row>
    <row r="1511" ht="35.25" customHeight="1">
      <c r="A1511" s="147"/>
      <c r="B1511" s="148"/>
      <c r="C1511" s="149"/>
      <c r="D1511" s="150"/>
      <c r="E1511" s="151"/>
      <c r="F1511" s="152"/>
      <c r="G1511" s="148"/>
      <c r="H1511" s="76"/>
      <c r="I1511" s="76"/>
      <c r="J1511" s="76"/>
      <c r="K1511" s="76"/>
      <c r="L1511" s="76"/>
      <c r="M1511" s="76"/>
      <c r="N1511" s="76"/>
      <c r="O1511" s="76"/>
      <c r="P1511" s="76"/>
      <c r="Q1511" s="76"/>
      <c r="R1511" s="14"/>
      <c r="S1511" s="14"/>
      <c r="T1511" s="14"/>
      <c r="U1511" s="14"/>
      <c r="V1511" s="14"/>
      <c r="W1511" s="14"/>
    </row>
    <row r="1512" ht="35.25" customHeight="1">
      <c r="A1512" s="147"/>
      <c r="B1512" s="148"/>
      <c r="C1512" s="149"/>
      <c r="D1512" s="150"/>
      <c r="E1512" s="151"/>
      <c r="F1512" s="152"/>
      <c r="G1512" s="148"/>
      <c r="H1512" s="76"/>
      <c r="I1512" s="76"/>
      <c r="J1512" s="76"/>
      <c r="K1512" s="76"/>
      <c r="L1512" s="76"/>
      <c r="M1512" s="76"/>
      <c r="N1512" s="76"/>
      <c r="O1512" s="76"/>
      <c r="P1512" s="76"/>
      <c r="Q1512" s="76"/>
      <c r="R1512" s="14"/>
      <c r="S1512" s="14"/>
      <c r="T1512" s="14"/>
      <c r="U1512" s="14"/>
      <c r="V1512" s="14"/>
      <c r="W1512" s="14"/>
    </row>
    <row r="1513" ht="35.25" customHeight="1">
      <c r="A1513" s="147"/>
      <c r="B1513" s="148"/>
      <c r="C1513" s="149"/>
      <c r="D1513" s="150"/>
      <c r="E1513" s="151"/>
      <c r="F1513" s="152"/>
      <c r="G1513" s="148"/>
      <c r="H1513" s="76"/>
      <c r="I1513" s="76"/>
      <c r="J1513" s="76"/>
      <c r="K1513" s="76"/>
      <c r="L1513" s="76"/>
      <c r="M1513" s="76"/>
      <c r="N1513" s="76"/>
      <c r="O1513" s="76"/>
      <c r="P1513" s="76"/>
      <c r="Q1513" s="76"/>
      <c r="R1513" s="14"/>
      <c r="S1513" s="14"/>
      <c r="T1513" s="14"/>
      <c r="U1513" s="14"/>
      <c r="V1513" s="14"/>
      <c r="W1513" s="14"/>
    </row>
    <row r="1514" ht="35.25" customHeight="1">
      <c r="A1514" s="147"/>
      <c r="B1514" s="148"/>
      <c r="C1514" s="149"/>
      <c r="D1514" s="150"/>
      <c r="E1514" s="151"/>
      <c r="F1514" s="152"/>
      <c r="G1514" s="148"/>
      <c r="H1514" s="76"/>
      <c r="I1514" s="76"/>
      <c r="J1514" s="76"/>
      <c r="K1514" s="76"/>
      <c r="L1514" s="76"/>
      <c r="M1514" s="76"/>
      <c r="N1514" s="76"/>
      <c r="O1514" s="76"/>
      <c r="P1514" s="76"/>
      <c r="Q1514" s="76"/>
      <c r="R1514" s="14"/>
      <c r="S1514" s="14"/>
      <c r="T1514" s="14"/>
      <c r="U1514" s="14"/>
      <c r="V1514" s="14"/>
      <c r="W1514" s="14"/>
    </row>
    <row r="1515" ht="35.25" customHeight="1">
      <c r="A1515" s="147"/>
      <c r="B1515" s="148"/>
      <c r="C1515" s="149"/>
      <c r="D1515" s="150"/>
      <c r="E1515" s="151"/>
      <c r="F1515" s="152"/>
      <c r="G1515" s="148"/>
      <c r="H1515" s="76"/>
      <c r="I1515" s="76"/>
      <c r="J1515" s="76"/>
      <c r="K1515" s="76"/>
      <c r="L1515" s="76"/>
      <c r="M1515" s="76"/>
      <c r="N1515" s="76"/>
      <c r="O1515" s="76"/>
      <c r="P1515" s="76"/>
      <c r="Q1515" s="76"/>
      <c r="R1515" s="14"/>
      <c r="S1515" s="14"/>
      <c r="T1515" s="14"/>
      <c r="U1515" s="14"/>
      <c r="V1515" s="14"/>
      <c r="W1515" s="14"/>
    </row>
    <row r="1516" ht="35.25" customHeight="1">
      <c r="A1516" s="147"/>
      <c r="B1516" s="148"/>
      <c r="C1516" s="149"/>
      <c r="D1516" s="150"/>
      <c r="E1516" s="151"/>
      <c r="F1516" s="152"/>
      <c r="G1516" s="148"/>
      <c r="H1516" s="76"/>
      <c r="I1516" s="76"/>
      <c r="J1516" s="76"/>
      <c r="K1516" s="76"/>
      <c r="L1516" s="76"/>
      <c r="M1516" s="76"/>
      <c r="N1516" s="76"/>
      <c r="O1516" s="76"/>
      <c r="P1516" s="76"/>
      <c r="Q1516" s="76"/>
      <c r="R1516" s="14"/>
      <c r="S1516" s="14"/>
      <c r="T1516" s="14"/>
      <c r="U1516" s="14"/>
      <c r="V1516" s="14"/>
      <c r="W1516" s="14"/>
    </row>
    <row r="1517" ht="35.25" customHeight="1">
      <c r="A1517" s="147"/>
      <c r="B1517" s="148"/>
      <c r="C1517" s="149"/>
      <c r="D1517" s="150"/>
      <c r="E1517" s="151"/>
      <c r="F1517" s="152"/>
      <c r="G1517" s="148"/>
      <c r="H1517" s="76"/>
      <c r="I1517" s="76"/>
      <c r="J1517" s="76"/>
      <c r="K1517" s="76"/>
      <c r="L1517" s="76"/>
      <c r="M1517" s="76"/>
      <c r="N1517" s="76"/>
      <c r="O1517" s="76"/>
      <c r="P1517" s="76"/>
      <c r="Q1517" s="76"/>
      <c r="R1517" s="14"/>
      <c r="S1517" s="14"/>
      <c r="T1517" s="14"/>
      <c r="U1517" s="14"/>
      <c r="V1517" s="14"/>
      <c r="W1517" s="14"/>
    </row>
    <row r="1518" ht="35.25" customHeight="1">
      <c r="A1518" s="147"/>
      <c r="B1518" s="148"/>
      <c r="C1518" s="149"/>
      <c r="D1518" s="150"/>
      <c r="E1518" s="151"/>
      <c r="F1518" s="152"/>
      <c r="G1518" s="148"/>
      <c r="H1518" s="76"/>
      <c r="I1518" s="76"/>
      <c r="J1518" s="76"/>
      <c r="K1518" s="76"/>
      <c r="L1518" s="76"/>
      <c r="M1518" s="76"/>
      <c r="N1518" s="76"/>
      <c r="O1518" s="76"/>
      <c r="P1518" s="76"/>
      <c r="Q1518" s="76"/>
      <c r="R1518" s="14"/>
      <c r="S1518" s="14"/>
      <c r="T1518" s="14"/>
      <c r="U1518" s="14"/>
      <c r="V1518" s="14"/>
      <c r="W1518" s="14"/>
    </row>
    <row r="1519" ht="35.25" customHeight="1">
      <c r="A1519" s="147"/>
      <c r="B1519" s="148"/>
      <c r="C1519" s="149"/>
      <c r="D1519" s="150"/>
      <c r="E1519" s="151"/>
      <c r="F1519" s="152"/>
      <c r="G1519" s="148"/>
      <c r="H1519" s="76"/>
      <c r="I1519" s="76"/>
      <c r="J1519" s="76"/>
      <c r="K1519" s="76"/>
      <c r="L1519" s="76"/>
      <c r="M1519" s="76"/>
      <c r="N1519" s="76"/>
      <c r="O1519" s="76"/>
      <c r="P1519" s="76"/>
      <c r="Q1519" s="76"/>
      <c r="R1519" s="14"/>
      <c r="S1519" s="14"/>
      <c r="T1519" s="14"/>
      <c r="U1519" s="14"/>
      <c r="V1519" s="14"/>
      <c r="W1519" s="14"/>
    </row>
    <row r="1520" ht="35.25" customHeight="1">
      <c r="A1520" s="147"/>
      <c r="B1520" s="148"/>
      <c r="C1520" s="149"/>
      <c r="D1520" s="150"/>
      <c r="E1520" s="151"/>
      <c r="F1520" s="152"/>
      <c r="G1520" s="148"/>
      <c r="H1520" s="76"/>
      <c r="I1520" s="76"/>
      <c r="J1520" s="76"/>
      <c r="K1520" s="76"/>
      <c r="L1520" s="76"/>
      <c r="M1520" s="76"/>
      <c r="N1520" s="76"/>
      <c r="O1520" s="76"/>
      <c r="P1520" s="76"/>
      <c r="Q1520" s="76"/>
      <c r="R1520" s="14"/>
      <c r="S1520" s="14"/>
      <c r="T1520" s="14"/>
      <c r="U1520" s="14"/>
      <c r="V1520" s="14"/>
      <c r="W1520" s="14"/>
    </row>
    <row r="1521" ht="35.25" customHeight="1">
      <c r="A1521" s="147"/>
      <c r="B1521" s="148"/>
      <c r="C1521" s="149"/>
      <c r="D1521" s="150"/>
      <c r="E1521" s="151"/>
      <c r="F1521" s="152"/>
      <c r="G1521" s="148"/>
      <c r="H1521" s="76"/>
      <c r="I1521" s="76"/>
      <c r="J1521" s="76"/>
      <c r="K1521" s="76"/>
      <c r="L1521" s="76"/>
      <c r="M1521" s="76"/>
      <c r="N1521" s="76"/>
      <c r="O1521" s="76"/>
      <c r="P1521" s="76"/>
      <c r="Q1521" s="76"/>
      <c r="R1521" s="14"/>
      <c r="S1521" s="14"/>
      <c r="T1521" s="14"/>
      <c r="U1521" s="14"/>
      <c r="V1521" s="14"/>
      <c r="W1521" s="14"/>
    </row>
    <row r="1522" ht="35.25" customHeight="1">
      <c r="A1522" s="147"/>
      <c r="B1522" s="148"/>
      <c r="C1522" s="149"/>
      <c r="D1522" s="150"/>
      <c r="E1522" s="151"/>
      <c r="F1522" s="152"/>
      <c r="G1522" s="148"/>
      <c r="H1522" s="76"/>
      <c r="I1522" s="76"/>
      <c r="J1522" s="76"/>
      <c r="K1522" s="76"/>
      <c r="L1522" s="76"/>
      <c r="M1522" s="76"/>
      <c r="N1522" s="76"/>
      <c r="O1522" s="76"/>
      <c r="P1522" s="76"/>
      <c r="Q1522" s="76"/>
      <c r="R1522" s="14"/>
      <c r="S1522" s="14"/>
      <c r="T1522" s="14"/>
      <c r="U1522" s="14"/>
      <c r="V1522" s="14"/>
      <c r="W1522" s="14"/>
    </row>
    <row r="1523" ht="35.25" customHeight="1">
      <c r="A1523" s="147"/>
      <c r="B1523" s="148"/>
      <c r="C1523" s="149"/>
      <c r="D1523" s="150"/>
      <c r="E1523" s="151"/>
      <c r="F1523" s="152"/>
      <c r="G1523" s="148"/>
      <c r="H1523" s="76"/>
      <c r="I1523" s="76"/>
      <c r="J1523" s="76"/>
      <c r="K1523" s="76"/>
      <c r="L1523" s="76"/>
      <c r="M1523" s="76"/>
      <c r="N1523" s="76"/>
      <c r="O1523" s="76"/>
      <c r="P1523" s="76"/>
      <c r="Q1523" s="76"/>
      <c r="R1523" s="14"/>
      <c r="S1523" s="14"/>
      <c r="T1523" s="14"/>
      <c r="U1523" s="14"/>
      <c r="V1523" s="14"/>
      <c r="W1523" s="14"/>
    </row>
    <row r="1524" ht="35.25" customHeight="1">
      <c r="A1524" s="147"/>
      <c r="B1524" s="148"/>
      <c r="C1524" s="149"/>
      <c r="D1524" s="150"/>
      <c r="E1524" s="151"/>
      <c r="F1524" s="152"/>
      <c r="G1524" s="148"/>
      <c r="H1524" s="76"/>
      <c r="I1524" s="76"/>
      <c r="J1524" s="76"/>
      <c r="K1524" s="76"/>
      <c r="L1524" s="76"/>
      <c r="M1524" s="76"/>
      <c r="N1524" s="76"/>
      <c r="O1524" s="76"/>
      <c r="P1524" s="76"/>
      <c r="Q1524" s="76"/>
      <c r="R1524" s="14"/>
      <c r="S1524" s="14"/>
      <c r="T1524" s="14"/>
      <c r="U1524" s="14"/>
      <c r="V1524" s="14"/>
      <c r="W1524" s="14"/>
    </row>
    <row r="1525" ht="35.25" customHeight="1">
      <c r="A1525" s="147"/>
      <c r="B1525" s="148"/>
      <c r="C1525" s="149"/>
      <c r="D1525" s="150"/>
      <c r="E1525" s="151"/>
      <c r="F1525" s="152"/>
      <c r="G1525" s="148"/>
      <c r="H1525" s="76"/>
      <c r="I1525" s="76"/>
      <c r="J1525" s="76"/>
      <c r="K1525" s="76"/>
      <c r="L1525" s="76"/>
      <c r="M1525" s="76"/>
      <c r="N1525" s="76"/>
      <c r="O1525" s="76"/>
      <c r="P1525" s="76"/>
      <c r="Q1525" s="76"/>
      <c r="R1525" s="14"/>
      <c r="S1525" s="14"/>
      <c r="T1525" s="14"/>
      <c r="U1525" s="14"/>
      <c r="V1525" s="14"/>
      <c r="W1525" s="14"/>
    </row>
    <row r="1526" ht="35.25" customHeight="1">
      <c r="A1526" s="147"/>
      <c r="B1526" s="148"/>
      <c r="C1526" s="149"/>
      <c r="D1526" s="150"/>
      <c r="E1526" s="151"/>
      <c r="F1526" s="152"/>
      <c r="G1526" s="148"/>
      <c r="H1526" s="76"/>
      <c r="I1526" s="76"/>
      <c r="J1526" s="76"/>
      <c r="K1526" s="76"/>
      <c r="L1526" s="76"/>
      <c r="M1526" s="76"/>
      <c r="N1526" s="76"/>
      <c r="O1526" s="76"/>
      <c r="P1526" s="76"/>
      <c r="Q1526" s="76"/>
      <c r="R1526" s="14"/>
      <c r="S1526" s="14"/>
      <c r="T1526" s="14"/>
      <c r="U1526" s="14"/>
      <c r="V1526" s="14"/>
      <c r="W1526" s="14"/>
    </row>
    <row r="1527" ht="35.25" customHeight="1">
      <c r="A1527" s="147"/>
      <c r="B1527" s="148"/>
      <c r="C1527" s="149"/>
      <c r="D1527" s="150"/>
      <c r="E1527" s="151"/>
      <c r="F1527" s="152"/>
      <c r="G1527" s="148"/>
      <c r="H1527" s="76"/>
      <c r="I1527" s="76"/>
      <c r="J1527" s="76"/>
      <c r="K1527" s="76"/>
      <c r="L1527" s="76"/>
      <c r="M1527" s="76"/>
      <c r="N1527" s="76"/>
      <c r="O1527" s="76"/>
      <c r="P1527" s="76"/>
      <c r="Q1527" s="76"/>
      <c r="R1527" s="14"/>
      <c r="S1527" s="14"/>
      <c r="T1527" s="14"/>
      <c r="U1527" s="14"/>
      <c r="V1527" s="14"/>
      <c r="W1527" s="14"/>
    </row>
    <row r="1528" ht="35.25" customHeight="1">
      <c r="A1528" s="147"/>
      <c r="B1528" s="148"/>
      <c r="C1528" s="149"/>
      <c r="D1528" s="150"/>
      <c r="E1528" s="151"/>
      <c r="F1528" s="152"/>
      <c r="G1528" s="148"/>
      <c r="H1528" s="76"/>
      <c r="I1528" s="76"/>
      <c r="J1528" s="76"/>
      <c r="K1528" s="76"/>
      <c r="L1528" s="76"/>
      <c r="M1528" s="76"/>
      <c r="N1528" s="76"/>
      <c r="O1528" s="76"/>
      <c r="P1528" s="76"/>
      <c r="Q1528" s="76"/>
      <c r="R1528" s="14"/>
      <c r="S1528" s="14"/>
      <c r="T1528" s="14"/>
      <c r="U1528" s="14"/>
      <c r="V1528" s="14"/>
      <c r="W1528" s="14"/>
    </row>
    <row r="1529" ht="35.25" customHeight="1">
      <c r="A1529" s="147"/>
      <c r="B1529" s="148"/>
      <c r="C1529" s="149"/>
      <c r="D1529" s="150"/>
      <c r="E1529" s="151"/>
      <c r="F1529" s="152"/>
      <c r="G1529" s="148"/>
      <c r="H1529" s="76"/>
      <c r="I1529" s="76"/>
      <c r="J1529" s="76"/>
      <c r="K1529" s="76"/>
      <c r="L1529" s="76"/>
      <c r="M1529" s="76"/>
      <c r="N1529" s="76"/>
      <c r="O1529" s="76"/>
      <c r="P1529" s="76"/>
      <c r="Q1529" s="76"/>
      <c r="R1529" s="14"/>
      <c r="S1529" s="14"/>
      <c r="T1529" s="14"/>
      <c r="U1529" s="14"/>
      <c r="V1529" s="14"/>
      <c r="W1529" s="14"/>
    </row>
    <row r="1530" ht="35.25" customHeight="1">
      <c r="A1530" s="147"/>
      <c r="B1530" s="148"/>
      <c r="C1530" s="149"/>
      <c r="D1530" s="150"/>
      <c r="E1530" s="151"/>
      <c r="F1530" s="152"/>
      <c r="G1530" s="148"/>
      <c r="H1530" s="76"/>
      <c r="I1530" s="76"/>
      <c r="J1530" s="76"/>
      <c r="K1530" s="76"/>
      <c r="L1530" s="76"/>
      <c r="M1530" s="76"/>
      <c r="N1530" s="76"/>
      <c r="O1530" s="76"/>
      <c r="P1530" s="76"/>
      <c r="Q1530" s="76"/>
      <c r="R1530" s="14"/>
      <c r="S1530" s="14"/>
      <c r="T1530" s="14"/>
      <c r="U1530" s="14"/>
      <c r="V1530" s="14"/>
      <c r="W1530" s="14"/>
    </row>
    <row r="1531" ht="35.25" customHeight="1">
      <c r="A1531" s="147"/>
      <c r="B1531" s="148"/>
      <c r="C1531" s="149"/>
      <c r="D1531" s="150"/>
      <c r="E1531" s="151"/>
      <c r="F1531" s="152"/>
      <c r="G1531" s="148"/>
      <c r="H1531" s="76"/>
      <c r="I1531" s="76"/>
      <c r="J1531" s="76"/>
      <c r="K1531" s="76"/>
      <c r="L1531" s="76"/>
      <c r="M1531" s="76"/>
      <c r="N1531" s="76"/>
      <c r="O1531" s="76"/>
      <c r="P1531" s="76"/>
      <c r="Q1531" s="76"/>
      <c r="R1531" s="14"/>
      <c r="S1531" s="14"/>
      <c r="T1531" s="14"/>
      <c r="U1531" s="14"/>
      <c r="V1531" s="14"/>
      <c r="W1531" s="14"/>
    </row>
    <row r="1532" ht="35.25" customHeight="1">
      <c r="A1532" s="147"/>
      <c r="B1532" s="148"/>
      <c r="C1532" s="149"/>
      <c r="D1532" s="150"/>
      <c r="E1532" s="151"/>
      <c r="F1532" s="152"/>
      <c r="G1532" s="148"/>
      <c r="H1532" s="76"/>
      <c r="I1532" s="76"/>
      <c r="J1532" s="76"/>
      <c r="K1532" s="76"/>
      <c r="L1532" s="76"/>
      <c r="M1532" s="76"/>
      <c r="N1532" s="76"/>
      <c r="O1532" s="76"/>
      <c r="P1532" s="76"/>
      <c r="Q1532" s="76"/>
      <c r="R1532" s="14"/>
      <c r="S1532" s="14"/>
      <c r="T1532" s="14"/>
      <c r="U1532" s="14"/>
      <c r="V1532" s="14"/>
      <c r="W1532" s="14"/>
    </row>
    <row r="1533" ht="35.25" customHeight="1">
      <c r="A1533" s="147"/>
      <c r="B1533" s="148"/>
      <c r="C1533" s="149"/>
      <c r="D1533" s="150"/>
      <c r="E1533" s="151"/>
      <c r="F1533" s="152"/>
      <c r="G1533" s="148"/>
      <c r="H1533" s="76"/>
      <c r="I1533" s="76"/>
      <c r="J1533" s="76"/>
      <c r="K1533" s="76"/>
      <c r="L1533" s="76"/>
      <c r="M1533" s="76"/>
      <c r="N1533" s="76"/>
      <c r="O1533" s="76"/>
      <c r="P1533" s="76"/>
      <c r="Q1533" s="76"/>
      <c r="R1533" s="14"/>
      <c r="S1533" s="14"/>
      <c r="T1533" s="14"/>
      <c r="U1533" s="14"/>
      <c r="V1533" s="14"/>
      <c r="W1533" s="14"/>
    </row>
    <row r="1534" ht="35.25" customHeight="1">
      <c r="A1534" s="147"/>
      <c r="B1534" s="148"/>
      <c r="C1534" s="149"/>
      <c r="D1534" s="150"/>
      <c r="E1534" s="151"/>
      <c r="F1534" s="152"/>
      <c r="G1534" s="148"/>
      <c r="H1534" s="76"/>
      <c r="I1534" s="76"/>
      <c r="J1534" s="76"/>
      <c r="K1534" s="76"/>
      <c r="L1534" s="76"/>
      <c r="M1534" s="76"/>
      <c r="N1534" s="76"/>
      <c r="O1534" s="76"/>
      <c r="P1534" s="76"/>
      <c r="Q1534" s="76"/>
      <c r="R1534" s="14"/>
      <c r="S1534" s="14"/>
      <c r="T1534" s="14"/>
      <c r="U1534" s="14"/>
      <c r="V1534" s="14"/>
      <c r="W1534" s="14"/>
    </row>
    <row r="1535" ht="35.25" customHeight="1">
      <c r="A1535" s="147"/>
      <c r="B1535" s="148"/>
      <c r="C1535" s="149"/>
      <c r="D1535" s="150"/>
      <c r="E1535" s="151"/>
      <c r="F1535" s="152"/>
      <c r="G1535" s="148"/>
      <c r="H1535" s="76"/>
      <c r="I1535" s="76"/>
      <c r="J1535" s="76"/>
      <c r="K1535" s="76"/>
      <c r="L1535" s="76"/>
      <c r="M1535" s="76"/>
      <c r="N1535" s="76"/>
      <c r="O1535" s="76"/>
      <c r="P1535" s="76"/>
      <c r="Q1535" s="76"/>
      <c r="R1535" s="14"/>
      <c r="S1535" s="14"/>
      <c r="T1535" s="14"/>
      <c r="U1535" s="14"/>
      <c r="V1535" s="14"/>
      <c r="W1535" s="14"/>
    </row>
    <row r="1536" ht="35.25" customHeight="1">
      <c r="A1536" s="147"/>
      <c r="B1536" s="148"/>
      <c r="C1536" s="149"/>
      <c r="D1536" s="150"/>
      <c r="E1536" s="151"/>
      <c r="F1536" s="152"/>
      <c r="G1536" s="148"/>
      <c r="H1536" s="76"/>
      <c r="I1536" s="76"/>
      <c r="J1536" s="76"/>
      <c r="K1536" s="76"/>
      <c r="L1536" s="76"/>
      <c r="M1536" s="76"/>
      <c r="N1536" s="76"/>
      <c r="O1536" s="76"/>
      <c r="P1536" s="76"/>
      <c r="Q1536" s="76"/>
      <c r="R1536" s="14"/>
      <c r="S1536" s="14"/>
      <c r="T1536" s="14"/>
      <c r="U1536" s="14"/>
      <c r="V1536" s="14"/>
      <c r="W1536" s="14"/>
    </row>
    <row r="1537" ht="35.25" customHeight="1">
      <c r="A1537" s="147"/>
      <c r="B1537" s="148"/>
      <c r="C1537" s="149"/>
      <c r="D1537" s="150"/>
      <c r="E1537" s="151"/>
      <c r="F1537" s="152"/>
      <c r="G1537" s="148"/>
      <c r="H1537" s="76"/>
      <c r="I1537" s="76"/>
      <c r="J1537" s="76"/>
      <c r="K1537" s="76"/>
      <c r="L1537" s="76"/>
      <c r="M1537" s="76"/>
      <c r="N1537" s="76"/>
      <c r="O1537" s="76"/>
      <c r="P1537" s="76"/>
      <c r="Q1537" s="76"/>
      <c r="R1537" s="14"/>
      <c r="S1537" s="14"/>
      <c r="T1537" s="14"/>
      <c r="U1537" s="14"/>
      <c r="V1537" s="14"/>
      <c r="W1537" s="14"/>
    </row>
    <row r="1538" ht="35.25" customHeight="1">
      <c r="A1538" s="147"/>
      <c r="B1538" s="148"/>
      <c r="C1538" s="149"/>
      <c r="D1538" s="150"/>
      <c r="E1538" s="151"/>
      <c r="F1538" s="152"/>
      <c r="G1538" s="148"/>
      <c r="H1538" s="76"/>
      <c r="I1538" s="76"/>
      <c r="J1538" s="76"/>
      <c r="K1538" s="76"/>
      <c r="L1538" s="76"/>
      <c r="M1538" s="76"/>
      <c r="N1538" s="76"/>
      <c r="O1538" s="76"/>
      <c r="P1538" s="76"/>
      <c r="Q1538" s="76"/>
      <c r="R1538" s="14"/>
      <c r="S1538" s="14"/>
      <c r="T1538" s="14"/>
      <c r="U1538" s="14"/>
      <c r="V1538" s="14"/>
      <c r="W1538" s="14"/>
    </row>
    <row r="1539" ht="35.25" customHeight="1">
      <c r="A1539" s="147"/>
      <c r="B1539" s="148"/>
      <c r="C1539" s="149"/>
      <c r="D1539" s="150"/>
      <c r="E1539" s="151"/>
      <c r="F1539" s="152"/>
      <c r="G1539" s="148"/>
      <c r="H1539" s="76"/>
      <c r="I1539" s="76"/>
      <c r="J1539" s="76"/>
      <c r="K1539" s="76"/>
      <c r="L1539" s="76"/>
      <c r="M1539" s="76"/>
      <c r="N1539" s="76"/>
      <c r="O1539" s="76"/>
      <c r="P1539" s="76"/>
      <c r="Q1539" s="76"/>
      <c r="R1539" s="14"/>
      <c r="S1539" s="14"/>
      <c r="T1539" s="14"/>
      <c r="U1539" s="14"/>
      <c r="V1539" s="14"/>
      <c r="W1539" s="14"/>
    </row>
    <row r="1540" ht="35.25" customHeight="1">
      <c r="A1540" s="147"/>
      <c r="B1540" s="148"/>
      <c r="C1540" s="149"/>
      <c r="D1540" s="150"/>
      <c r="E1540" s="151"/>
      <c r="F1540" s="152"/>
      <c r="G1540" s="148"/>
      <c r="H1540" s="76"/>
      <c r="I1540" s="76"/>
      <c r="J1540" s="76"/>
      <c r="K1540" s="76"/>
      <c r="L1540" s="76"/>
      <c r="M1540" s="76"/>
      <c r="N1540" s="76"/>
      <c r="O1540" s="76"/>
      <c r="P1540" s="76"/>
      <c r="Q1540" s="76"/>
      <c r="R1540" s="14"/>
      <c r="S1540" s="14"/>
      <c r="T1540" s="14"/>
      <c r="U1540" s="14"/>
      <c r="V1540" s="14"/>
      <c r="W1540" s="14"/>
    </row>
    <row r="1541" ht="35.25" customHeight="1">
      <c r="A1541" s="147"/>
      <c r="B1541" s="148"/>
      <c r="C1541" s="149"/>
      <c r="D1541" s="150"/>
      <c r="E1541" s="151"/>
      <c r="F1541" s="152"/>
      <c r="G1541" s="148"/>
      <c r="H1541" s="76"/>
      <c r="I1541" s="76"/>
      <c r="J1541" s="76"/>
      <c r="K1541" s="76"/>
      <c r="L1541" s="76"/>
      <c r="M1541" s="76"/>
      <c r="N1541" s="76"/>
      <c r="O1541" s="76"/>
      <c r="P1541" s="76"/>
      <c r="Q1541" s="76"/>
      <c r="R1541" s="14"/>
      <c r="S1541" s="14"/>
      <c r="T1541" s="14"/>
      <c r="U1541" s="14"/>
      <c r="V1541" s="14"/>
      <c r="W1541" s="14"/>
    </row>
    <row r="1542" ht="35.25" customHeight="1">
      <c r="A1542" s="147"/>
      <c r="B1542" s="148"/>
      <c r="C1542" s="149"/>
      <c r="D1542" s="150"/>
      <c r="E1542" s="151"/>
      <c r="F1542" s="152"/>
      <c r="G1542" s="148"/>
      <c r="H1542" s="76"/>
      <c r="I1542" s="76"/>
      <c r="J1542" s="76"/>
      <c r="K1542" s="76"/>
      <c r="L1542" s="76"/>
      <c r="M1542" s="76"/>
      <c r="N1542" s="76"/>
      <c r="O1542" s="76"/>
      <c r="P1542" s="76"/>
      <c r="Q1542" s="76"/>
      <c r="R1542" s="14"/>
      <c r="S1542" s="14"/>
      <c r="T1542" s="14"/>
      <c r="U1542" s="14"/>
      <c r="V1542" s="14"/>
      <c r="W1542" s="14"/>
    </row>
    <row r="1543" ht="35.25" customHeight="1">
      <c r="A1543" s="147"/>
      <c r="B1543" s="148"/>
      <c r="C1543" s="149"/>
      <c r="D1543" s="150"/>
      <c r="E1543" s="151"/>
      <c r="F1543" s="152"/>
      <c r="G1543" s="148"/>
      <c r="H1543" s="76"/>
      <c r="I1543" s="76"/>
      <c r="J1543" s="76"/>
      <c r="K1543" s="76"/>
      <c r="L1543" s="76"/>
      <c r="M1543" s="76"/>
      <c r="N1543" s="76"/>
      <c r="O1543" s="76"/>
      <c r="P1543" s="76"/>
      <c r="Q1543" s="76"/>
      <c r="R1543" s="14"/>
      <c r="S1543" s="14"/>
      <c r="T1543" s="14"/>
      <c r="U1543" s="14"/>
      <c r="V1543" s="14"/>
      <c r="W1543" s="14"/>
    </row>
    <row r="1544" ht="35.25" customHeight="1">
      <c r="A1544" s="147"/>
      <c r="B1544" s="148"/>
      <c r="C1544" s="149"/>
      <c r="D1544" s="150"/>
      <c r="E1544" s="151"/>
      <c r="F1544" s="152"/>
      <c r="G1544" s="148"/>
      <c r="H1544" s="76"/>
      <c r="I1544" s="76"/>
      <c r="J1544" s="76"/>
      <c r="K1544" s="76"/>
      <c r="L1544" s="76"/>
      <c r="M1544" s="76"/>
      <c r="N1544" s="76"/>
      <c r="O1544" s="76"/>
      <c r="P1544" s="76"/>
      <c r="Q1544" s="76"/>
      <c r="R1544" s="14"/>
      <c r="S1544" s="14"/>
      <c r="T1544" s="14"/>
      <c r="U1544" s="14"/>
      <c r="V1544" s="14"/>
      <c r="W1544" s="14"/>
    </row>
    <row r="1545" ht="35.25" customHeight="1">
      <c r="A1545" s="147"/>
      <c r="B1545" s="148"/>
      <c r="C1545" s="149"/>
      <c r="D1545" s="150"/>
      <c r="E1545" s="151"/>
      <c r="F1545" s="152"/>
      <c r="G1545" s="148"/>
      <c r="H1545" s="76"/>
      <c r="I1545" s="76"/>
      <c r="J1545" s="76"/>
      <c r="K1545" s="76"/>
      <c r="L1545" s="76"/>
      <c r="M1545" s="76"/>
      <c r="N1545" s="76"/>
      <c r="O1545" s="76"/>
      <c r="P1545" s="76"/>
      <c r="Q1545" s="76"/>
      <c r="R1545" s="14"/>
      <c r="S1545" s="14"/>
      <c r="T1545" s="14"/>
      <c r="U1545" s="14"/>
      <c r="V1545" s="14"/>
      <c r="W1545" s="14"/>
    </row>
    <row r="1546" ht="35.25" customHeight="1">
      <c r="A1546" s="147"/>
      <c r="B1546" s="148"/>
      <c r="C1546" s="149"/>
      <c r="D1546" s="150"/>
      <c r="E1546" s="151"/>
      <c r="F1546" s="152"/>
      <c r="G1546" s="148"/>
      <c r="H1546" s="76"/>
      <c r="I1546" s="76"/>
      <c r="J1546" s="76"/>
      <c r="K1546" s="76"/>
      <c r="L1546" s="76"/>
      <c r="M1546" s="76"/>
      <c r="N1546" s="76"/>
      <c r="O1546" s="76"/>
      <c r="P1546" s="76"/>
      <c r="Q1546" s="76"/>
      <c r="R1546" s="14"/>
      <c r="S1546" s="14"/>
      <c r="T1546" s="14"/>
      <c r="U1546" s="14"/>
      <c r="V1546" s="14"/>
      <c r="W1546" s="14"/>
    </row>
    <row r="1547" ht="35.25" customHeight="1">
      <c r="A1547" s="147"/>
      <c r="B1547" s="148"/>
      <c r="C1547" s="149"/>
      <c r="D1547" s="150"/>
      <c r="E1547" s="151"/>
      <c r="F1547" s="152"/>
      <c r="G1547" s="148"/>
      <c r="H1547" s="76"/>
      <c r="I1547" s="76"/>
      <c r="J1547" s="76"/>
      <c r="K1547" s="76"/>
      <c r="L1547" s="76"/>
      <c r="M1547" s="76"/>
      <c r="N1547" s="76"/>
      <c r="O1547" s="76"/>
      <c r="P1547" s="76"/>
      <c r="Q1547" s="76"/>
      <c r="R1547" s="14"/>
      <c r="S1547" s="14"/>
      <c r="T1547" s="14"/>
      <c r="U1547" s="14"/>
      <c r="V1547" s="14"/>
      <c r="W1547" s="14"/>
    </row>
    <row r="1548" ht="35.25" customHeight="1">
      <c r="A1548" s="147"/>
      <c r="B1548" s="148"/>
      <c r="C1548" s="149"/>
      <c r="D1548" s="150"/>
      <c r="E1548" s="151"/>
      <c r="F1548" s="152"/>
      <c r="G1548" s="148"/>
      <c r="H1548" s="76"/>
      <c r="I1548" s="76"/>
      <c r="J1548" s="76"/>
      <c r="K1548" s="76"/>
      <c r="L1548" s="76"/>
      <c r="M1548" s="76"/>
      <c r="N1548" s="76"/>
      <c r="O1548" s="76"/>
      <c r="P1548" s="76"/>
      <c r="Q1548" s="76"/>
      <c r="R1548" s="14"/>
      <c r="S1548" s="14"/>
      <c r="T1548" s="14"/>
      <c r="U1548" s="14"/>
      <c r="V1548" s="14"/>
      <c r="W1548" s="14"/>
    </row>
    <row r="1549" ht="35.25" customHeight="1">
      <c r="A1549" s="147"/>
      <c r="B1549" s="148"/>
      <c r="C1549" s="149"/>
      <c r="D1549" s="150"/>
      <c r="E1549" s="151"/>
      <c r="F1549" s="152"/>
      <c r="G1549" s="148"/>
      <c r="H1549" s="76"/>
      <c r="I1549" s="76"/>
      <c r="J1549" s="76"/>
      <c r="K1549" s="76"/>
      <c r="L1549" s="76"/>
      <c r="M1549" s="76"/>
      <c r="N1549" s="76"/>
      <c r="O1549" s="76"/>
      <c r="P1549" s="76"/>
      <c r="Q1549" s="76"/>
      <c r="R1549" s="14"/>
      <c r="S1549" s="14"/>
      <c r="T1549" s="14"/>
      <c r="U1549" s="14"/>
      <c r="V1549" s="14"/>
      <c r="W1549" s="14"/>
    </row>
    <row r="1550" ht="35.25" customHeight="1">
      <c r="A1550" s="147"/>
      <c r="B1550" s="148"/>
      <c r="C1550" s="149"/>
      <c r="D1550" s="150"/>
      <c r="E1550" s="151"/>
      <c r="F1550" s="152"/>
      <c r="G1550" s="148"/>
      <c r="H1550" s="76"/>
      <c r="I1550" s="76"/>
      <c r="J1550" s="76"/>
      <c r="K1550" s="76"/>
      <c r="L1550" s="76"/>
      <c r="M1550" s="76"/>
      <c r="N1550" s="76"/>
      <c r="O1550" s="76"/>
      <c r="P1550" s="76"/>
      <c r="Q1550" s="76"/>
      <c r="R1550" s="14"/>
      <c r="S1550" s="14"/>
      <c r="T1550" s="14"/>
      <c r="U1550" s="14"/>
      <c r="V1550" s="14"/>
      <c r="W1550" s="14"/>
    </row>
    <row r="1551" ht="35.25" customHeight="1">
      <c r="A1551" s="147"/>
      <c r="B1551" s="148"/>
      <c r="C1551" s="149"/>
      <c r="D1551" s="150"/>
      <c r="E1551" s="151"/>
      <c r="F1551" s="152"/>
      <c r="G1551" s="148"/>
      <c r="H1551" s="76"/>
      <c r="I1551" s="76"/>
      <c r="J1551" s="76"/>
      <c r="K1551" s="76"/>
      <c r="L1551" s="76"/>
      <c r="M1551" s="76"/>
      <c r="N1551" s="76"/>
      <c r="O1551" s="76"/>
      <c r="P1551" s="76"/>
      <c r="Q1551" s="76"/>
      <c r="R1551" s="14"/>
      <c r="S1551" s="14"/>
      <c r="T1551" s="14"/>
      <c r="U1551" s="14"/>
      <c r="V1551" s="14"/>
      <c r="W1551" s="14"/>
    </row>
    <row r="1552" ht="35.25" customHeight="1">
      <c r="A1552" s="147"/>
      <c r="B1552" s="148"/>
      <c r="C1552" s="149"/>
      <c r="D1552" s="150"/>
      <c r="E1552" s="151"/>
      <c r="F1552" s="152"/>
      <c r="G1552" s="148"/>
      <c r="H1552" s="76"/>
      <c r="I1552" s="76"/>
      <c r="J1552" s="76"/>
      <c r="K1552" s="76"/>
      <c r="L1552" s="76"/>
      <c r="M1552" s="76"/>
      <c r="N1552" s="76"/>
      <c r="O1552" s="76"/>
      <c r="P1552" s="76"/>
      <c r="Q1552" s="76"/>
      <c r="R1552" s="14"/>
      <c r="S1552" s="14"/>
      <c r="T1552" s="14"/>
      <c r="U1552" s="14"/>
      <c r="V1552" s="14"/>
      <c r="W1552" s="14"/>
    </row>
    <row r="1553" ht="35.25" customHeight="1">
      <c r="A1553" s="147"/>
      <c r="B1553" s="148"/>
      <c r="C1553" s="149"/>
      <c r="D1553" s="150"/>
      <c r="E1553" s="151"/>
      <c r="F1553" s="152"/>
      <c r="G1553" s="148"/>
      <c r="H1553" s="76"/>
      <c r="I1553" s="76"/>
      <c r="J1553" s="76"/>
      <c r="K1553" s="76"/>
      <c r="L1553" s="76"/>
      <c r="M1553" s="76"/>
      <c r="N1553" s="76"/>
      <c r="O1553" s="76"/>
      <c r="P1553" s="76"/>
      <c r="Q1553" s="76"/>
      <c r="R1553" s="14"/>
      <c r="S1553" s="14"/>
      <c r="T1553" s="14"/>
      <c r="U1553" s="14"/>
      <c r="V1553" s="14"/>
      <c r="W1553" s="14"/>
    </row>
    <row r="1554" ht="35.25" customHeight="1">
      <c r="A1554" s="147"/>
      <c r="B1554" s="148"/>
      <c r="C1554" s="149"/>
      <c r="D1554" s="150"/>
      <c r="E1554" s="151"/>
      <c r="F1554" s="152"/>
      <c r="G1554" s="148"/>
      <c r="H1554" s="76"/>
      <c r="I1554" s="76"/>
      <c r="J1554" s="76"/>
      <c r="K1554" s="76"/>
      <c r="L1554" s="76"/>
      <c r="M1554" s="76"/>
      <c r="N1554" s="76"/>
      <c r="O1554" s="76"/>
      <c r="P1554" s="76"/>
      <c r="Q1554" s="76"/>
      <c r="R1554" s="14"/>
      <c r="S1554" s="14"/>
      <c r="T1554" s="14"/>
      <c r="U1554" s="14"/>
      <c r="V1554" s="14"/>
      <c r="W1554" s="14"/>
    </row>
    <row r="1555" ht="35.25" customHeight="1">
      <c r="A1555" s="147"/>
      <c r="B1555" s="148"/>
      <c r="C1555" s="149"/>
      <c r="D1555" s="150"/>
      <c r="E1555" s="151"/>
      <c r="F1555" s="152"/>
      <c r="G1555" s="148"/>
      <c r="H1555" s="76"/>
      <c r="I1555" s="76"/>
      <c r="J1555" s="76"/>
      <c r="K1555" s="76"/>
      <c r="L1555" s="76"/>
      <c r="M1555" s="76"/>
      <c r="N1555" s="76"/>
      <c r="O1555" s="76"/>
      <c r="P1555" s="76"/>
      <c r="Q1555" s="76"/>
      <c r="R1555" s="14"/>
      <c r="S1555" s="14"/>
      <c r="T1555" s="14"/>
      <c r="U1555" s="14"/>
      <c r="V1555" s="14"/>
      <c r="W1555" s="14"/>
    </row>
    <row r="1556" ht="35.25" customHeight="1">
      <c r="A1556" s="147"/>
      <c r="B1556" s="148"/>
      <c r="C1556" s="149"/>
      <c r="D1556" s="150"/>
      <c r="E1556" s="151"/>
      <c r="F1556" s="152"/>
      <c r="G1556" s="148"/>
      <c r="H1556" s="76"/>
      <c r="I1556" s="76"/>
      <c r="J1556" s="76"/>
      <c r="K1556" s="76"/>
      <c r="L1556" s="76"/>
      <c r="M1556" s="76"/>
      <c r="N1556" s="76"/>
      <c r="O1556" s="76"/>
      <c r="P1556" s="76"/>
      <c r="Q1556" s="76"/>
      <c r="R1556" s="14"/>
      <c r="S1556" s="14"/>
      <c r="T1556" s="14"/>
      <c r="U1556" s="14"/>
      <c r="V1556" s="14"/>
      <c r="W1556" s="14"/>
    </row>
    <row r="1557" ht="35.25" customHeight="1">
      <c r="A1557" s="147"/>
      <c r="B1557" s="148"/>
      <c r="C1557" s="149"/>
      <c r="D1557" s="150"/>
      <c r="E1557" s="151"/>
      <c r="F1557" s="152"/>
      <c r="G1557" s="148"/>
      <c r="H1557" s="76"/>
      <c r="I1557" s="76"/>
      <c r="J1557" s="76"/>
      <c r="K1557" s="76"/>
      <c r="L1557" s="76"/>
      <c r="M1557" s="76"/>
      <c r="N1557" s="76"/>
      <c r="O1557" s="76"/>
      <c r="P1557" s="76"/>
      <c r="Q1557" s="76"/>
      <c r="R1557" s="14"/>
      <c r="S1557" s="14"/>
      <c r="T1557" s="14"/>
      <c r="U1557" s="14"/>
      <c r="V1557" s="14"/>
      <c r="W1557" s="14"/>
    </row>
    <row r="1558" ht="35.25" customHeight="1">
      <c r="A1558" s="147"/>
      <c r="B1558" s="148"/>
      <c r="C1558" s="149"/>
      <c r="D1558" s="150"/>
      <c r="E1558" s="151"/>
      <c r="F1558" s="152"/>
      <c r="G1558" s="148"/>
      <c r="H1558" s="76"/>
      <c r="I1558" s="76"/>
      <c r="J1558" s="76"/>
      <c r="K1558" s="76"/>
      <c r="L1558" s="76"/>
      <c r="M1558" s="76"/>
      <c r="N1558" s="76"/>
      <c r="O1558" s="76"/>
      <c r="P1558" s="76"/>
      <c r="Q1558" s="76"/>
      <c r="R1558" s="14"/>
      <c r="S1558" s="14"/>
      <c r="T1558" s="14"/>
      <c r="U1558" s="14"/>
      <c r="V1558" s="14"/>
      <c r="W1558" s="14"/>
    </row>
    <row r="1559" ht="35.25" customHeight="1">
      <c r="A1559" s="147"/>
      <c r="B1559" s="148"/>
      <c r="C1559" s="149"/>
      <c r="D1559" s="150"/>
      <c r="E1559" s="151"/>
      <c r="F1559" s="152"/>
      <c r="G1559" s="148"/>
      <c r="H1559" s="76"/>
      <c r="I1559" s="76"/>
      <c r="J1559" s="76"/>
      <c r="K1559" s="76"/>
      <c r="L1559" s="76"/>
      <c r="M1559" s="76"/>
      <c r="N1559" s="76"/>
      <c r="O1559" s="76"/>
      <c r="P1559" s="76"/>
      <c r="Q1559" s="76"/>
      <c r="R1559" s="14"/>
      <c r="S1559" s="14"/>
      <c r="T1559" s="14"/>
      <c r="U1559" s="14"/>
      <c r="V1559" s="14"/>
      <c r="W1559" s="14"/>
    </row>
    <row r="1560" ht="35.25" customHeight="1">
      <c r="A1560" s="147"/>
      <c r="B1560" s="148"/>
      <c r="C1560" s="149"/>
      <c r="D1560" s="150"/>
      <c r="E1560" s="151"/>
      <c r="F1560" s="152"/>
      <c r="G1560" s="148"/>
      <c r="H1560" s="76"/>
      <c r="I1560" s="76"/>
      <c r="J1560" s="76"/>
      <c r="K1560" s="76"/>
      <c r="L1560" s="76"/>
      <c r="M1560" s="76"/>
      <c r="N1560" s="76"/>
      <c r="O1560" s="76"/>
      <c r="P1560" s="76"/>
      <c r="Q1560" s="76"/>
      <c r="R1560" s="14"/>
      <c r="S1560" s="14"/>
      <c r="T1560" s="14"/>
      <c r="U1560" s="14"/>
      <c r="V1560" s="14"/>
      <c r="W1560" s="14"/>
    </row>
    <row r="1561" ht="35.25" customHeight="1">
      <c r="A1561" s="147"/>
      <c r="B1561" s="148"/>
      <c r="C1561" s="149"/>
      <c r="D1561" s="150"/>
      <c r="E1561" s="151"/>
      <c r="F1561" s="152"/>
      <c r="G1561" s="148"/>
      <c r="H1561" s="76"/>
      <c r="I1561" s="76"/>
      <c r="J1561" s="76"/>
      <c r="K1561" s="76"/>
      <c r="L1561" s="76"/>
      <c r="M1561" s="76"/>
      <c r="N1561" s="76"/>
      <c r="O1561" s="76"/>
      <c r="P1561" s="76"/>
      <c r="Q1561" s="76"/>
      <c r="R1561" s="14"/>
      <c r="S1561" s="14"/>
      <c r="T1561" s="14"/>
      <c r="U1561" s="14"/>
      <c r="V1561" s="14"/>
      <c r="W1561" s="14"/>
    </row>
    <row r="1562" ht="35.25" customHeight="1">
      <c r="A1562" s="147"/>
      <c r="B1562" s="148"/>
      <c r="C1562" s="149"/>
      <c r="D1562" s="150"/>
      <c r="E1562" s="151"/>
      <c r="F1562" s="152"/>
      <c r="G1562" s="148"/>
      <c r="H1562" s="76"/>
      <c r="I1562" s="76"/>
      <c r="J1562" s="76"/>
      <c r="K1562" s="76"/>
      <c r="L1562" s="76"/>
      <c r="M1562" s="76"/>
      <c r="N1562" s="76"/>
      <c r="O1562" s="76"/>
      <c r="P1562" s="76"/>
      <c r="Q1562" s="76"/>
      <c r="R1562" s="14"/>
      <c r="S1562" s="14"/>
      <c r="T1562" s="14"/>
      <c r="U1562" s="14"/>
      <c r="V1562" s="14"/>
      <c r="W1562" s="14"/>
    </row>
    <row r="1563" ht="35.25" customHeight="1">
      <c r="A1563" s="147"/>
      <c r="B1563" s="148"/>
      <c r="C1563" s="149"/>
      <c r="D1563" s="150"/>
      <c r="E1563" s="151"/>
      <c r="F1563" s="152"/>
      <c r="G1563" s="148"/>
      <c r="H1563" s="76"/>
      <c r="I1563" s="76"/>
      <c r="J1563" s="76"/>
      <c r="K1563" s="76"/>
      <c r="L1563" s="76"/>
      <c r="M1563" s="76"/>
      <c r="N1563" s="76"/>
      <c r="O1563" s="76"/>
      <c r="P1563" s="76"/>
      <c r="Q1563" s="76"/>
      <c r="R1563" s="14"/>
      <c r="S1563" s="14"/>
      <c r="T1563" s="14"/>
      <c r="U1563" s="14"/>
      <c r="V1563" s="14"/>
      <c r="W1563" s="14"/>
    </row>
    <row r="1564" ht="35.25" customHeight="1">
      <c r="A1564" s="147"/>
      <c r="B1564" s="148"/>
      <c r="C1564" s="149"/>
      <c r="D1564" s="150"/>
      <c r="E1564" s="151"/>
      <c r="F1564" s="152"/>
      <c r="G1564" s="148"/>
      <c r="H1564" s="76"/>
      <c r="I1564" s="76"/>
      <c r="J1564" s="76"/>
      <c r="K1564" s="76"/>
      <c r="L1564" s="76"/>
      <c r="M1564" s="76"/>
      <c r="N1564" s="76"/>
      <c r="O1564" s="76"/>
      <c r="P1564" s="76"/>
      <c r="Q1564" s="76"/>
      <c r="R1564" s="14"/>
      <c r="S1564" s="14"/>
      <c r="T1564" s="14"/>
      <c r="U1564" s="14"/>
      <c r="V1564" s="14"/>
      <c r="W1564" s="14"/>
    </row>
    <row r="1565" ht="35.25" customHeight="1">
      <c r="A1565" s="147"/>
      <c r="B1565" s="148"/>
      <c r="C1565" s="149"/>
      <c r="D1565" s="150"/>
      <c r="E1565" s="151"/>
      <c r="F1565" s="152"/>
      <c r="G1565" s="148"/>
      <c r="H1565" s="76"/>
      <c r="I1565" s="76"/>
      <c r="J1565" s="76"/>
      <c r="K1565" s="76"/>
      <c r="L1565" s="76"/>
      <c r="M1565" s="76"/>
      <c r="N1565" s="76"/>
      <c r="O1565" s="76"/>
      <c r="P1565" s="76"/>
      <c r="Q1565" s="76"/>
      <c r="R1565" s="14"/>
      <c r="S1565" s="14"/>
      <c r="T1565" s="14"/>
      <c r="U1565" s="14"/>
      <c r="V1565" s="14"/>
      <c r="W1565" s="14"/>
    </row>
    <row r="1566" ht="35.25" customHeight="1">
      <c r="A1566" s="147"/>
      <c r="B1566" s="148"/>
      <c r="C1566" s="149"/>
      <c r="D1566" s="150"/>
      <c r="E1566" s="151"/>
      <c r="F1566" s="152"/>
      <c r="G1566" s="148"/>
      <c r="H1566" s="76"/>
      <c r="I1566" s="76"/>
      <c r="J1566" s="76"/>
      <c r="K1566" s="76"/>
      <c r="L1566" s="76"/>
      <c r="M1566" s="76"/>
      <c r="N1566" s="76"/>
      <c r="O1566" s="76"/>
      <c r="P1566" s="76"/>
      <c r="Q1566" s="76"/>
      <c r="R1566" s="14"/>
      <c r="S1566" s="14"/>
      <c r="T1566" s="14"/>
      <c r="U1566" s="14"/>
      <c r="V1566" s="14"/>
      <c r="W1566" s="14"/>
    </row>
    <row r="1567" ht="35.25" customHeight="1">
      <c r="A1567" s="147"/>
      <c r="B1567" s="148"/>
      <c r="C1567" s="149"/>
      <c r="D1567" s="150"/>
      <c r="E1567" s="151"/>
      <c r="F1567" s="152"/>
      <c r="G1567" s="148"/>
      <c r="H1567" s="76"/>
      <c r="I1567" s="76"/>
      <c r="J1567" s="76"/>
      <c r="K1567" s="76"/>
      <c r="L1567" s="76"/>
      <c r="M1567" s="76"/>
      <c r="N1567" s="76"/>
      <c r="O1567" s="76"/>
      <c r="P1567" s="76"/>
      <c r="Q1567" s="76"/>
      <c r="R1567" s="14"/>
      <c r="S1567" s="14"/>
      <c r="T1567" s="14"/>
      <c r="U1567" s="14"/>
      <c r="V1567" s="14"/>
      <c r="W1567" s="14"/>
    </row>
    <row r="1568" ht="35.25" customHeight="1">
      <c r="A1568" s="147"/>
      <c r="B1568" s="148"/>
      <c r="C1568" s="149"/>
      <c r="D1568" s="150"/>
      <c r="E1568" s="151"/>
      <c r="F1568" s="152"/>
      <c r="G1568" s="148"/>
      <c r="H1568" s="76"/>
      <c r="I1568" s="76"/>
      <c r="J1568" s="76"/>
      <c r="K1568" s="76"/>
      <c r="L1568" s="76"/>
      <c r="M1568" s="76"/>
      <c r="N1568" s="76"/>
      <c r="O1568" s="76"/>
      <c r="P1568" s="76"/>
      <c r="Q1568" s="76"/>
      <c r="R1568" s="14"/>
      <c r="S1568" s="14"/>
      <c r="T1568" s="14"/>
      <c r="U1568" s="14"/>
      <c r="V1568" s="14"/>
      <c r="W1568" s="14"/>
    </row>
    <row r="1569" ht="35.25" customHeight="1">
      <c r="A1569" s="147"/>
      <c r="B1569" s="148"/>
      <c r="C1569" s="149"/>
      <c r="D1569" s="150"/>
      <c r="E1569" s="151"/>
      <c r="F1569" s="152"/>
      <c r="G1569" s="148"/>
      <c r="H1569" s="76"/>
      <c r="I1569" s="76"/>
      <c r="J1569" s="76"/>
      <c r="K1569" s="76"/>
      <c r="L1569" s="76"/>
      <c r="M1569" s="76"/>
      <c r="N1569" s="76"/>
      <c r="O1569" s="76"/>
      <c r="P1569" s="76"/>
      <c r="Q1569" s="76"/>
      <c r="R1569" s="14"/>
      <c r="S1569" s="14"/>
      <c r="T1569" s="14"/>
      <c r="U1569" s="14"/>
      <c r="V1569" s="14"/>
      <c r="W1569" s="14"/>
    </row>
    <row r="1570" ht="35.25" customHeight="1">
      <c r="A1570" s="147"/>
      <c r="B1570" s="148"/>
      <c r="C1570" s="149"/>
      <c r="D1570" s="150"/>
      <c r="E1570" s="151"/>
      <c r="F1570" s="152"/>
      <c r="G1570" s="148"/>
      <c r="H1570" s="76"/>
      <c r="I1570" s="76"/>
      <c r="J1570" s="76"/>
      <c r="K1570" s="76"/>
      <c r="L1570" s="76"/>
      <c r="M1570" s="76"/>
      <c r="N1570" s="76"/>
      <c r="O1570" s="76"/>
      <c r="P1570" s="76"/>
      <c r="Q1570" s="76"/>
      <c r="R1570" s="14"/>
      <c r="S1570" s="14"/>
      <c r="T1570" s="14"/>
      <c r="U1570" s="14"/>
      <c r="V1570" s="14"/>
      <c r="W1570" s="14"/>
    </row>
    <row r="1571" ht="35.25" customHeight="1">
      <c r="A1571" s="147"/>
      <c r="B1571" s="148"/>
      <c r="C1571" s="149"/>
      <c r="D1571" s="150"/>
      <c r="E1571" s="151"/>
      <c r="F1571" s="152"/>
      <c r="G1571" s="148"/>
      <c r="H1571" s="76"/>
      <c r="I1571" s="76"/>
      <c r="J1571" s="76"/>
      <c r="K1571" s="76"/>
      <c r="L1571" s="76"/>
      <c r="M1571" s="76"/>
      <c r="N1571" s="76"/>
      <c r="O1571" s="76"/>
      <c r="P1571" s="76"/>
      <c r="Q1571" s="76"/>
      <c r="R1571" s="14"/>
      <c r="S1571" s="14"/>
      <c r="T1571" s="14"/>
      <c r="U1571" s="14"/>
      <c r="V1571" s="14"/>
      <c r="W1571" s="14"/>
    </row>
    <row r="1572" ht="35.25" customHeight="1">
      <c r="A1572" s="147"/>
      <c r="B1572" s="148"/>
      <c r="C1572" s="149"/>
      <c r="D1572" s="150"/>
      <c r="E1572" s="151"/>
      <c r="F1572" s="152"/>
      <c r="G1572" s="148"/>
      <c r="H1572" s="76"/>
      <c r="I1572" s="76"/>
      <c r="J1572" s="76"/>
      <c r="K1572" s="76"/>
      <c r="L1572" s="76"/>
      <c r="M1572" s="76"/>
      <c r="N1572" s="76"/>
      <c r="O1572" s="76"/>
      <c r="P1572" s="76"/>
      <c r="Q1572" s="76"/>
      <c r="R1572" s="14"/>
      <c r="S1572" s="14"/>
      <c r="T1572" s="14"/>
      <c r="U1572" s="14"/>
      <c r="V1572" s="14"/>
      <c r="W1572" s="14"/>
    </row>
    <row r="1573" ht="35.25" customHeight="1">
      <c r="A1573" s="147"/>
      <c r="B1573" s="148"/>
      <c r="C1573" s="149"/>
      <c r="D1573" s="150"/>
      <c r="E1573" s="151"/>
      <c r="F1573" s="152"/>
      <c r="G1573" s="148"/>
      <c r="H1573" s="76"/>
      <c r="I1573" s="76"/>
      <c r="J1573" s="76"/>
      <c r="K1573" s="76"/>
      <c r="L1573" s="76"/>
      <c r="M1573" s="76"/>
      <c r="N1573" s="76"/>
      <c r="O1573" s="76"/>
      <c r="P1573" s="76"/>
      <c r="Q1573" s="76"/>
      <c r="R1573" s="14"/>
      <c r="S1573" s="14"/>
      <c r="T1573" s="14"/>
      <c r="U1573" s="14"/>
      <c r="V1573" s="14"/>
      <c r="W1573" s="14"/>
    </row>
    <row r="1574" ht="35.25" customHeight="1">
      <c r="A1574" s="147"/>
      <c r="B1574" s="148"/>
      <c r="C1574" s="149"/>
      <c r="D1574" s="150"/>
      <c r="E1574" s="151"/>
      <c r="F1574" s="152"/>
      <c r="G1574" s="148"/>
      <c r="H1574" s="76"/>
      <c r="I1574" s="76"/>
      <c r="J1574" s="76"/>
      <c r="K1574" s="76"/>
      <c r="L1574" s="76"/>
      <c r="M1574" s="76"/>
      <c r="N1574" s="76"/>
      <c r="O1574" s="76"/>
      <c r="P1574" s="76"/>
      <c r="Q1574" s="76"/>
      <c r="R1574" s="14"/>
      <c r="S1574" s="14"/>
      <c r="T1574" s="14"/>
      <c r="U1574" s="14"/>
      <c r="V1574" s="14"/>
      <c r="W1574" s="14"/>
    </row>
    <row r="1575" ht="35.25" customHeight="1">
      <c r="A1575" s="147"/>
      <c r="B1575" s="148"/>
      <c r="C1575" s="149"/>
      <c r="D1575" s="150"/>
      <c r="E1575" s="151"/>
      <c r="F1575" s="152"/>
      <c r="G1575" s="148"/>
      <c r="H1575" s="76"/>
      <c r="I1575" s="76"/>
      <c r="J1575" s="76"/>
      <c r="K1575" s="76"/>
      <c r="L1575" s="76"/>
      <c r="M1575" s="76"/>
      <c r="N1575" s="76"/>
      <c r="O1575" s="76"/>
      <c r="P1575" s="76"/>
      <c r="Q1575" s="76"/>
      <c r="R1575" s="14"/>
      <c r="S1575" s="14"/>
      <c r="T1575" s="14"/>
      <c r="U1575" s="14"/>
      <c r="V1575" s="14"/>
      <c r="W1575" s="14"/>
    </row>
    <row r="1576" ht="35.25" customHeight="1">
      <c r="A1576" s="147"/>
      <c r="B1576" s="148"/>
      <c r="C1576" s="149"/>
      <c r="D1576" s="150"/>
      <c r="E1576" s="151"/>
      <c r="F1576" s="152"/>
      <c r="G1576" s="148"/>
      <c r="H1576" s="76"/>
      <c r="I1576" s="76"/>
      <c r="J1576" s="76"/>
      <c r="K1576" s="76"/>
      <c r="L1576" s="76"/>
      <c r="M1576" s="76"/>
      <c r="N1576" s="76"/>
      <c r="O1576" s="76"/>
      <c r="P1576" s="76"/>
      <c r="Q1576" s="76"/>
      <c r="R1576" s="14"/>
      <c r="S1576" s="14"/>
      <c r="T1576" s="14"/>
      <c r="U1576" s="14"/>
      <c r="V1576" s="14"/>
      <c r="W1576" s="14"/>
    </row>
    <row r="1577" ht="35.25" customHeight="1">
      <c r="A1577" s="147"/>
      <c r="B1577" s="148"/>
      <c r="C1577" s="149"/>
      <c r="D1577" s="150"/>
      <c r="E1577" s="151"/>
      <c r="F1577" s="152"/>
      <c r="G1577" s="148"/>
      <c r="H1577" s="76"/>
      <c r="I1577" s="76"/>
      <c r="J1577" s="76"/>
      <c r="K1577" s="76"/>
      <c r="L1577" s="76"/>
      <c r="M1577" s="76"/>
      <c r="N1577" s="76"/>
      <c r="O1577" s="76"/>
      <c r="P1577" s="76"/>
      <c r="Q1577" s="76"/>
      <c r="R1577" s="14"/>
      <c r="S1577" s="14"/>
      <c r="T1577" s="14"/>
      <c r="U1577" s="14"/>
      <c r="V1577" s="14"/>
      <c r="W1577" s="14"/>
    </row>
    <row r="1578" ht="35.25" customHeight="1">
      <c r="A1578" s="147"/>
      <c r="B1578" s="148"/>
      <c r="C1578" s="149"/>
      <c r="D1578" s="150"/>
      <c r="E1578" s="151"/>
      <c r="F1578" s="152"/>
      <c r="G1578" s="148"/>
      <c r="H1578" s="76"/>
      <c r="I1578" s="76"/>
      <c r="J1578" s="76"/>
      <c r="K1578" s="76"/>
      <c r="L1578" s="76"/>
      <c r="M1578" s="76"/>
      <c r="N1578" s="76"/>
      <c r="O1578" s="76"/>
      <c r="P1578" s="76"/>
      <c r="Q1578" s="76"/>
      <c r="R1578" s="14"/>
      <c r="S1578" s="14"/>
      <c r="T1578" s="14"/>
      <c r="U1578" s="14"/>
      <c r="V1578" s="14"/>
      <c r="W1578" s="14"/>
    </row>
    <row r="1579" ht="35.25" customHeight="1">
      <c r="A1579" s="147"/>
      <c r="B1579" s="148"/>
      <c r="C1579" s="149"/>
      <c r="D1579" s="150"/>
      <c r="E1579" s="151"/>
      <c r="F1579" s="152"/>
      <c r="G1579" s="148"/>
      <c r="H1579" s="76"/>
      <c r="I1579" s="76"/>
      <c r="J1579" s="76"/>
      <c r="K1579" s="76"/>
      <c r="L1579" s="76"/>
      <c r="M1579" s="76"/>
      <c r="N1579" s="76"/>
      <c r="O1579" s="76"/>
      <c r="P1579" s="76"/>
      <c r="Q1579" s="76"/>
      <c r="R1579" s="14"/>
      <c r="S1579" s="14"/>
      <c r="T1579" s="14"/>
      <c r="U1579" s="14"/>
      <c r="V1579" s="14"/>
      <c r="W1579" s="14"/>
    </row>
    <row r="1580" ht="35.25" customHeight="1">
      <c r="A1580" s="147"/>
      <c r="B1580" s="148"/>
      <c r="C1580" s="149"/>
      <c r="D1580" s="150"/>
      <c r="E1580" s="151"/>
      <c r="F1580" s="152"/>
      <c r="G1580" s="148"/>
      <c r="H1580" s="76"/>
      <c r="I1580" s="76"/>
      <c r="J1580" s="76"/>
      <c r="K1580" s="76"/>
      <c r="L1580" s="76"/>
      <c r="M1580" s="76"/>
      <c r="N1580" s="76"/>
      <c r="O1580" s="76"/>
      <c r="P1580" s="76"/>
      <c r="Q1580" s="76"/>
      <c r="R1580" s="14"/>
      <c r="S1580" s="14"/>
      <c r="T1580" s="14"/>
      <c r="U1580" s="14"/>
      <c r="V1580" s="14"/>
      <c r="W1580" s="14"/>
    </row>
    <row r="1581" ht="35.25" customHeight="1">
      <c r="A1581" s="147"/>
      <c r="B1581" s="148"/>
      <c r="C1581" s="149"/>
      <c r="D1581" s="150"/>
      <c r="E1581" s="151"/>
      <c r="F1581" s="152"/>
      <c r="G1581" s="148"/>
      <c r="H1581" s="76"/>
      <c r="I1581" s="76"/>
      <c r="J1581" s="76"/>
      <c r="K1581" s="76"/>
      <c r="L1581" s="76"/>
      <c r="M1581" s="76"/>
      <c r="N1581" s="76"/>
      <c r="O1581" s="76"/>
      <c r="P1581" s="76"/>
      <c r="Q1581" s="76"/>
      <c r="R1581" s="14"/>
      <c r="S1581" s="14"/>
      <c r="T1581" s="14"/>
      <c r="U1581" s="14"/>
      <c r="V1581" s="14"/>
      <c r="W1581" s="14"/>
    </row>
    <row r="1582" ht="35.25" customHeight="1">
      <c r="A1582" s="147"/>
      <c r="B1582" s="148"/>
      <c r="C1582" s="149"/>
      <c r="D1582" s="150"/>
      <c r="E1582" s="151"/>
      <c r="F1582" s="152"/>
      <c r="G1582" s="148"/>
      <c r="H1582" s="76"/>
      <c r="I1582" s="76"/>
      <c r="J1582" s="76"/>
      <c r="K1582" s="76"/>
      <c r="L1582" s="76"/>
      <c r="M1582" s="76"/>
      <c r="N1582" s="76"/>
      <c r="O1582" s="76"/>
      <c r="P1582" s="76"/>
      <c r="Q1582" s="76"/>
      <c r="R1582" s="14"/>
      <c r="S1582" s="14"/>
      <c r="T1582" s="14"/>
      <c r="U1582" s="14"/>
      <c r="V1582" s="14"/>
      <c r="W1582" s="14"/>
    </row>
    <row r="1583" ht="35.25" customHeight="1">
      <c r="A1583" s="147"/>
      <c r="B1583" s="148"/>
      <c r="C1583" s="149"/>
      <c r="D1583" s="150"/>
      <c r="E1583" s="151"/>
      <c r="F1583" s="152"/>
      <c r="G1583" s="148"/>
      <c r="H1583" s="76"/>
      <c r="I1583" s="76"/>
      <c r="J1583" s="76"/>
      <c r="K1583" s="76"/>
      <c r="L1583" s="76"/>
      <c r="M1583" s="76"/>
      <c r="N1583" s="76"/>
      <c r="O1583" s="76"/>
      <c r="P1583" s="76"/>
      <c r="Q1583" s="76"/>
      <c r="R1583" s="14"/>
      <c r="S1583" s="14"/>
      <c r="T1583" s="14"/>
      <c r="U1583" s="14"/>
      <c r="V1583" s="14"/>
      <c r="W1583" s="14"/>
    </row>
    <row r="1584" ht="35.25" customHeight="1">
      <c r="A1584" s="147"/>
      <c r="B1584" s="148"/>
      <c r="C1584" s="149"/>
      <c r="D1584" s="150"/>
      <c r="E1584" s="151"/>
      <c r="F1584" s="152"/>
      <c r="G1584" s="148"/>
      <c r="H1584" s="76"/>
      <c r="I1584" s="76"/>
      <c r="J1584" s="76"/>
      <c r="K1584" s="76"/>
      <c r="L1584" s="76"/>
      <c r="M1584" s="76"/>
      <c r="N1584" s="76"/>
      <c r="O1584" s="76"/>
      <c r="P1584" s="76"/>
      <c r="Q1584" s="76"/>
      <c r="R1584" s="14"/>
      <c r="S1584" s="14"/>
      <c r="T1584" s="14"/>
      <c r="U1584" s="14"/>
      <c r="V1584" s="14"/>
      <c r="W1584" s="14"/>
    </row>
    <row r="1585" ht="35.25" customHeight="1">
      <c r="A1585" s="147"/>
      <c r="B1585" s="148"/>
      <c r="C1585" s="149"/>
      <c r="D1585" s="150"/>
      <c r="E1585" s="151"/>
      <c r="F1585" s="152"/>
      <c r="G1585" s="148"/>
      <c r="H1585" s="76"/>
      <c r="I1585" s="76"/>
      <c r="J1585" s="76"/>
      <c r="K1585" s="76"/>
      <c r="L1585" s="76"/>
      <c r="M1585" s="76"/>
      <c r="N1585" s="76"/>
      <c r="O1585" s="76"/>
      <c r="P1585" s="76"/>
      <c r="Q1585" s="76"/>
      <c r="R1585" s="14"/>
      <c r="S1585" s="14"/>
      <c r="T1585" s="14"/>
      <c r="U1585" s="14"/>
      <c r="V1585" s="14"/>
      <c r="W1585" s="14"/>
    </row>
    <row r="1586" ht="35.25" customHeight="1">
      <c r="A1586" s="147"/>
      <c r="B1586" s="148"/>
      <c r="C1586" s="149"/>
      <c r="D1586" s="150"/>
      <c r="E1586" s="151"/>
      <c r="F1586" s="152"/>
      <c r="G1586" s="148"/>
      <c r="H1586" s="76"/>
      <c r="I1586" s="76"/>
      <c r="J1586" s="76"/>
      <c r="K1586" s="76"/>
      <c r="L1586" s="76"/>
      <c r="M1586" s="76"/>
      <c r="N1586" s="76"/>
      <c r="O1586" s="76"/>
      <c r="P1586" s="76"/>
      <c r="Q1586" s="76"/>
      <c r="R1586" s="14"/>
      <c r="S1586" s="14"/>
      <c r="T1586" s="14"/>
      <c r="U1586" s="14"/>
      <c r="V1586" s="14"/>
      <c r="W1586" s="14"/>
    </row>
    <row r="1587" ht="35.25" customHeight="1">
      <c r="A1587" s="147"/>
      <c r="B1587" s="148"/>
      <c r="C1587" s="149"/>
      <c r="D1587" s="150"/>
      <c r="E1587" s="151"/>
      <c r="F1587" s="152"/>
      <c r="G1587" s="148"/>
      <c r="H1587" s="76"/>
      <c r="I1587" s="76"/>
      <c r="J1587" s="76"/>
      <c r="K1587" s="76"/>
      <c r="L1587" s="76"/>
      <c r="M1587" s="76"/>
      <c r="N1587" s="76"/>
      <c r="O1587" s="76"/>
      <c r="P1587" s="76"/>
      <c r="Q1587" s="76"/>
      <c r="R1587" s="14"/>
      <c r="S1587" s="14"/>
      <c r="T1587" s="14"/>
      <c r="U1587" s="14"/>
      <c r="V1587" s="14"/>
      <c r="W1587" s="14"/>
    </row>
    <row r="1588" ht="35.25" customHeight="1">
      <c r="A1588" s="147"/>
      <c r="B1588" s="148"/>
      <c r="C1588" s="149"/>
      <c r="D1588" s="150"/>
      <c r="E1588" s="151"/>
      <c r="F1588" s="152"/>
      <c r="G1588" s="148"/>
      <c r="H1588" s="76"/>
      <c r="I1588" s="76"/>
      <c r="J1588" s="76"/>
      <c r="K1588" s="76"/>
      <c r="L1588" s="76"/>
      <c r="M1588" s="76"/>
      <c r="N1588" s="76"/>
      <c r="O1588" s="76"/>
      <c r="P1588" s="76"/>
      <c r="Q1588" s="76"/>
      <c r="R1588" s="14"/>
      <c r="S1588" s="14"/>
      <c r="T1588" s="14"/>
      <c r="U1588" s="14"/>
      <c r="V1588" s="14"/>
      <c r="W1588" s="14"/>
    </row>
    <row r="1589" ht="35.25" customHeight="1">
      <c r="A1589" s="147"/>
      <c r="B1589" s="148"/>
      <c r="C1589" s="149"/>
      <c r="D1589" s="150"/>
      <c r="E1589" s="151"/>
      <c r="F1589" s="152"/>
      <c r="G1589" s="148"/>
      <c r="H1589" s="76"/>
      <c r="I1589" s="76"/>
      <c r="J1589" s="76"/>
      <c r="K1589" s="76"/>
      <c r="L1589" s="76"/>
      <c r="M1589" s="76"/>
      <c r="N1589" s="76"/>
      <c r="O1589" s="76"/>
      <c r="P1589" s="76"/>
      <c r="Q1589" s="76"/>
      <c r="R1589" s="14"/>
      <c r="S1589" s="14"/>
      <c r="T1589" s="14"/>
      <c r="U1589" s="14"/>
      <c r="V1589" s="14"/>
      <c r="W1589" s="14"/>
    </row>
    <row r="1590" ht="35.25" customHeight="1">
      <c r="A1590" s="147"/>
      <c r="B1590" s="148"/>
      <c r="C1590" s="149"/>
      <c r="D1590" s="150"/>
      <c r="E1590" s="151"/>
      <c r="F1590" s="152"/>
      <c r="G1590" s="148"/>
      <c r="H1590" s="76"/>
      <c r="I1590" s="76"/>
      <c r="J1590" s="76"/>
      <c r="K1590" s="76"/>
      <c r="L1590" s="76"/>
      <c r="M1590" s="76"/>
      <c r="N1590" s="76"/>
      <c r="O1590" s="76"/>
      <c r="P1590" s="76"/>
      <c r="Q1590" s="76"/>
      <c r="R1590" s="14"/>
      <c r="S1590" s="14"/>
      <c r="T1590" s="14"/>
      <c r="U1590" s="14"/>
      <c r="V1590" s="14"/>
      <c r="W1590" s="14"/>
    </row>
    <row r="1591" ht="35.25" customHeight="1">
      <c r="A1591" s="147"/>
      <c r="B1591" s="148"/>
      <c r="C1591" s="149"/>
      <c r="D1591" s="150"/>
      <c r="E1591" s="151"/>
      <c r="F1591" s="152"/>
      <c r="G1591" s="148"/>
      <c r="H1591" s="76"/>
      <c r="I1591" s="76"/>
      <c r="J1591" s="76"/>
      <c r="K1591" s="76"/>
      <c r="L1591" s="76"/>
      <c r="M1591" s="76"/>
      <c r="N1591" s="76"/>
      <c r="O1591" s="76"/>
      <c r="P1591" s="76"/>
      <c r="Q1591" s="76"/>
      <c r="R1591" s="14"/>
      <c r="S1591" s="14"/>
      <c r="T1591" s="14"/>
      <c r="U1591" s="14"/>
      <c r="V1591" s="14"/>
      <c r="W1591" s="14"/>
    </row>
    <row r="1592" ht="35.25" customHeight="1">
      <c r="A1592" s="147"/>
      <c r="B1592" s="148"/>
      <c r="C1592" s="149"/>
      <c r="D1592" s="150"/>
      <c r="E1592" s="151"/>
      <c r="F1592" s="152"/>
      <c r="G1592" s="148"/>
      <c r="H1592" s="76"/>
      <c r="I1592" s="76"/>
      <c r="J1592" s="76"/>
      <c r="K1592" s="76"/>
      <c r="L1592" s="76"/>
      <c r="M1592" s="76"/>
      <c r="N1592" s="76"/>
      <c r="O1592" s="76"/>
      <c r="P1592" s="76"/>
      <c r="Q1592" s="76"/>
      <c r="R1592" s="14"/>
      <c r="S1592" s="14"/>
      <c r="T1592" s="14"/>
      <c r="U1592" s="14"/>
      <c r="V1592" s="14"/>
      <c r="W1592" s="14"/>
    </row>
    <row r="1593" ht="35.25" customHeight="1">
      <c r="A1593" s="147"/>
      <c r="B1593" s="148"/>
      <c r="C1593" s="149"/>
      <c r="D1593" s="150"/>
      <c r="E1593" s="151"/>
      <c r="F1593" s="152"/>
      <c r="G1593" s="148"/>
      <c r="H1593" s="76"/>
      <c r="I1593" s="76"/>
      <c r="J1593" s="76"/>
      <c r="K1593" s="76"/>
      <c r="L1593" s="76"/>
      <c r="M1593" s="76"/>
      <c r="N1593" s="76"/>
      <c r="O1593" s="76"/>
      <c r="P1593" s="76"/>
      <c r="Q1593" s="76"/>
      <c r="R1593" s="14"/>
      <c r="S1593" s="14"/>
      <c r="T1593" s="14"/>
      <c r="U1593" s="14"/>
      <c r="V1593" s="14"/>
      <c r="W1593" s="14"/>
    </row>
    <row r="1594" ht="35.25" customHeight="1">
      <c r="A1594" s="147"/>
      <c r="B1594" s="148"/>
      <c r="C1594" s="149"/>
      <c r="D1594" s="150"/>
      <c r="E1594" s="151"/>
      <c r="F1594" s="152"/>
      <c r="G1594" s="148"/>
      <c r="H1594" s="76"/>
      <c r="I1594" s="76"/>
      <c r="J1594" s="76"/>
      <c r="K1594" s="76"/>
      <c r="L1594" s="76"/>
      <c r="M1594" s="76"/>
      <c r="N1594" s="76"/>
      <c r="O1594" s="76"/>
      <c r="P1594" s="76"/>
      <c r="Q1594" s="76"/>
      <c r="R1594" s="14"/>
      <c r="S1594" s="14"/>
      <c r="T1594" s="14"/>
      <c r="U1594" s="14"/>
      <c r="V1594" s="14"/>
      <c r="W1594" s="14"/>
    </row>
    <row r="1595" ht="35.25" customHeight="1">
      <c r="A1595" s="147"/>
      <c r="B1595" s="148"/>
      <c r="C1595" s="149"/>
      <c r="D1595" s="150"/>
      <c r="E1595" s="151"/>
      <c r="F1595" s="152"/>
      <c r="G1595" s="148"/>
      <c r="H1595" s="76"/>
      <c r="I1595" s="76"/>
      <c r="J1595" s="76"/>
      <c r="K1595" s="76"/>
      <c r="L1595" s="76"/>
      <c r="M1595" s="76"/>
      <c r="N1595" s="76"/>
      <c r="O1595" s="76"/>
      <c r="P1595" s="76"/>
      <c r="Q1595" s="76"/>
      <c r="R1595" s="14"/>
      <c r="S1595" s="14"/>
      <c r="T1595" s="14"/>
      <c r="U1595" s="14"/>
      <c r="V1595" s="14"/>
      <c r="W1595" s="14"/>
    </row>
    <row r="1596" ht="35.25" customHeight="1">
      <c r="A1596" s="147"/>
      <c r="B1596" s="148"/>
      <c r="C1596" s="149"/>
      <c r="D1596" s="150"/>
      <c r="E1596" s="151"/>
      <c r="F1596" s="152"/>
      <c r="G1596" s="148"/>
      <c r="H1596" s="76"/>
      <c r="I1596" s="76"/>
      <c r="J1596" s="76"/>
      <c r="K1596" s="76"/>
      <c r="L1596" s="76"/>
      <c r="M1596" s="76"/>
      <c r="N1596" s="76"/>
      <c r="O1596" s="76"/>
      <c r="P1596" s="76"/>
      <c r="Q1596" s="76"/>
      <c r="R1596" s="14"/>
      <c r="S1596" s="14"/>
      <c r="T1596" s="14"/>
      <c r="U1596" s="14"/>
      <c r="V1596" s="14"/>
      <c r="W1596" s="14"/>
    </row>
    <row r="1597" ht="35.25" customHeight="1">
      <c r="A1597" s="147"/>
      <c r="B1597" s="148"/>
      <c r="C1597" s="149"/>
      <c r="D1597" s="150"/>
      <c r="E1597" s="151"/>
      <c r="F1597" s="152"/>
      <c r="G1597" s="148"/>
      <c r="H1597" s="76"/>
      <c r="I1597" s="76"/>
      <c r="J1597" s="76"/>
      <c r="K1597" s="76"/>
      <c r="L1597" s="76"/>
      <c r="M1597" s="76"/>
      <c r="N1597" s="76"/>
      <c r="O1597" s="76"/>
      <c r="P1597" s="76"/>
      <c r="Q1597" s="76"/>
      <c r="R1597" s="14"/>
      <c r="S1597" s="14"/>
      <c r="T1597" s="14"/>
      <c r="U1597" s="14"/>
      <c r="V1597" s="14"/>
      <c r="W1597" s="14"/>
    </row>
    <row r="1598" ht="35.25" customHeight="1">
      <c r="A1598" s="147"/>
      <c r="B1598" s="148"/>
      <c r="C1598" s="149"/>
      <c r="D1598" s="150"/>
      <c r="E1598" s="151"/>
      <c r="F1598" s="152"/>
      <c r="G1598" s="148"/>
      <c r="H1598" s="76"/>
      <c r="I1598" s="76"/>
      <c r="J1598" s="76"/>
      <c r="K1598" s="76"/>
      <c r="L1598" s="76"/>
      <c r="M1598" s="76"/>
      <c r="N1598" s="76"/>
      <c r="O1598" s="76"/>
      <c r="P1598" s="76"/>
      <c r="Q1598" s="76"/>
      <c r="R1598" s="14"/>
      <c r="S1598" s="14"/>
      <c r="T1598" s="14"/>
      <c r="U1598" s="14"/>
      <c r="V1598" s="14"/>
      <c r="W1598" s="14"/>
    </row>
    <row r="1599" ht="35.25" customHeight="1">
      <c r="A1599" s="147"/>
      <c r="B1599" s="148"/>
      <c r="C1599" s="149"/>
      <c r="D1599" s="150"/>
      <c r="E1599" s="151"/>
      <c r="F1599" s="152"/>
      <c r="G1599" s="148"/>
      <c r="H1599" s="76"/>
      <c r="I1599" s="76"/>
      <c r="J1599" s="76"/>
      <c r="K1599" s="76"/>
      <c r="L1599" s="76"/>
      <c r="M1599" s="76"/>
      <c r="N1599" s="76"/>
      <c r="O1599" s="76"/>
      <c r="P1599" s="76"/>
      <c r="Q1599" s="76"/>
      <c r="R1599" s="14"/>
      <c r="S1599" s="14"/>
      <c r="T1599" s="14"/>
      <c r="U1599" s="14"/>
      <c r="V1599" s="14"/>
      <c r="W1599" s="14"/>
    </row>
    <row r="1600" ht="35.25" customHeight="1">
      <c r="A1600" s="147"/>
      <c r="B1600" s="148"/>
      <c r="C1600" s="149"/>
      <c r="D1600" s="150"/>
      <c r="E1600" s="151"/>
      <c r="F1600" s="152"/>
      <c r="G1600" s="148"/>
      <c r="H1600" s="76"/>
      <c r="I1600" s="76"/>
      <c r="J1600" s="76"/>
      <c r="K1600" s="76"/>
      <c r="L1600" s="76"/>
      <c r="M1600" s="76"/>
      <c r="N1600" s="76"/>
      <c r="O1600" s="76"/>
      <c r="P1600" s="76"/>
      <c r="Q1600" s="76"/>
      <c r="R1600" s="14"/>
      <c r="S1600" s="14"/>
      <c r="T1600" s="14"/>
      <c r="U1600" s="14"/>
      <c r="V1600" s="14"/>
      <c r="W1600" s="14"/>
    </row>
    <row r="1601" ht="35.25" customHeight="1">
      <c r="A1601" s="147"/>
      <c r="B1601" s="148"/>
      <c r="C1601" s="149"/>
      <c r="D1601" s="150"/>
      <c r="E1601" s="151"/>
      <c r="F1601" s="152"/>
      <c r="G1601" s="148"/>
      <c r="H1601" s="76"/>
      <c r="I1601" s="76"/>
      <c r="J1601" s="76"/>
      <c r="K1601" s="76"/>
      <c r="L1601" s="76"/>
      <c r="M1601" s="76"/>
      <c r="N1601" s="76"/>
      <c r="O1601" s="76"/>
      <c r="P1601" s="76"/>
      <c r="Q1601" s="76"/>
      <c r="R1601" s="14"/>
      <c r="S1601" s="14"/>
      <c r="T1601" s="14"/>
      <c r="U1601" s="14"/>
      <c r="V1601" s="14"/>
      <c r="W1601" s="14"/>
    </row>
    <row r="1602" ht="35.25" customHeight="1">
      <c r="A1602" s="147"/>
      <c r="B1602" s="148"/>
      <c r="C1602" s="149"/>
      <c r="D1602" s="150"/>
      <c r="E1602" s="151"/>
      <c r="F1602" s="152"/>
      <c r="G1602" s="148"/>
      <c r="H1602" s="76"/>
      <c r="I1602" s="76"/>
      <c r="J1602" s="76"/>
      <c r="K1602" s="76"/>
      <c r="L1602" s="76"/>
      <c r="M1602" s="76"/>
      <c r="N1602" s="76"/>
      <c r="O1602" s="76"/>
      <c r="P1602" s="76"/>
      <c r="Q1602" s="76"/>
      <c r="R1602" s="14"/>
      <c r="S1602" s="14"/>
      <c r="T1602" s="14"/>
      <c r="U1602" s="14"/>
      <c r="V1602" s="14"/>
      <c r="W1602" s="14"/>
    </row>
    <row r="1603" ht="35.25" customHeight="1">
      <c r="A1603" s="147"/>
      <c r="B1603" s="148"/>
      <c r="C1603" s="149"/>
      <c r="D1603" s="150"/>
      <c r="E1603" s="151"/>
      <c r="F1603" s="152"/>
      <c r="G1603" s="148"/>
      <c r="H1603" s="76"/>
      <c r="I1603" s="76"/>
      <c r="J1603" s="76"/>
      <c r="K1603" s="76"/>
      <c r="L1603" s="76"/>
      <c r="M1603" s="76"/>
      <c r="N1603" s="76"/>
      <c r="O1603" s="76"/>
      <c r="P1603" s="76"/>
      <c r="Q1603" s="76"/>
      <c r="R1603" s="14"/>
      <c r="S1603" s="14"/>
      <c r="T1603" s="14"/>
      <c r="U1603" s="14"/>
      <c r="V1603" s="14"/>
      <c r="W1603" s="14"/>
    </row>
    <row r="1604" ht="35.25" customHeight="1">
      <c r="A1604" s="147"/>
      <c r="B1604" s="148"/>
      <c r="C1604" s="149"/>
      <c r="D1604" s="150"/>
      <c r="E1604" s="151"/>
      <c r="F1604" s="152"/>
      <c r="G1604" s="148"/>
      <c r="H1604" s="76"/>
      <c r="I1604" s="76"/>
      <c r="J1604" s="76"/>
      <c r="K1604" s="76"/>
      <c r="L1604" s="76"/>
      <c r="M1604" s="76"/>
      <c r="N1604" s="76"/>
      <c r="O1604" s="76"/>
      <c r="P1604" s="76"/>
      <c r="Q1604" s="76"/>
      <c r="R1604" s="14"/>
      <c r="S1604" s="14"/>
      <c r="T1604" s="14"/>
      <c r="U1604" s="14"/>
      <c r="V1604" s="14"/>
      <c r="W1604" s="14"/>
    </row>
    <row r="1605" ht="35.25" customHeight="1">
      <c r="A1605" s="147"/>
      <c r="B1605" s="148"/>
      <c r="C1605" s="149"/>
      <c r="D1605" s="150"/>
      <c r="E1605" s="151"/>
      <c r="F1605" s="152"/>
      <c r="G1605" s="148"/>
      <c r="H1605" s="76"/>
      <c r="I1605" s="76"/>
      <c r="J1605" s="76"/>
      <c r="K1605" s="76"/>
      <c r="L1605" s="76"/>
      <c r="M1605" s="76"/>
      <c r="N1605" s="76"/>
      <c r="O1605" s="76"/>
      <c r="P1605" s="76"/>
      <c r="Q1605" s="76"/>
      <c r="R1605" s="14"/>
      <c r="S1605" s="14"/>
      <c r="T1605" s="14"/>
      <c r="U1605" s="14"/>
      <c r="V1605" s="14"/>
      <c r="W1605" s="14"/>
    </row>
    <row r="1606" ht="35.25" customHeight="1">
      <c r="A1606" s="147"/>
      <c r="B1606" s="148"/>
      <c r="C1606" s="149"/>
      <c r="D1606" s="150"/>
      <c r="E1606" s="151"/>
      <c r="F1606" s="152"/>
      <c r="G1606" s="148"/>
      <c r="H1606" s="76"/>
      <c r="I1606" s="76"/>
      <c r="J1606" s="76"/>
      <c r="K1606" s="76"/>
      <c r="L1606" s="76"/>
      <c r="M1606" s="76"/>
      <c r="N1606" s="76"/>
      <c r="O1606" s="76"/>
      <c r="P1606" s="76"/>
      <c r="Q1606" s="76"/>
      <c r="R1606" s="14"/>
      <c r="S1606" s="14"/>
      <c r="T1606" s="14"/>
      <c r="U1606" s="14"/>
      <c r="V1606" s="14"/>
      <c r="W1606" s="14"/>
    </row>
    <row r="1607" ht="35.25" customHeight="1">
      <c r="A1607" s="147"/>
      <c r="B1607" s="148"/>
      <c r="C1607" s="149"/>
      <c r="D1607" s="150"/>
      <c r="E1607" s="151"/>
      <c r="F1607" s="152"/>
      <c r="G1607" s="148"/>
      <c r="H1607" s="76"/>
      <c r="I1607" s="76"/>
      <c r="J1607" s="76"/>
      <c r="K1607" s="76"/>
      <c r="L1607" s="76"/>
      <c r="M1607" s="76"/>
      <c r="N1607" s="76"/>
      <c r="O1607" s="76"/>
      <c r="P1607" s="76"/>
      <c r="Q1607" s="76"/>
      <c r="R1607" s="14"/>
      <c r="S1607" s="14"/>
      <c r="T1607" s="14"/>
      <c r="U1607" s="14"/>
      <c r="V1607" s="14"/>
      <c r="W1607" s="14"/>
    </row>
    <row r="1608" ht="35.25" customHeight="1">
      <c r="A1608" s="147"/>
      <c r="B1608" s="148"/>
      <c r="C1608" s="149"/>
      <c r="D1608" s="150"/>
      <c r="E1608" s="151"/>
      <c r="F1608" s="152"/>
      <c r="G1608" s="148"/>
      <c r="H1608" s="76"/>
      <c r="I1608" s="76"/>
      <c r="J1608" s="76"/>
      <c r="K1608" s="76"/>
      <c r="L1608" s="76"/>
      <c r="M1608" s="76"/>
      <c r="N1608" s="76"/>
      <c r="O1608" s="76"/>
      <c r="P1608" s="76"/>
      <c r="Q1608" s="76"/>
      <c r="R1608" s="14"/>
      <c r="S1608" s="14"/>
      <c r="T1608" s="14"/>
      <c r="U1608" s="14"/>
      <c r="V1608" s="14"/>
      <c r="W1608" s="14"/>
    </row>
    <row r="1609" ht="35.25" customHeight="1">
      <c r="A1609" s="147"/>
      <c r="B1609" s="148"/>
      <c r="C1609" s="149"/>
      <c r="D1609" s="150"/>
      <c r="E1609" s="151"/>
      <c r="F1609" s="152"/>
      <c r="G1609" s="148"/>
      <c r="H1609" s="76"/>
      <c r="I1609" s="76"/>
      <c r="J1609" s="76"/>
      <c r="K1609" s="76"/>
      <c r="L1609" s="76"/>
      <c r="M1609" s="76"/>
      <c r="N1609" s="76"/>
      <c r="O1609" s="76"/>
      <c r="P1609" s="76"/>
      <c r="Q1609" s="76"/>
      <c r="R1609" s="14"/>
      <c r="S1609" s="14"/>
      <c r="T1609" s="14"/>
      <c r="U1609" s="14"/>
      <c r="V1609" s="14"/>
      <c r="W1609" s="14"/>
    </row>
    <row r="1610" ht="35.25" customHeight="1">
      <c r="A1610" s="147"/>
      <c r="B1610" s="148"/>
      <c r="C1610" s="149"/>
      <c r="D1610" s="150"/>
      <c r="E1610" s="151"/>
      <c r="F1610" s="152"/>
      <c r="G1610" s="148"/>
      <c r="H1610" s="76"/>
      <c r="I1610" s="76"/>
      <c r="J1610" s="76"/>
      <c r="K1610" s="76"/>
      <c r="L1610" s="76"/>
      <c r="M1610" s="76"/>
      <c r="N1610" s="76"/>
      <c r="O1610" s="76"/>
      <c r="P1610" s="76"/>
      <c r="Q1610" s="76"/>
      <c r="R1610" s="14"/>
      <c r="S1610" s="14"/>
      <c r="T1610" s="14"/>
      <c r="U1610" s="14"/>
      <c r="V1610" s="14"/>
      <c r="W1610" s="14"/>
    </row>
    <row r="1611" ht="35.25" customHeight="1">
      <c r="A1611" s="147"/>
      <c r="B1611" s="148"/>
      <c r="C1611" s="149"/>
      <c r="D1611" s="150"/>
      <c r="E1611" s="151"/>
      <c r="F1611" s="152"/>
      <c r="G1611" s="148"/>
      <c r="H1611" s="76"/>
      <c r="I1611" s="76"/>
      <c r="J1611" s="76"/>
      <c r="K1611" s="76"/>
      <c r="L1611" s="76"/>
      <c r="M1611" s="76"/>
      <c r="N1611" s="76"/>
      <c r="O1611" s="76"/>
      <c r="P1611" s="76"/>
      <c r="Q1611" s="76"/>
      <c r="R1611" s="14"/>
      <c r="S1611" s="14"/>
      <c r="T1611" s="14"/>
      <c r="U1611" s="14"/>
      <c r="V1611" s="14"/>
      <c r="W1611" s="14"/>
    </row>
    <row r="1612" ht="35.25" customHeight="1">
      <c r="A1612" s="147"/>
      <c r="B1612" s="148"/>
      <c r="C1612" s="149"/>
      <c r="D1612" s="150"/>
      <c r="E1612" s="151"/>
      <c r="F1612" s="152"/>
      <c r="G1612" s="148"/>
      <c r="H1612" s="76"/>
      <c r="I1612" s="76"/>
      <c r="J1612" s="76"/>
      <c r="K1612" s="76"/>
      <c r="L1612" s="76"/>
      <c r="M1612" s="76"/>
      <c r="N1612" s="76"/>
      <c r="O1612" s="76"/>
      <c r="P1612" s="76"/>
      <c r="Q1612" s="76"/>
      <c r="R1612" s="14"/>
      <c r="S1612" s="14"/>
      <c r="T1612" s="14"/>
      <c r="U1612" s="14"/>
      <c r="V1612" s="14"/>
      <c r="W1612" s="14"/>
    </row>
    <row r="1613" ht="35.25" customHeight="1">
      <c r="A1613" s="147"/>
      <c r="B1613" s="148"/>
      <c r="C1613" s="149"/>
      <c r="D1613" s="150"/>
      <c r="E1613" s="151"/>
      <c r="F1613" s="152"/>
      <c r="G1613" s="148"/>
      <c r="H1613" s="76"/>
      <c r="I1613" s="76"/>
      <c r="J1613" s="76"/>
      <c r="K1613" s="76"/>
      <c r="L1613" s="76"/>
      <c r="M1613" s="76"/>
      <c r="N1613" s="76"/>
      <c r="O1613" s="76"/>
      <c r="P1613" s="76"/>
      <c r="Q1613" s="76"/>
      <c r="R1613" s="14"/>
      <c r="S1613" s="14"/>
      <c r="T1613" s="14"/>
      <c r="U1613" s="14"/>
      <c r="V1613" s="14"/>
      <c r="W1613" s="14"/>
    </row>
    <row r="1614" ht="35.25" customHeight="1">
      <c r="A1614" s="147"/>
      <c r="B1614" s="148"/>
      <c r="C1614" s="149"/>
      <c r="D1614" s="150"/>
      <c r="E1614" s="151"/>
      <c r="F1614" s="152"/>
      <c r="G1614" s="148"/>
      <c r="H1614" s="76"/>
      <c r="I1614" s="76"/>
      <c r="J1614" s="76"/>
      <c r="K1614" s="76"/>
      <c r="L1614" s="76"/>
      <c r="M1614" s="76"/>
      <c r="N1614" s="76"/>
      <c r="O1614" s="76"/>
      <c r="P1614" s="76"/>
      <c r="Q1614" s="76"/>
      <c r="R1614" s="14"/>
      <c r="S1614" s="14"/>
      <c r="T1614" s="14"/>
      <c r="U1614" s="14"/>
      <c r="V1614" s="14"/>
      <c r="W1614" s="14"/>
    </row>
    <row r="1615" ht="35.25" customHeight="1">
      <c r="A1615" s="147"/>
      <c r="B1615" s="148"/>
      <c r="C1615" s="149"/>
      <c r="D1615" s="150"/>
      <c r="E1615" s="151"/>
      <c r="F1615" s="152"/>
      <c r="G1615" s="148"/>
      <c r="H1615" s="76"/>
      <c r="I1615" s="76"/>
      <c r="J1615" s="76"/>
      <c r="K1615" s="76"/>
      <c r="L1615" s="76"/>
      <c r="M1615" s="76"/>
      <c r="N1615" s="76"/>
      <c r="O1615" s="76"/>
      <c r="P1615" s="76"/>
      <c r="Q1615" s="76"/>
      <c r="R1615" s="14"/>
      <c r="S1615" s="14"/>
      <c r="T1615" s="14"/>
      <c r="U1615" s="14"/>
      <c r="V1615" s="14"/>
      <c r="W1615" s="14"/>
    </row>
    <row r="1616" ht="35.25" customHeight="1">
      <c r="A1616" s="147"/>
      <c r="B1616" s="148"/>
      <c r="C1616" s="149"/>
      <c r="D1616" s="150"/>
      <c r="E1616" s="151"/>
      <c r="F1616" s="152"/>
      <c r="G1616" s="148"/>
      <c r="H1616" s="76"/>
      <c r="I1616" s="76"/>
      <c r="J1616" s="76"/>
      <c r="K1616" s="76"/>
      <c r="L1616" s="76"/>
      <c r="M1616" s="76"/>
      <c r="N1616" s="76"/>
      <c r="O1616" s="76"/>
      <c r="P1616" s="76"/>
      <c r="Q1616" s="76"/>
      <c r="R1616" s="14"/>
      <c r="S1616" s="14"/>
      <c r="T1616" s="14"/>
      <c r="U1616" s="14"/>
      <c r="V1616" s="14"/>
      <c r="W1616" s="14"/>
    </row>
    <row r="1617" ht="35.25" customHeight="1">
      <c r="A1617" s="147"/>
      <c r="B1617" s="148"/>
      <c r="C1617" s="149"/>
      <c r="D1617" s="150"/>
      <c r="E1617" s="151"/>
      <c r="F1617" s="152"/>
      <c r="G1617" s="148"/>
      <c r="H1617" s="76"/>
      <c r="I1617" s="76"/>
      <c r="J1617" s="76"/>
      <c r="K1617" s="76"/>
      <c r="L1617" s="76"/>
      <c r="M1617" s="76"/>
      <c r="N1617" s="76"/>
      <c r="O1617" s="76"/>
      <c r="P1617" s="76"/>
      <c r="Q1617" s="76"/>
      <c r="R1617" s="14"/>
      <c r="S1617" s="14"/>
      <c r="T1617" s="14"/>
      <c r="U1617" s="14"/>
      <c r="V1617" s="14"/>
      <c r="W1617" s="14"/>
    </row>
    <row r="1618" ht="35.25" customHeight="1">
      <c r="A1618" s="147"/>
      <c r="B1618" s="148"/>
      <c r="C1618" s="149"/>
      <c r="D1618" s="150"/>
      <c r="E1618" s="151"/>
      <c r="F1618" s="152"/>
      <c r="G1618" s="148"/>
      <c r="H1618" s="76"/>
      <c r="I1618" s="76"/>
      <c r="J1618" s="76"/>
      <c r="K1618" s="76"/>
      <c r="L1618" s="76"/>
      <c r="M1618" s="76"/>
      <c r="N1618" s="76"/>
      <c r="O1618" s="76"/>
      <c r="P1618" s="76"/>
      <c r="Q1618" s="76"/>
      <c r="R1618" s="14"/>
      <c r="S1618" s="14"/>
      <c r="T1618" s="14"/>
      <c r="U1618" s="14"/>
      <c r="V1618" s="14"/>
      <c r="W1618" s="14"/>
    </row>
    <row r="1619" ht="35.25" customHeight="1">
      <c r="A1619" s="147"/>
      <c r="B1619" s="148"/>
      <c r="C1619" s="149"/>
      <c r="D1619" s="150"/>
      <c r="E1619" s="151"/>
      <c r="F1619" s="152"/>
      <c r="G1619" s="148"/>
      <c r="H1619" s="76"/>
      <c r="I1619" s="76"/>
      <c r="J1619" s="76"/>
      <c r="K1619" s="76"/>
      <c r="L1619" s="76"/>
      <c r="M1619" s="76"/>
      <c r="N1619" s="76"/>
      <c r="O1619" s="76"/>
      <c r="P1619" s="76"/>
      <c r="Q1619" s="76"/>
      <c r="R1619" s="14"/>
      <c r="S1619" s="14"/>
      <c r="T1619" s="14"/>
      <c r="U1619" s="14"/>
      <c r="V1619" s="14"/>
      <c r="W1619" s="14"/>
    </row>
    <row r="1620" ht="35.25" customHeight="1">
      <c r="A1620" s="147"/>
      <c r="B1620" s="148"/>
      <c r="C1620" s="149"/>
      <c r="D1620" s="150"/>
      <c r="E1620" s="151"/>
      <c r="F1620" s="152"/>
      <c r="G1620" s="148"/>
      <c r="H1620" s="76"/>
      <c r="I1620" s="76"/>
      <c r="J1620" s="76"/>
      <c r="K1620" s="76"/>
      <c r="L1620" s="76"/>
      <c r="M1620" s="76"/>
      <c r="N1620" s="76"/>
      <c r="O1620" s="76"/>
      <c r="P1620" s="76"/>
      <c r="Q1620" s="76"/>
      <c r="R1620" s="14"/>
      <c r="S1620" s="14"/>
      <c r="T1620" s="14"/>
      <c r="U1620" s="14"/>
      <c r="V1620" s="14"/>
      <c r="W1620" s="14"/>
    </row>
    <row r="1621" ht="35.25" customHeight="1">
      <c r="A1621" s="147"/>
      <c r="B1621" s="148"/>
      <c r="C1621" s="149"/>
      <c r="D1621" s="150"/>
      <c r="E1621" s="151"/>
      <c r="F1621" s="152"/>
      <c r="G1621" s="148"/>
      <c r="H1621" s="76"/>
      <c r="I1621" s="76"/>
      <c r="J1621" s="76"/>
      <c r="K1621" s="76"/>
      <c r="L1621" s="76"/>
      <c r="M1621" s="76"/>
      <c r="N1621" s="76"/>
      <c r="O1621" s="76"/>
      <c r="P1621" s="76"/>
      <c r="Q1621" s="76"/>
      <c r="R1621" s="14"/>
      <c r="S1621" s="14"/>
      <c r="T1621" s="14"/>
      <c r="U1621" s="14"/>
      <c r="V1621" s="14"/>
      <c r="W1621" s="14"/>
    </row>
    <row r="1622" ht="35.25" customHeight="1">
      <c r="A1622" s="147"/>
      <c r="B1622" s="148"/>
      <c r="C1622" s="149"/>
      <c r="D1622" s="150"/>
      <c r="E1622" s="151"/>
      <c r="F1622" s="152"/>
      <c r="G1622" s="148"/>
      <c r="H1622" s="76"/>
      <c r="I1622" s="76"/>
      <c r="J1622" s="76"/>
      <c r="K1622" s="76"/>
      <c r="L1622" s="76"/>
      <c r="M1622" s="76"/>
      <c r="N1622" s="76"/>
      <c r="O1622" s="76"/>
      <c r="P1622" s="76"/>
      <c r="Q1622" s="76"/>
      <c r="R1622" s="14"/>
      <c r="S1622" s="14"/>
      <c r="T1622" s="14"/>
      <c r="U1622" s="14"/>
      <c r="V1622" s="14"/>
      <c r="W1622" s="14"/>
    </row>
    <row r="1623" ht="35.25" customHeight="1">
      <c r="A1623" s="147"/>
      <c r="B1623" s="148"/>
      <c r="C1623" s="149"/>
      <c r="D1623" s="150"/>
      <c r="E1623" s="151"/>
      <c r="F1623" s="152"/>
      <c r="G1623" s="148"/>
      <c r="H1623" s="76"/>
      <c r="I1623" s="76"/>
      <c r="J1623" s="76"/>
      <c r="K1623" s="76"/>
      <c r="L1623" s="76"/>
      <c r="M1623" s="76"/>
      <c r="N1623" s="76"/>
      <c r="O1623" s="76"/>
      <c r="P1623" s="76"/>
      <c r="Q1623" s="76"/>
      <c r="R1623" s="14"/>
      <c r="S1623" s="14"/>
      <c r="T1623" s="14"/>
      <c r="U1623" s="14"/>
      <c r="V1623" s="14"/>
      <c r="W1623" s="14"/>
    </row>
    <row r="1624" ht="35.25" customHeight="1">
      <c r="A1624" s="147"/>
      <c r="B1624" s="148"/>
      <c r="C1624" s="149"/>
      <c r="D1624" s="150"/>
      <c r="E1624" s="151"/>
      <c r="F1624" s="152"/>
      <c r="G1624" s="148"/>
      <c r="H1624" s="76"/>
      <c r="I1624" s="76"/>
      <c r="J1624" s="76"/>
      <c r="K1624" s="76"/>
      <c r="L1624" s="76"/>
      <c r="M1624" s="76"/>
      <c r="N1624" s="76"/>
      <c r="O1624" s="76"/>
      <c r="P1624" s="76"/>
      <c r="Q1624" s="76"/>
      <c r="R1624" s="14"/>
      <c r="S1624" s="14"/>
      <c r="T1624" s="14"/>
      <c r="U1624" s="14"/>
      <c r="V1624" s="14"/>
      <c r="W1624" s="14"/>
    </row>
    <row r="1625" ht="35.25" customHeight="1">
      <c r="A1625" s="147"/>
      <c r="B1625" s="148"/>
      <c r="C1625" s="149"/>
      <c r="D1625" s="150"/>
      <c r="E1625" s="151"/>
      <c r="F1625" s="152"/>
      <c r="G1625" s="148"/>
      <c r="H1625" s="76"/>
      <c r="I1625" s="76"/>
      <c r="J1625" s="76"/>
      <c r="K1625" s="76"/>
      <c r="L1625" s="76"/>
      <c r="M1625" s="76"/>
      <c r="N1625" s="76"/>
      <c r="O1625" s="76"/>
      <c r="P1625" s="76"/>
      <c r="Q1625" s="76"/>
      <c r="R1625" s="14"/>
      <c r="S1625" s="14"/>
      <c r="T1625" s="14"/>
      <c r="U1625" s="14"/>
      <c r="V1625" s="14"/>
      <c r="W1625" s="14"/>
    </row>
    <row r="1626" ht="35.25" customHeight="1">
      <c r="A1626" s="147"/>
      <c r="B1626" s="148"/>
      <c r="C1626" s="149"/>
      <c r="D1626" s="150"/>
      <c r="E1626" s="151"/>
      <c r="F1626" s="152"/>
      <c r="G1626" s="148"/>
      <c r="H1626" s="76"/>
      <c r="I1626" s="76"/>
      <c r="J1626" s="76"/>
      <c r="K1626" s="76"/>
      <c r="L1626" s="76"/>
      <c r="M1626" s="76"/>
      <c r="N1626" s="76"/>
      <c r="O1626" s="76"/>
      <c r="P1626" s="76"/>
      <c r="Q1626" s="76"/>
      <c r="R1626" s="14"/>
      <c r="S1626" s="14"/>
      <c r="T1626" s="14"/>
      <c r="U1626" s="14"/>
      <c r="V1626" s="14"/>
      <c r="W1626" s="14"/>
    </row>
    <row r="1627" ht="35.25" customHeight="1">
      <c r="A1627" s="147"/>
      <c r="B1627" s="148"/>
      <c r="C1627" s="149"/>
      <c r="D1627" s="150"/>
      <c r="E1627" s="151"/>
      <c r="F1627" s="152"/>
      <c r="G1627" s="148"/>
      <c r="H1627" s="76"/>
      <c r="I1627" s="76"/>
      <c r="J1627" s="76"/>
      <c r="K1627" s="76"/>
      <c r="L1627" s="76"/>
      <c r="M1627" s="76"/>
      <c r="N1627" s="76"/>
      <c r="O1627" s="76"/>
      <c r="P1627" s="76"/>
      <c r="Q1627" s="76"/>
      <c r="R1627" s="14"/>
      <c r="S1627" s="14"/>
      <c r="T1627" s="14"/>
      <c r="U1627" s="14"/>
      <c r="V1627" s="14"/>
      <c r="W1627" s="14"/>
    </row>
    <row r="1628" ht="35.25" customHeight="1">
      <c r="A1628" s="147"/>
      <c r="B1628" s="148"/>
      <c r="C1628" s="149"/>
      <c r="D1628" s="150"/>
      <c r="E1628" s="151"/>
      <c r="F1628" s="152"/>
      <c r="G1628" s="148"/>
      <c r="H1628" s="76"/>
      <c r="I1628" s="76"/>
      <c r="J1628" s="76"/>
      <c r="K1628" s="76"/>
      <c r="L1628" s="76"/>
      <c r="M1628" s="76"/>
      <c r="N1628" s="76"/>
      <c r="O1628" s="76"/>
      <c r="P1628" s="76"/>
      <c r="Q1628" s="76"/>
      <c r="R1628" s="14"/>
      <c r="S1628" s="14"/>
      <c r="T1628" s="14"/>
      <c r="U1628" s="14"/>
      <c r="V1628" s="14"/>
      <c r="W1628" s="14"/>
    </row>
    <row r="1629" ht="35.25" customHeight="1">
      <c r="A1629" s="147"/>
      <c r="B1629" s="148"/>
      <c r="C1629" s="149"/>
      <c r="D1629" s="150"/>
      <c r="E1629" s="151"/>
      <c r="F1629" s="152"/>
      <c r="G1629" s="148"/>
      <c r="H1629" s="76"/>
      <c r="I1629" s="76"/>
      <c r="J1629" s="76"/>
      <c r="K1629" s="76"/>
      <c r="L1629" s="76"/>
      <c r="M1629" s="76"/>
      <c r="N1629" s="76"/>
      <c r="O1629" s="76"/>
      <c r="P1629" s="76"/>
      <c r="Q1629" s="76"/>
      <c r="R1629" s="14"/>
      <c r="S1629" s="14"/>
      <c r="T1629" s="14"/>
      <c r="U1629" s="14"/>
      <c r="V1629" s="14"/>
      <c r="W1629" s="14"/>
    </row>
    <row r="1630" ht="35.25" customHeight="1">
      <c r="A1630" s="147"/>
      <c r="B1630" s="148"/>
      <c r="C1630" s="149"/>
      <c r="D1630" s="150"/>
      <c r="E1630" s="151"/>
      <c r="F1630" s="152"/>
      <c r="G1630" s="148"/>
      <c r="H1630" s="76"/>
      <c r="I1630" s="76"/>
      <c r="J1630" s="76"/>
      <c r="K1630" s="76"/>
      <c r="L1630" s="76"/>
      <c r="M1630" s="76"/>
      <c r="N1630" s="76"/>
      <c r="O1630" s="76"/>
      <c r="P1630" s="76"/>
      <c r="Q1630" s="76"/>
      <c r="R1630" s="14"/>
      <c r="S1630" s="14"/>
      <c r="T1630" s="14"/>
      <c r="U1630" s="14"/>
      <c r="V1630" s="14"/>
      <c r="W1630" s="14"/>
    </row>
    <row r="1631" ht="35.25" customHeight="1">
      <c r="A1631" s="147"/>
      <c r="B1631" s="148"/>
      <c r="C1631" s="149"/>
      <c r="D1631" s="150"/>
      <c r="E1631" s="151"/>
      <c r="F1631" s="152"/>
      <c r="G1631" s="148"/>
      <c r="H1631" s="76"/>
      <c r="I1631" s="76"/>
      <c r="J1631" s="76"/>
      <c r="K1631" s="76"/>
      <c r="L1631" s="76"/>
      <c r="M1631" s="76"/>
      <c r="N1631" s="76"/>
      <c r="O1631" s="76"/>
      <c r="P1631" s="76"/>
      <c r="Q1631" s="76"/>
      <c r="R1631" s="14"/>
      <c r="S1631" s="14"/>
      <c r="T1631" s="14"/>
      <c r="U1631" s="14"/>
      <c r="V1631" s="14"/>
      <c r="W1631" s="14"/>
    </row>
    <row r="1632" ht="35.25" customHeight="1">
      <c r="A1632" s="147"/>
      <c r="B1632" s="148"/>
      <c r="C1632" s="149"/>
      <c r="D1632" s="150"/>
      <c r="E1632" s="151"/>
      <c r="F1632" s="152"/>
      <c r="G1632" s="148"/>
      <c r="H1632" s="76"/>
      <c r="I1632" s="76"/>
      <c r="J1632" s="76"/>
      <c r="K1632" s="76"/>
      <c r="L1632" s="76"/>
      <c r="M1632" s="76"/>
      <c r="N1632" s="76"/>
      <c r="O1632" s="76"/>
      <c r="P1632" s="76"/>
      <c r="Q1632" s="76"/>
      <c r="R1632" s="14"/>
      <c r="S1632" s="14"/>
      <c r="T1632" s="14"/>
      <c r="U1632" s="14"/>
      <c r="V1632" s="14"/>
      <c r="W1632" s="14"/>
    </row>
    <row r="1633" ht="35.25" customHeight="1">
      <c r="A1633" s="147"/>
      <c r="B1633" s="148"/>
      <c r="C1633" s="149"/>
      <c r="D1633" s="150"/>
      <c r="E1633" s="151"/>
      <c r="F1633" s="152"/>
      <c r="G1633" s="148"/>
      <c r="H1633" s="76"/>
      <c r="I1633" s="76"/>
      <c r="J1633" s="76"/>
      <c r="K1633" s="76"/>
      <c r="L1633" s="76"/>
      <c r="M1633" s="76"/>
      <c r="N1633" s="76"/>
      <c r="O1633" s="76"/>
      <c r="P1633" s="76"/>
      <c r="Q1633" s="76"/>
      <c r="R1633" s="14"/>
      <c r="S1633" s="14"/>
      <c r="T1633" s="14"/>
      <c r="U1633" s="14"/>
      <c r="V1633" s="14"/>
      <c r="W1633" s="14"/>
    </row>
    <row r="1634" ht="35.25" customHeight="1">
      <c r="A1634" s="147"/>
      <c r="B1634" s="148"/>
      <c r="C1634" s="149"/>
      <c r="D1634" s="150"/>
      <c r="E1634" s="151"/>
      <c r="F1634" s="152"/>
      <c r="G1634" s="148"/>
      <c r="H1634" s="76"/>
      <c r="I1634" s="76"/>
      <c r="J1634" s="76"/>
      <c r="K1634" s="76"/>
      <c r="L1634" s="76"/>
      <c r="M1634" s="76"/>
      <c r="N1634" s="76"/>
      <c r="O1634" s="76"/>
      <c r="P1634" s="76"/>
      <c r="Q1634" s="76"/>
      <c r="R1634" s="14"/>
      <c r="S1634" s="14"/>
      <c r="T1634" s="14"/>
      <c r="U1634" s="14"/>
      <c r="V1634" s="14"/>
      <c r="W1634" s="14"/>
    </row>
    <row r="1635" ht="35.25" customHeight="1">
      <c r="A1635" s="147"/>
      <c r="B1635" s="148"/>
      <c r="C1635" s="149"/>
      <c r="D1635" s="150"/>
      <c r="E1635" s="151"/>
      <c r="F1635" s="152"/>
      <c r="G1635" s="148"/>
      <c r="H1635" s="76"/>
      <c r="I1635" s="76"/>
      <c r="J1635" s="76"/>
      <c r="K1635" s="76"/>
      <c r="L1635" s="76"/>
      <c r="M1635" s="76"/>
      <c r="N1635" s="76"/>
      <c r="O1635" s="76"/>
      <c r="P1635" s="76"/>
      <c r="Q1635" s="76"/>
      <c r="R1635" s="14"/>
      <c r="S1635" s="14"/>
      <c r="T1635" s="14"/>
      <c r="U1635" s="14"/>
      <c r="V1635" s="14"/>
      <c r="W1635" s="14"/>
    </row>
    <row r="1636" ht="35.25" customHeight="1">
      <c r="A1636" s="147"/>
      <c r="B1636" s="148"/>
      <c r="C1636" s="149"/>
      <c r="D1636" s="150"/>
      <c r="E1636" s="151"/>
      <c r="F1636" s="152"/>
      <c r="G1636" s="148"/>
      <c r="H1636" s="76"/>
      <c r="I1636" s="76"/>
      <c r="J1636" s="76"/>
      <c r="K1636" s="76"/>
      <c r="L1636" s="76"/>
      <c r="M1636" s="76"/>
      <c r="N1636" s="76"/>
      <c r="O1636" s="76"/>
      <c r="P1636" s="76"/>
      <c r="Q1636" s="76"/>
      <c r="R1636" s="14"/>
      <c r="S1636" s="14"/>
      <c r="T1636" s="14"/>
      <c r="U1636" s="14"/>
      <c r="V1636" s="14"/>
      <c r="W1636" s="14"/>
    </row>
    <row r="1637" ht="35.25" customHeight="1">
      <c r="A1637" s="147"/>
      <c r="B1637" s="148"/>
      <c r="C1637" s="149"/>
      <c r="D1637" s="150"/>
      <c r="E1637" s="151"/>
      <c r="F1637" s="152"/>
      <c r="G1637" s="148"/>
      <c r="H1637" s="76"/>
      <c r="I1637" s="76"/>
      <c r="J1637" s="76"/>
      <c r="K1637" s="76"/>
      <c r="L1637" s="76"/>
      <c r="M1637" s="76"/>
      <c r="N1637" s="76"/>
      <c r="O1637" s="76"/>
      <c r="P1637" s="76"/>
      <c r="Q1637" s="76"/>
      <c r="R1637" s="14"/>
      <c r="S1637" s="14"/>
      <c r="T1637" s="14"/>
      <c r="U1637" s="14"/>
      <c r="V1637" s="14"/>
      <c r="W1637" s="14"/>
    </row>
    <row r="1638" ht="35.25" customHeight="1">
      <c r="A1638" s="147"/>
      <c r="B1638" s="148"/>
      <c r="C1638" s="149"/>
      <c r="D1638" s="150"/>
      <c r="E1638" s="151"/>
      <c r="F1638" s="152"/>
      <c r="G1638" s="148"/>
      <c r="H1638" s="76"/>
      <c r="I1638" s="76"/>
      <c r="J1638" s="76"/>
      <c r="K1638" s="76"/>
      <c r="L1638" s="76"/>
      <c r="M1638" s="76"/>
      <c r="N1638" s="76"/>
      <c r="O1638" s="76"/>
      <c r="P1638" s="76"/>
      <c r="Q1638" s="76"/>
      <c r="R1638" s="14"/>
      <c r="S1638" s="14"/>
      <c r="T1638" s="14"/>
      <c r="U1638" s="14"/>
      <c r="V1638" s="14"/>
      <c r="W1638" s="14"/>
    </row>
    <row r="1639" ht="35.25" customHeight="1">
      <c r="A1639" s="147"/>
      <c r="B1639" s="148"/>
      <c r="C1639" s="149"/>
      <c r="D1639" s="150"/>
      <c r="E1639" s="151"/>
      <c r="F1639" s="152"/>
      <c r="G1639" s="148"/>
      <c r="H1639" s="76"/>
      <c r="I1639" s="76"/>
      <c r="J1639" s="76"/>
      <c r="K1639" s="76"/>
      <c r="L1639" s="76"/>
      <c r="M1639" s="76"/>
      <c r="N1639" s="76"/>
      <c r="O1639" s="76"/>
      <c r="P1639" s="76"/>
      <c r="Q1639" s="76"/>
      <c r="R1639" s="14"/>
      <c r="S1639" s="14"/>
      <c r="T1639" s="14"/>
      <c r="U1639" s="14"/>
      <c r="V1639" s="14"/>
      <c r="W1639" s="14"/>
    </row>
    <row r="1640" ht="35.25" customHeight="1">
      <c r="A1640" s="147"/>
      <c r="B1640" s="148"/>
      <c r="C1640" s="149"/>
      <c r="D1640" s="150"/>
      <c r="E1640" s="151"/>
      <c r="F1640" s="152"/>
      <c r="G1640" s="148"/>
      <c r="H1640" s="76"/>
      <c r="I1640" s="76"/>
      <c r="J1640" s="76"/>
      <c r="K1640" s="76"/>
      <c r="L1640" s="76"/>
      <c r="M1640" s="76"/>
      <c r="N1640" s="76"/>
      <c r="O1640" s="76"/>
      <c r="P1640" s="76"/>
      <c r="Q1640" s="76"/>
      <c r="R1640" s="14"/>
      <c r="S1640" s="14"/>
      <c r="T1640" s="14"/>
      <c r="U1640" s="14"/>
      <c r="V1640" s="14"/>
      <c r="W1640" s="14"/>
    </row>
    <row r="1641" ht="35.25" customHeight="1">
      <c r="A1641" s="147"/>
      <c r="B1641" s="148"/>
      <c r="C1641" s="149"/>
      <c r="D1641" s="150"/>
      <c r="E1641" s="151"/>
      <c r="F1641" s="152"/>
      <c r="G1641" s="148"/>
      <c r="H1641" s="76"/>
      <c r="I1641" s="76"/>
      <c r="J1641" s="76"/>
      <c r="K1641" s="76"/>
      <c r="L1641" s="76"/>
      <c r="M1641" s="76"/>
      <c r="N1641" s="76"/>
      <c r="O1641" s="76"/>
      <c r="P1641" s="76"/>
      <c r="Q1641" s="76"/>
      <c r="R1641" s="14"/>
      <c r="S1641" s="14"/>
      <c r="T1641" s="14"/>
      <c r="U1641" s="14"/>
      <c r="V1641" s="14"/>
      <c r="W1641" s="14"/>
    </row>
    <row r="1642" ht="35.25" customHeight="1">
      <c r="A1642" s="147"/>
      <c r="B1642" s="148"/>
      <c r="C1642" s="149"/>
      <c r="D1642" s="150"/>
      <c r="E1642" s="151"/>
      <c r="F1642" s="152"/>
      <c r="G1642" s="148"/>
      <c r="H1642" s="76"/>
      <c r="I1642" s="76"/>
      <c r="J1642" s="76"/>
      <c r="K1642" s="76"/>
      <c r="L1642" s="76"/>
      <c r="M1642" s="76"/>
      <c r="N1642" s="76"/>
      <c r="O1642" s="76"/>
      <c r="P1642" s="76"/>
      <c r="Q1642" s="76"/>
      <c r="R1642" s="14"/>
      <c r="S1642" s="14"/>
      <c r="T1642" s="14"/>
      <c r="U1642" s="14"/>
      <c r="V1642" s="14"/>
      <c r="W1642" s="14"/>
    </row>
    <row r="1643" ht="35.25" customHeight="1">
      <c r="A1643" s="147"/>
      <c r="B1643" s="148"/>
      <c r="C1643" s="149"/>
      <c r="D1643" s="150"/>
      <c r="E1643" s="151"/>
      <c r="F1643" s="152"/>
      <c r="G1643" s="148"/>
      <c r="H1643" s="76"/>
      <c r="I1643" s="76"/>
      <c r="J1643" s="76"/>
      <c r="K1643" s="76"/>
      <c r="L1643" s="76"/>
      <c r="M1643" s="76"/>
      <c r="N1643" s="76"/>
      <c r="O1643" s="76"/>
      <c r="P1643" s="76"/>
      <c r="Q1643" s="76"/>
      <c r="R1643" s="14"/>
      <c r="S1643" s="14"/>
      <c r="T1643" s="14"/>
      <c r="U1643" s="14"/>
      <c r="V1643" s="14"/>
      <c r="W1643" s="14"/>
    </row>
    <row r="1644" ht="35.25" customHeight="1">
      <c r="A1644" s="147"/>
      <c r="B1644" s="148"/>
      <c r="C1644" s="149"/>
      <c r="D1644" s="150"/>
      <c r="E1644" s="151"/>
      <c r="F1644" s="152"/>
      <c r="G1644" s="148"/>
      <c r="H1644" s="76"/>
      <c r="I1644" s="76"/>
      <c r="J1644" s="76"/>
      <c r="K1644" s="76"/>
      <c r="L1644" s="76"/>
      <c r="M1644" s="76"/>
      <c r="N1644" s="76"/>
      <c r="O1644" s="76"/>
      <c r="P1644" s="76"/>
      <c r="Q1644" s="76"/>
      <c r="R1644" s="14"/>
      <c r="S1644" s="14"/>
      <c r="T1644" s="14"/>
      <c r="U1644" s="14"/>
      <c r="V1644" s="14"/>
      <c r="W1644" s="14"/>
    </row>
    <row r="1645" ht="35.25" customHeight="1">
      <c r="A1645" s="147"/>
      <c r="B1645" s="148"/>
      <c r="C1645" s="149"/>
      <c r="D1645" s="150"/>
      <c r="E1645" s="151"/>
      <c r="F1645" s="152"/>
      <c r="G1645" s="148"/>
      <c r="H1645" s="76"/>
      <c r="I1645" s="76"/>
      <c r="J1645" s="76"/>
      <c r="K1645" s="76"/>
      <c r="L1645" s="76"/>
      <c r="M1645" s="76"/>
      <c r="N1645" s="76"/>
      <c r="O1645" s="76"/>
      <c r="P1645" s="76"/>
      <c r="Q1645" s="76"/>
      <c r="R1645" s="14"/>
      <c r="S1645" s="14"/>
      <c r="T1645" s="14"/>
      <c r="U1645" s="14"/>
      <c r="V1645" s="14"/>
      <c r="W1645" s="14"/>
    </row>
    <row r="1646" ht="35.25" customHeight="1">
      <c r="A1646" s="147"/>
      <c r="B1646" s="148"/>
      <c r="C1646" s="149"/>
      <c r="D1646" s="150"/>
      <c r="E1646" s="151"/>
      <c r="F1646" s="152"/>
      <c r="G1646" s="148"/>
      <c r="H1646" s="76"/>
      <c r="I1646" s="76"/>
      <c r="J1646" s="76"/>
      <c r="K1646" s="76"/>
      <c r="L1646" s="76"/>
      <c r="M1646" s="76"/>
      <c r="N1646" s="76"/>
      <c r="O1646" s="76"/>
      <c r="P1646" s="76"/>
      <c r="Q1646" s="76"/>
      <c r="R1646" s="14"/>
      <c r="S1646" s="14"/>
      <c r="T1646" s="14"/>
      <c r="U1646" s="14"/>
      <c r="V1646" s="14"/>
      <c r="W1646" s="14"/>
    </row>
    <row r="1647" ht="35.25" customHeight="1">
      <c r="A1647" s="147"/>
      <c r="B1647" s="148"/>
      <c r="C1647" s="149"/>
      <c r="D1647" s="150"/>
      <c r="E1647" s="151"/>
      <c r="F1647" s="152"/>
      <c r="G1647" s="148"/>
      <c r="H1647" s="76"/>
      <c r="I1647" s="76"/>
      <c r="J1647" s="76"/>
      <c r="K1647" s="76"/>
      <c r="L1647" s="76"/>
      <c r="M1647" s="76"/>
      <c r="N1647" s="76"/>
      <c r="O1647" s="76"/>
      <c r="P1647" s="76"/>
      <c r="Q1647" s="76"/>
      <c r="R1647" s="14"/>
      <c r="S1647" s="14"/>
      <c r="T1647" s="14"/>
      <c r="U1647" s="14"/>
      <c r="V1647" s="14"/>
      <c r="W1647" s="14"/>
    </row>
    <row r="1648" ht="35.25" customHeight="1">
      <c r="A1648" s="147"/>
      <c r="B1648" s="148"/>
      <c r="C1648" s="149"/>
      <c r="D1648" s="150"/>
      <c r="E1648" s="151"/>
      <c r="F1648" s="152"/>
      <c r="G1648" s="148"/>
      <c r="H1648" s="76"/>
      <c r="I1648" s="76"/>
      <c r="J1648" s="76"/>
      <c r="K1648" s="76"/>
      <c r="L1648" s="76"/>
      <c r="M1648" s="76"/>
      <c r="N1648" s="76"/>
      <c r="O1648" s="76"/>
      <c r="P1648" s="76"/>
      <c r="Q1648" s="76"/>
      <c r="R1648" s="14"/>
      <c r="S1648" s="14"/>
      <c r="T1648" s="14"/>
      <c r="U1648" s="14"/>
      <c r="V1648" s="14"/>
      <c r="W1648" s="14"/>
    </row>
    <row r="1649" ht="35.25" customHeight="1">
      <c r="A1649" s="147"/>
      <c r="B1649" s="148"/>
      <c r="C1649" s="149"/>
      <c r="D1649" s="150"/>
      <c r="E1649" s="151"/>
      <c r="F1649" s="152"/>
      <c r="G1649" s="148"/>
      <c r="H1649" s="76"/>
      <c r="I1649" s="76"/>
      <c r="J1649" s="76"/>
      <c r="K1649" s="76"/>
      <c r="L1649" s="76"/>
      <c r="M1649" s="76"/>
      <c r="N1649" s="76"/>
      <c r="O1649" s="76"/>
      <c r="P1649" s="76"/>
      <c r="Q1649" s="76"/>
      <c r="R1649" s="14"/>
      <c r="S1649" s="14"/>
      <c r="T1649" s="14"/>
      <c r="U1649" s="14"/>
      <c r="V1649" s="14"/>
      <c r="W1649" s="14"/>
    </row>
    <row r="1650" ht="35.25" customHeight="1">
      <c r="A1650" s="147"/>
      <c r="B1650" s="148"/>
      <c r="C1650" s="149"/>
      <c r="D1650" s="150"/>
      <c r="E1650" s="151"/>
      <c r="F1650" s="152"/>
      <c r="G1650" s="148"/>
      <c r="H1650" s="76"/>
      <c r="I1650" s="76"/>
      <c r="J1650" s="76"/>
      <c r="K1650" s="76"/>
      <c r="L1650" s="76"/>
      <c r="M1650" s="76"/>
      <c r="N1650" s="76"/>
      <c r="O1650" s="76"/>
      <c r="P1650" s="76"/>
      <c r="Q1650" s="76"/>
      <c r="R1650" s="14"/>
      <c r="S1650" s="14"/>
      <c r="T1650" s="14"/>
      <c r="U1650" s="14"/>
      <c r="V1650" s="14"/>
      <c r="W1650" s="14"/>
    </row>
    <row r="1651" ht="35.25" customHeight="1">
      <c r="A1651" s="147"/>
      <c r="B1651" s="148"/>
      <c r="C1651" s="149"/>
      <c r="D1651" s="150"/>
      <c r="E1651" s="151"/>
      <c r="F1651" s="152"/>
      <c r="G1651" s="148"/>
      <c r="H1651" s="76"/>
      <c r="I1651" s="76"/>
      <c r="J1651" s="76"/>
      <c r="K1651" s="76"/>
      <c r="L1651" s="76"/>
      <c r="M1651" s="76"/>
      <c r="N1651" s="76"/>
      <c r="O1651" s="76"/>
      <c r="P1651" s="76"/>
      <c r="Q1651" s="76"/>
      <c r="R1651" s="14"/>
      <c r="S1651" s="14"/>
      <c r="T1651" s="14"/>
      <c r="U1651" s="14"/>
      <c r="V1651" s="14"/>
      <c r="W1651" s="14"/>
    </row>
    <row r="1652" ht="35.25" customHeight="1">
      <c r="A1652" s="147"/>
      <c r="B1652" s="148"/>
      <c r="C1652" s="149"/>
      <c r="D1652" s="150"/>
      <c r="E1652" s="151"/>
      <c r="F1652" s="152"/>
      <c r="G1652" s="148"/>
      <c r="H1652" s="76"/>
      <c r="I1652" s="76"/>
      <c r="J1652" s="76"/>
      <c r="K1652" s="76"/>
      <c r="L1652" s="76"/>
      <c r="M1652" s="76"/>
      <c r="N1652" s="76"/>
      <c r="O1652" s="76"/>
      <c r="P1652" s="76"/>
      <c r="Q1652" s="76"/>
      <c r="R1652" s="14"/>
      <c r="S1652" s="14"/>
      <c r="T1652" s="14"/>
      <c r="U1652" s="14"/>
      <c r="V1652" s="14"/>
      <c r="W1652" s="14"/>
    </row>
    <row r="1653" ht="35.25" customHeight="1">
      <c r="A1653" s="147"/>
      <c r="B1653" s="148"/>
      <c r="C1653" s="149"/>
      <c r="D1653" s="150"/>
      <c r="E1653" s="151"/>
      <c r="F1653" s="152"/>
      <c r="G1653" s="148"/>
      <c r="H1653" s="76"/>
      <c r="I1653" s="76"/>
      <c r="J1653" s="76"/>
      <c r="K1653" s="76"/>
      <c r="L1653" s="76"/>
      <c r="M1653" s="76"/>
      <c r="N1653" s="76"/>
      <c r="O1653" s="76"/>
      <c r="P1653" s="76"/>
      <c r="Q1653" s="76"/>
      <c r="R1653" s="14"/>
      <c r="S1653" s="14"/>
      <c r="T1653" s="14"/>
      <c r="U1653" s="14"/>
      <c r="V1653" s="14"/>
      <c r="W1653" s="14"/>
    </row>
    <row r="1654" ht="35.25" customHeight="1">
      <c r="A1654" s="147"/>
      <c r="B1654" s="148"/>
      <c r="C1654" s="149"/>
      <c r="D1654" s="150"/>
      <c r="E1654" s="151"/>
      <c r="F1654" s="152"/>
      <c r="G1654" s="148"/>
      <c r="H1654" s="76"/>
      <c r="I1654" s="76"/>
      <c r="J1654" s="76"/>
      <c r="K1654" s="76"/>
      <c r="L1654" s="76"/>
      <c r="M1654" s="76"/>
      <c r="N1654" s="76"/>
      <c r="O1654" s="76"/>
      <c r="P1654" s="76"/>
      <c r="Q1654" s="76"/>
      <c r="R1654" s="14"/>
      <c r="S1654" s="14"/>
      <c r="T1654" s="14"/>
      <c r="U1654" s="14"/>
      <c r="V1654" s="14"/>
      <c r="W1654" s="14"/>
    </row>
    <row r="1655" ht="35.25" customHeight="1">
      <c r="A1655" s="147"/>
      <c r="B1655" s="148"/>
      <c r="C1655" s="149"/>
      <c r="D1655" s="150"/>
      <c r="E1655" s="151"/>
      <c r="F1655" s="152"/>
      <c r="G1655" s="148"/>
      <c r="H1655" s="76"/>
      <c r="I1655" s="76"/>
      <c r="J1655" s="76"/>
      <c r="K1655" s="76"/>
      <c r="L1655" s="76"/>
      <c r="M1655" s="76"/>
      <c r="N1655" s="76"/>
      <c r="O1655" s="76"/>
      <c r="P1655" s="76"/>
      <c r="Q1655" s="76"/>
      <c r="R1655" s="14"/>
      <c r="S1655" s="14"/>
      <c r="T1655" s="14"/>
      <c r="U1655" s="14"/>
      <c r="V1655" s="14"/>
      <c r="W1655" s="14"/>
    </row>
    <row r="1656" ht="35.25" customHeight="1">
      <c r="A1656" s="147"/>
      <c r="B1656" s="148"/>
      <c r="C1656" s="149"/>
      <c r="D1656" s="150"/>
      <c r="E1656" s="151"/>
      <c r="F1656" s="152"/>
      <c r="G1656" s="148"/>
      <c r="H1656" s="76"/>
      <c r="I1656" s="76"/>
      <c r="J1656" s="76"/>
      <c r="K1656" s="76"/>
      <c r="L1656" s="76"/>
      <c r="M1656" s="76"/>
      <c r="N1656" s="76"/>
      <c r="O1656" s="76"/>
      <c r="P1656" s="76"/>
      <c r="Q1656" s="76"/>
      <c r="R1656" s="14"/>
      <c r="S1656" s="14"/>
      <c r="T1656" s="14"/>
      <c r="U1656" s="14"/>
      <c r="V1656" s="14"/>
      <c r="W1656" s="14"/>
    </row>
    <row r="1657" ht="35.25" customHeight="1">
      <c r="A1657" s="147"/>
      <c r="B1657" s="148"/>
      <c r="C1657" s="149"/>
      <c r="D1657" s="150"/>
      <c r="E1657" s="151"/>
      <c r="F1657" s="152"/>
      <c r="G1657" s="148"/>
      <c r="H1657" s="76"/>
      <c r="I1657" s="76"/>
      <c r="J1657" s="76"/>
      <c r="K1657" s="76"/>
      <c r="L1657" s="76"/>
      <c r="M1657" s="76"/>
      <c r="N1657" s="76"/>
      <c r="O1657" s="76"/>
      <c r="P1657" s="76"/>
      <c r="Q1657" s="76"/>
      <c r="R1657" s="14"/>
      <c r="S1657" s="14"/>
      <c r="T1657" s="14"/>
      <c r="U1657" s="14"/>
      <c r="V1657" s="14"/>
      <c r="W1657" s="14"/>
    </row>
    <row r="1658" ht="35.25" customHeight="1">
      <c r="A1658" s="147"/>
      <c r="B1658" s="148"/>
      <c r="C1658" s="149"/>
      <c r="D1658" s="150"/>
      <c r="E1658" s="151"/>
      <c r="F1658" s="152"/>
      <c r="G1658" s="148"/>
      <c r="H1658" s="76"/>
      <c r="I1658" s="76"/>
      <c r="J1658" s="76"/>
      <c r="K1658" s="76"/>
      <c r="L1658" s="76"/>
      <c r="M1658" s="76"/>
      <c r="N1658" s="76"/>
      <c r="O1658" s="76"/>
      <c r="P1658" s="76"/>
      <c r="Q1658" s="76"/>
      <c r="R1658" s="14"/>
      <c r="S1658" s="14"/>
      <c r="T1658" s="14"/>
      <c r="U1658" s="14"/>
      <c r="V1658" s="14"/>
      <c r="W1658" s="14"/>
    </row>
    <row r="1659" ht="35.25" customHeight="1">
      <c r="A1659" s="147"/>
      <c r="B1659" s="148"/>
      <c r="C1659" s="149"/>
      <c r="D1659" s="150"/>
      <c r="E1659" s="151"/>
      <c r="F1659" s="152"/>
      <c r="G1659" s="148"/>
      <c r="H1659" s="76"/>
      <c r="I1659" s="76"/>
      <c r="J1659" s="76"/>
      <c r="K1659" s="76"/>
      <c r="L1659" s="76"/>
      <c r="M1659" s="76"/>
      <c r="N1659" s="76"/>
      <c r="O1659" s="76"/>
      <c r="P1659" s="76"/>
      <c r="Q1659" s="76"/>
      <c r="R1659" s="14"/>
      <c r="S1659" s="14"/>
      <c r="T1659" s="14"/>
      <c r="U1659" s="14"/>
      <c r="V1659" s="14"/>
      <c r="W1659" s="14"/>
    </row>
    <row r="1660" ht="35.25" customHeight="1">
      <c r="A1660" s="147"/>
      <c r="B1660" s="148"/>
      <c r="C1660" s="149"/>
      <c r="D1660" s="150"/>
      <c r="E1660" s="151"/>
      <c r="F1660" s="152"/>
      <c r="G1660" s="148"/>
      <c r="H1660" s="76"/>
      <c r="I1660" s="76"/>
      <c r="J1660" s="76"/>
      <c r="K1660" s="76"/>
      <c r="L1660" s="76"/>
      <c r="M1660" s="76"/>
      <c r="N1660" s="76"/>
      <c r="O1660" s="76"/>
      <c r="P1660" s="76"/>
      <c r="Q1660" s="76"/>
      <c r="R1660" s="14"/>
      <c r="S1660" s="14"/>
      <c r="T1660" s="14"/>
      <c r="U1660" s="14"/>
      <c r="V1660" s="14"/>
      <c r="W1660" s="14"/>
    </row>
    <row r="1661" ht="35.25" customHeight="1">
      <c r="A1661" s="147"/>
      <c r="B1661" s="148"/>
      <c r="C1661" s="149"/>
      <c r="D1661" s="150"/>
      <c r="E1661" s="151"/>
      <c r="F1661" s="152"/>
      <c r="G1661" s="148"/>
      <c r="H1661" s="76"/>
      <c r="I1661" s="76"/>
      <c r="J1661" s="76"/>
      <c r="K1661" s="76"/>
      <c r="L1661" s="76"/>
      <c r="M1661" s="76"/>
      <c r="N1661" s="76"/>
      <c r="O1661" s="76"/>
      <c r="P1661" s="76"/>
      <c r="Q1661" s="76"/>
      <c r="R1661" s="14"/>
      <c r="S1661" s="14"/>
      <c r="T1661" s="14"/>
      <c r="U1661" s="14"/>
      <c r="V1661" s="14"/>
      <c r="W1661" s="14"/>
    </row>
    <row r="1662" ht="35.25" customHeight="1">
      <c r="A1662" s="147"/>
      <c r="B1662" s="148"/>
      <c r="C1662" s="149"/>
      <c r="D1662" s="150"/>
      <c r="E1662" s="151"/>
      <c r="F1662" s="152"/>
      <c r="G1662" s="148"/>
      <c r="H1662" s="76"/>
      <c r="I1662" s="76"/>
      <c r="J1662" s="76"/>
      <c r="K1662" s="76"/>
      <c r="L1662" s="76"/>
      <c r="M1662" s="76"/>
      <c r="N1662" s="76"/>
      <c r="O1662" s="76"/>
      <c r="P1662" s="76"/>
      <c r="Q1662" s="76"/>
      <c r="R1662" s="14"/>
      <c r="S1662" s="14"/>
      <c r="T1662" s="14"/>
      <c r="U1662" s="14"/>
      <c r="V1662" s="14"/>
      <c r="W1662" s="14"/>
    </row>
    <row r="1663" ht="35.25" customHeight="1">
      <c r="A1663" s="147"/>
      <c r="B1663" s="148"/>
      <c r="C1663" s="149"/>
      <c r="D1663" s="150"/>
      <c r="E1663" s="151"/>
      <c r="F1663" s="152"/>
      <c r="G1663" s="148"/>
      <c r="H1663" s="76"/>
      <c r="I1663" s="76"/>
      <c r="J1663" s="76"/>
      <c r="K1663" s="76"/>
      <c r="L1663" s="76"/>
      <c r="M1663" s="76"/>
      <c r="N1663" s="76"/>
      <c r="O1663" s="76"/>
      <c r="P1663" s="76"/>
      <c r="Q1663" s="76"/>
      <c r="R1663" s="14"/>
      <c r="S1663" s="14"/>
      <c r="T1663" s="14"/>
      <c r="U1663" s="14"/>
      <c r="V1663" s="14"/>
      <c r="W1663" s="14"/>
    </row>
    <row r="1664" ht="35.25" customHeight="1">
      <c r="A1664" s="147"/>
      <c r="B1664" s="148"/>
      <c r="C1664" s="149"/>
      <c r="D1664" s="150"/>
      <c r="E1664" s="151"/>
      <c r="F1664" s="152"/>
      <c r="G1664" s="148"/>
      <c r="H1664" s="76"/>
      <c r="I1664" s="76"/>
      <c r="J1664" s="76"/>
      <c r="K1664" s="76"/>
      <c r="L1664" s="76"/>
      <c r="M1664" s="76"/>
      <c r="N1664" s="76"/>
      <c r="O1664" s="76"/>
      <c r="P1664" s="76"/>
      <c r="Q1664" s="76"/>
      <c r="R1664" s="14"/>
      <c r="S1664" s="14"/>
      <c r="T1664" s="14"/>
      <c r="U1664" s="14"/>
      <c r="V1664" s="14"/>
      <c r="W1664" s="14"/>
    </row>
    <row r="1665" ht="35.25" customHeight="1">
      <c r="A1665" s="147"/>
      <c r="B1665" s="148"/>
      <c r="C1665" s="149"/>
      <c r="D1665" s="150"/>
      <c r="E1665" s="151"/>
      <c r="F1665" s="152"/>
      <c r="G1665" s="148"/>
      <c r="H1665" s="76"/>
      <c r="I1665" s="76"/>
      <c r="J1665" s="76"/>
      <c r="K1665" s="76"/>
      <c r="L1665" s="76"/>
      <c r="M1665" s="76"/>
      <c r="N1665" s="76"/>
      <c r="O1665" s="76"/>
      <c r="P1665" s="76"/>
      <c r="Q1665" s="76"/>
      <c r="R1665" s="14"/>
      <c r="S1665" s="14"/>
      <c r="T1665" s="14"/>
      <c r="U1665" s="14"/>
      <c r="V1665" s="14"/>
      <c r="W1665" s="14"/>
    </row>
    <row r="1666" ht="35.25" customHeight="1">
      <c r="A1666" s="147"/>
      <c r="B1666" s="148"/>
      <c r="C1666" s="149"/>
      <c r="D1666" s="150"/>
      <c r="E1666" s="151"/>
      <c r="F1666" s="152"/>
      <c r="G1666" s="148"/>
      <c r="H1666" s="76"/>
      <c r="I1666" s="76"/>
      <c r="J1666" s="76"/>
      <c r="K1666" s="76"/>
      <c r="L1666" s="76"/>
      <c r="M1666" s="76"/>
      <c r="N1666" s="76"/>
      <c r="O1666" s="76"/>
      <c r="P1666" s="76"/>
      <c r="Q1666" s="76"/>
      <c r="R1666" s="14"/>
      <c r="S1666" s="14"/>
      <c r="T1666" s="14"/>
      <c r="U1666" s="14"/>
      <c r="V1666" s="14"/>
      <c r="W1666" s="14"/>
    </row>
    <row r="1667" ht="35.25" customHeight="1">
      <c r="A1667" s="147"/>
      <c r="B1667" s="148"/>
      <c r="C1667" s="149"/>
      <c r="D1667" s="150"/>
      <c r="E1667" s="151"/>
      <c r="F1667" s="152"/>
      <c r="G1667" s="148"/>
      <c r="H1667" s="76"/>
      <c r="I1667" s="76"/>
      <c r="J1667" s="76"/>
      <c r="K1667" s="76"/>
      <c r="L1667" s="76"/>
      <c r="M1667" s="76"/>
      <c r="N1667" s="76"/>
      <c r="O1667" s="76"/>
      <c r="P1667" s="76"/>
      <c r="Q1667" s="76"/>
      <c r="R1667" s="14"/>
      <c r="S1667" s="14"/>
      <c r="T1667" s="14"/>
      <c r="U1667" s="14"/>
      <c r="V1667" s="14"/>
      <c r="W1667" s="14"/>
    </row>
    <row r="1668" ht="35.25" customHeight="1">
      <c r="A1668" s="147"/>
      <c r="B1668" s="148"/>
      <c r="C1668" s="149"/>
      <c r="D1668" s="150"/>
      <c r="E1668" s="151"/>
      <c r="F1668" s="152"/>
      <c r="G1668" s="148"/>
      <c r="H1668" s="76"/>
      <c r="I1668" s="76"/>
      <c r="J1668" s="76"/>
      <c r="K1668" s="76"/>
      <c r="L1668" s="76"/>
      <c r="M1668" s="76"/>
      <c r="N1668" s="76"/>
      <c r="O1668" s="76"/>
      <c r="P1668" s="76"/>
      <c r="Q1668" s="76"/>
      <c r="R1668" s="14"/>
      <c r="S1668" s="14"/>
      <c r="T1668" s="14"/>
      <c r="U1668" s="14"/>
      <c r="V1668" s="14"/>
      <c r="W1668" s="14"/>
    </row>
    <row r="1669" ht="35.25" customHeight="1">
      <c r="A1669" s="147"/>
      <c r="B1669" s="148"/>
      <c r="C1669" s="149"/>
      <c r="D1669" s="150"/>
      <c r="E1669" s="151"/>
      <c r="F1669" s="152"/>
      <c r="G1669" s="148"/>
      <c r="H1669" s="76"/>
      <c r="I1669" s="76"/>
      <c r="J1669" s="76"/>
      <c r="K1669" s="76"/>
      <c r="L1669" s="76"/>
      <c r="M1669" s="76"/>
      <c r="N1669" s="76"/>
      <c r="O1669" s="76"/>
      <c r="P1669" s="76"/>
      <c r="Q1669" s="76"/>
      <c r="R1669" s="14"/>
      <c r="S1669" s="14"/>
      <c r="T1669" s="14"/>
      <c r="U1669" s="14"/>
      <c r="V1669" s="14"/>
      <c r="W1669" s="14"/>
    </row>
    <row r="1670" ht="35.25" customHeight="1">
      <c r="A1670" s="147"/>
      <c r="B1670" s="148"/>
      <c r="C1670" s="149"/>
      <c r="D1670" s="150"/>
      <c r="E1670" s="151"/>
      <c r="F1670" s="152"/>
      <c r="G1670" s="148"/>
      <c r="H1670" s="76"/>
      <c r="I1670" s="76"/>
      <c r="J1670" s="76"/>
      <c r="K1670" s="76"/>
      <c r="L1670" s="76"/>
      <c r="M1670" s="76"/>
      <c r="N1670" s="76"/>
      <c r="O1670" s="76"/>
      <c r="P1670" s="76"/>
      <c r="Q1670" s="76"/>
      <c r="R1670" s="14"/>
      <c r="S1670" s="14"/>
      <c r="T1670" s="14"/>
      <c r="U1670" s="14"/>
      <c r="V1670" s="14"/>
      <c r="W1670" s="14"/>
    </row>
    <row r="1671" ht="35.25" customHeight="1">
      <c r="A1671" s="147"/>
      <c r="B1671" s="148"/>
      <c r="C1671" s="149"/>
      <c r="D1671" s="150"/>
      <c r="E1671" s="151"/>
      <c r="F1671" s="152"/>
      <c r="G1671" s="148"/>
      <c r="H1671" s="76"/>
      <c r="I1671" s="76"/>
      <c r="J1671" s="76"/>
      <c r="K1671" s="76"/>
      <c r="L1671" s="76"/>
      <c r="M1671" s="76"/>
      <c r="N1671" s="76"/>
      <c r="O1671" s="76"/>
      <c r="P1671" s="76"/>
      <c r="Q1671" s="76"/>
      <c r="R1671" s="14"/>
      <c r="S1671" s="14"/>
      <c r="T1671" s="14"/>
      <c r="U1671" s="14"/>
      <c r="V1671" s="14"/>
      <c r="W1671" s="14"/>
    </row>
    <row r="1672" ht="35.25" customHeight="1">
      <c r="A1672" s="147"/>
      <c r="B1672" s="148"/>
      <c r="C1672" s="149"/>
      <c r="D1672" s="150"/>
      <c r="E1672" s="151"/>
      <c r="F1672" s="152"/>
      <c r="G1672" s="148"/>
      <c r="H1672" s="76"/>
      <c r="I1672" s="76"/>
      <c r="J1672" s="76"/>
      <c r="K1672" s="76"/>
      <c r="L1672" s="76"/>
      <c r="M1672" s="76"/>
      <c r="N1672" s="76"/>
      <c r="O1672" s="76"/>
      <c r="P1672" s="76"/>
      <c r="Q1672" s="76"/>
      <c r="R1672" s="14"/>
      <c r="S1672" s="14"/>
      <c r="T1672" s="14"/>
      <c r="U1672" s="14"/>
      <c r="V1672" s="14"/>
      <c r="W1672" s="14"/>
    </row>
    <row r="1673" ht="35.25" customHeight="1">
      <c r="A1673" s="147"/>
      <c r="B1673" s="148"/>
      <c r="C1673" s="149"/>
      <c r="D1673" s="150"/>
      <c r="E1673" s="151"/>
      <c r="F1673" s="152"/>
      <c r="G1673" s="148"/>
      <c r="H1673" s="76"/>
      <c r="I1673" s="76"/>
      <c r="J1673" s="76"/>
      <c r="K1673" s="76"/>
      <c r="L1673" s="76"/>
      <c r="M1673" s="76"/>
      <c r="N1673" s="76"/>
      <c r="O1673" s="76"/>
      <c r="P1673" s="76"/>
      <c r="Q1673" s="76"/>
      <c r="R1673" s="14"/>
      <c r="S1673" s="14"/>
      <c r="T1673" s="14"/>
      <c r="U1673" s="14"/>
      <c r="V1673" s="14"/>
      <c r="W1673" s="14"/>
    </row>
    <row r="1674" ht="35.25" customHeight="1">
      <c r="A1674" s="147"/>
      <c r="B1674" s="148"/>
      <c r="C1674" s="149"/>
      <c r="D1674" s="150"/>
      <c r="E1674" s="151"/>
      <c r="F1674" s="152"/>
      <c r="G1674" s="148"/>
      <c r="H1674" s="76"/>
      <c r="I1674" s="76"/>
      <c r="J1674" s="76"/>
      <c r="K1674" s="76"/>
      <c r="L1674" s="76"/>
      <c r="M1674" s="76"/>
      <c r="N1674" s="76"/>
      <c r="O1674" s="76"/>
      <c r="P1674" s="76"/>
      <c r="Q1674" s="76"/>
      <c r="R1674" s="14"/>
      <c r="S1674" s="14"/>
      <c r="T1674" s="14"/>
      <c r="U1674" s="14"/>
      <c r="V1674" s="14"/>
      <c r="W1674" s="14"/>
    </row>
    <row r="1675" ht="35.25" customHeight="1">
      <c r="A1675" s="147"/>
      <c r="B1675" s="148"/>
      <c r="C1675" s="149"/>
      <c r="D1675" s="150"/>
      <c r="E1675" s="151"/>
      <c r="F1675" s="152"/>
      <c r="G1675" s="148"/>
      <c r="H1675" s="76"/>
      <c r="I1675" s="76"/>
      <c r="J1675" s="76"/>
      <c r="K1675" s="76"/>
      <c r="L1675" s="76"/>
      <c r="M1675" s="76"/>
      <c r="N1675" s="76"/>
      <c r="O1675" s="76"/>
      <c r="P1675" s="76"/>
      <c r="Q1675" s="76"/>
      <c r="R1675" s="14"/>
      <c r="S1675" s="14"/>
      <c r="T1675" s="14"/>
      <c r="U1675" s="14"/>
      <c r="V1675" s="14"/>
      <c r="W1675" s="14"/>
    </row>
    <row r="1676" ht="35.25" customHeight="1">
      <c r="A1676" s="147"/>
      <c r="B1676" s="148"/>
      <c r="C1676" s="149"/>
      <c r="D1676" s="150"/>
      <c r="E1676" s="151"/>
      <c r="F1676" s="152"/>
      <c r="G1676" s="148"/>
      <c r="H1676" s="76"/>
      <c r="I1676" s="76"/>
      <c r="J1676" s="76"/>
      <c r="K1676" s="76"/>
      <c r="L1676" s="76"/>
      <c r="M1676" s="76"/>
      <c r="N1676" s="76"/>
      <c r="O1676" s="76"/>
      <c r="P1676" s="76"/>
      <c r="Q1676" s="76"/>
      <c r="R1676" s="14"/>
      <c r="S1676" s="14"/>
      <c r="T1676" s="14"/>
      <c r="U1676" s="14"/>
      <c r="V1676" s="14"/>
      <c r="W1676" s="14"/>
    </row>
    <row r="1677" ht="35.25" customHeight="1">
      <c r="A1677" s="147"/>
      <c r="B1677" s="148"/>
      <c r="C1677" s="149"/>
      <c r="D1677" s="150"/>
      <c r="E1677" s="151"/>
      <c r="F1677" s="152"/>
      <c r="G1677" s="148"/>
      <c r="H1677" s="76"/>
      <c r="I1677" s="76"/>
      <c r="J1677" s="76"/>
      <c r="K1677" s="76"/>
      <c r="L1677" s="76"/>
      <c r="M1677" s="76"/>
      <c r="N1677" s="76"/>
      <c r="O1677" s="76"/>
      <c r="P1677" s="76"/>
      <c r="Q1677" s="76"/>
      <c r="R1677" s="14"/>
      <c r="S1677" s="14"/>
      <c r="T1677" s="14"/>
      <c r="U1677" s="14"/>
      <c r="V1677" s="14"/>
      <c r="W1677" s="14"/>
    </row>
    <row r="1678" ht="35.25" customHeight="1">
      <c r="A1678" s="147"/>
      <c r="B1678" s="148"/>
      <c r="C1678" s="149"/>
      <c r="D1678" s="150"/>
      <c r="E1678" s="151"/>
      <c r="F1678" s="152"/>
      <c r="G1678" s="148"/>
      <c r="H1678" s="76"/>
      <c r="I1678" s="76"/>
      <c r="J1678" s="76"/>
      <c r="K1678" s="76"/>
      <c r="L1678" s="76"/>
      <c r="M1678" s="76"/>
      <c r="N1678" s="76"/>
      <c r="O1678" s="76"/>
      <c r="P1678" s="76"/>
      <c r="Q1678" s="76"/>
      <c r="R1678" s="14"/>
      <c r="S1678" s="14"/>
      <c r="T1678" s="14"/>
      <c r="U1678" s="14"/>
      <c r="V1678" s="14"/>
      <c r="W1678" s="14"/>
    </row>
    <row r="1679" ht="35.25" customHeight="1">
      <c r="A1679" s="147"/>
      <c r="B1679" s="148"/>
      <c r="C1679" s="149"/>
      <c r="D1679" s="150"/>
      <c r="E1679" s="151"/>
      <c r="F1679" s="152"/>
      <c r="G1679" s="148"/>
      <c r="H1679" s="76"/>
      <c r="I1679" s="76"/>
      <c r="J1679" s="76"/>
      <c r="K1679" s="76"/>
      <c r="L1679" s="76"/>
      <c r="M1679" s="76"/>
      <c r="N1679" s="76"/>
      <c r="O1679" s="76"/>
      <c r="P1679" s="76"/>
      <c r="Q1679" s="76"/>
      <c r="R1679" s="14"/>
      <c r="S1679" s="14"/>
      <c r="T1679" s="14"/>
      <c r="U1679" s="14"/>
      <c r="V1679" s="14"/>
      <c r="W1679" s="14"/>
    </row>
    <row r="1680" ht="35.25" customHeight="1">
      <c r="A1680" s="147"/>
      <c r="B1680" s="148"/>
      <c r="C1680" s="149"/>
      <c r="D1680" s="150"/>
      <c r="E1680" s="151"/>
      <c r="F1680" s="152"/>
      <c r="G1680" s="148"/>
      <c r="H1680" s="76"/>
      <c r="I1680" s="76"/>
      <c r="J1680" s="76"/>
      <c r="K1680" s="76"/>
      <c r="L1680" s="76"/>
      <c r="M1680" s="76"/>
      <c r="N1680" s="76"/>
      <c r="O1680" s="76"/>
      <c r="P1680" s="76"/>
      <c r="Q1680" s="76"/>
      <c r="R1680" s="14"/>
      <c r="S1680" s="14"/>
      <c r="T1680" s="14"/>
      <c r="U1680" s="14"/>
      <c r="V1680" s="14"/>
      <c r="W1680" s="14"/>
    </row>
    <row r="1681" ht="35.25" customHeight="1">
      <c r="A1681" s="147"/>
      <c r="B1681" s="148"/>
      <c r="C1681" s="149"/>
      <c r="D1681" s="150"/>
      <c r="E1681" s="151"/>
      <c r="F1681" s="152"/>
      <c r="G1681" s="148"/>
      <c r="H1681" s="76"/>
      <c r="I1681" s="76"/>
      <c r="J1681" s="76"/>
      <c r="K1681" s="76"/>
      <c r="L1681" s="76"/>
      <c r="M1681" s="76"/>
      <c r="N1681" s="76"/>
      <c r="O1681" s="76"/>
      <c r="P1681" s="76"/>
      <c r="Q1681" s="76"/>
      <c r="R1681" s="14"/>
      <c r="S1681" s="14"/>
      <c r="T1681" s="14"/>
      <c r="U1681" s="14"/>
      <c r="V1681" s="14"/>
      <c r="W1681" s="14"/>
    </row>
    <row r="1682" ht="35.25" customHeight="1">
      <c r="A1682" s="147"/>
      <c r="B1682" s="148"/>
      <c r="C1682" s="149"/>
      <c r="D1682" s="150"/>
      <c r="E1682" s="151"/>
      <c r="F1682" s="152"/>
      <c r="G1682" s="148"/>
      <c r="H1682" s="76"/>
      <c r="I1682" s="76"/>
      <c r="J1682" s="76"/>
      <c r="K1682" s="76"/>
      <c r="L1682" s="76"/>
      <c r="M1682" s="76"/>
      <c r="N1682" s="76"/>
      <c r="O1682" s="76"/>
      <c r="P1682" s="76"/>
      <c r="Q1682" s="76"/>
      <c r="R1682" s="14"/>
      <c r="S1682" s="14"/>
      <c r="T1682" s="14"/>
      <c r="U1682" s="14"/>
      <c r="V1682" s="14"/>
      <c r="W1682" s="14"/>
    </row>
    <row r="1683" ht="35.25" customHeight="1">
      <c r="A1683" s="147"/>
      <c r="B1683" s="148"/>
      <c r="C1683" s="149"/>
      <c r="D1683" s="150"/>
      <c r="E1683" s="151"/>
      <c r="F1683" s="152"/>
      <c r="G1683" s="148"/>
      <c r="H1683" s="76"/>
      <c r="I1683" s="76"/>
      <c r="J1683" s="76"/>
      <c r="K1683" s="76"/>
      <c r="L1683" s="76"/>
      <c r="M1683" s="76"/>
      <c r="N1683" s="76"/>
      <c r="O1683" s="76"/>
      <c r="P1683" s="76"/>
      <c r="Q1683" s="76"/>
      <c r="R1683" s="14"/>
      <c r="S1683" s="14"/>
      <c r="T1683" s="14"/>
      <c r="U1683" s="14"/>
      <c r="V1683" s="14"/>
      <c r="W1683" s="14"/>
    </row>
    <row r="1684" ht="35.25" customHeight="1">
      <c r="A1684" s="147"/>
      <c r="B1684" s="148"/>
      <c r="C1684" s="149"/>
      <c r="D1684" s="150"/>
      <c r="E1684" s="151"/>
      <c r="F1684" s="152"/>
      <c r="G1684" s="148"/>
      <c r="H1684" s="76" t="b">
        <v>0</v>
      </c>
      <c r="I1684" s="76" t="b">
        <v>0</v>
      </c>
      <c r="J1684" s="76" t="b">
        <v>0</v>
      </c>
      <c r="K1684" s="76" t="b">
        <v>0</v>
      </c>
      <c r="L1684" s="76" t="b">
        <v>0</v>
      </c>
      <c r="M1684" s="76" t="b">
        <v>0</v>
      </c>
      <c r="N1684" s="76" t="b">
        <v>0</v>
      </c>
      <c r="O1684" s="76" t="b">
        <v>0</v>
      </c>
      <c r="P1684" s="76" t="b">
        <v>0</v>
      </c>
      <c r="Q1684" s="76" t="b">
        <v>0</v>
      </c>
      <c r="R1684" s="14"/>
      <c r="S1684" s="14"/>
      <c r="T1684" s="14"/>
      <c r="U1684" s="14"/>
      <c r="V1684" s="14"/>
      <c r="W1684" s="14"/>
    </row>
    <row r="1685" ht="35.25" customHeight="1">
      <c r="A1685" s="147"/>
      <c r="B1685" s="148"/>
      <c r="C1685" s="149"/>
      <c r="D1685" s="150"/>
      <c r="E1685" s="151"/>
      <c r="F1685" s="152"/>
      <c r="G1685" s="148"/>
      <c r="H1685" s="76" t="b">
        <v>0</v>
      </c>
      <c r="I1685" s="76" t="b">
        <v>0</v>
      </c>
      <c r="J1685" s="76" t="b">
        <v>0</v>
      </c>
      <c r="K1685" s="76" t="b">
        <v>0</v>
      </c>
      <c r="L1685" s="76" t="b">
        <v>0</v>
      </c>
      <c r="M1685" s="76" t="b">
        <v>0</v>
      </c>
      <c r="N1685" s="76" t="b">
        <v>0</v>
      </c>
      <c r="O1685" s="76" t="b">
        <v>0</v>
      </c>
      <c r="P1685" s="76" t="b">
        <v>0</v>
      </c>
      <c r="Q1685" s="76" t="b">
        <v>0</v>
      </c>
      <c r="R1685" s="14"/>
      <c r="S1685" s="14"/>
      <c r="T1685" s="14"/>
      <c r="U1685" s="14"/>
      <c r="V1685" s="14"/>
      <c r="W1685" s="14"/>
    </row>
    <row r="1686" ht="35.25" customHeight="1">
      <c r="A1686" s="147"/>
      <c r="B1686" s="148"/>
      <c r="C1686" s="149"/>
      <c r="D1686" s="150"/>
      <c r="E1686" s="151"/>
      <c r="F1686" s="152"/>
      <c r="G1686" s="148"/>
      <c r="H1686" s="76" t="b">
        <v>0</v>
      </c>
      <c r="I1686" s="76" t="b">
        <v>0</v>
      </c>
      <c r="J1686" s="76" t="b">
        <v>0</v>
      </c>
      <c r="K1686" s="76" t="b">
        <v>0</v>
      </c>
      <c r="L1686" s="76" t="b">
        <v>0</v>
      </c>
      <c r="M1686" s="76" t="b">
        <v>0</v>
      </c>
      <c r="N1686" s="76" t="b">
        <v>0</v>
      </c>
      <c r="O1686" s="76" t="b">
        <v>0</v>
      </c>
      <c r="P1686" s="76" t="b">
        <v>0</v>
      </c>
      <c r="Q1686" s="76" t="b">
        <v>0</v>
      </c>
      <c r="R1686" s="14"/>
      <c r="S1686" s="14"/>
      <c r="T1686" s="14"/>
      <c r="U1686" s="14"/>
      <c r="V1686" s="14"/>
      <c r="W1686" s="14"/>
    </row>
    <row r="1687" ht="35.25" customHeight="1">
      <c r="A1687" s="147"/>
      <c r="B1687" s="148"/>
      <c r="C1687" s="149"/>
      <c r="D1687" s="150"/>
      <c r="E1687" s="151"/>
      <c r="F1687" s="152"/>
      <c r="G1687" s="148"/>
      <c r="H1687" s="76" t="b">
        <v>0</v>
      </c>
      <c r="I1687" s="76" t="b">
        <v>0</v>
      </c>
      <c r="J1687" s="76" t="b">
        <v>0</v>
      </c>
      <c r="K1687" s="76" t="b">
        <v>0</v>
      </c>
      <c r="L1687" s="76" t="b">
        <v>0</v>
      </c>
      <c r="M1687" s="76" t="b">
        <v>0</v>
      </c>
      <c r="N1687" s="76" t="b">
        <v>0</v>
      </c>
      <c r="O1687" s="76" t="b">
        <v>0</v>
      </c>
      <c r="P1687" s="76" t="b">
        <v>0</v>
      </c>
      <c r="Q1687" s="76" t="b">
        <v>0</v>
      </c>
      <c r="R1687" s="14"/>
      <c r="S1687" s="14"/>
      <c r="T1687" s="14"/>
      <c r="U1687" s="14"/>
      <c r="V1687" s="14"/>
      <c r="W1687" s="14"/>
    </row>
    <row r="1688" ht="35.25" customHeight="1">
      <c r="A1688" s="147"/>
      <c r="B1688" s="148"/>
      <c r="C1688" s="149"/>
      <c r="D1688" s="150"/>
      <c r="E1688" s="151"/>
      <c r="F1688" s="152"/>
      <c r="G1688" s="148"/>
      <c r="H1688" s="76" t="b">
        <v>0</v>
      </c>
      <c r="I1688" s="76" t="b">
        <v>0</v>
      </c>
      <c r="J1688" s="76" t="b">
        <v>0</v>
      </c>
      <c r="K1688" s="76" t="b">
        <v>0</v>
      </c>
      <c r="L1688" s="76" t="b">
        <v>0</v>
      </c>
      <c r="M1688" s="76" t="b">
        <v>0</v>
      </c>
      <c r="N1688" s="76" t="b">
        <v>0</v>
      </c>
      <c r="O1688" s="76" t="b">
        <v>0</v>
      </c>
      <c r="P1688" s="76" t="b">
        <v>0</v>
      </c>
      <c r="Q1688" s="76" t="b">
        <v>0</v>
      </c>
      <c r="R1688" s="14"/>
      <c r="S1688" s="14"/>
      <c r="T1688" s="14"/>
      <c r="U1688" s="14"/>
      <c r="V1688" s="14"/>
      <c r="W1688" s="14"/>
    </row>
    <row r="1689" ht="35.25" customHeight="1">
      <c r="A1689" s="147"/>
      <c r="B1689" s="148"/>
      <c r="C1689" s="149"/>
      <c r="D1689" s="150"/>
      <c r="E1689" s="151"/>
      <c r="F1689" s="152"/>
      <c r="G1689" s="148"/>
      <c r="H1689" s="76" t="b">
        <v>0</v>
      </c>
      <c r="I1689" s="76" t="b">
        <v>0</v>
      </c>
      <c r="J1689" s="76" t="b">
        <v>0</v>
      </c>
      <c r="K1689" s="76" t="b">
        <v>0</v>
      </c>
      <c r="L1689" s="76" t="b">
        <v>0</v>
      </c>
      <c r="M1689" s="76" t="b">
        <v>0</v>
      </c>
      <c r="N1689" s="76" t="b">
        <v>0</v>
      </c>
      <c r="O1689" s="76" t="b">
        <v>0</v>
      </c>
      <c r="P1689" s="76" t="b">
        <v>0</v>
      </c>
      <c r="Q1689" s="76" t="b">
        <v>0</v>
      </c>
      <c r="R1689" s="14"/>
      <c r="S1689" s="14"/>
      <c r="T1689" s="14"/>
      <c r="U1689" s="14"/>
      <c r="V1689" s="14"/>
      <c r="W1689" s="14"/>
    </row>
    <row r="1690" ht="35.25" customHeight="1">
      <c r="A1690" s="147"/>
      <c r="B1690" s="148"/>
      <c r="C1690" s="149"/>
      <c r="D1690" s="150"/>
      <c r="E1690" s="151"/>
      <c r="F1690" s="152"/>
      <c r="G1690" s="148"/>
      <c r="H1690" s="76" t="b">
        <v>0</v>
      </c>
      <c r="I1690" s="76" t="b">
        <v>0</v>
      </c>
      <c r="J1690" s="76" t="b">
        <v>0</v>
      </c>
      <c r="K1690" s="76" t="b">
        <v>0</v>
      </c>
      <c r="L1690" s="76" t="b">
        <v>0</v>
      </c>
      <c r="M1690" s="76" t="b">
        <v>0</v>
      </c>
      <c r="N1690" s="76" t="b">
        <v>0</v>
      </c>
      <c r="O1690" s="76" t="b">
        <v>0</v>
      </c>
      <c r="P1690" s="76" t="b">
        <v>0</v>
      </c>
      <c r="Q1690" s="76" t="b">
        <v>0</v>
      </c>
      <c r="R1690" s="14"/>
      <c r="S1690" s="14"/>
      <c r="T1690" s="14"/>
      <c r="U1690" s="14"/>
      <c r="V1690" s="14"/>
      <c r="W1690" s="14"/>
    </row>
    <row r="1691" ht="35.25" customHeight="1">
      <c r="A1691" s="147"/>
      <c r="B1691" s="148"/>
      <c r="C1691" s="149"/>
      <c r="D1691" s="150"/>
      <c r="E1691" s="151"/>
      <c r="F1691" s="152"/>
      <c r="G1691" s="148"/>
      <c r="H1691" s="76" t="b">
        <v>0</v>
      </c>
      <c r="I1691" s="76" t="b">
        <v>0</v>
      </c>
      <c r="J1691" s="76" t="b">
        <v>0</v>
      </c>
      <c r="K1691" s="76" t="b">
        <v>0</v>
      </c>
      <c r="L1691" s="76" t="b">
        <v>0</v>
      </c>
      <c r="M1691" s="76" t="b">
        <v>0</v>
      </c>
      <c r="N1691" s="76" t="b">
        <v>0</v>
      </c>
      <c r="O1691" s="76" t="b">
        <v>0</v>
      </c>
      <c r="P1691" s="76" t="b">
        <v>0</v>
      </c>
      <c r="Q1691" s="76" t="b">
        <v>0</v>
      </c>
      <c r="R1691" s="14"/>
      <c r="S1691" s="14"/>
      <c r="T1691" s="14"/>
      <c r="U1691" s="14"/>
      <c r="V1691" s="14"/>
      <c r="W1691" s="14"/>
    </row>
    <row r="1692" ht="35.25" customHeight="1">
      <c r="A1692" s="147"/>
      <c r="B1692" s="148"/>
      <c r="C1692" s="149"/>
      <c r="D1692" s="150"/>
      <c r="E1692" s="151"/>
      <c r="F1692" s="152"/>
      <c r="G1692" s="148"/>
      <c r="H1692" s="76" t="b">
        <v>0</v>
      </c>
      <c r="I1692" s="76" t="b">
        <v>0</v>
      </c>
      <c r="J1692" s="76" t="b">
        <v>0</v>
      </c>
      <c r="K1692" s="76" t="b">
        <v>0</v>
      </c>
      <c r="L1692" s="76" t="b">
        <v>0</v>
      </c>
      <c r="M1692" s="76" t="b">
        <v>0</v>
      </c>
      <c r="N1692" s="76" t="b">
        <v>0</v>
      </c>
      <c r="O1692" s="76" t="b">
        <v>0</v>
      </c>
      <c r="P1692" s="76" t="b">
        <v>0</v>
      </c>
      <c r="Q1692" s="76" t="b">
        <v>0</v>
      </c>
      <c r="R1692" s="14"/>
      <c r="S1692" s="14"/>
      <c r="T1692" s="14"/>
      <c r="U1692" s="14"/>
      <c r="V1692" s="14"/>
      <c r="W1692" s="14"/>
    </row>
    <row r="1693" ht="35.25" customHeight="1">
      <c r="A1693" s="147"/>
      <c r="B1693" s="148"/>
      <c r="C1693" s="149"/>
      <c r="D1693" s="150"/>
      <c r="E1693" s="151"/>
      <c r="F1693" s="152"/>
      <c r="G1693" s="148"/>
      <c r="H1693" s="76" t="b">
        <v>0</v>
      </c>
      <c r="I1693" s="76" t="b">
        <v>0</v>
      </c>
      <c r="J1693" s="76" t="b">
        <v>0</v>
      </c>
      <c r="K1693" s="76" t="b">
        <v>0</v>
      </c>
      <c r="L1693" s="76" t="b">
        <v>0</v>
      </c>
      <c r="M1693" s="76" t="b">
        <v>0</v>
      </c>
      <c r="N1693" s="76" t="b">
        <v>0</v>
      </c>
      <c r="O1693" s="76" t="b">
        <v>0</v>
      </c>
      <c r="P1693" s="76" t="b">
        <v>0</v>
      </c>
      <c r="Q1693" s="76" t="b">
        <v>0</v>
      </c>
      <c r="R1693" s="14"/>
      <c r="S1693" s="14"/>
      <c r="T1693" s="14"/>
      <c r="U1693" s="14"/>
      <c r="V1693" s="14"/>
      <c r="W1693" s="14"/>
    </row>
    <row r="1694" ht="35.25" customHeight="1">
      <c r="A1694" s="147"/>
      <c r="B1694" s="148"/>
      <c r="C1694" s="149"/>
      <c r="D1694" s="150"/>
      <c r="E1694" s="151"/>
      <c r="F1694" s="152"/>
      <c r="G1694" s="148"/>
      <c r="H1694" s="76" t="b">
        <v>0</v>
      </c>
      <c r="I1694" s="76" t="b">
        <v>0</v>
      </c>
      <c r="J1694" s="76" t="b">
        <v>0</v>
      </c>
      <c r="K1694" s="76" t="b">
        <v>0</v>
      </c>
      <c r="L1694" s="76" t="b">
        <v>0</v>
      </c>
      <c r="M1694" s="76" t="b">
        <v>0</v>
      </c>
      <c r="N1694" s="76" t="b">
        <v>0</v>
      </c>
      <c r="O1694" s="76" t="b">
        <v>0</v>
      </c>
      <c r="P1694" s="76" t="b">
        <v>0</v>
      </c>
      <c r="Q1694" s="76" t="b">
        <v>0</v>
      </c>
      <c r="R1694" s="14"/>
      <c r="S1694" s="14"/>
      <c r="T1694" s="14"/>
      <c r="U1694" s="14"/>
      <c r="V1694" s="14"/>
      <c r="W1694" s="14"/>
    </row>
    <row r="1695" ht="35.25" customHeight="1">
      <c r="A1695" s="147"/>
      <c r="B1695" s="148"/>
      <c r="C1695" s="149"/>
      <c r="D1695" s="150"/>
      <c r="E1695" s="151"/>
      <c r="F1695" s="152"/>
      <c r="G1695" s="148"/>
      <c r="H1695" s="76" t="b">
        <v>0</v>
      </c>
      <c r="I1695" s="76" t="b">
        <v>0</v>
      </c>
      <c r="J1695" s="76" t="b">
        <v>0</v>
      </c>
      <c r="K1695" s="76" t="b">
        <v>0</v>
      </c>
      <c r="L1695" s="76" t="b">
        <v>0</v>
      </c>
      <c r="M1695" s="76" t="b">
        <v>0</v>
      </c>
      <c r="N1695" s="76" t="b">
        <v>0</v>
      </c>
      <c r="O1695" s="76" t="b">
        <v>0</v>
      </c>
      <c r="P1695" s="76" t="b">
        <v>0</v>
      </c>
      <c r="Q1695" s="76" t="b">
        <v>0</v>
      </c>
      <c r="R1695" s="14"/>
      <c r="S1695" s="14"/>
      <c r="T1695" s="14"/>
      <c r="U1695" s="14"/>
      <c r="V1695" s="14"/>
      <c r="W1695" s="14"/>
    </row>
    <row r="1696" ht="35.25" customHeight="1">
      <c r="A1696" s="147"/>
      <c r="B1696" s="148"/>
      <c r="C1696" s="149"/>
      <c r="D1696" s="150"/>
      <c r="E1696" s="151"/>
      <c r="F1696" s="152"/>
      <c r="G1696" s="148"/>
      <c r="H1696" s="76" t="b">
        <v>1</v>
      </c>
      <c r="I1696" s="76" t="b">
        <v>0</v>
      </c>
      <c r="J1696" s="76" t="b">
        <v>0</v>
      </c>
      <c r="K1696" s="76" t="b">
        <v>0</v>
      </c>
      <c r="L1696" s="76" t="b">
        <v>0</v>
      </c>
      <c r="M1696" s="76" t="b">
        <v>0</v>
      </c>
      <c r="N1696" s="76" t="b">
        <v>0</v>
      </c>
      <c r="O1696" s="76" t="b">
        <v>0</v>
      </c>
      <c r="P1696" s="76" t="b">
        <v>0</v>
      </c>
      <c r="Q1696" s="76" t="b">
        <v>0</v>
      </c>
      <c r="R1696" s="14"/>
      <c r="S1696" s="14"/>
      <c r="T1696" s="14"/>
      <c r="U1696" s="14"/>
      <c r="V1696" s="14"/>
      <c r="W1696" s="14"/>
    </row>
    <row r="1697" ht="35.25" customHeight="1">
      <c r="A1697" s="147"/>
      <c r="B1697" s="148"/>
      <c r="C1697" s="149"/>
      <c r="D1697" s="150"/>
      <c r="E1697" s="151"/>
      <c r="F1697" s="152"/>
      <c r="G1697" s="148"/>
      <c r="H1697" s="76" t="b">
        <v>1</v>
      </c>
      <c r="I1697" s="76" t="b">
        <v>0</v>
      </c>
      <c r="J1697" s="76" t="b">
        <v>0</v>
      </c>
      <c r="K1697" s="76" t="b">
        <v>0</v>
      </c>
      <c r="L1697" s="76" t="b">
        <v>0</v>
      </c>
      <c r="M1697" s="76" t="b">
        <v>0</v>
      </c>
      <c r="N1697" s="76" t="b">
        <v>0</v>
      </c>
      <c r="O1697" s="76" t="b">
        <v>0</v>
      </c>
      <c r="P1697" s="76" t="b">
        <v>0</v>
      </c>
      <c r="Q1697" s="76" t="b">
        <v>0</v>
      </c>
      <c r="R1697" s="14"/>
      <c r="S1697" s="14"/>
      <c r="T1697" s="14"/>
      <c r="U1697" s="14"/>
      <c r="V1697" s="14"/>
      <c r="W1697" s="14"/>
    </row>
    <row r="1698" ht="35.25" customHeight="1">
      <c r="A1698" s="147"/>
      <c r="B1698" s="148"/>
      <c r="C1698" s="149"/>
      <c r="D1698" s="150"/>
      <c r="E1698" s="151"/>
      <c r="F1698" s="152"/>
      <c r="G1698" s="148"/>
      <c r="H1698" s="76" t="b">
        <v>1</v>
      </c>
      <c r="I1698" s="76" t="b">
        <v>0</v>
      </c>
      <c r="J1698" s="76" t="b">
        <v>0</v>
      </c>
      <c r="K1698" s="76" t="b">
        <v>0</v>
      </c>
      <c r="L1698" s="76" t="b">
        <v>0</v>
      </c>
      <c r="M1698" s="76" t="b">
        <v>0</v>
      </c>
      <c r="N1698" s="76" t="b">
        <v>0</v>
      </c>
      <c r="O1698" s="76" t="b">
        <v>0</v>
      </c>
      <c r="P1698" s="76" t="b">
        <v>0</v>
      </c>
      <c r="Q1698" s="76" t="b">
        <v>0</v>
      </c>
      <c r="R1698" s="14"/>
      <c r="S1698" s="14"/>
      <c r="T1698" s="14"/>
      <c r="U1698" s="14"/>
      <c r="V1698" s="14"/>
      <c r="W1698" s="14"/>
    </row>
    <row r="1699" ht="35.25" customHeight="1">
      <c r="A1699" s="147"/>
      <c r="B1699" s="148"/>
      <c r="C1699" s="149"/>
      <c r="D1699" s="150"/>
      <c r="E1699" s="151"/>
      <c r="F1699" s="152"/>
      <c r="G1699" s="148"/>
      <c r="H1699" s="76" t="b">
        <v>1</v>
      </c>
      <c r="I1699" s="76" t="b">
        <v>0</v>
      </c>
      <c r="J1699" s="76" t="b">
        <v>0</v>
      </c>
      <c r="K1699" s="76" t="b">
        <v>0</v>
      </c>
      <c r="L1699" s="76" t="b">
        <v>0</v>
      </c>
      <c r="M1699" s="76" t="b">
        <v>0</v>
      </c>
      <c r="N1699" s="76" t="b">
        <v>0</v>
      </c>
      <c r="O1699" s="76" t="b">
        <v>0</v>
      </c>
      <c r="P1699" s="76" t="b">
        <v>0</v>
      </c>
      <c r="Q1699" s="76" t="b">
        <v>0</v>
      </c>
      <c r="R1699" s="14"/>
      <c r="S1699" s="14"/>
      <c r="T1699" s="14"/>
      <c r="U1699" s="14"/>
      <c r="V1699" s="14"/>
      <c r="W1699" s="14"/>
    </row>
    <row r="1700" ht="35.25" customHeight="1">
      <c r="A1700" s="147"/>
      <c r="B1700" s="148"/>
      <c r="C1700" s="149"/>
      <c r="D1700" s="150"/>
      <c r="E1700" s="151"/>
      <c r="F1700" s="152"/>
      <c r="G1700" s="148"/>
      <c r="H1700" s="76" t="b">
        <v>1</v>
      </c>
      <c r="I1700" s="76" t="b">
        <v>0</v>
      </c>
      <c r="J1700" s="76" t="b">
        <v>0</v>
      </c>
      <c r="K1700" s="76" t="b">
        <v>0</v>
      </c>
      <c r="L1700" s="76" t="b">
        <v>0</v>
      </c>
      <c r="M1700" s="76" t="b">
        <v>0</v>
      </c>
      <c r="N1700" s="76" t="b">
        <v>0</v>
      </c>
      <c r="O1700" s="76" t="b">
        <v>0</v>
      </c>
      <c r="P1700" s="76" t="b">
        <v>0</v>
      </c>
      <c r="Q1700" s="76" t="b">
        <v>0</v>
      </c>
      <c r="R1700" s="14"/>
      <c r="S1700" s="14"/>
      <c r="T1700" s="14"/>
      <c r="U1700" s="14"/>
      <c r="V1700" s="14"/>
      <c r="W1700" s="14"/>
    </row>
    <row r="1701" ht="35.25" customHeight="1">
      <c r="A1701" s="147"/>
      <c r="B1701" s="148"/>
      <c r="C1701" s="149"/>
      <c r="D1701" s="150"/>
      <c r="E1701" s="151"/>
      <c r="F1701" s="152"/>
      <c r="G1701" s="148"/>
      <c r="H1701" s="76" t="b">
        <v>1</v>
      </c>
      <c r="I1701" s="76" t="b">
        <v>0</v>
      </c>
      <c r="J1701" s="76" t="b">
        <v>0</v>
      </c>
      <c r="K1701" s="76" t="b">
        <v>0</v>
      </c>
      <c r="L1701" s="76" t="b">
        <v>0</v>
      </c>
      <c r="M1701" s="76" t="b">
        <v>0</v>
      </c>
      <c r="N1701" s="76" t="b">
        <v>0</v>
      </c>
      <c r="O1701" s="76" t="b">
        <v>0</v>
      </c>
      <c r="P1701" s="76" t="b">
        <v>0</v>
      </c>
      <c r="Q1701" s="76" t="b">
        <v>0</v>
      </c>
      <c r="R1701" s="14"/>
      <c r="S1701" s="14"/>
      <c r="T1701" s="14"/>
      <c r="U1701" s="14"/>
      <c r="V1701" s="14"/>
      <c r="W1701" s="14"/>
    </row>
    <row r="1702" ht="35.25" customHeight="1">
      <c r="A1702" s="147"/>
      <c r="B1702" s="148"/>
      <c r="C1702" s="149"/>
      <c r="D1702" s="150"/>
      <c r="E1702" s="151"/>
      <c r="F1702" s="152"/>
      <c r="G1702" s="148"/>
      <c r="H1702" s="76" t="b">
        <v>1</v>
      </c>
      <c r="I1702" s="76" t="b">
        <v>0</v>
      </c>
      <c r="J1702" s="76" t="b">
        <v>0</v>
      </c>
      <c r="K1702" s="76" t="b">
        <v>0</v>
      </c>
      <c r="L1702" s="76" t="b">
        <v>0</v>
      </c>
      <c r="M1702" s="76" t="b">
        <v>0</v>
      </c>
      <c r="N1702" s="76" t="b">
        <v>0</v>
      </c>
      <c r="O1702" s="76" t="b">
        <v>0</v>
      </c>
      <c r="P1702" s="76" t="b">
        <v>0</v>
      </c>
      <c r="Q1702" s="76" t="b">
        <v>0</v>
      </c>
      <c r="R1702" s="14"/>
      <c r="S1702" s="14"/>
      <c r="T1702" s="14"/>
      <c r="U1702" s="14"/>
      <c r="V1702" s="14"/>
      <c r="W1702" s="14"/>
    </row>
    <row r="1703" ht="35.25" customHeight="1">
      <c r="A1703" s="147"/>
      <c r="B1703" s="148"/>
      <c r="C1703" s="149"/>
      <c r="D1703" s="150"/>
      <c r="E1703" s="151"/>
      <c r="F1703" s="152"/>
      <c r="G1703" s="148"/>
      <c r="H1703" s="76" t="b">
        <v>1</v>
      </c>
      <c r="I1703" s="76" t="b">
        <v>0</v>
      </c>
      <c r="J1703" s="76" t="b">
        <v>0</v>
      </c>
      <c r="K1703" s="76" t="b">
        <v>0</v>
      </c>
      <c r="L1703" s="76" t="b">
        <v>0</v>
      </c>
      <c r="M1703" s="76" t="b">
        <v>0</v>
      </c>
      <c r="N1703" s="76" t="b">
        <v>0</v>
      </c>
      <c r="O1703" s="76" t="b">
        <v>0</v>
      </c>
      <c r="P1703" s="76" t="b">
        <v>0</v>
      </c>
      <c r="Q1703" s="76" t="b">
        <v>0</v>
      </c>
      <c r="R1703" s="14"/>
      <c r="S1703" s="14"/>
      <c r="T1703" s="14"/>
      <c r="U1703" s="14"/>
      <c r="V1703" s="14"/>
      <c r="W1703" s="14"/>
    </row>
    <row r="1704" ht="35.25" customHeight="1">
      <c r="A1704" s="147"/>
      <c r="B1704" s="148"/>
      <c r="C1704" s="149"/>
      <c r="D1704" s="150"/>
      <c r="E1704" s="151"/>
      <c r="F1704" s="152"/>
      <c r="G1704" s="148"/>
      <c r="H1704" s="76" t="b">
        <v>1</v>
      </c>
      <c r="I1704" s="76" t="b">
        <v>0</v>
      </c>
      <c r="J1704" s="76" t="b">
        <v>0</v>
      </c>
      <c r="K1704" s="76" t="b">
        <v>0</v>
      </c>
      <c r="L1704" s="76" t="b">
        <v>0</v>
      </c>
      <c r="M1704" s="76" t="b">
        <v>0</v>
      </c>
      <c r="N1704" s="76" t="b">
        <v>0</v>
      </c>
      <c r="O1704" s="76" t="b">
        <v>0</v>
      </c>
      <c r="P1704" s="76" t="b">
        <v>0</v>
      </c>
      <c r="Q1704" s="76" t="b">
        <v>0</v>
      </c>
      <c r="R1704" s="14"/>
      <c r="S1704" s="14"/>
      <c r="T1704" s="14"/>
      <c r="U1704" s="14"/>
      <c r="V1704" s="14"/>
      <c r="W1704" s="14"/>
    </row>
    <row r="1705" ht="35.25" customHeight="1">
      <c r="A1705" s="147"/>
      <c r="B1705" s="148"/>
      <c r="C1705" s="149"/>
      <c r="D1705" s="150"/>
      <c r="E1705" s="151"/>
      <c r="F1705" s="152"/>
      <c r="G1705" s="148"/>
      <c r="H1705" s="76" t="b">
        <v>1</v>
      </c>
      <c r="I1705" s="76" t="b">
        <v>0</v>
      </c>
      <c r="J1705" s="76" t="b">
        <v>0</v>
      </c>
      <c r="K1705" s="76" t="b">
        <v>0</v>
      </c>
      <c r="L1705" s="76" t="b">
        <v>0</v>
      </c>
      <c r="M1705" s="76" t="b">
        <v>0</v>
      </c>
      <c r="N1705" s="76" t="b">
        <v>0</v>
      </c>
      <c r="O1705" s="76" t="b">
        <v>0</v>
      </c>
      <c r="P1705" s="76" t="b">
        <v>0</v>
      </c>
      <c r="Q1705" s="76" t="b">
        <v>0</v>
      </c>
      <c r="R1705" s="14"/>
      <c r="S1705" s="14"/>
      <c r="T1705" s="14"/>
      <c r="U1705" s="14"/>
      <c r="V1705" s="14"/>
      <c r="W1705" s="14"/>
    </row>
    <row r="1706" ht="35.25" customHeight="1">
      <c r="A1706" s="147"/>
      <c r="B1706" s="148"/>
      <c r="C1706" s="149"/>
      <c r="D1706" s="150"/>
      <c r="E1706" s="151"/>
      <c r="F1706" s="152"/>
      <c r="G1706" s="148"/>
      <c r="H1706" s="76" t="b">
        <v>1</v>
      </c>
      <c r="I1706" s="76" t="b">
        <v>0</v>
      </c>
      <c r="J1706" s="76" t="b">
        <v>0</v>
      </c>
      <c r="K1706" s="76" t="b">
        <v>0</v>
      </c>
      <c r="L1706" s="76" t="b">
        <v>0</v>
      </c>
      <c r="M1706" s="76" t="b">
        <v>0</v>
      </c>
      <c r="N1706" s="76" t="b">
        <v>0</v>
      </c>
      <c r="O1706" s="76" t="b">
        <v>0</v>
      </c>
      <c r="P1706" s="76" t="b">
        <v>0</v>
      </c>
      <c r="Q1706" s="76" t="b">
        <v>0</v>
      </c>
      <c r="R1706" s="14"/>
      <c r="S1706" s="14"/>
      <c r="T1706" s="14"/>
      <c r="U1706" s="14"/>
      <c r="V1706" s="14"/>
      <c r="W1706" s="14"/>
    </row>
    <row r="1707" ht="35.25" customHeight="1">
      <c r="A1707" s="147"/>
      <c r="B1707" s="148"/>
      <c r="C1707" s="149"/>
      <c r="D1707" s="150"/>
      <c r="E1707" s="151"/>
      <c r="F1707" s="152"/>
      <c r="G1707" s="148"/>
      <c r="H1707" s="76" t="b">
        <v>1</v>
      </c>
      <c r="I1707" s="76" t="b">
        <v>0</v>
      </c>
      <c r="J1707" s="76" t="b">
        <v>0</v>
      </c>
      <c r="K1707" s="76" t="b">
        <v>0</v>
      </c>
      <c r="L1707" s="76" t="b">
        <v>0</v>
      </c>
      <c r="M1707" s="76" t="b">
        <v>0</v>
      </c>
      <c r="N1707" s="76" t="b">
        <v>0</v>
      </c>
      <c r="O1707" s="76" t="b">
        <v>0</v>
      </c>
      <c r="P1707" s="76" t="b">
        <v>0</v>
      </c>
      <c r="Q1707" s="76" t="b">
        <v>0</v>
      </c>
      <c r="R1707" s="14"/>
      <c r="S1707" s="14"/>
      <c r="T1707" s="14"/>
      <c r="U1707" s="14"/>
      <c r="V1707" s="14"/>
      <c r="W1707" s="14"/>
    </row>
    <row r="1708" ht="35.25" customHeight="1">
      <c r="A1708" s="147"/>
      <c r="B1708" s="148"/>
      <c r="C1708" s="149"/>
      <c r="D1708" s="150"/>
      <c r="E1708" s="151"/>
      <c r="F1708" s="152"/>
      <c r="G1708" s="148"/>
      <c r="H1708" s="76" t="b">
        <v>1</v>
      </c>
      <c r="I1708" s="76" t="b">
        <v>0</v>
      </c>
      <c r="J1708" s="76" t="b">
        <v>0</v>
      </c>
      <c r="K1708" s="76" t="b">
        <v>0</v>
      </c>
      <c r="L1708" s="76" t="b">
        <v>0</v>
      </c>
      <c r="M1708" s="76" t="b">
        <v>0</v>
      </c>
      <c r="N1708" s="76" t="b">
        <v>0</v>
      </c>
      <c r="O1708" s="76" t="b">
        <v>0</v>
      </c>
      <c r="P1708" s="76" t="b">
        <v>0</v>
      </c>
      <c r="Q1708" s="76" t="b">
        <v>0</v>
      </c>
      <c r="R1708" s="14"/>
      <c r="S1708" s="14"/>
      <c r="T1708" s="14"/>
      <c r="U1708" s="14"/>
      <c r="V1708" s="14"/>
      <c r="W1708" s="14"/>
    </row>
    <row r="1709" ht="35.25" customHeight="1">
      <c r="A1709" s="147"/>
      <c r="B1709" s="148"/>
      <c r="C1709" s="149"/>
      <c r="D1709" s="150"/>
      <c r="E1709" s="151"/>
      <c r="F1709" s="152"/>
      <c r="G1709" s="148"/>
      <c r="H1709" s="76" t="b">
        <v>1</v>
      </c>
      <c r="I1709" s="76" t="b">
        <v>0</v>
      </c>
      <c r="J1709" s="76" t="b">
        <v>0</v>
      </c>
      <c r="K1709" s="76" t="b">
        <v>0</v>
      </c>
      <c r="L1709" s="76" t="b">
        <v>0</v>
      </c>
      <c r="M1709" s="76" t="b">
        <v>0</v>
      </c>
      <c r="N1709" s="76" t="b">
        <v>0</v>
      </c>
      <c r="O1709" s="76" t="b">
        <v>0</v>
      </c>
      <c r="P1709" s="76" t="b">
        <v>0</v>
      </c>
      <c r="Q1709" s="76" t="b">
        <v>0</v>
      </c>
      <c r="R1709" s="14"/>
      <c r="S1709" s="14"/>
      <c r="T1709" s="14"/>
      <c r="U1709" s="14"/>
      <c r="V1709" s="14"/>
      <c r="W1709" s="14"/>
    </row>
    <row r="1710" ht="35.25" customHeight="1">
      <c r="A1710" s="147"/>
      <c r="B1710" s="148"/>
      <c r="C1710" s="149"/>
      <c r="D1710" s="150"/>
      <c r="E1710" s="151"/>
      <c r="F1710" s="152"/>
      <c r="G1710" s="148"/>
      <c r="H1710" s="76" t="b">
        <v>1</v>
      </c>
      <c r="I1710" s="76" t="b">
        <v>0</v>
      </c>
      <c r="J1710" s="76" t="b">
        <v>0</v>
      </c>
      <c r="K1710" s="76" t="b">
        <v>0</v>
      </c>
      <c r="L1710" s="76" t="b">
        <v>0</v>
      </c>
      <c r="M1710" s="76" t="b">
        <v>0</v>
      </c>
      <c r="N1710" s="76" t="b">
        <v>0</v>
      </c>
      <c r="O1710" s="76" t="b">
        <v>0</v>
      </c>
      <c r="P1710" s="76" t="b">
        <v>0</v>
      </c>
      <c r="Q1710" s="76" t="b">
        <v>0</v>
      </c>
      <c r="R1710" s="14"/>
      <c r="S1710" s="14"/>
      <c r="T1710" s="14"/>
      <c r="U1710" s="14"/>
      <c r="V1710" s="14"/>
      <c r="W1710" s="14"/>
    </row>
    <row r="1711" ht="35.25" customHeight="1">
      <c r="A1711" s="147"/>
      <c r="B1711" s="148"/>
      <c r="C1711" s="149"/>
      <c r="D1711" s="150"/>
      <c r="E1711" s="151"/>
      <c r="F1711" s="152"/>
      <c r="G1711" s="148"/>
      <c r="H1711" s="76" t="b">
        <v>1</v>
      </c>
      <c r="I1711" s="76" t="b">
        <v>0</v>
      </c>
      <c r="J1711" s="76" t="b">
        <v>0</v>
      </c>
      <c r="K1711" s="76" t="b">
        <v>0</v>
      </c>
      <c r="L1711" s="76" t="b">
        <v>0</v>
      </c>
      <c r="M1711" s="76" t="b">
        <v>0</v>
      </c>
      <c r="N1711" s="76" t="b">
        <v>0</v>
      </c>
      <c r="O1711" s="76" t="b">
        <v>0</v>
      </c>
      <c r="P1711" s="76" t="b">
        <v>0</v>
      </c>
      <c r="Q1711" s="76" t="b">
        <v>0</v>
      </c>
      <c r="R1711" s="14"/>
      <c r="S1711" s="14"/>
      <c r="T1711" s="14"/>
      <c r="U1711" s="14"/>
      <c r="V1711" s="14"/>
      <c r="W1711" s="14"/>
    </row>
    <row r="1712" ht="35.25" customHeight="1">
      <c r="A1712" s="147"/>
      <c r="B1712" s="148"/>
      <c r="C1712" s="149"/>
      <c r="D1712" s="150"/>
      <c r="E1712" s="151"/>
      <c r="F1712" s="152"/>
      <c r="G1712" s="148"/>
      <c r="H1712" s="76" t="b">
        <v>1</v>
      </c>
      <c r="I1712" s="76" t="b">
        <v>0</v>
      </c>
      <c r="J1712" s="76" t="b">
        <v>0</v>
      </c>
      <c r="K1712" s="76" t="b">
        <v>0</v>
      </c>
      <c r="L1712" s="76" t="b">
        <v>0</v>
      </c>
      <c r="M1712" s="76" t="b">
        <v>0</v>
      </c>
      <c r="N1712" s="76" t="b">
        <v>0</v>
      </c>
      <c r="O1712" s="76" t="b">
        <v>0</v>
      </c>
      <c r="P1712" s="76" t="b">
        <v>0</v>
      </c>
      <c r="Q1712" s="76" t="b">
        <v>0</v>
      </c>
      <c r="R1712" s="14"/>
      <c r="S1712" s="14"/>
      <c r="T1712" s="14"/>
      <c r="U1712" s="14"/>
      <c r="V1712" s="14"/>
      <c r="W1712" s="14"/>
    </row>
    <row r="1713" ht="35.25" customHeight="1">
      <c r="A1713" s="147"/>
      <c r="B1713" s="148"/>
      <c r="C1713" s="149"/>
      <c r="D1713" s="150"/>
      <c r="E1713" s="151"/>
      <c r="F1713" s="152"/>
      <c r="G1713" s="148"/>
      <c r="H1713" s="76" t="b">
        <v>1</v>
      </c>
      <c r="I1713" s="76" t="b">
        <v>0</v>
      </c>
      <c r="J1713" s="76" t="b">
        <v>0</v>
      </c>
      <c r="K1713" s="76" t="b">
        <v>0</v>
      </c>
      <c r="L1713" s="76" t="b">
        <v>0</v>
      </c>
      <c r="M1713" s="76" t="b">
        <v>0</v>
      </c>
      <c r="N1713" s="76" t="b">
        <v>0</v>
      </c>
      <c r="O1713" s="76" t="b">
        <v>0</v>
      </c>
      <c r="P1713" s="76" t="b">
        <v>0</v>
      </c>
      <c r="Q1713" s="76" t="b">
        <v>0</v>
      </c>
      <c r="R1713" s="14"/>
      <c r="S1713" s="14"/>
      <c r="T1713" s="14"/>
      <c r="U1713" s="14"/>
      <c r="V1713" s="14"/>
      <c r="W1713" s="14"/>
    </row>
    <row r="1714" ht="35.25" customHeight="1">
      <c r="A1714" s="147"/>
      <c r="B1714" s="148"/>
      <c r="C1714" s="149"/>
      <c r="D1714" s="150"/>
      <c r="E1714" s="151"/>
      <c r="F1714" s="152"/>
      <c r="G1714" s="148"/>
      <c r="H1714" s="76" t="b">
        <v>1</v>
      </c>
      <c r="I1714" s="76" t="b">
        <v>0</v>
      </c>
      <c r="J1714" s="76" t="b">
        <v>0</v>
      </c>
      <c r="K1714" s="76" t="b">
        <v>0</v>
      </c>
      <c r="L1714" s="76" t="b">
        <v>0</v>
      </c>
      <c r="M1714" s="76" t="b">
        <v>0</v>
      </c>
      <c r="N1714" s="76" t="b">
        <v>0</v>
      </c>
      <c r="O1714" s="76" t="b">
        <v>0</v>
      </c>
      <c r="P1714" s="76" t="b">
        <v>0</v>
      </c>
      <c r="Q1714" s="76" t="b">
        <v>0</v>
      </c>
      <c r="R1714" s="14"/>
      <c r="S1714" s="14"/>
      <c r="T1714" s="14"/>
      <c r="U1714" s="14"/>
      <c r="V1714" s="14"/>
      <c r="W1714" s="14"/>
    </row>
    <row r="1715" ht="35.25" customHeight="1">
      <c r="A1715" s="147"/>
      <c r="B1715" s="148"/>
      <c r="C1715" s="149"/>
      <c r="D1715" s="150"/>
      <c r="E1715" s="151"/>
      <c r="F1715" s="152"/>
      <c r="G1715" s="148"/>
      <c r="H1715" s="76" t="b">
        <v>1</v>
      </c>
      <c r="I1715" s="76" t="b">
        <v>0</v>
      </c>
      <c r="J1715" s="76" t="b">
        <v>0</v>
      </c>
      <c r="K1715" s="76" t="b">
        <v>0</v>
      </c>
      <c r="L1715" s="76" t="b">
        <v>0</v>
      </c>
      <c r="M1715" s="76" t="b">
        <v>0</v>
      </c>
      <c r="N1715" s="76" t="b">
        <v>0</v>
      </c>
      <c r="O1715" s="76" t="b">
        <v>0</v>
      </c>
      <c r="P1715" s="76" t="b">
        <v>0</v>
      </c>
      <c r="Q1715" s="76" t="b">
        <v>0</v>
      </c>
      <c r="R1715" s="14"/>
      <c r="S1715" s="14"/>
      <c r="T1715" s="14"/>
      <c r="U1715" s="14"/>
      <c r="V1715" s="14"/>
      <c r="W1715" s="14"/>
    </row>
    <row r="1716" ht="35.25" customHeight="1">
      <c r="A1716" s="147"/>
      <c r="B1716" s="148"/>
      <c r="C1716" s="149"/>
      <c r="D1716" s="150"/>
      <c r="E1716" s="151"/>
      <c r="F1716" s="152"/>
      <c r="G1716" s="148"/>
      <c r="H1716" s="76" t="b">
        <v>1</v>
      </c>
      <c r="I1716" s="76" t="b">
        <v>0</v>
      </c>
      <c r="J1716" s="76" t="b">
        <v>0</v>
      </c>
      <c r="K1716" s="76" t="b">
        <v>0</v>
      </c>
      <c r="L1716" s="76" t="b">
        <v>0</v>
      </c>
      <c r="M1716" s="76" t="b">
        <v>0</v>
      </c>
      <c r="N1716" s="76" t="b">
        <v>0</v>
      </c>
      <c r="O1716" s="76" t="b">
        <v>0</v>
      </c>
      <c r="P1716" s="76" t="b">
        <v>0</v>
      </c>
      <c r="Q1716" s="76" t="b">
        <v>0</v>
      </c>
      <c r="R1716" s="14"/>
      <c r="S1716" s="14"/>
      <c r="T1716" s="14"/>
      <c r="U1716" s="14"/>
      <c r="V1716" s="14"/>
      <c r="W1716" s="14"/>
    </row>
    <row r="1717" ht="35.25" customHeight="1">
      <c r="A1717" s="147"/>
      <c r="B1717" s="148"/>
      <c r="C1717" s="149"/>
      <c r="D1717" s="150"/>
      <c r="E1717" s="151"/>
      <c r="F1717" s="152"/>
      <c r="G1717" s="148"/>
      <c r="H1717" s="76" t="b">
        <v>1</v>
      </c>
      <c r="I1717" s="76" t="b">
        <v>0</v>
      </c>
      <c r="J1717" s="76" t="b">
        <v>0</v>
      </c>
      <c r="K1717" s="76" t="b">
        <v>0</v>
      </c>
      <c r="L1717" s="76" t="b">
        <v>0</v>
      </c>
      <c r="M1717" s="76" t="b">
        <v>0</v>
      </c>
      <c r="N1717" s="76" t="b">
        <v>0</v>
      </c>
      <c r="O1717" s="76" t="b">
        <v>0</v>
      </c>
      <c r="P1717" s="76" t="b">
        <v>0</v>
      </c>
      <c r="Q1717" s="76" t="b">
        <v>0</v>
      </c>
      <c r="R1717" s="14"/>
      <c r="S1717" s="14"/>
      <c r="T1717" s="14"/>
      <c r="U1717" s="14"/>
      <c r="V1717" s="14"/>
      <c r="W1717" s="14"/>
    </row>
    <row r="1718" ht="35.25" customHeight="1">
      <c r="A1718" s="147"/>
      <c r="B1718" s="148"/>
      <c r="C1718" s="149"/>
      <c r="D1718" s="150"/>
      <c r="E1718" s="151"/>
      <c r="F1718" s="152"/>
      <c r="G1718" s="148"/>
      <c r="H1718" s="76" t="b">
        <v>1</v>
      </c>
      <c r="I1718" s="76" t="b">
        <v>0</v>
      </c>
      <c r="J1718" s="76" t="b">
        <v>0</v>
      </c>
      <c r="K1718" s="76" t="b">
        <v>0</v>
      </c>
      <c r="L1718" s="76" t="b">
        <v>0</v>
      </c>
      <c r="M1718" s="76" t="b">
        <v>0</v>
      </c>
      <c r="N1718" s="76" t="b">
        <v>0</v>
      </c>
      <c r="O1718" s="76" t="b">
        <v>0</v>
      </c>
      <c r="P1718" s="76" t="b">
        <v>0</v>
      </c>
      <c r="Q1718" s="76" t="b">
        <v>0</v>
      </c>
      <c r="R1718" s="14"/>
      <c r="S1718" s="14"/>
      <c r="T1718" s="14"/>
      <c r="U1718" s="14"/>
      <c r="V1718" s="14"/>
      <c r="W1718" s="14"/>
    </row>
    <row r="1719" ht="35.25" customHeight="1">
      <c r="A1719" s="147"/>
      <c r="B1719" s="148"/>
      <c r="C1719" s="149"/>
      <c r="D1719" s="150"/>
      <c r="E1719" s="151"/>
      <c r="F1719" s="152"/>
      <c r="G1719" s="148"/>
      <c r="H1719" s="76" t="b">
        <v>1</v>
      </c>
      <c r="I1719" s="76" t="b">
        <v>0</v>
      </c>
      <c r="J1719" s="76" t="b">
        <v>0</v>
      </c>
      <c r="K1719" s="76" t="b">
        <v>0</v>
      </c>
      <c r="L1719" s="76" t="b">
        <v>0</v>
      </c>
      <c r="M1719" s="76" t="b">
        <v>0</v>
      </c>
      <c r="N1719" s="76" t="b">
        <v>0</v>
      </c>
      <c r="O1719" s="76" t="b">
        <v>0</v>
      </c>
      <c r="P1719" s="76" t="b">
        <v>0</v>
      </c>
      <c r="Q1719" s="76" t="b">
        <v>0</v>
      </c>
      <c r="R1719" s="14"/>
      <c r="S1719" s="14"/>
      <c r="T1719" s="14"/>
      <c r="U1719" s="14"/>
      <c r="V1719" s="14"/>
      <c r="W1719" s="14"/>
    </row>
    <row r="1720" ht="35.25" customHeight="1">
      <c r="A1720" s="147"/>
      <c r="B1720" s="148"/>
      <c r="C1720" s="149"/>
      <c r="D1720" s="150"/>
      <c r="E1720" s="151"/>
      <c r="F1720" s="152"/>
      <c r="G1720" s="148"/>
      <c r="H1720" s="76" t="b">
        <v>1</v>
      </c>
      <c r="I1720" s="76" t="b">
        <v>0</v>
      </c>
      <c r="J1720" s="76" t="b">
        <v>0</v>
      </c>
      <c r="K1720" s="76" t="b">
        <v>0</v>
      </c>
      <c r="L1720" s="76" t="b">
        <v>0</v>
      </c>
      <c r="M1720" s="76" t="b">
        <v>0</v>
      </c>
      <c r="N1720" s="76" t="b">
        <v>0</v>
      </c>
      <c r="O1720" s="76" t="b">
        <v>0</v>
      </c>
      <c r="P1720" s="76" t="b">
        <v>0</v>
      </c>
      <c r="Q1720" s="76" t="b">
        <v>0</v>
      </c>
      <c r="R1720" s="14"/>
      <c r="S1720" s="14"/>
      <c r="T1720" s="14"/>
      <c r="U1720" s="14"/>
      <c r="V1720" s="14"/>
      <c r="W1720" s="14"/>
    </row>
    <row r="1721" ht="35.25" customHeight="1">
      <c r="A1721" s="147"/>
      <c r="B1721" s="148"/>
      <c r="C1721" s="149"/>
      <c r="D1721" s="150"/>
      <c r="E1721" s="151"/>
      <c r="F1721" s="152"/>
      <c r="G1721" s="148"/>
      <c r="H1721" s="76" t="b">
        <v>1</v>
      </c>
      <c r="I1721" s="76" t="b">
        <v>0</v>
      </c>
      <c r="J1721" s="76" t="b">
        <v>0</v>
      </c>
      <c r="K1721" s="76" t="b">
        <v>0</v>
      </c>
      <c r="L1721" s="76" t="b">
        <v>0</v>
      </c>
      <c r="M1721" s="76" t="b">
        <v>0</v>
      </c>
      <c r="N1721" s="76" t="b">
        <v>0</v>
      </c>
      <c r="O1721" s="76" t="b">
        <v>0</v>
      </c>
      <c r="P1721" s="76" t="b">
        <v>0</v>
      </c>
      <c r="Q1721" s="76" t="b">
        <v>0</v>
      </c>
      <c r="R1721" s="14"/>
      <c r="S1721" s="14"/>
      <c r="T1721" s="14"/>
      <c r="U1721" s="14"/>
      <c r="V1721" s="14"/>
      <c r="W1721" s="14"/>
    </row>
    <row r="1722" ht="35.25" customHeight="1">
      <c r="A1722" s="147"/>
      <c r="B1722" s="148"/>
      <c r="C1722" s="149"/>
      <c r="D1722" s="150"/>
      <c r="E1722" s="151"/>
      <c r="F1722" s="152"/>
      <c r="G1722" s="148"/>
      <c r="H1722" s="76" t="b">
        <v>1</v>
      </c>
      <c r="I1722" s="76" t="b">
        <v>0</v>
      </c>
      <c r="J1722" s="76" t="b">
        <v>0</v>
      </c>
      <c r="K1722" s="76" t="b">
        <v>0</v>
      </c>
      <c r="L1722" s="76" t="b">
        <v>0</v>
      </c>
      <c r="M1722" s="76" t="b">
        <v>0</v>
      </c>
      <c r="N1722" s="76" t="b">
        <v>0</v>
      </c>
      <c r="O1722" s="76" t="b">
        <v>0</v>
      </c>
      <c r="P1722" s="76" t="b">
        <v>0</v>
      </c>
      <c r="Q1722" s="76" t="b">
        <v>0</v>
      </c>
      <c r="R1722" s="14"/>
      <c r="S1722" s="14"/>
      <c r="T1722" s="14"/>
      <c r="U1722" s="14"/>
      <c r="V1722" s="14"/>
      <c r="W1722" s="14"/>
    </row>
    <row r="1723" ht="35.25" customHeight="1">
      <c r="A1723" s="147"/>
      <c r="B1723" s="148"/>
      <c r="C1723" s="149"/>
      <c r="D1723" s="150"/>
      <c r="E1723" s="151"/>
      <c r="F1723" s="152"/>
      <c r="G1723" s="148"/>
      <c r="H1723" s="76" t="b">
        <v>1</v>
      </c>
      <c r="I1723" s="76" t="b">
        <v>0</v>
      </c>
      <c r="J1723" s="76" t="b">
        <v>0</v>
      </c>
      <c r="K1723" s="76" t="b">
        <v>0</v>
      </c>
      <c r="L1723" s="76" t="b">
        <v>0</v>
      </c>
      <c r="M1723" s="76" t="b">
        <v>0</v>
      </c>
      <c r="N1723" s="76" t="b">
        <v>0</v>
      </c>
      <c r="O1723" s="76" t="b">
        <v>0</v>
      </c>
      <c r="P1723" s="76" t="b">
        <v>0</v>
      </c>
      <c r="Q1723" s="76" t="b">
        <v>0</v>
      </c>
      <c r="R1723" s="14"/>
      <c r="S1723" s="14"/>
      <c r="T1723" s="14"/>
      <c r="U1723" s="14"/>
      <c r="V1723" s="14"/>
      <c r="W1723" s="14"/>
    </row>
    <row r="1724" ht="35.25" customHeight="1">
      <c r="A1724" s="147"/>
      <c r="B1724" s="148"/>
      <c r="C1724" s="149"/>
      <c r="D1724" s="150"/>
      <c r="E1724" s="151"/>
      <c r="F1724" s="152"/>
      <c r="G1724" s="148"/>
      <c r="H1724" s="76" t="b">
        <v>1</v>
      </c>
      <c r="I1724" s="76" t="b">
        <v>0</v>
      </c>
      <c r="J1724" s="76" t="b">
        <v>0</v>
      </c>
      <c r="K1724" s="76" t="b">
        <v>0</v>
      </c>
      <c r="L1724" s="76" t="b">
        <v>0</v>
      </c>
      <c r="M1724" s="76" t="b">
        <v>0</v>
      </c>
      <c r="N1724" s="76" t="b">
        <v>0</v>
      </c>
      <c r="O1724" s="76" t="b">
        <v>0</v>
      </c>
      <c r="P1724" s="76" t="b">
        <v>0</v>
      </c>
      <c r="Q1724" s="76" t="b">
        <v>0</v>
      </c>
      <c r="R1724" s="14"/>
      <c r="S1724" s="14"/>
      <c r="T1724" s="14"/>
      <c r="U1724" s="14"/>
      <c r="V1724" s="14"/>
      <c r="W1724" s="14"/>
    </row>
    <row r="1725" ht="35.25" customHeight="1">
      <c r="A1725" s="147"/>
      <c r="B1725" s="148"/>
      <c r="C1725" s="149"/>
      <c r="D1725" s="150"/>
      <c r="E1725" s="151"/>
      <c r="F1725" s="152"/>
      <c r="G1725" s="148"/>
      <c r="H1725" s="76" t="b">
        <v>1</v>
      </c>
      <c r="I1725" s="76" t="b">
        <v>0</v>
      </c>
      <c r="J1725" s="76" t="b">
        <v>0</v>
      </c>
      <c r="K1725" s="76" t="b">
        <v>0</v>
      </c>
      <c r="L1725" s="76" t="b">
        <v>0</v>
      </c>
      <c r="M1725" s="76" t="b">
        <v>0</v>
      </c>
      <c r="N1725" s="76" t="b">
        <v>0</v>
      </c>
      <c r="O1725" s="76" t="b">
        <v>0</v>
      </c>
      <c r="P1725" s="76" t="b">
        <v>0</v>
      </c>
      <c r="Q1725" s="76" t="b">
        <v>0</v>
      </c>
      <c r="R1725" s="14"/>
      <c r="S1725" s="14"/>
      <c r="T1725" s="14"/>
      <c r="U1725" s="14"/>
      <c r="V1725" s="14"/>
      <c r="W1725" s="14"/>
    </row>
    <row r="1726" ht="35.25" customHeight="1">
      <c r="A1726" s="147"/>
      <c r="B1726" s="148"/>
      <c r="C1726" s="149"/>
      <c r="D1726" s="150"/>
      <c r="E1726" s="151"/>
      <c r="F1726" s="152"/>
      <c r="G1726" s="148"/>
      <c r="H1726" s="76" t="b">
        <v>1</v>
      </c>
      <c r="I1726" s="76" t="b">
        <v>0</v>
      </c>
      <c r="J1726" s="76" t="b">
        <v>0</v>
      </c>
      <c r="K1726" s="76" t="b">
        <v>0</v>
      </c>
      <c r="L1726" s="76" t="b">
        <v>0</v>
      </c>
      <c r="M1726" s="76" t="b">
        <v>0</v>
      </c>
      <c r="N1726" s="76" t="b">
        <v>0</v>
      </c>
      <c r="O1726" s="76" t="b">
        <v>0</v>
      </c>
      <c r="P1726" s="76" t="b">
        <v>0</v>
      </c>
      <c r="Q1726" s="76" t="b">
        <v>0</v>
      </c>
      <c r="R1726" s="14"/>
      <c r="S1726" s="14"/>
      <c r="T1726" s="14"/>
      <c r="U1726" s="14"/>
      <c r="V1726" s="14"/>
      <c r="W1726" s="14"/>
    </row>
    <row r="1727" ht="35.25" customHeight="1">
      <c r="A1727" s="147"/>
      <c r="B1727" s="148"/>
      <c r="C1727" s="149"/>
      <c r="D1727" s="150"/>
      <c r="E1727" s="151"/>
      <c r="F1727" s="152"/>
      <c r="G1727" s="148"/>
      <c r="H1727" s="76" t="b">
        <v>1</v>
      </c>
      <c r="I1727" s="76" t="b">
        <v>0</v>
      </c>
      <c r="J1727" s="76" t="b">
        <v>0</v>
      </c>
      <c r="K1727" s="76" t="b">
        <v>0</v>
      </c>
      <c r="L1727" s="76" t="b">
        <v>0</v>
      </c>
      <c r="M1727" s="76" t="b">
        <v>0</v>
      </c>
      <c r="N1727" s="76" t="b">
        <v>0</v>
      </c>
      <c r="O1727" s="76" t="b">
        <v>0</v>
      </c>
      <c r="P1727" s="76" t="b">
        <v>0</v>
      </c>
      <c r="Q1727" s="76" t="b">
        <v>0</v>
      </c>
      <c r="R1727" s="14"/>
      <c r="S1727" s="14"/>
      <c r="T1727" s="14"/>
      <c r="U1727" s="14"/>
      <c r="V1727" s="14"/>
      <c r="W1727" s="14"/>
    </row>
    <row r="1728" ht="35.25" customHeight="1">
      <c r="A1728" s="147"/>
      <c r="B1728" s="148"/>
      <c r="C1728" s="149"/>
      <c r="D1728" s="150"/>
      <c r="E1728" s="151"/>
      <c r="F1728" s="152"/>
      <c r="G1728" s="148"/>
      <c r="H1728" s="76" t="b">
        <v>1</v>
      </c>
      <c r="I1728" s="76" t="b">
        <v>0</v>
      </c>
      <c r="J1728" s="76" t="b">
        <v>0</v>
      </c>
      <c r="K1728" s="76" t="b">
        <v>0</v>
      </c>
      <c r="L1728" s="76" t="b">
        <v>0</v>
      </c>
      <c r="M1728" s="76" t="b">
        <v>0</v>
      </c>
      <c r="N1728" s="76" t="b">
        <v>0</v>
      </c>
      <c r="O1728" s="76" t="b">
        <v>0</v>
      </c>
      <c r="P1728" s="76" t="b">
        <v>0</v>
      </c>
      <c r="Q1728" s="76" t="b">
        <v>0</v>
      </c>
      <c r="R1728" s="14"/>
      <c r="S1728" s="14"/>
      <c r="T1728" s="14"/>
      <c r="U1728" s="14"/>
      <c r="V1728" s="14"/>
      <c r="W1728" s="14"/>
    </row>
    <row r="1729" ht="35.25" customHeight="1">
      <c r="A1729" s="147"/>
      <c r="B1729" s="148"/>
      <c r="C1729" s="149"/>
      <c r="D1729" s="150"/>
      <c r="E1729" s="151"/>
      <c r="F1729" s="152"/>
      <c r="G1729" s="148"/>
      <c r="H1729" s="76" t="b">
        <v>1</v>
      </c>
      <c r="I1729" s="76" t="b">
        <v>0</v>
      </c>
      <c r="J1729" s="76" t="b">
        <v>0</v>
      </c>
      <c r="K1729" s="76" t="b">
        <v>0</v>
      </c>
      <c r="L1729" s="76" t="b">
        <v>0</v>
      </c>
      <c r="M1729" s="76" t="b">
        <v>0</v>
      </c>
      <c r="N1729" s="76" t="b">
        <v>0</v>
      </c>
      <c r="O1729" s="76" t="b">
        <v>0</v>
      </c>
      <c r="P1729" s="76" t="b">
        <v>0</v>
      </c>
      <c r="Q1729" s="76" t="b">
        <v>0</v>
      </c>
      <c r="R1729" s="14"/>
      <c r="S1729" s="14"/>
      <c r="T1729" s="14"/>
      <c r="U1729" s="14"/>
      <c r="V1729" s="14"/>
      <c r="W1729" s="14"/>
    </row>
    <row r="1730" ht="35.25" customHeight="1">
      <c r="A1730" s="147"/>
      <c r="B1730" s="148"/>
      <c r="C1730" s="149"/>
      <c r="D1730" s="150"/>
      <c r="E1730" s="151"/>
      <c r="F1730" s="152"/>
      <c r="G1730" s="148"/>
      <c r="H1730" s="76" t="b">
        <v>1</v>
      </c>
      <c r="I1730" s="76" t="b">
        <v>0</v>
      </c>
      <c r="J1730" s="76" t="b">
        <v>0</v>
      </c>
      <c r="K1730" s="76" t="b">
        <v>0</v>
      </c>
      <c r="L1730" s="76" t="b">
        <v>0</v>
      </c>
      <c r="M1730" s="76" t="b">
        <v>0</v>
      </c>
      <c r="N1730" s="76" t="b">
        <v>0</v>
      </c>
      <c r="O1730" s="76" t="b">
        <v>0</v>
      </c>
      <c r="P1730" s="76" t="b">
        <v>0</v>
      </c>
      <c r="Q1730" s="76" t="b">
        <v>0</v>
      </c>
      <c r="R1730" s="14"/>
      <c r="S1730" s="14"/>
      <c r="T1730" s="14"/>
      <c r="U1730" s="14"/>
      <c r="V1730" s="14"/>
      <c r="W1730" s="14"/>
    </row>
    <row r="1731" ht="35.25" customHeight="1">
      <c r="A1731" s="147"/>
      <c r="B1731" s="148"/>
      <c r="C1731" s="149"/>
      <c r="D1731" s="150"/>
      <c r="E1731" s="151"/>
      <c r="F1731" s="152"/>
      <c r="G1731" s="148"/>
      <c r="H1731" s="76" t="b">
        <v>1</v>
      </c>
      <c r="I1731" s="76" t="b">
        <v>0</v>
      </c>
      <c r="J1731" s="76" t="b">
        <v>0</v>
      </c>
      <c r="K1731" s="76" t="b">
        <v>0</v>
      </c>
      <c r="L1731" s="76" t="b">
        <v>0</v>
      </c>
      <c r="M1731" s="76" t="b">
        <v>0</v>
      </c>
      <c r="N1731" s="76" t="b">
        <v>0</v>
      </c>
      <c r="O1731" s="76" t="b">
        <v>0</v>
      </c>
      <c r="P1731" s="76" t="b">
        <v>0</v>
      </c>
      <c r="Q1731" s="76" t="b">
        <v>0</v>
      </c>
      <c r="R1731" s="14"/>
      <c r="S1731" s="14"/>
      <c r="T1731" s="14"/>
      <c r="U1731" s="14"/>
      <c r="V1731" s="14"/>
      <c r="W1731" s="14"/>
    </row>
    <row r="1732" ht="35.25" customHeight="1">
      <c r="A1732" s="147"/>
      <c r="B1732" s="148"/>
      <c r="C1732" s="149"/>
      <c r="D1732" s="150"/>
      <c r="E1732" s="151"/>
      <c r="F1732" s="152"/>
      <c r="G1732" s="148"/>
      <c r="H1732" s="76" t="b">
        <v>1</v>
      </c>
      <c r="I1732" s="76" t="b">
        <v>0</v>
      </c>
      <c r="J1732" s="76" t="b">
        <v>0</v>
      </c>
      <c r="K1732" s="76" t="b">
        <v>0</v>
      </c>
      <c r="L1732" s="76" t="b">
        <v>0</v>
      </c>
      <c r="M1732" s="76" t="b">
        <v>0</v>
      </c>
      <c r="N1732" s="76" t="b">
        <v>0</v>
      </c>
      <c r="O1732" s="76" t="b">
        <v>0</v>
      </c>
      <c r="P1732" s="76" t="b">
        <v>0</v>
      </c>
      <c r="Q1732" s="76" t="b">
        <v>0</v>
      </c>
      <c r="R1732" s="14"/>
      <c r="S1732" s="14"/>
      <c r="T1732" s="14"/>
      <c r="U1732" s="14"/>
      <c r="V1732" s="14"/>
      <c r="W1732" s="14"/>
    </row>
    <row r="1733" ht="35.25" customHeight="1">
      <c r="A1733" s="147"/>
      <c r="B1733" s="148"/>
      <c r="C1733" s="149"/>
      <c r="D1733" s="150"/>
      <c r="E1733" s="151"/>
      <c r="F1733" s="152"/>
      <c r="G1733" s="148"/>
      <c r="H1733" s="76" t="b">
        <v>1</v>
      </c>
      <c r="I1733" s="76" t="b">
        <v>0</v>
      </c>
      <c r="J1733" s="76" t="b">
        <v>0</v>
      </c>
      <c r="K1733" s="76" t="b">
        <v>0</v>
      </c>
      <c r="L1733" s="76" t="b">
        <v>0</v>
      </c>
      <c r="M1733" s="76" t="b">
        <v>0</v>
      </c>
      <c r="N1733" s="76" t="b">
        <v>0</v>
      </c>
      <c r="O1733" s="76" t="b">
        <v>0</v>
      </c>
      <c r="P1733" s="76" t="b">
        <v>0</v>
      </c>
      <c r="Q1733" s="76" t="b">
        <v>0</v>
      </c>
      <c r="R1733" s="14"/>
      <c r="S1733" s="14"/>
      <c r="T1733" s="14"/>
      <c r="U1733" s="14"/>
      <c r="V1733" s="14"/>
      <c r="W1733" s="14"/>
    </row>
    <row r="1734" ht="35.25" customHeight="1">
      <c r="A1734" s="147"/>
      <c r="B1734" s="148"/>
      <c r="C1734" s="149"/>
      <c r="D1734" s="150"/>
      <c r="E1734" s="151"/>
      <c r="F1734" s="152"/>
      <c r="G1734" s="148"/>
      <c r="H1734" s="76" t="b">
        <v>1</v>
      </c>
      <c r="I1734" s="76" t="b">
        <v>0</v>
      </c>
      <c r="J1734" s="76" t="b">
        <v>0</v>
      </c>
      <c r="K1734" s="76" t="b">
        <v>0</v>
      </c>
      <c r="L1734" s="76" t="b">
        <v>0</v>
      </c>
      <c r="M1734" s="76" t="b">
        <v>0</v>
      </c>
      <c r="N1734" s="76" t="b">
        <v>0</v>
      </c>
      <c r="O1734" s="76" t="b">
        <v>0</v>
      </c>
      <c r="P1734" s="76" t="b">
        <v>0</v>
      </c>
      <c r="Q1734" s="76" t="b">
        <v>0</v>
      </c>
      <c r="R1734" s="14"/>
      <c r="S1734" s="14"/>
      <c r="T1734" s="14"/>
      <c r="U1734" s="14"/>
      <c r="V1734" s="14"/>
      <c r="W1734" s="14"/>
    </row>
    <row r="1735" ht="35.25" customHeight="1">
      <c r="A1735" s="147"/>
      <c r="B1735" s="148"/>
      <c r="C1735" s="149"/>
      <c r="D1735" s="150"/>
      <c r="E1735" s="151"/>
      <c r="F1735" s="152"/>
      <c r="G1735" s="148"/>
      <c r="H1735" s="76" t="b">
        <v>1</v>
      </c>
      <c r="I1735" s="76" t="b">
        <v>0</v>
      </c>
      <c r="J1735" s="76" t="b">
        <v>0</v>
      </c>
      <c r="K1735" s="76" t="b">
        <v>0</v>
      </c>
      <c r="L1735" s="76" t="b">
        <v>0</v>
      </c>
      <c r="M1735" s="76" t="b">
        <v>0</v>
      </c>
      <c r="N1735" s="76" t="b">
        <v>0</v>
      </c>
      <c r="O1735" s="76" t="b">
        <v>0</v>
      </c>
      <c r="P1735" s="76" t="b">
        <v>0</v>
      </c>
      <c r="Q1735" s="76" t="b">
        <v>0</v>
      </c>
      <c r="R1735" s="14"/>
      <c r="S1735" s="14"/>
      <c r="T1735" s="14"/>
      <c r="U1735" s="14"/>
      <c r="V1735" s="14"/>
      <c r="W1735" s="14"/>
    </row>
    <row r="1736" ht="35.25" customHeight="1">
      <c r="A1736" s="147"/>
      <c r="B1736" s="148"/>
      <c r="C1736" s="149"/>
      <c r="D1736" s="150"/>
      <c r="E1736" s="151"/>
      <c r="F1736" s="152"/>
      <c r="G1736" s="148"/>
      <c r="H1736" s="76" t="b">
        <v>1</v>
      </c>
      <c r="I1736" s="76" t="b">
        <v>0</v>
      </c>
      <c r="J1736" s="76" t="b">
        <v>0</v>
      </c>
      <c r="K1736" s="76" t="b">
        <v>0</v>
      </c>
      <c r="L1736" s="76" t="b">
        <v>0</v>
      </c>
      <c r="M1736" s="76" t="b">
        <v>0</v>
      </c>
      <c r="N1736" s="76" t="b">
        <v>0</v>
      </c>
      <c r="O1736" s="76" t="b">
        <v>0</v>
      </c>
      <c r="P1736" s="76" t="b">
        <v>0</v>
      </c>
      <c r="Q1736" s="76" t="b">
        <v>0</v>
      </c>
      <c r="R1736" s="14"/>
      <c r="S1736" s="14"/>
      <c r="T1736" s="14"/>
      <c r="U1736" s="14"/>
      <c r="V1736" s="14"/>
      <c r="W1736" s="14"/>
    </row>
    <row r="1737" ht="35.25" customHeight="1">
      <c r="A1737" s="147"/>
      <c r="B1737" s="148"/>
      <c r="C1737" s="149"/>
      <c r="D1737" s="150"/>
      <c r="E1737" s="151"/>
      <c r="F1737" s="152"/>
      <c r="G1737" s="148"/>
      <c r="H1737" s="76" t="b">
        <v>1</v>
      </c>
      <c r="I1737" s="76" t="b">
        <v>0</v>
      </c>
      <c r="J1737" s="76" t="b">
        <v>0</v>
      </c>
      <c r="K1737" s="76" t="b">
        <v>0</v>
      </c>
      <c r="L1737" s="76" t="b">
        <v>0</v>
      </c>
      <c r="M1737" s="76" t="b">
        <v>0</v>
      </c>
      <c r="N1737" s="76" t="b">
        <v>0</v>
      </c>
      <c r="O1737" s="76" t="b">
        <v>0</v>
      </c>
      <c r="P1737" s="76" t="b">
        <v>0</v>
      </c>
      <c r="Q1737" s="76" t="b">
        <v>0</v>
      </c>
      <c r="R1737" s="14"/>
      <c r="S1737" s="14"/>
      <c r="T1737" s="14"/>
      <c r="U1737" s="14"/>
      <c r="V1737" s="14"/>
      <c r="W1737" s="14"/>
    </row>
    <row r="1738" ht="35.25" customHeight="1">
      <c r="A1738" s="147"/>
      <c r="B1738" s="148"/>
      <c r="C1738" s="149"/>
      <c r="D1738" s="150"/>
      <c r="E1738" s="151"/>
      <c r="F1738" s="152"/>
      <c r="G1738" s="148"/>
      <c r="H1738" s="76" t="b">
        <v>1</v>
      </c>
      <c r="I1738" s="76" t="b">
        <v>0</v>
      </c>
      <c r="J1738" s="76" t="b">
        <v>0</v>
      </c>
      <c r="K1738" s="76" t="b">
        <v>0</v>
      </c>
      <c r="L1738" s="76" t="b">
        <v>0</v>
      </c>
      <c r="M1738" s="76" t="b">
        <v>0</v>
      </c>
      <c r="N1738" s="76" t="b">
        <v>0</v>
      </c>
      <c r="O1738" s="76" t="b">
        <v>0</v>
      </c>
      <c r="P1738" s="76" t="b">
        <v>0</v>
      </c>
      <c r="Q1738" s="76" t="b">
        <v>0</v>
      </c>
      <c r="R1738" s="14"/>
      <c r="S1738" s="14"/>
      <c r="T1738" s="14"/>
      <c r="U1738" s="14"/>
      <c r="V1738" s="14"/>
      <c r="W1738" s="14"/>
    </row>
    <row r="1739" ht="35.25" customHeight="1">
      <c r="A1739" s="147"/>
      <c r="B1739" s="148"/>
      <c r="C1739" s="149"/>
      <c r="D1739" s="150"/>
      <c r="E1739" s="151"/>
      <c r="F1739" s="152"/>
      <c r="G1739" s="148"/>
      <c r="H1739" s="76" t="b">
        <v>1</v>
      </c>
      <c r="I1739" s="76" t="b">
        <v>0</v>
      </c>
      <c r="J1739" s="76" t="b">
        <v>0</v>
      </c>
      <c r="K1739" s="76" t="b">
        <v>0</v>
      </c>
      <c r="L1739" s="76" t="b">
        <v>0</v>
      </c>
      <c r="M1739" s="76" t="b">
        <v>0</v>
      </c>
      <c r="N1739" s="76" t="b">
        <v>0</v>
      </c>
      <c r="O1739" s="76" t="b">
        <v>0</v>
      </c>
      <c r="P1739" s="76" t="b">
        <v>0</v>
      </c>
      <c r="Q1739" s="76" t="b">
        <v>0</v>
      </c>
      <c r="R1739" s="14"/>
      <c r="S1739" s="14"/>
      <c r="T1739" s="14"/>
      <c r="U1739" s="14"/>
      <c r="V1739" s="14"/>
      <c r="W1739" s="14"/>
    </row>
    <row r="1740" ht="35.25" customHeight="1">
      <c r="A1740" s="147"/>
      <c r="B1740" s="148"/>
      <c r="C1740" s="149"/>
      <c r="D1740" s="150"/>
      <c r="E1740" s="151"/>
      <c r="F1740" s="152"/>
      <c r="G1740" s="148"/>
      <c r="H1740" s="76" t="b">
        <v>1</v>
      </c>
      <c r="I1740" s="76" t="b">
        <v>0</v>
      </c>
      <c r="J1740" s="76" t="b">
        <v>0</v>
      </c>
      <c r="K1740" s="76" t="b">
        <v>0</v>
      </c>
      <c r="L1740" s="76" t="b">
        <v>0</v>
      </c>
      <c r="M1740" s="76" t="b">
        <v>0</v>
      </c>
      <c r="N1740" s="76" t="b">
        <v>0</v>
      </c>
      <c r="O1740" s="76" t="b">
        <v>0</v>
      </c>
      <c r="P1740" s="76" t="b">
        <v>0</v>
      </c>
      <c r="Q1740" s="76" t="b">
        <v>0</v>
      </c>
      <c r="R1740" s="14"/>
      <c r="S1740" s="14"/>
      <c r="T1740" s="14"/>
      <c r="U1740" s="14"/>
      <c r="V1740" s="14"/>
      <c r="W1740" s="14"/>
    </row>
    <row r="1741" ht="35.25" customHeight="1">
      <c r="A1741" s="147"/>
      <c r="B1741" s="148"/>
      <c r="C1741" s="149"/>
      <c r="D1741" s="150"/>
      <c r="E1741" s="151"/>
      <c r="F1741" s="152"/>
      <c r="G1741" s="148"/>
      <c r="H1741" s="76" t="b">
        <v>1</v>
      </c>
      <c r="I1741" s="76" t="b">
        <v>0</v>
      </c>
      <c r="J1741" s="76" t="b">
        <v>0</v>
      </c>
      <c r="K1741" s="76" t="b">
        <v>0</v>
      </c>
      <c r="L1741" s="76" t="b">
        <v>0</v>
      </c>
      <c r="M1741" s="76" t="b">
        <v>0</v>
      </c>
      <c r="N1741" s="76" t="b">
        <v>0</v>
      </c>
      <c r="O1741" s="76" t="b">
        <v>0</v>
      </c>
      <c r="P1741" s="76" t="b">
        <v>0</v>
      </c>
      <c r="Q1741" s="76" t="b">
        <v>0</v>
      </c>
      <c r="R1741" s="14"/>
      <c r="S1741" s="14"/>
      <c r="T1741" s="14"/>
      <c r="U1741" s="14"/>
      <c r="V1741" s="14"/>
      <c r="W1741" s="14"/>
    </row>
    <row r="1742" ht="35.25" customHeight="1">
      <c r="A1742" s="147"/>
      <c r="B1742" s="148"/>
      <c r="C1742" s="149"/>
      <c r="D1742" s="150"/>
      <c r="E1742" s="151"/>
      <c r="F1742" s="152"/>
      <c r="G1742" s="148"/>
      <c r="H1742" s="76" t="b">
        <v>1</v>
      </c>
      <c r="I1742" s="76" t="b">
        <v>0</v>
      </c>
      <c r="J1742" s="76" t="b">
        <v>0</v>
      </c>
      <c r="K1742" s="76" t="b">
        <v>0</v>
      </c>
      <c r="L1742" s="76" t="b">
        <v>0</v>
      </c>
      <c r="M1742" s="76" t="b">
        <v>0</v>
      </c>
      <c r="N1742" s="76" t="b">
        <v>0</v>
      </c>
      <c r="O1742" s="76" t="b">
        <v>0</v>
      </c>
      <c r="P1742" s="76" t="b">
        <v>0</v>
      </c>
      <c r="Q1742" s="76" t="b">
        <v>0</v>
      </c>
      <c r="R1742" s="14"/>
      <c r="S1742" s="14"/>
      <c r="T1742" s="14"/>
      <c r="U1742" s="14"/>
      <c r="V1742" s="14"/>
      <c r="W1742" s="14"/>
    </row>
    <row r="1743" ht="35.25" customHeight="1">
      <c r="A1743" s="147"/>
      <c r="B1743" s="148"/>
      <c r="C1743" s="149"/>
      <c r="D1743" s="150"/>
      <c r="E1743" s="151"/>
      <c r="F1743" s="152"/>
      <c r="G1743" s="148"/>
      <c r="H1743" s="76" t="b">
        <v>1</v>
      </c>
      <c r="I1743" s="76" t="b">
        <v>0</v>
      </c>
      <c r="J1743" s="76" t="b">
        <v>0</v>
      </c>
      <c r="K1743" s="76" t="b">
        <v>0</v>
      </c>
      <c r="L1743" s="76" t="b">
        <v>0</v>
      </c>
      <c r="M1743" s="76" t="b">
        <v>0</v>
      </c>
      <c r="N1743" s="76" t="b">
        <v>0</v>
      </c>
      <c r="O1743" s="76" t="b">
        <v>0</v>
      </c>
      <c r="P1743" s="76" t="b">
        <v>0</v>
      </c>
      <c r="Q1743" s="76" t="b">
        <v>0</v>
      </c>
      <c r="R1743" s="14"/>
      <c r="S1743" s="14"/>
      <c r="T1743" s="14"/>
      <c r="U1743" s="14"/>
      <c r="V1743" s="14"/>
      <c r="W1743" s="14"/>
    </row>
    <row r="1744" ht="35.25" customHeight="1">
      <c r="A1744" s="147"/>
      <c r="B1744" s="148"/>
      <c r="C1744" s="149"/>
      <c r="D1744" s="150"/>
      <c r="E1744" s="151"/>
      <c r="F1744" s="152"/>
      <c r="G1744" s="148"/>
      <c r="H1744" s="76" t="b">
        <v>1</v>
      </c>
      <c r="I1744" s="76" t="b">
        <v>0</v>
      </c>
      <c r="J1744" s="76" t="b">
        <v>0</v>
      </c>
      <c r="K1744" s="76" t="b">
        <v>0</v>
      </c>
      <c r="L1744" s="76" t="b">
        <v>0</v>
      </c>
      <c r="M1744" s="76" t="b">
        <v>0</v>
      </c>
      <c r="N1744" s="76" t="b">
        <v>0</v>
      </c>
      <c r="O1744" s="76" t="b">
        <v>0</v>
      </c>
      <c r="P1744" s="76" t="b">
        <v>0</v>
      </c>
      <c r="Q1744" s="76" t="b">
        <v>0</v>
      </c>
      <c r="R1744" s="14"/>
      <c r="S1744" s="14"/>
      <c r="T1744" s="14"/>
      <c r="U1744" s="14"/>
      <c r="V1744" s="14"/>
      <c r="W1744" s="14"/>
    </row>
    <row r="1745" ht="35.25" customHeight="1">
      <c r="A1745" s="147"/>
      <c r="B1745" s="148"/>
      <c r="C1745" s="149"/>
      <c r="D1745" s="150"/>
      <c r="E1745" s="151"/>
      <c r="F1745" s="152"/>
      <c r="G1745" s="148"/>
      <c r="H1745" s="76" t="b">
        <v>1</v>
      </c>
      <c r="I1745" s="76" t="b">
        <v>0</v>
      </c>
      <c r="J1745" s="76" t="b">
        <v>0</v>
      </c>
      <c r="K1745" s="76" t="b">
        <v>0</v>
      </c>
      <c r="L1745" s="76" t="b">
        <v>0</v>
      </c>
      <c r="M1745" s="76" t="b">
        <v>0</v>
      </c>
      <c r="N1745" s="76" t="b">
        <v>0</v>
      </c>
      <c r="O1745" s="76" t="b">
        <v>0</v>
      </c>
      <c r="P1745" s="76" t="b">
        <v>0</v>
      </c>
      <c r="Q1745" s="76" t="b">
        <v>0</v>
      </c>
      <c r="R1745" s="14"/>
      <c r="S1745" s="14"/>
      <c r="T1745" s="14"/>
      <c r="U1745" s="14"/>
      <c r="V1745" s="14"/>
      <c r="W1745" s="14"/>
    </row>
    <row r="1746" ht="35.25" customHeight="1">
      <c r="A1746" s="147"/>
      <c r="B1746" s="148"/>
      <c r="C1746" s="149"/>
      <c r="D1746" s="150"/>
      <c r="E1746" s="151"/>
      <c r="F1746" s="152"/>
      <c r="G1746" s="148"/>
      <c r="H1746" s="76" t="b">
        <v>1</v>
      </c>
      <c r="I1746" s="76" t="b">
        <v>0</v>
      </c>
      <c r="J1746" s="76" t="b">
        <v>0</v>
      </c>
      <c r="K1746" s="76" t="b">
        <v>0</v>
      </c>
      <c r="L1746" s="76" t="b">
        <v>0</v>
      </c>
      <c r="M1746" s="76" t="b">
        <v>0</v>
      </c>
      <c r="N1746" s="76" t="b">
        <v>0</v>
      </c>
      <c r="O1746" s="76" t="b">
        <v>0</v>
      </c>
      <c r="P1746" s="76" t="b">
        <v>0</v>
      </c>
      <c r="Q1746" s="76" t="b">
        <v>0</v>
      </c>
      <c r="R1746" s="14"/>
      <c r="S1746" s="14"/>
      <c r="T1746" s="14"/>
      <c r="U1746" s="14"/>
      <c r="V1746" s="14"/>
      <c r="W1746" s="14"/>
    </row>
    <row r="1747" ht="35.25" customHeight="1">
      <c r="A1747" s="147"/>
      <c r="B1747" s="148"/>
      <c r="C1747" s="149"/>
      <c r="D1747" s="150"/>
      <c r="E1747" s="151"/>
      <c r="F1747" s="152"/>
      <c r="G1747" s="148"/>
      <c r="H1747" s="76" t="b">
        <v>1</v>
      </c>
      <c r="I1747" s="76" t="b">
        <v>0</v>
      </c>
      <c r="J1747" s="76" t="b">
        <v>0</v>
      </c>
      <c r="K1747" s="76" t="b">
        <v>0</v>
      </c>
      <c r="L1747" s="76" t="b">
        <v>0</v>
      </c>
      <c r="M1747" s="76" t="b">
        <v>0</v>
      </c>
      <c r="N1747" s="76" t="b">
        <v>0</v>
      </c>
      <c r="O1747" s="76" t="b">
        <v>0</v>
      </c>
      <c r="P1747" s="76" t="b">
        <v>0</v>
      </c>
      <c r="Q1747" s="76" t="b">
        <v>0</v>
      </c>
      <c r="R1747" s="14"/>
      <c r="S1747" s="14"/>
      <c r="T1747" s="14"/>
      <c r="U1747" s="14"/>
      <c r="V1747" s="14"/>
      <c r="W1747" s="14"/>
    </row>
    <row r="1748" ht="35.25" customHeight="1">
      <c r="A1748" s="147"/>
      <c r="B1748" s="148"/>
      <c r="C1748" s="149"/>
      <c r="D1748" s="150"/>
      <c r="E1748" s="151"/>
      <c r="F1748" s="152"/>
      <c r="G1748" s="148"/>
      <c r="H1748" s="76" t="b">
        <v>1</v>
      </c>
      <c r="I1748" s="76" t="b">
        <v>0</v>
      </c>
      <c r="J1748" s="76" t="b">
        <v>0</v>
      </c>
      <c r="K1748" s="76" t="b">
        <v>0</v>
      </c>
      <c r="L1748" s="76" t="b">
        <v>0</v>
      </c>
      <c r="M1748" s="76" t="b">
        <v>0</v>
      </c>
      <c r="N1748" s="76" t="b">
        <v>0</v>
      </c>
      <c r="O1748" s="76" t="b">
        <v>0</v>
      </c>
      <c r="P1748" s="76" t="b">
        <v>0</v>
      </c>
      <c r="Q1748" s="76" t="b">
        <v>0</v>
      </c>
      <c r="R1748" s="14"/>
      <c r="S1748" s="14"/>
      <c r="T1748" s="14"/>
      <c r="U1748" s="14"/>
      <c r="V1748" s="14"/>
      <c r="W1748" s="14"/>
    </row>
    <row r="1749" ht="35.25" customHeight="1">
      <c r="A1749" s="147"/>
      <c r="B1749" s="148"/>
      <c r="C1749" s="149"/>
      <c r="D1749" s="150"/>
      <c r="E1749" s="151"/>
      <c r="F1749" s="152"/>
      <c r="G1749" s="148"/>
      <c r="H1749" s="76" t="b">
        <v>1</v>
      </c>
      <c r="I1749" s="76" t="b">
        <v>0</v>
      </c>
      <c r="J1749" s="76" t="b">
        <v>0</v>
      </c>
      <c r="K1749" s="76" t="b">
        <v>0</v>
      </c>
      <c r="L1749" s="76" t="b">
        <v>0</v>
      </c>
      <c r="M1749" s="76" t="b">
        <v>0</v>
      </c>
      <c r="N1749" s="76" t="b">
        <v>0</v>
      </c>
      <c r="O1749" s="76" t="b">
        <v>0</v>
      </c>
      <c r="P1749" s="76" t="b">
        <v>0</v>
      </c>
      <c r="Q1749" s="76" t="b">
        <v>0</v>
      </c>
      <c r="R1749" s="14"/>
      <c r="S1749" s="14"/>
      <c r="T1749" s="14"/>
      <c r="U1749" s="14"/>
      <c r="V1749" s="14"/>
      <c r="W1749" s="14"/>
    </row>
    <row r="1750" ht="35.25" customHeight="1">
      <c r="A1750" s="147"/>
      <c r="B1750" s="148"/>
      <c r="C1750" s="149"/>
      <c r="D1750" s="150"/>
      <c r="E1750" s="151"/>
      <c r="F1750" s="152"/>
      <c r="G1750" s="148"/>
      <c r="H1750" s="76" t="b">
        <v>1</v>
      </c>
      <c r="I1750" s="76" t="b">
        <v>0</v>
      </c>
      <c r="J1750" s="76" t="b">
        <v>0</v>
      </c>
      <c r="K1750" s="76" t="b">
        <v>0</v>
      </c>
      <c r="L1750" s="76" t="b">
        <v>0</v>
      </c>
      <c r="M1750" s="76" t="b">
        <v>0</v>
      </c>
      <c r="N1750" s="76" t="b">
        <v>0</v>
      </c>
      <c r="O1750" s="76" t="b">
        <v>0</v>
      </c>
      <c r="P1750" s="76" t="b">
        <v>0</v>
      </c>
      <c r="Q1750" s="76" t="b">
        <v>0</v>
      </c>
      <c r="R1750" s="14"/>
      <c r="S1750" s="14"/>
      <c r="T1750" s="14"/>
      <c r="U1750" s="14"/>
      <c r="V1750" s="14"/>
      <c r="W1750" s="14"/>
    </row>
    <row r="1751" ht="35.25" customHeight="1">
      <c r="A1751" s="147"/>
      <c r="B1751" s="148"/>
      <c r="C1751" s="149"/>
      <c r="D1751" s="150"/>
      <c r="E1751" s="151"/>
      <c r="F1751" s="152"/>
      <c r="G1751" s="148"/>
      <c r="H1751" s="76" t="b">
        <v>1</v>
      </c>
      <c r="I1751" s="76" t="b">
        <v>0</v>
      </c>
      <c r="J1751" s="76" t="b">
        <v>0</v>
      </c>
      <c r="K1751" s="76" t="b">
        <v>0</v>
      </c>
      <c r="L1751" s="76" t="b">
        <v>0</v>
      </c>
      <c r="M1751" s="76" t="b">
        <v>0</v>
      </c>
      <c r="N1751" s="76" t="b">
        <v>0</v>
      </c>
      <c r="O1751" s="76" t="b">
        <v>0</v>
      </c>
      <c r="P1751" s="76" t="b">
        <v>0</v>
      </c>
      <c r="Q1751" s="76" t="b">
        <v>0</v>
      </c>
      <c r="R1751" s="14"/>
      <c r="S1751" s="14"/>
      <c r="T1751" s="14"/>
      <c r="U1751" s="14"/>
      <c r="V1751" s="14"/>
      <c r="W1751" s="14"/>
    </row>
    <row r="1752" ht="35.25" customHeight="1">
      <c r="A1752" s="147"/>
      <c r="B1752" s="148"/>
      <c r="C1752" s="149"/>
      <c r="D1752" s="150"/>
      <c r="E1752" s="151"/>
      <c r="F1752" s="152"/>
      <c r="G1752" s="148"/>
      <c r="H1752" s="76" t="b">
        <v>1</v>
      </c>
      <c r="I1752" s="76" t="b">
        <v>0</v>
      </c>
      <c r="J1752" s="76" t="b">
        <v>0</v>
      </c>
      <c r="K1752" s="76" t="b">
        <v>0</v>
      </c>
      <c r="L1752" s="76" t="b">
        <v>0</v>
      </c>
      <c r="M1752" s="76" t="b">
        <v>0</v>
      </c>
      <c r="N1752" s="76" t="b">
        <v>0</v>
      </c>
      <c r="O1752" s="76" t="b">
        <v>0</v>
      </c>
      <c r="P1752" s="76" t="b">
        <v>0</v>
      </c>
      <c r="Q1752" s="76" t="b">
        <v>0</v>
      </c>
      <c r="R1752" s="14"/>
      <c r="S1752" s="14"/>
      <c r="T1752" s="14"/>
      <c r="U1752" s="14"/>
      <c r="V1752" s="14"/>
      <c r="W1752" s="14"/>
    </row>
    <row r="1753" ht="35.25" customHeight="1">
      <c r="A1753" s="147"/>
      <c r="B1753" s="148"/>
      <c r="C1753" s="149"/>
      <c r="D1753" s="150"/>
      <c r="E1753" s="151"/>
      <c r="F1753" s="152"/>
      <c r="G1753" s="148"/>
      <c r="H1753" s="76" t="b">
        <v>1</v>
      </c>
      <c r="I1753" s="76" t="b">
        <v>0</v>
      </c>
      <c r="J1753" s="76" t="b">
        <v>0</v>
      </c>
      <c r="K1753" s="76" t="b">
        <v>0</v>
      </c>
      <c r="L1753" s="76" t="b">
        <v>0</v>
      </c>
      <c r="M1753" s="76" t="b">
        <v>0</v>
      </c>
      <c r="N1753" s="76" t="b">
        <v>0</v>
      </c>
      <c r="O1753" s="76" t="b">
        <v>0</v>
      </c>
      <c r="P1753" s="76" t="b">
        <v>0</v>
      </c>
      <c r="Q1753" s="76" t="b">
        <v>0</v>
      </c>
      <c r="R1753" s="14"/>
      <c r="S1753" s="14"/>
      <c r="T1753" s="14"/>
      <c r="U1753" s="14"/>
      <c r="V1753" s="14"/>
      <c r="W1753" s="14"/>
    </row>
    <row r="1754" ht="35.25" customHeight="1">
      <c r="A1754" s="147"/>
      <c r="B1754" s="148"/>
      <c r="C1754" s="149"/>
      <c r="D1754" s="150"/>
      <c r="E1754" s="151"/>
      <c r="F1754" s="152"/>
      <c r="G1754" s="148"/>
      <c r="H1754" s="76" t="b">
        <v>1</v>
      </c>
      <c r="I1754" s="76" t="b">
        <v>0</v>
      </c>
      <c r="J1754" s="76" t="b">
        <v>0</v>
      </c>
      <c r="K1754" s="76" t="b">
        <v>0</v>
      </c>
      <c r="L1754" s="76" t="b">
        <v>0</v>
      </c>
      <c r="M1754" s="76" t="b">
        <v>0</v>
      </c>
      <c r="N1754" s="76" t="b">
        <v>0</v>
      </c>
      <c r="O1754" s="76" t="b">
        <v>0</v>
      </c>
      <c r="P1754" s="76" t="b">
        <v>0</v>
      </c>
      <c r="Q1754" s="76" t="b">
        <v>0</v>
      </c>
      <c r="R1754" s="14"/>
      <c r="S1754" s="14"/>
      <c r="T1754" s="14"/>
      <c r="U1754" s="14"/>
      <c r="V1754" s="14"/>
      <c r="W1754" s="14"/>
    </row>
    <row r="1755" ht="35.25" customHeight="1">
      <c r="A1755" s="147"/>
      <c r="B1755" s="148"/>
      <c r="C1755" s="149"/>
      <c r="D1755" s="150"/>
      <c r="E1755" s="151"/>
      <c r="F1755" s="152"/>
      <c r="G1755" s="148"/>
      <c r="H1755" s="76" t="b">
        <v>1</v>
      </c>
      <c r="I1755" s="76" t="b">
        <v>0</v>
      </c>
      <c r="J1755" s="76" t="b">
        <v>0</v>
      </c>
      <c r="K1755" s="76" t="b">
        <v>0</v>
      </c>
      <c r="L1755" s="76" t="b">
        <v>0</v>
      </c>
      <c r="M1755" s="76" t="b">
        <v>0</v>
      </c>
      <c r="N1755" s="76" t="b">
        <v>0</v>
      </c>
      <c r="O1755" s="76" t="b">
        <v>0</v>
      </c>
      <c r="P1755" s="76" t="b">
        <v>0</v>
      </c>
      <c r="Q1755" s="76" t="b">
        <v>0</v>
      </c>
      <c r="R1755" s="14"/>
      <c r="S1755" s="14"/>
      <c r="T1755" s="14"/>
      <c r="U1755" s="14"/>
      <c r="V1755" s="14"/>
      <c r="W1755" s="14"/>
    </row>
    <row r="1756" ht="35.25" customHeight="1">
      <c r="A1756" s="147"/>
      <c r="B1756" s="148"/>
      <c r="C1756" s="149"/>
      <c r="D1756" s="150"/>
      <c r="E1756" s="151"/>
      <c r="F1756" s="152"/>
      <c r="G1756" s="148"/>
      <c r="H1756" s="76" t="b">
        <v>1</v>
      </c>
      <c r="I1756" s="76" t="b">
        <v>0</v>
      </c>
      <c r="J1756" s="76" t="b">
        <v>0</v>
      </c>
      <c r="K1756" s="76" t="b">
        <v>0</v>
      </c>
      <c r="L1756" s="76" t="b">
        <v>0</v>
      </c>
      <c r="M1756" s="76" t="b">
        <v>0</v>
      </c>
      <c r="N1756" s="76" t="b">
        <v>0</v>
      </c>
      <c r="O1756" s="76" t="b">
        <v>0</v>
      </c>
      <c r="P1756" s="76" t="b">
        <v>0</v>
      </c>
      <c r="Q1756" s="76" t="b">
        <v>0</v>
      </c>
      <c r="R1756" s="14"/>
      <c r="S1756" s="14"/>
      <c r="T1756" s="14"/>
      <c r="U1756" s="14"/>
      <c r="V1756" s="14"/>
      <c r="W1756" s="14"/>
    </row>
    <row r="1757" ht="35.25" customHeight="1">
      <c r="A1757" s="147"/>
      <c r="B1757" s="148"/>
      <c r="C1757" s="149"/>
      <c r="D1757" s="150"/>
      <c r="E1757" s="151"/>
      <c r="F1757" s="152"/>
      <c r="G1757" s="148"/>
      <c r="H1757" s="76" t="b">
        <v>1</v>
      </c>
      <c r="I1757" s="76" t="b">
        <v>0</v>
      </c>
      <c r="J1757" s="76" t="b">
        <v>0</v>
      </c>
      <c r="K1757" s="76" t="b">
        <v>0</v>
      </c>
      <c r="L1757" s="76" t="b">
        <v>0</v>
      </c>
      <c r="M1757" s="76" t="b">
        <v>0</v>
      </c>
      <c r="N1757" s="76" t="b">
        <v>0</v>
      </c>
      <c r="O1757" s="76" t="b">
        <v>0</v>
      </c>
      <c r="P1757" s="76" t="b">
        <v>0</v>
      </c>
      <c r="Q1757" s="76" t="b">
        <v>0</v>
      </c>
      <c r="R1757" s="14"/>
      <c r="S1757" s="14"/>
      <c r="T1757" s="14"/>
      <c r="U1757" s="14"/>
      <c r="V1757" s="14"/>
      <c r="W1757" s="14"/>
    </row>
    <row r="1758" ht="35.25" customHeight="1">
      <c r="A1758" s="147"/>
      <c r="B1758" s="148"/>
      <c r="C1758" s="149"/>
      <c r="D1758" s="150"/>
      <c r="E1758" s="151"/>
      <c r="F1758" s="152"/>
      <c r="G1758" s="148"/>
      <c r="H1758" s="76" t="b">
        <v>1</v>
      </c>
      <c r="I1758" s="76" t="b">
        <v>0</v>
      </c>
      <c r="J1758" s="76" t="b">
        <v>0</v>
      </c>
      <c r="K1758" s="76" t="b">
        <v>0</v>
      </c>
      <c r="L1758" s="76" t="b">
        <v>0</v>
      </c>
      <c r="M1758" s="76" t="b">
        <v>0</v>
      </c>
      <c r="N1758" s="76" t="b">
        <v>0</v>
      </c>
      <c r="O1758" s="76" t="b">
        <v>0</v>
      </c>
      <c r="P1758" s="76" t="b">
        <v>0</v>
      </c>
      <c r="Q1758" s="76" t="b">
        <v>0</v>
      </c>
      <c r="R1758" s="14"/>
      <c r="S1758" s="14"/>
      <c r="T1758" s="14"/>
      <c r="U1758" s="14"/>
      <c r="V1758" s="14"/>
      <c r="W1758" s="14"/>
    </row>
    <row r="1759" ht="35.25" customHeight="1">
      <c r="A1759" s="147"/>
      <c r="B1759" s="148"/>
      <c r="C1759" s="149"/>
      <c r="D1759" s="150"/>
      <c r="E1759" s="151"/>
      <c r="F1759" s="152"/>
      <c r="G1759" s="148"/>
      <c r="H1759" s="76" t="b">
        <v>1</v>
      </c>
      <c r="I1759" s="76" t="b">
        <v>0</v>
      </c>
      <c r="J1759" s="76" t="b">
        <v>0</v>
      </c>
      <c r="K1759" s="76" t="b">
        <v>0</v>
      </c>
      <c r="L1759" s="76" t="b">
        <v>0</v>
      </c>
      <c r="M1759" s="76" t="b">
        <v>0</v>
      </c>
      <c r="N1759" s="76" t="b">
        <v>0</v>
      </c>
      <c r="O1759" s="76" t="b">
        <v>0</v>
      </c>
      <c r="P1759" s="76" t="b">
        <v>0</v>
      </c>
      <c r="Q1759" s="76" t="b">
        <v>0</v>
      </c>
      <c r="R1759" s="14"/>
      <c r="S1759" s="14"/>
      <c r="T1759" s="14"/>
      <c r="U1759" s="14"/>
      <c r="V1759" s="14"/>
      <c r="W1759" s="14"/>
    </row>
    <row r="1760" ht="35.25" customHeight="1">
      <c r="A1760" s="147"/>
      <c r="B1760" s="148"/>
      <c r="C1760" s="149"/>
      <c r="D1760" s="150"/>
      <c r="E1760" s="151"/>
      <c r="F1760" s="152"/>
      <c r="G1760" s="148"/>
      <c r="H1760" s="76" t="b">
        <v>1</v>
      </c>
      <c r="I1760" s="76" t="b">
        <v>0</v>
      </c>
      <c r="J1760" s="76" t="b">
        <v>0</v>
      </c>
      <c r="K1760" s="76" t="b">
        <v>0</v>
      </c>
      <c r="L1760" s="76" t="b">
        <v>0</v>
      </c>
      <c r="M1760" s="76" t="b">
        <v>0</v>
      </c>
      <c r="N1760" s="76" t="b">
        <v>0</v>
      </c>
      <c r="O1760" s="76" t="b">
        <v>0</v>
      </c>
      <c r="P1760" s="76" t="b">
        <v>0</v>
      </c>
      <c r="Q1760" s="76" t="b">
        <v>0</v>
      </c>
      <c r="R1760" s="14"/>
      <c r="S1760" s="14"/>
      <c r="T1760" s="14"/>
      <c r="U1760" s="14"/>
      <c r="V1760" s="14"/>
      <c r="W1760" s="14"/>
    </row>
    <row r="1761" ht="35.25" customHeight="1">
      <c r="A1761" s="147"/>
      <c r="B1761" s="148"/>
      <c r="C1761" s="149"/>
      <c r="D1761" s="150"/>
      <c r="E1761" s="151"/>
      <c r="F1761" s="152"/>
      <c r="G1761" s="148"/>
      <c r="H1761" s="76" t="b">
        <v>1</v>
      </c>
      <c r="I1761" s="76" t="b">
        <v>0</v>
      </c>
      <c r="J1761" s="76" t="b">
        <v>0</v>
      </c>
      <c r="K1761" s="76" t="b">
        <v>0</v>
      </c>
      <c r="L1761" s="76" t="b">
        <v>0</v>
      </c>
      <c r="M1761" s="76" t="b">
        <v>0</v>
      </c>
      <c r="N1761" s="76" t="b">
        <v>0</v>
      </c>
      <c r="O1761" s="76" t="b">
        <v>0</v>
      </c>
      <c r="P1761" s="76" t="b">
        <v>0</v>
      </c>
      <c r="Q1761" s="76" t="b">
        <v>0</v>
      </c>
      <c r="R1761" s="14"/>
      <c r="S1761" s="14"/>
      <c r="T1761" s="14"/>
      <c r="U1761" s="14"/>
      <c r="V1761" s="14"/>
      <c r="W1761" s="14"/>
    </row>
    <row r="1762" ht="35.25" customHeight="1">
      <c r="A1762" s="147"/>
      <c r="B1762" s="148"/>
      <c r="C1762" s="149"/>
      <c r="D1762" s="150"/>
      <c r="E1762" s="151"/>
      <c r="F1762" s="152"/>
      <c r="G1762" s="148"/>
      <c r="H1762" s="76" t="b">
        <v>1</v>
      </c>
      <c r="I1762" s="76" t="b">
        <v>0</v>
      </c>
      <c r="J1762" s="76" t="b">
        <v>0</v>
      </c>
      <c r="K1762" s="76" t="b">
        <v>0</v>
      </c>
      <c r="L1762" s="76" t="b">
        <v>0</v>
      </c>
      <c r="M1762" s="76" t="b">
        <v>0</v>
      </c>
      <c r="N1762" s="76" t="b">
        <v>0</v>
      </c>
      <c r="O1762" s="76" t="b">
        <v>0</v>
      </c>
      <c r="P1762" s="76" t="b">
        <v>0</v>
      </c>
      <c r="Q1762" s="76" t="b">
        <v>0</v>
      </c>
      <c r="R1762" s="14"/>
      <c r="S1762" s="14"/>
      <c r="T1762" s="14"/>
      <c r="U1762" s="14"/>
      <c r="V1762" s="14"/>
      <c r="W1762" s="14"/>
    </row>
    <row r="1763" ht="35.25" customHeight="1">
      <c r="A1763" s="147"/>
      <c r="B1763" s="148"/>
      <c r="C1763" s="149"/>
      <c r="D1763" s="150"/>
      <c r="E1763" s="151"/>
      <c r="F1763" s="152"/>
      <c r="G1763" s="148"/>
      <c r="H1763" s="76" t="b">
        <v>1</v>
      </c>
      <c r="I1763" s="76" t="b">
        <v>0</v>
      </c>
      <c r="J1763" s="76" t="b">
        <v>0</v>
      </c>
      <c r="K1763" s="76" t="b">
        <v>0</v>
      </c>
      <c r="L1763" s="76" t="b">
        <v>0</v>
      </c>
      <c r="M1763" s="76" t="b">
        <v>0</v>
      </c>
      <c r="N1763" s="76" t="b">
        <v>0</v>
      </c>
      <c r="O1763" s="76" t="b">
        <v>0</v>
      </c>
      <c r="P1763" s="76" t="b">
        <v>0</v>
      </c>
      <c r="Q1763" s="76" t="b">
        <v>0</v>
      </c>
      <c r="R1763" s="14"/>
      <c r="S1763" s="14"/>
      <c r="T1763" s="14"/>
      <c r="U1763" s="14"/>
      <c r="V1763" s="14"/>
      <c r="W1763" s="14"/>
    </row>
    <row r="1764" ht="35.25" customHeight="1">
      <c r="A1764" s="147"/>
      <c r="B1764" s="148"/>
      <c r="C1764" s="149"/>
      <c r="D1764" s="150"/>
      <c r="E1764" s="151"/>
      <c r="F1764" s="152"/>
      <c r="G1764" s="148"/>
      <c r="H1764" s="76" t="b">
        <v>1</v>
      </c>
      <c r="I1764" s="76" t="b">
        <v>0</v>
      </c>
      <c r="J1764" s="76" t="b">
        <v>0</v>
      </c>
      <c r="K1764" s="76" t="b">
        <v>0</v>
      </c>
      <c r="L1764" s="76" t="b">
        <v>0</v>
      </c>
      <c r="M1764" s="76" t="b">
        <v>0</v>
      </c>
      <c r="N1764" s="76" t="b">
        <v>0</v>
      </c>
      <c r="O1764" s="76" t="b">
        <v>0</v>
      </c>
      <c r="P1764" s="76" t="b">
        <v>0</v>
      </c>
      <c r="Q1764" s="76" t="b">
        <v>0</v>
      </c>
      <c r="R1764" s="14"/>
      <c r="S1764" s="14"/>
      <c r="T1764" s="14"/>
      <c r="U1764" s="14"/>
      <c r="V1764" s="14"/>
      <c r="W1764" s="14"/>
    </row>
    <row r="1765" ht="35.25" customHeight="1">
      <c r="A1765" s="147"/>
      <c r="B1765" s="148"/>
      <c r="C1765" s="149"/>
      <c r="D1765" s="150"/>
      <c r="E1765" s="151"/>
      <c r="F1765" s="152"/>
      <c r="G1765" s="148"/>
      <c r="H1765" s="76" t="b">
        <v>1</v>
      </c>
      <c r="I1765" s="76" t="b">
        <v>0</v>
      </c>
      <c r="J1765" s="76" t="b">
        <v>0</v>
      </c>
      <c r="K1765" s="76" t="b">
        <v>0</v>
      </c>
      <c r="L1765" s="76" t="b">
        <v>0</v>
      </c>
      <c r="M1765" s="76" t="b">
        <v>0</v>
      </c>
      <c r="N1765" s="76" t="b">
        <v>0</v>
      </c>
      <c r="O1765" s="76" t="b">
        <v>0</v>
      </c>
      <c r="P1765" s="76" t="b">
        <v>0</v>
      </c>
      <c r="Q1765" s="76" t="b">
        <v>0</v>
      </c>
      <c r="R1765" s="14"/>
      <c r="S1765" s="14"/>
      <c r="T1765" s="14"/>
      <c r="U1765" s="14"/>
      <c r="V1765" s="14"/>
      <c r="W1765" s="14"/>
    </row>
    <row r="1766" ht="35.25" customHeight="1">
      <c r="A1766" s="147"/>
      <c r="B1766" s="148"/>
      <c r="C1766" s="149"/>
      <c r="D1766" s="150"/>
      <c r="E1766" s="151"/>
      <c r="F1766" s="152"/>
      <c r="G1766" s="148"/>
      <c r="H1766" s="76" t="b">
        <v>1</v>
      </c>
      <c r="I1766" s="76" t="b">
        <v>0</v>
      </c>
      <c r="J1766" s="76" t="b">
        <v>0</v>
      </c>
      <c r="K1766" s="76" t="b">
        <v>0</v>
      </c>
      <c r="L1766" s="76" t="b">
        <v>0</v>
      </c>
      <c r="M1766" s="76" t="b">
        <v>0</v>
      </c>
      <c r="N1766" s="76" t="b">
        <v>0</v>
      </c>
      <c r="O1766" s="76" t="b">
        <v>0</v>
      </c>
      <c r="P1766" s="76" t="b">
        <v>0</v>
      </c>
      <c r="Q1766" s="76" t="b">
        <v>0</v>
      </c>
      <c r="R1766" s="14"/>
      <c r="S1766" s="14"/>
      <c r="T1766" s="14"/>
      <c r="U1766" s="14"/>
      <c r="V1766" s="14"/>
      <c r="W1766" s="14"/>
    </row>
    <row r="1767" ht="35.25" customHeight="1">
      <c r="A1767" s="147"/>
      <c r="B1767" s="148"/>
      <c r="C1767" s="149"/>
      <c r="D1767" s="150"/>
      <c r="E1767" s="151"/>
      <c r="F1767" s="152"/>
      <c r="G1767" s="148"/>
      <c r="H1767" s="76" t="b">
        <v>1</v>
      </c>
      <c r="I1767" s="76" t="b">
        <v>0</v>
      </c>
      <c r="J1767" s="76" t="b">
        <v>0</v>
      </c>
      <c r="K1767" s="76" t="b">
        <v>0</v>
      </c>
      <c r="L1767" s="76" t="b">
        <v>0</v>
      </c>
      <c r="M1767" s="76" t="b">
        <v>0</v>
      </c>
      <c r="N1767" s="76" t="b">
        <v>0</v>
      </c>
      <c r="O1767" s="76" t="b">
        <v>0</v>
      </c>
      <c r="P1767" s="76" t="b">
        <v>0</v>
      </c>
      <c r="Q1767" s="76" t="b">
        <v>0</v>
      </c>
      <c r="R1767" s="14"/>
      <c r="S1767" s="14"/>
      <c r="T1767" s="14"/>
      <c r="U1767" s="14"/>
      <c r="V1767" s="14"/>
      <c r="W1767" s="14"/>
    </row>
    <row r="1768" ht="35.25" customHeight="1">
      <c r="A1768" s="147"/>
      <c r="B1768" s="148"/>
      <c r="C1768" s="149"/>
      <c r="D1768" s="150"/>
      <c r="E1768" s="151"/>
      <c r="F1768" s="152"/>
      <c r="G1768" s="148"/>
      <c r="H1768" s="76" t="b">
        <v>1</v>
      </c>
      <c r="I1768" s="76" t="b">
        <v>0</v>
      </c>
      <c r="J1768" s="76" t="b">
        <v>0</v>
      </c>
      <c r="K1768" s="76" t="b">
        <v>0</v>
      </c>
      <c r="L1768" s="76" t="b">
        <v>0</v>
      </c>
      <c r="M1768" s="76" t="b">
        <v>0</v>
      </c>
      <c r="N1768" s="76" t="b">
        <v>0</v>
      </c>
      <c r="O1768" s="76" t="b">
        <v>0</v>
      </c>
      <c r="P1768" s="76" t="b">
        <v>0</v>
      </c>
      <c r="Q1768" s="76" t="b">
        <v>0</v>
      </c>
      <c r="R1768" s="14"/>
      <c r="S1768" s="14"/>
      <c r="T1768" s="14"/>
      <c r="U1768" s="14"/>
      <c r="V1768" s="14"/>
      <c r="W1768" s="14"/>
    </row>
    <row r="1769" ht="35.25" customHeight="1">
      <c r="A1769" s="147"/>
      <c r="B1769" s="148"/>
      <c r="C1769" s="149"/>
      <c r="D1769" s="150"/>
      <c r="E1769" s="151"/>
      <c r="F1769" s="152"/>
      <c r="G1769" s="148"/>
      <c r="H1769" s="76" t="b">
        <v>1</v>
      </c>
      <c r="I1769" s="76" t="b">
        <v>0</v>
      </c>
      <c r="J1769" s="76" t="b">
        <v>0</v>
      </c>
      <c r="K1769" s="76" t="b">
        <v>0</v>
      </c>
      <c r="L1769" s="76" t="b">
        <v>0</v>
      </c>
      <c r="M1769" s="76" t="b">
        <v>0</v>
      </c>
      <c r="N1769" s="76" t="b">
        <v>0</v>
      </c>
      <c r="O1769" s="76" t="b">
        <v>0</v>
      </c>
      <c r="P1769" s="76" t="b">
        <v>0</v>
      </c>
      <c r="Q1769" s="76" t="b">
        <v>0</v>
      </c>
      <c r="R1769" s="14"/>
      <c r="S1769" s="14"/>
      <c r="T1769" s="14"/>
      <c r="U1769" s="14"/>
      <c r="V1769" s="14"/>
      <c r="W1769" s="14"/>
    </row>
    <row r="1770" ht="35.25" customHeight="1">
      <c r="A1770" s="147"/>
      <c r="B1770" s="148"/>
      <c r="C1770" s="149"/>
      <c r="D1770" s="150"/>
      <c r="E1770" s="151"/>
      <c r="F1770" s="152"/>
      <c r="G1770" s="148"/>
      <c r="H1770" s="76" t="b">
        <v>1</v>
      </c>
      <c r="I1770" s="76" t="b">
        <v>0</v>
      </c>
      <c r="J1770" s="76" t="b">
        <v>0</v>
      </c>
      <c r="K1770" s="76" t="b">
        <v>0</v>
      </c>
      <c r="L1770" s="76" t="b">
        <v>0</v>
      </c>
      <c r="M1770" s="76" t="b">
        <v>0</v>
      </c>
      <c r="N1770" s="76" t="b">
        <v>0</v>
      </c>
      <c r="O1770" s="76" t="b">
        <v>0</v>
      </c>
      <c r="P1770" s="76" t="b">
        <v>0</v>
      </c>
      <c r="Q1770" s="76" t="b">
        <v>0</v>
      </c>
      <c r="R1770" s="14"/>
      <c r="S1770" s="14"/>
      <c r="T1770" s="14"/>
      <c r="U1770" s="14"/>
      <c r="V1770" s="14"/>
      <c r="W1770" s="14"/>
    </row>
    <row r="1771" ht="35.25" customHeight="1">
      <c r="A1771" s="147"/>
      <c r="B1771" s="148"/>
      <c r="C1771" s="149"/>
      <c r="D1771" s="150"/>
      <c r="E1771" s="151"/>
      <c r="F1771" s="152"/>
      <c r="G1771" s="148"/>
      <c r="H1771" s="76" t="b">
        <v>1</v>
      </c>
      <c r="I1771" s="76" t="b">
        <v>0</v>
      </c>
      <c r="J1771" s="76" t="b">
        <v>0</v>
      </c>
      <c r="K1771" s="76" t="b">
        <v>0</v>
      </c>
      <c r="L1771" s="76" t="b">
        <v>0</v>
      </c>
      <c r="M1771" s="76" t="b">
        <v>0</v>
      </c>
      <c r="N1771" s="76" t="b">
        <v>0</v>
      </c>
      <c r="O1771" s="76" t="b">
        <v>0</v>
      </c>
      <c r="P1771" s="76" t="b">
        <v>0</v>
      </c>
      <c r="Q1771" s="76" t="b">
        <v>0</v>
      </c>
      <c r="R1771" s="14"/>
      <c r="S1771" s="14"/>
      <c r="T1771" s="14"/>
      <c r="U1771" s="14"/>
      <c r="V1771" s="14"/>
      <c r="W1771" s="14"/>
    </row>
    <row r="1772" ht="35.25" customHeight="1">
      <c r="A1772" s="147"/>
      <c r="B1772" s="148"/>
      <c r="C1772" s="149"/>
      <c r="D1772" s="150"/>
      <c r="E1772" s="151"/>
      <c r="F1772" s="152"/>
      <c r="G1772" s="148"/>
      <c r="H1772" s="76" t="b">
        <v>1</v>
      </c>
      <c r="I1772" s="76" t="b">
        <v>0</v>
      </c>
      <c r="J1772" s="76" t="b">
        <v>0</v>
      </c>
      <c r="K1772" s="76" t="b">
        <v>0</v>
      </c>
      <c r="L1772" s="76" t="b">
        <v>0</v>
      </c>
      <c r="M1772" s="76" t="b">
        <v>0</v>
      </c>
      <c r="N1772" s="76" t="b">
        <v>0</v>
      </c>
      <c r="O1772" s="76" t="b">
        <v>0</v>
      </c>
      <c r="P1772" s="76" t="b">
        <v>0</v>
      </c>
      <c r="Q1772" s="76" t="b">
        <v>0</v>
      </c>
      <c r="R1772" s="14"/>
      <c r="S1772" s="14"/>
      <c r="T1772" s="14"/>
      <c r="U1772" s="14"/>
      <c r="V1772" s="14"/>
      <c r="W1772" s="14"/>
    </row>
    <row r="1773" ht="35.25" customHeight="1">
      <c r="A1773" s="147"/>
      <c r="B1773" s="148"/>
      <c r="C1773" s="149"/>
      <c r="D1773" s="150"/>
      <c r="E1773" s="151"/>
      <c r="F1773" s="152"/>
      <c r="G1773" s="148"/>
      <c r="H1773" s="76" t="b">
        <v>1</v>
      </c>
      <c r="I1773" s="76" t="b">
        <v>0</v>
      </c>
      <c r="J1773" s="76" t="b">
        <v>0</v>
      </c>
      <c r="K1773" s="76" t="b">
        <v>0</v>
      </c>
      <c r="L1773" s="76" t="b">
        <v>0</v>
      </c>
      <c r="M1773" s="76" t="b">
        <v>0</v>
      </c>
      <c r="N1773" s="76" t="b">
        <v>0</v>
      </c>
      <c r="O1773" s="76" t="b">
        <v>0</v>
      </c>
      <c r="P1773" s="76" t="b">
        <v>0</v>
      </c>
      <c r="Q1773" s="76" t="b">
        <v>0</v>
      </c>
      <c r="R1773" s="14"/>
      <c r="S1773" s="14"/>
      <c r="T1773" s="14"/>
      <c r="U1773" s="14"/>
      <c r="V1773" s="14"/>
      <c r="W1773" s="14"/>
    </row>
    <row r="1774" ht="35.25" customHeight="1">
      <c r="A1774" s="147"/>
      <c r="B1774" s="148"/>
      <c r="C1774" s="149"/>
      <c r="D1774" s="150"/>
      <c r="E1774" s="151"/>
      <c r="F1774" s="152"/>
      <c r="G1774" s="148"/>
      <c r="H1774" s="76" t="b">
        <v>1</v>
      </c>
      <c r="I1774" s="76" t="b">
        <v>0</v>
      </c>
      <c r="J1774" s="76" t="b">
        <v>0</v>
      </c>
      <c r="K1774" s="76" t="b">
        <v>0</v>
      </c>
      <c r="L1774" s="76" t="b">
        <v>0</v>
      </c>
      <c r="M1774" s="76" t="b">
        <v>0</v>
      </c>
      <c r="N1774" s="76" t="b">
        <v>0</v>
      </c>
      <c r="O1774" s="76" t="b">
        <v>0</v>
      </c>
      <c r="P1774" s="76" t="b">
        <v>0</v>
      </c>
      <c r="Q1774" s="76" t="b">
        <v>0</v>
      </c>
      <c r="R1774" s="14"/>
      <c r="S1774" s="14"/>
      <c r="T1774" s="14"/>
      <c r="U1774" s="14"/>
      <c r="V1774" s="14"/>
      <c r="W1774" s="14"/>
    </row>
    <row r="1775" ht="35.25" customHeight="1">
      <c r="A1775" s="147"/>
      <c r="B1775" s="148"/>
      <c r="C1775" s="149"/>
      <c r="D1775" s="150"/>
      <c r="E1775" s="151"/>
      <c r="F1775" s="152"/>
      <c r="G1775" s="148"/>
      <c r="H1775" s="76" t="b">
        <v>1</v>
      </c>
      <c r="I1775" s="76" t="b">
        <v>0</v>
      </c>
      <c r="J1775" s="76" t="b">
        <v>0</v>
      </c>
      <c r="K1775" s="76" t="b">
        <v>0</v>
      </c>
      <c r="L1775" s="76" t="b">
        <v>0</v>
      </c>
      <c r="M1775" s="76" t="b">
        <v>0</v>
      </c>
      <c r="N1775" s="76" t="b">
        <v>0</v>
      </c>
      <c r="O1775" s="76" t="b">
        <v>0</v>
      </c>
      <c r="P1775" s="76" t="b">
        <v>0</v>
      </c>
      <c r="Q1775" s="76" t="b">
        <v>0</v>
      </c>
      <c r="R1775" s="14"/>
      <c r="S1775" s="14"/>
      <c r="T1775" s="14"/>
      <c r="U1775" s="14"/>
      <c r="V1775" s="14"/>
      <c r="W1775" s="14"/>
    </row>
    <row r="1776" ht="35.25" customHeight="1">
      <c r="A1776" s="147"/>
      <c r="B1776" s="148"/>
      <c r="C1776" s="149"/>
      <c r="D1776" s="150"/>
      <c r="E1776" s="151"/>
      <c r="F1776" s="152"/>
      <c r="G1776" s="148"/>
      <c r="H1776" s="76" t="b">
        <v>1</v>
      </c>
      <c r="I1776" s="76" t="b">
        <v>0</v>
      </c>
      <c r="J1776" s="76" t="b">
        <v>0</v>
      </c>
      <c r="K1776" s="76" t="b">
        <v>0</v>
      </c>
      <c r="L1776" s="76" t="b">
        <v>0</v>
      </c>
      <c r="M1776" s="76" t="b">
        <v>0</v>
      </c>
      <c r="N1776" s="76" t="b">
        <v>0</v>
      </c>
      <c r="O1776" s="76" t="b">
        <v>0</v>
      </c>
      <c r="P1776" s="76" t="b">
        <v>0</v>
      </c>
      <c r="Q1776" s="76" t="b">
        <v>0</v>
      </c>
      <c r="R1776" s="14"/>
      <c r="S1776" s="14"/>
      <c r="T1776" s="14"/>
      <c r="U1776" s="14"/>
      <c r="V1776" s="14"/>
      <c r="W1776" s="14"/>
    </row>
    <row r="1777" ht="35.25" customHeight="1">
      <c r="A1777" s="147"/>
      <c r="B1777" s="148"/>
      <c r="C1777" s="149"/>
      <c r="D1777" s="150"/>
      <c r="E1777" s="151"/>
      <c r="F1777" s="152"/>
      <c r="G1777" s="148"/>
      <c r="H1777" s="76" t="b">
        <v>1</v>
      </c>
      <c r="I1777" s="76" t="b">
        <v>0</v>
      </c>
      <c r="J1777" s="76" t="b">
        <v>0</v>
      </c>
      <c r="K1777" s="76" t="b">
        <v>0</v>
      </c>
      <c r="L1777" s="76" t="b">
        <v>0</v>
      </c>
      <c r="M1777" s="76" t="b">
        <v>0</v>
      </c>
      <c r="N1777" s="76" t="b">
        <v>0</v>
      </c>
      <c r="O1777" s="76" t="b">
        <v>0</v>
      </c>
      <c r="P1777" s="76" t="b">
        <v>0</v>
      </c>
      <c r="Q1777" s="76" t="b">
        <v>0</v>
      </c>
      <c r="R1777" s="14"/>
      <c r="S1777" s="14"/>
      <c r="T1777" s="14"/>
      <c r="U1777" s="14"/>
      <c r="V1777" s="14"/>
      <c r="W1777" s="14"/>
    </row>
    <row r="1778" ht="35.25" customHeight="1">
      <c r="A1778" s="147"/>
      <c r="B1778" s="148"/>
      <c r="C1778" s="149"/>
      <c r="D1778" s="150"/>
      <c r="E1778" s="151"/>
      <c r="F1778" s="152"/>
      <c r="G1778" s="148"/>
      <c r="H1778" s="76" t="b">
        <v>1</v>
      </c>
      <c r="I1778" s="76" t="b">
        <v>0</v>
      </c>
      <c r="J1778" s="76" t="b">
        <v>0</v>
      </c>
      <c r="K1778" s="76" t="b">
        <v>0</v>
      </c>
      <c r="L1778" s="76" t="b">
        <v>0</v>
      </c>
      <c r="M1778" s="76" t="b">
        <v>0</v>
      </c>
      <c r="N1778" s="76" t="b">
        <v>0</v>
      </c>
      <c r="O1778" s="76" t="b">
        <v>0</v>
      </c>
      <c r="P1778" s="76" t="b">
        <v>0</v>
      </c>
      <c r="Q1778" s="76" t="b">
        <v>0</v>
      </c>
      <c r="R1778" s="14"/>
      <c r="S1778" s="14"/>
      <c r="T1778" s="14"/>
      <c r="U1778" s="14"/>
      <c r="V1778" s="14"/>
      <c r="W1778" s="14"/>
    </row>
    <row r="1779" ht="35.25" customHeight="1">
      <c r="A1779" s="147"/>
      <c r="B1779" s="148"/>
      <c r="C1779" s="149"/>
      <c r="D1779" s="150"/>
      <c r="E1779" s="151"/>
      <c r="F1779" s="152"/>
      <c r="G1779" s="148"/>
      <c r="H1779" s="76" t="b">
        <v>1</v>
      </c>
      <c r="I1779" s="76" t="b">
        <v>0</v>
      </c>
      <c r="J1779" s="76" t="b">
        <v>0</v>
      </c>
      <c r="K1779" s="76" t="b">
        <v>0</v>
      </c>
      <c r="L1779" s="76" t="b">
        <v>0</v>
      </c>
      <c r="M1779" s="76" t="b">
        <v>0</v>
      </c>
      <c r="N1779" s="76" t="b">
        <v>0</v>
      </c>
      <c r="O1779" s="76" t="b">
        <v>0</v>
      </c>
      <c r="P1779" s="76" t="b">
        <v>0</v>
      </c>
      <c r="Q1779" s="76" t="b">
        <v>0</v>
      </c>
      <c r="R1779" s="14"/>
      <c r="S1779" s="14"/>
      <c r="T1779" s="14"/>
      <c r="U1779" s="14"/>
      <c r="V1779" s="14"/>
      <c r="W1779" s="14"/>
    </row>
    <row r="1780" ht="35.25" customHeight="1">
      <c r="A1780" s="147"/>
      <c r="B1780" s="148"/>
      <c r="C1780" s="149"/>
      <c r="D1780" s="150"/>
      <c r="E1780" s="151"/>
      <c r="F1780" s="152"/>
      <c r="G1780" s="148"/>
      <c r="H1780" s="76" t="b">
        <v>1</v>
      </c>
      <c r="I1780" s="76" t="b">
        <v>0</v>
      </c>
      <c r="J1780" s="76" t="b">
        <v>0</v>
      </c>
      <c r="K1780" s="76" t="b">
        <v>0</v>
      </c>
      <c r="L1780" s="76" t="b">
        <v>0</v>
      </c>
      <c r="M1780" s="76" t="b">
        <v>0</v>
      </c>
      <c r="N1780" s="76" t="b">
        <v>0</v>
      </c>
      <c r="O1780" s="76" t="b">
        <v>0</v>
      </c>
      <c r="P1780" s="76" t="b">
        <v>0</v>
      </c>
      <c r="Q1780" s="76" t="b">
        <v>0</v>
      </c>
      <c r="R1780" s="14"/>
      <c r="S1780" s="14"/>
      <c r="T1780" s="14"/>
      <c r="U1780" s="14"/>
      <c r="V1780" s="14"/>
      <c r="W1780" s="14"/>
    </row>
    <row r="1781" ht="35.25" customHeight="1">
      <c r="A1781" s="147"/>
      <c r="B1781" s="148"/>
      <c r="C1781" s="149"/>
      <c r="D1781" s="150"/>
      <c r="E1781" s="151"/>
      <c r="F1781" s="152"/>
      <c r="G1781" s="148"/>
      <c r="H1781" s="76" t="b">
        <v>1</v>
      </c>
      <c r="I1781" s="76" t="b">
        <v>0</v>
      </c>
      <c r="J1781" s="76" t="b">
        <v>0</v>
      </c>
      <c r="K1781" s="76" t="b">
        <v>0</v>
      </c>
      <c r="L1781" s="76" t="b">
        <v>0</v>
      </c>
      <c r="M1781" s="76" t="b">
        <v>0</v>
      </c>
      <c r="N1781" s="76" t="b">
        <v>0</v>
      </c>
      <c r="O1781" s="76" t="b">
        <v>0</v>
      </c>
      <c r="P1781" s="76" t="b">
        <v>0</v>
      </c>
      <c r="Q1781" s="76" t="b">
        <v>0</v>
      </c>
      <c r="R1781" s="14"/>
      <c r="S1781" s="14"/>
      <c r="T1781" s="14"/>
      <c r="U1781" s="14"/>
      <c r="V1781" s="14"/>
      <c r="W1781" s="14"/>
    </row>
    <row r="1782" ht="35.25" customHeight="1">
      <c r="A1782" s="147"/>
      <c r="B1782" s="148"/>
      <c r="C1782" s="149"/>
      <c r="D1782" s="150"/>
      <c r="E1782" s="151"/>
      <c r="F1782" s="152"/>
      <c r="G1782" s="148"/>
      <c r="H1782" s="76" t="b">
        <v>1</v>
      </c>
      <c r="I1782" s="76" t="b">
        <v>0</v>
      </c>
      <c r="J1782" s="76" t="b">
        <v>0</v>
      </c>
      <c r="K1782" s="76" t="b">
        <v>0</v>
      </c>
      <c r="L1782" s="76" t="b">
        <v>0</v>
      </c>
      <c r="M1782" s="76" t="b">
        <v>0</v>
      </c>
      <c r="N1782" s="76" t="b">
        <v>0</v>
      </c>
      <c r="O1782" s="76" t="b">
        <v>0</v>
      </c>
      <c r="P1782" s="76" t="b">
        <v>0</v>
      </c>
      <c r="Q1782" s="76" t="b">
        <v>0</v>
      </c>
      <c r="R1782" s="14"/>
      <c r="S1782" s="14"/>
      <c r="T1782" s="14"/>
      <c r="U1782" s="14"/>
      <c r="V1782" s="14"/>
      <c r="W1782" s="14"/>
    </row>
    <row r="1783" ht="35.25" customHeight="1">
      <c r="A1783" s="147"/>
      <c r="B1783" s="148"/>
      <c r="C1783" s="149"/>
      <c r="D1783" s="150"/>
      <c r="E1783" s="151"/>
      <c r="F1783" s="152"/>
      <c r="G1783" s="148"/>
      <c r="H1783" s="76" t="b">
        <v>1</v>
      </c>
      <c r="I1783" s="76" t="b">
        <v>0</v>
      </c>
      <c r="J1783" s="76" t="b">
        <v>0</v>
      </c>
      <c r="K1783" s="76" t="b">
        <v>0</v>
      </c>
      <c r="L1783" s="76" t="b">
        <v>0</v>
      </c>
      <c r="M1783" s="76" t="b">
        <v>0</v>
      </c>
      <c r="N1783" s="76" t="b">
        <v>0</v>
      </c>
      <c r="O1783" s="76" t="b">
        <v>0</v>
      </c>
      <c r="P1783" s="76" t="b">
        <v>0</v>
      </c>
      <c r="Q1783" s="76" t="b">
        <v>0</v>
      </c>
      <c r="R1783" s="14"/>
      <c r="S1783" s="14"/>
      <c r="T1783" s="14"/>
      <c r="U1783" s="14"/>
      <c r="V1783" s="14"/>
      <c r="W1783" s="14"/>
    </row>
    <row r="1784" ht="35.25" customHeight="1">
      <c r="A1784" s="147"/>
      <c r="B1784" s="148"/>
      <c r="C1784" s="149"/>
      <c r="D1784" s="150"/>
      <c r="E1784" s="151"/>
      <c r="F1784" s="152"/>
      <c r="G1784" s="148"/>
      <c r="H1784" s="76" t="b">
        <v>1</v>
      </c>
      <c r="I1784" s="76" t="b">
        <v>0</v>
      </c>
      <c r="J1784" s="76" t="b">
        <v>0</v>
      </c>
      <c r="K1784" s="76" t="b">
        <v>0</v>
      </c>
      <c r="L1784" s="76" t="b">
        <v>0</v>
      </c>
      <c r="M1784" s="76" t="b">
        <v>0</v>
      </c>
      <c r="N1784" s="76" t="b">
        <v>0</v>
      </c>
      <c r="O1784" s="76" t="b">
        <v>0</v>
      </c>
      <c r="P1784" s="76" t="b">
        <v>0</v>
      </c>
      <c r="Q1784" s="76" t="b">
        <v>0</v>
      </c>
      <c r="R1784" s="14"/>
      <c r="S1784" s="14"/>
      <c r="T1784" s="14"/>
      <c r="U1784" s="14"/>
      <c r="V1784" s="14"/>
      <c r="W1784" s="14"/>
    </row>
    <row r="1785" ht="35.25" customHeight="1">
      <c r="A1785" s="147"/>
      <c r="B1785" s="148"/>
      <c r="C1785" s="149"/>
      <c r="D1785" s="150"/>
      <c r="E1785" s="151"/>
      <c r="F1785" s="152"/>
      <c r="G1785" s="148"/>
      <c r="H1785" s="76" t="b">
        <v>1</v>
      </c>
      <c r="I1785" s="76" t="b">
        <v>0</v>
      </c>
      <c r="J1785" s="76" t="b">
        <v>0</v>
      </c>
      <c r="K1785" s="76" t="b">
        <v>0</v>
      </c>
      <c r="L1785" s="76" t="b">
        <v>0</v>
      </c>
      <c r="M1785" s="76" t="b">
        <v>0</v>
      </c>
      <c r="N1785" s="76" t="b">
        <v>0</v>
      </c>
      <c r="O1785" s="76" t="b">
        <v>0</v>
      </c>
      <c r="P1785" s="76" t="b">
        <v>0</v>
      </c>
      <c r="Q1785" s="76" t="b">
        <v>0</v>
      </c>
      <c r="R1785" s="14"/>
      <c r="S1785" s="14"/>
      <c r="T1785" s="14"/>
      <c r="U1785" s="14"/>
      <c r="V1785" s="14"/>
      <c r="W1785" s="14"/>
    </row>
    <row r="1786" ht="35.25" customHeight="1">
      <c r="A1786" s="147"/>
      <c r="B1786" s="148"/>
      <c r="C1786" s="149"/>
      <c r="D1786" s="150"/>
      <c r="E1786" s="151"/>
      <c r="F1786" s="152"/>
      <c r="G1786" s="148"/>
      <c r="H1786" s="76" t="b">
        <v>1</v>
      </c>
      <c r="I1786" s="76" t="b">
        <v>0</v>
      </c>
      <c r="J1786" s="76" t="b">
        <v>0</v>
      </c>
      <c r="K1786" s="76" t="b">
        <v>0</v>
      </c>
      <c r="L1786" s="76" t="b">
        <v>0</v>
      </c>
      <c r="M1786" s="76" t="b">
        <v>0</v>
      </c>
      <c r="N1786" s="76" t="b">
        <v>0</v>
      </c>
      <c r="O1786" s="76" t="b">
        <v>0</v>
      </c>
      <c r="P1786" s="76" t="b">
        <v>0</v>
      </c>
      <c r="Q1786" s="76" t="b">
        <v>0</v>
      </c>
      <c r="R1786" s="14"/>
      <c r="S1786" s="14"/>
      <c r="T1786" s="14"/>
      <c r="U1786" s="14"/>
      <c r="V1786" s="14"/>
      <c r="W1786" s="14"/>
    </row>
    <row r="1787" ht="35.25" customHeight="1">
      <c r="A1787" s="147"/>
      <c r="B1787" s="148"/>
      <c r="C1787" s="149"/>
      <c r="D1787" s="150"/>
      <c r="E1787" s="151"/>
      <c r="F1787" s="152"/>
      <c r="G1787" s="148"/>
      <c r="H1787" s="76" t="b">
        <v>1</v>
      </c>
      <c r="I1787" s="76" t="b">
        <v>0</v>
      </c>
      <c r="J1787" s="76" t="b">
        <v>0</v>
      </c>
      <c r="K1787" s="76" t="b">
        <v>0</v>
      </c>
      <c r="L1787" s="76" t="b">
        <v>0</v>
      </c>
      <c r="M1787" s="76" t="b">
        <v>0</v>
      </c>
      <c r="N1787" s="76" t="b">
        <v>0</v>
      </c>
      <c r="O1787" s="76" t="b">
        <v>0</v>
      </c>
      <c r="P1787" s="76" t="b">
        <v>0</v>
      </c>
      <c r="Q1787" s="76" t="b">
        <v>0</v>
      </c>
      <c r="R1787" s="14"/>
      <c r="S1787" s="14"/>
      <c r="T1787" s="14"/>
      <c r="U1787" s="14"/>
      <c r="V1787" s="14"/>
      <c r="W1787" s="14"/>
    </row>
    <row r="1788" ht="35.25" customHeight="1">
      <c r="A1788" s="147"/>
      <c r="B1788" s="148"/>
      <c r="C1788" s="149"/>
      <c r="D1788" s="150"/>
      <c r="E1788" s="151"/>
      <c r="F1788" s="152"/>
      <c r="G1788" s="148"/>
      <c r="H1788" s="76" t="b">
        <v>1</v>
      </c>
      <c r="I1788" s="76" t="b">
        <v>0</v>
      </c>
      <c r="J1788" s="76" t="b">
        <v>0</v>
      </c>
      <c r="K1788" s="76" t="b">
        <v>0</v>
      </c>
      <c r="L1788" s="76" t="b">
        <v>0</v>
      </c>
      <c r="M1788" s="76" t="b">
        <v>0</v>
      </c>
      <c r="N1788" s="76" t="b">
        <v>0</v>
      </c>
      <c r="O1788" s="76" t="b">
        <v>0</v>
      </c>
      <c r="P1788" s="76" t="b">
        <v>0</v>
      </c>
      <c r="Q1788" s="76" t="b">
        <v>0</v>
      </c>
      <c r="R1788" s="14"/>
      <c r="S1788" s="14"/>
      <c r="T1788" s="14"/>
      <c r="U1788" s="14"/>
      <c r="V1788" s="14"/>
      <c r="W1788" s="14"/>
    </row>
    <row r="1789" ht="35.25" customHeight="1">
      <c r="A1789" s="147"/>
      <c r="B1789" s="148"/>
      <c r="C1789" s="149"/>
      <c r="D1789" s="150"/>
      <c r="E1789" s="151"/>
      <c r="F1789" s="152"/>
      <c r="G1789" s="148"/>
      <c r="H1789" s="76" t="b">
        <v>1</v>
      </c>
      <c r="I1789" s="76" t="b">
        <v>0</v>
      </c>
      <c r="J1789" s="76" t="b">
        <v>0</v>
      </c>
      <c r="K1789" s="76" t="b">
        <v>0</v>
      </c>
      <c r="L1789" s="76" t="b">
        <v>0</v>
      </c>
      <c r="M1789" s="76" t="b">
        <v>0</v>
      </c>
      <c r="N1789" s="76" t="b">
        <v>0</v>
      </c>
      <c r="O1789" s="76" t="b">
        <v>0</v>
      </c>
      <c r="P1789" s="76" t="b">
        <v>0</v>
      </c>
      <c r="Q1789" s="76" t="b">
        <v>0</v>
      </c>
      <c r="R1789" s="14"/>
      <c r="S1789" s="14"/>
      <c r="T1789" s="14"/>
      <c r="U1789" s="14"/>
      <c r="V1789" s="14"/>
      <c r="W1789" s="14"/>
    </row>
    <row r="1790" ht="35.25" customHeight="1">
      <c r="A1790" s="147"/>
      <c r="B1790" s="148"/>
      <c r="C1790" s="149"/>
      <c r="D1790" s="150"/>
      <c r="E1790" s="151"/>
      <c r="F1790" s="152"/>
      <c r="G1790" s="148"/>
      <c r="H1790" s="76" t="b">
        <v>1</v>
      </c>
      <c r="I1790" s="76" t="b">
        <v>0</v>
      </c>
      <c r="J1790" s="76" t="b">
        <v>0</v>
      </c>
      <c r="K1790" s="76" t="b">
        <v>0</v>
      </c>
      <c r="L1790" s="76" t="b">
        <v>0</v>
      </c>
      <c r="M1790" s="76" t="b">
        <v>0</v>
      </c>
      <c r="N1790" s="76" t="b">
        <v>0</v>
      </c>
      <c r="O1790" s="76" t="b">
        <v>0</v>
      </c>
      <c r="P1790" s="76" t="b">
        <v>0</v>
      </c>
      <c r="Q1790" s="76" t="b">
        <v>0</v>
      </c>
      <c r="R1790" s="14"/>
      <c r="S1790" s="14"/>
      <c r="T1790" s="14"/>
      <c r="U1790" s="14"/>
      <c r="V1790" s="14"/>
      <c r="W1790" s="14"/>
    </row>
    <row r="1791" ht="35.25" customHeight="1">
      <c r="A1791" s="147"/>
      <c r="B1791" s="148"/>
      <c r="C1791" s="149"/>
      <c r="D1791" s="150"/>
      <c r="E1791" s="151"/>
      <c r="F1791" s="152"/>
      <c r="G1791" s="148"/>
      <c r="H1791" s="76" t="b">
        <v>1</v>
      </c>
      <c r="I1791" s="76" t="b">
        <v>0</v>
      </c>
      <c r="J1791" s="76" t="b">
        <v>0</v>
      </c>
      <c r="K1791" s="76" t="b">
        <v>0</v>
      </c>
      <c r="L1791" s="76" t="b">
        <v>0</v>
      </c>
      <c r="M1791" s="76" t="b">
        <v>0</v>
      </c>
      <c r="N1791" s="76" t="b">
        <v>0</v>
      </c>
      <c r="O1791" s="76" t="b">
        <v>0</v>
      </c>
      <c r="P1791" s="76" t="b">
        <v>0</v>
      </c>
      <c r="Q1791" s="76" t="b">
        <v>0</v>
      </c>
      <c r="R1791" s="14"/>
      <c r="S1791" s="14"/>
      <c r="T1791" s="14"/>
      <c r="U1791" s="14"/>
      <c r="V1791" s="14"/>
      <c r="W1791" s="14"/>
    </row>
    <row r="1792" ht="35.25" customHeight="1">
      <c r="A1792" s="147"/>
      <c r="B1792" s="148"/>
      <c r="C1792" s="149"/>
      <c r="D1792" s="150"/>
      <c r="E1792" s="151"/>
      <c r="F1792" s="152"/>
      <c r="G1792" s="148"/>
      <c r="H1792" s="76" t="b">
        <v>1</v>
      </c>
      <c r="I1792" s="76" t="b">
        <v>0</v>
      </c>
      <c r="J1792" s="76" t="b">
        <v>0</v>
      </c>
      <c r="K1792" s="76" t="b">
        <v>0</v>
      </c>
      <c r="L1792" s="76" t="b">
        <v>0</v>
      </c>
      <c r="M1792" s="76" t="b">
        <v>0</v>
      </c>
      <c r="N1792" s="76" t="b">
        <v>0</v>
      </c>
      <c r="O1792" s="76" t="b">
        <v>0</v>
      </c>
      <c r="P1792" s="76" t="b">
        <v>0</v>
      </c>
      <c r="Q1792" s="76" t="b">
        <v>0</v>
      </c>
      <c r="R1792" s="14"/>
      <c r="S1792" s="14"/>
      <c r="T1792" s="14"/>
      <c r="U1792" s="14"/>
      <c r="V1792" s="14"/>
      <c r="W1792" s="14"/>
    </row>
    <row r="1793" ht="35.25" customHeight="1">
      <c r="A1793" s="147"/>
      <c r="B1793" s="148"/>
      <c r="C1793" s="149"/>
      <c r="D1793" s="150"/>
      <c r="E1793" s="151"/>
      <c r="F1793" s="152"/>
      <c r="G1793" s="148"/>
      <c r="H1793" s="76" t="b">
        <v>1</v>
      </c>
      <c r="I1793" s="76" t="b">
        <v>0</v>
      </c>
      <c r="J1793" s="76" t="b">
        <v>0</v>
      </c>
      <c r="K1793" s="76" t="b">
        <v>0</v>
      </c>
      <c r="L1793" s="76" t="b">
        <v>0</v>
      </c>
      <c r="M1793" s="76" t="b">
        <v>0</v>
      </c>
      <c r="N1793" s="76" t="b">
        <v>0</v>
      </c>
      <c r="O1793" s="76" t="b">
        <v>0</v>
      </c>
      <c r="P1793" s="76" t="b">
        <v>0</v>
      </c>
      <c r="Q1793" s="76" t="b">
        <v>0</v>
      </c>
      <c r="R1793" s="14"/>
      <c r="S1793" s="14"/>
      <c r="T1793" s="14"/>
      <c r="U1793" s="14"/>
      <c r="V1793" s="14"/>
      <c r="W1793" s="14"/>
    </row>
    <row r="1794" ht="35.25" customHeight="1">
      <c r="A1794" s="147"/>
      <c r="B1794" s="148"/>
      <c r="C1794" s="149"/>
      <c r="D1794" s="150"/>
      <c r="E1794" s="151"/>
      <c r="F1794" s="152"/>
      <c r="G1794" s="148"/>
      <c r="H1794" s="76" t="b">
        <v>1</v>
      </c>
      <c r="I1794" s="76" t="b">
        <v>0</v>
      </c>
      <c r="J1794" s="76" t="b">
        <v>0</v>
      </c>
      <c r="K1794" s="76" t="b">
        <v>0</v>
      </c>
      <c r="L1794" s="76" t="b">
        <v>0</v>
      </c>
      <c r="M1794" s="76" t="b">
        <v>0</v>
      </c>
      <c r="N1794" s="76" t="b">
        <v>0</v>
      </c>
      <c r="O1794" s="76" t="b">
        <v>0</v>
      </c>
      <c r="P1794" s="76" t="b">
        <v>0</v>
      </c>
      <c r="Q1794" s="76" t="b">
        <v>0</v>
      </c>
      <c r="R1794" s="14"/>
      <c r="S1794" s="14"/>
      <c r="T1794" s="14"/>
      <c r="U1794" s="14"/>
      <c r="V1794" s="14"/>
      <c r="W1794" s="14"/>
    </row>
    <row r="1795" ht="35.25" customHeight="1">
      <c r="A1795" s="147"/>
      <c r="B1795" s="148"/>
      <c r="C1795" s="149"/>
      <c r="D1795" s="150"/>
      <c r="E1795" s="151"/>
      <c r="F1795" s="152"/>
      <c r="G1795" s="148"/>
      <c r="H1795" s="76" t="b">
        <v>1</v>
      </c>
      <c r="I1795" s="76" t="b">
        <v>0</v>
      </c>
      <c r="J1795" s="76" t="b">
        <v>0</v>
      </c>
      <c r="K1795" s="76" t="b">
        <v>0</v>
      </c>
      <c r="L1795" s="76" t="b">
        <v>0</v>
      </c>
      <c r="M1795" s="76" t="b">
        <v>0</v>
      </c>
      <c r="N1795" s="76" t="b">
        <v>0</v>
      </c>
      <c r="O1795" s="76" t="b">
        <v>0</v>
      </c>
      <c r="P1795" s="76" t="b">
        <v>0</v>
      </c>
      <c r="Q1795" s="76" t="b">
        <v>0</v>
      </c>
      <c r="R1795" s="14"/>
      <c r="S1795" s="14"/>
      <c r="T1795" s="14"/>
      <c r="U1795" s="14"/>
      <c r="V1795" s="14"/>
      <c r="W1795" s="14"/>
    </row>
    <row r="1796" ht="35.25" customHeight="1">
      <c r="A1796" s="147"/>
      <c r="B1796" s="148"/>
      <c r="C1796" s="149"/>
      <c r="D1796" s="150"/>
      <c r="E1796" s="151"/>
      <c r="F1796" s="152"/>
      <c r="G1796" s="148"/>
      <c r="H1796" s="76" t="b">
        <v>1</v>
      </c>
      <c r="I1796" s="76" t="b">
        <v>0</v>
      </c>
      <c r="J1796" s="76" t="b">
        <v>0</v>
      </c>
      <c r="K1796" s="76" t="b">
        <v>0</v>
      </c>
      <c r="L1796" s="76" t="b">
        <v>0</v>
      </c>
      <c r="M1796" s="76" t="b">
        <v>0</v>
      </c>
      <c r="N1796" s="76" t="b">
        <v>0</v>
      </c>
      <c r="O1796" s="76" t="b">
        <v>0</v>
      </c>
      <c r="P1796" s="76" t="b">
        <v>0</v>
      </c>
      <c r="Q1796" s="76" t="b">
        <v>0</v>
      </c>
      <c r="R1796" s="14"/>
      <c r="S1796" s="14"/>
      <c r="T1796" s="14"/>
      <c r="U1796" s="14"/>
      <c r="V1796" s="14"/>
      <c r="W1796" s="14"/>
    </row>
    <row r="1797" ht="35.25" customHeight="1">
      <c r="A1797" s="147"/>
      <c r="B1797" s="148"/>
      <c r="C1797" s="149"/>
      <c r="D1797" s="150"/>
      <c r="E1797" s="151"/>
      <c r="F1797" s="152"/>
      <c r="G1797" s="148"/>
      <c r="H1797" s="76" t="b">
        <v>1</v>
      </c>
      <c r="I1797" s="76" t="b">
        <v>0</v>
      </c>
      <c r="J1797" s="76" t="b">
        <v>0</v>
      </c>
      <c r="K1797" s="76" t="b">
        <v>0</v>
      </c>
      <c r="L1797" s="76" t="b">
        <v>0</v>
      </c>
      <c r="M1797" s="76" t="b">
        <v>0</v>
      </c>
      <c r="N1797" s="76" t="b">
        <v>0</v>
      </c>
      <c r="O1797" s="76" t="b">
        <v>0</v>
      </c>
      <c r="P1797" s="76" t="b">
        <v>0</v>
      </c>
      <c r="Q1797" s="76" t="b">
        <v>0</v>
      </c>
      <c r="R1797" s="14"/>
      <c r="S1797" s="14"/>
      <c r="T1797" s="14"/>
      <c r="U1797" s="14"/>
      <c r="V1797" s="14"/>
      <c r="W1797" s="14"/>
    </row>
    <row r="1798" ht="35.25" customHeight="1">
      <c r="A1798" s="147"/>
      <c r="B1798" s="148"/>
      <c r="C1798" s="149"/>
      <c r="D1798" s="150"/>
      <c r="E1798" s="151"/>
      <c r="F1798" s="152"/>
      <c r="G1798" s="148"/>
      <c r="H1798" s="76" t="b">
        <v>1</v>
      </c>
      <c r="I1798" s="76" t="b">
        <v>0</v>
      </c>
      <c r="J1798" s="76" t="b">
        <v>0</v>
      </c>
      <c r="K1798" s="76" t="b">
        <v>0</v>
      </c>
      <c r="L1798" s="76" t="b">
        <v>0</v>
      </c>
      <c r="M1798" s="76" t="b">
        <v>0</v>
      </c>
      <c r="N1798" s="76" t="b">
        <v>0</v>
      </c>
      <c r="O1798" s="76" t="b">
        <v>0</v>
      </c>
      <c r="P1798" s="76" t="b">
        <v>0</v>
      </c>
      <c r="Q1798" s="76" t="b">
        <v>0</v>
      </c>
      <c r="R1798" s="14"/>
      <c r="S1798" s="14"/>
      <c r="T1798" s="14"/>
      <c r="U1798" s="14"/>
      <c r="V1798" s="14"/>
      <c r="W1798" s="14"/>
    </row>
    <row r="1799" ht="35.25" customHeight="1">
      <c r="A1799" s="147"/>
      <c r="B1799" s="148"/>
      <c r="C1799" s="149"/>
      <c r="D1799" s="150"/>
      <c r="E1799" s="151"/>
      <c r="F1799" s="152"/>
      <c r="G1799" s="148"/>
      <c r="H1799" s="76" t="b">
        <v>1</v>
      </c>
      <c r="I1799" s="76" t="b">
        <v>0</v>
      </c>
      <c r="J1799" s="76" t="b">
        <v>0</v>
      </c>
      <c r="K1799" s="76" t="b">
        <v>0</v>
      </c>
      <c r="L1799" s="76" t="b">
        <v>0</v>
      </c>
      <c r="M1799" s="76" t="b">
        <v>0</v>
      </c>
      <c r="N1799" s="76" t="b">
        <v>0</v>
      </c>
      <c r="O1799" s="76" t="b">
        <v>0</v>
      </c>
      <c r="P1799" s="76" t="b">
        <v>0</v>
      </c>
      <c r="Q1799" s="76" t="b">
        <v>0</v>
      </c>
      <c r="R1799" s="14"/>
      <c r="S1799" s="14"/>
      <c r="T1799" s="14"/>
      <c r="U1799" s="14"/>
      <c r="V1799" s="14"/>
      <c r="W1799" s="14"/>
    </row>
    <row r="1800" ht="35.25" customHeight="1">
      <c r="A1800" s="147"/>
      <c r="B1800" s="148"/>
      <c r="C1800" s="149"/>
      <c r="D1800" s="150"/>
      <c r="E1800" s="151"/>
      <c r="F1800" s="152"/>
      <c r="G1800" s="148"/>
      <c r="H1800" s="76" t="b">
        <v>1</v>
      </c>
      <c r="I1800" s="76" t="b">
        <v>0</v>
      </c>
      <c r="J1800" s="76" t="b">
        <v>0</v>
      </c>
      <c r="K1800" s="76" t="b">
        <v>0</v>
      </c>
      <c r="L1800" s="76" t="b">
        <v>0</v>
      </c>
      <c r="M1800" s="76" t="b">
        <v>0</v>
      </c>
      <c r="N1800" s="76" t="b">
        <v>0</v>
      </c>
      <c r="O1800" s="76" t="b">
        <v>0</v>
      </c>
      <c r="P1800" s="76" t="b">
        <v>0</v>
      </c>
      <c r="Q1800" s="76" t="b">
        <v>0</v>
      </c>
      <c r="R1800" s="14"/>
      <c r="S1800" s="14"/>
      <c r="T1800" s="14"/>
      <c r="U1800" s="14"/>
      <c r="V1800" s="14"/>
      <c r="W1800" s="14"/>
    </row>
    <row r="1801" ht="35.25" customHeight="1">
      <c r="A1801" s="147"/>
      <c r="B1801" s="148"/>
      <c r="C1801" s="149"/>
      <c r="D1801" s="150"/>
      <c r="E1801" s="151"/>
      <c r="F1801" s="152"/>
      <c r="G1801" s="148"/>
      <c r="H1801" s="76" t="b">
        <v>1</v>
      </c>
      <c r="I1801" s="76" t="b">
        <v>0</v>
      </c>
      <c r="J1801" s="76" t="b">
        <v>0</v>
      </c>
      <c r="K1801" s="76" t="b">
        <v>0</v>
      </c>
      <c r="L1801" s="76" t="b">
        <v>0</v>
      </c>
      <c r="M1801" s="76" t="b">
        <v>0</v>
      </c>
      <c r="N1801" s="76" t="b">
        <v>0</v>
      </c>
      <c r="O1801" s="76" t="b">
        <v>0</v>
      </c>
      <c r="P1801" s="76" t="b">
        <v>0</v>
      </c>
      <c r="Q1801" s="76" t="b">
        <v>0</v>
      </c>
      <c r="R1801" s="14"/>
      <c r="S1801" s="14"/>
      <c r="T1801" s="14"/>
      <c r="U1801" s="14"/>
      <c r="V1801" s="14"/>
      <c r="W1801" s="14"/>
    </row>
    <row r="1802" ht="35.25" customHeight="1">
      <c r="A1802" s="147"/>
      <c r="B1802" s="148"/>
      <c r="C1802" s="149"/>
      <c r="D1802" s="150"/>
      <c r="E1802" s="151"/>
      <c r="F1802" s="152"/>
      <c r="G1802" s="148"/>
      <c r="H1802" s="76" t="b">
        <v>1</v>
      </c>
      <c r="I1802" s="76" t="b">
        <v>0</v>
      </c>
      <c r="J1802" s="76" t="b">
        <v>0</v>
      </c>
      <c r="K1802" s="76" t="b">
        <v>0</v>
      </c>
      <c r="L1802" s="76" t="b">
        <v>0</v>
      </c>
      <c r="M1802" s="76" t="b">
        <v>0</v>
      </c>
      <c r="N1802" s="76" t="b">
        <v>0</v>
      </c>
      <c r="O1802" s="76" t="b">
        <v>0</v>
      </c>
      <c r="P1802" s="76" t="b">
        <v>0</v>
      </c>
      <c r="Q1802" s="76" t="b">
        <v>0</v>
      </c>
      <c r="R1802" s="14"/>
      <c r="S1802" s="14"/>
      <c r="T1802" s="14"/>
      <c r="U1802" s="14"/>
      <c r="V1802" s="14"/>
      <c r="W1802" s="14"/>
    </row>
    <row r="1803" ht="35.25" customHeight="1">
      <c r="A1803" s="147"/>
      <c r="B1803" s="148"/>
      <c r="C1803" s="149"/>
      <c r="D1803" s="150"/>
      <c r="E1803" s="151"/>
      <c r="F1803" s="152"/>
      <c r="G1803" s="148"/>
      <c r="H1803" s="76" t="b">
        <v>1</v>
      </c>
      <c r="I1803" s="76" t="b">
        <v>0</v>
      </c>
      <c r="J1803" s="76" t="b">
        <v>0</v>
      </c>
      <c r="K1803" s="76" t="b">
        <v>0</v>
      </c>
      <c r="L1803" s="76" t="b">
        <v>0</v>
      </c>
      <c r="M1803" s="76" t="b">
        <v>0</v>
      </c>
      <c r="N1803" s="76" t="b">
        <v>0</v>
      </c>
      <c r="O1803" s="76" t="b">
        <v>0</v>
      </c>
      <c r="P1803" s="76" t="b">
        <v>0</v>
      </c>
      <c r="Q1803" s="76" t="b">
        <v>0</v>
      </c>
      <c r="R1803" s="14"/>
      <c r="S1803" s="14"/>
      <c r="T1803" s="14"/>
      <c r="U1803" s="14"/>
      <c r="V1803" s="14"/>
      <c r="W1803" s="14"/>
    </row>
    <row r="1804" ht="35.25" customHeight="1">
      <c r="A1804" s="147"/>
      <c r="B1804" s="148"/>
      <c r="C1804" s="149"/>
      <c r="D1804" s="150"/>
      <c r="E1804" s="151"/>
      <c r="F1804" s="152"/>
      <c r="G1804" s="148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</row>
    <row r="1805" ht="35.25" customHeight="1">
      <c r="A1805" s="147"/>
      <c r="B1805" s="148"/>
      <c r="C1805" s="149"/>
      <c r="D1805" s="150"/>
      <c r="E1805" s="151"/>
      <c r="F1805" s="152"/>
      <c r="G1805" s="148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</row>
    <row r="1806" ht="35.25" customHeight="1">
      <c r="A1806" s="147"/>
      <c r="B1806" s="148"/>
      <c r="C1806" s="149"/>
      <c r="D1806" s="150"/>
      <c r="E1806" s="151"/>
      <c r="F1806" s="152"/>
      <c r="G1806" s="148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</row>
    <row r="1807" ht="35.25" customHeight="1">
      <c r="A1807" s="147"/>
      <c r="B1807" s="148"/>
      <c r="C1807" s="149"/>
      <c r="D1807" s="150"/>
      <c r="E1807" s="151"/>
      <c r="F1807" s="152"/>
      <c r="G1807" s="148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</row>
    <row r="1808" ht="35.25" customHeight="1">
      <c r="A1808" s="147"/>
      <c r="B1808" s="148"/>
      <c r="C1808" s="149"/>
      <c r="D1808" s="150"/>
      <c r="E1808" s="151"/>
      <c r="F1808" s="152"/>
      <c r="G1808" s="148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</row>
    <row r="1809" ht="35.25" customHeight="1">
      <c r="A1809" s="147"/>
      <c r="B1809" s="148"/>
      <c r="C1809" s="149"/>
      <c r="D1809" s="150"/>
      <c r="E1809" s="151"/>
      <c r="F1809" s="152"/>
      <c r="G1809" s="148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</row>
    <row r="1810" ht="35.25" customHeight="1">
      <c r="A1810" s="147"/>
      <c r="B1810" s="148"/>
      <c r="C1810" s="149"/>
      <c r="D1810" s="150"/>
      <c r="E1810" s="151"/>
      <c r="F1810" s="152"/>
      <c r="G1810" s="148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</row>
    <row r="1811" ht="35.25" customHeight="1">
      <c r="A1811" s="147"/>
      <c r="B1811" s="148"/>
      <c r="C1811" s="149"/>
      <c r="D1811" s="150"/>
      <c r="E1811" s="151"/>
      <c r="F1811" s="152"/>
      <c r="G1811" s="148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</row>
    <row r="1812" ht="35.25" customHeight="1">
      <c r="A1812" s="147"/>
      <c r="B1812" s="148"/>
      <c r="C1812" s="149"/>
      <c r="D1812" s="150"/>
      <c r="E1812" s="151"/>
      <c r="F1812" s="152"/>
      <c r="G1812" s="148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</row>
    <row r="1813" ht="35.25" customHeight="1">
      <c r="A1813" s="147"/>
      <c r="B1813" s="148"/>
      <c r="C1813" s="149"/>
      <c r="D1813" s="150"/>
      <c r="E1813" s="151"/>
      <c r="F1813" s="152"/>
      <c r="G1813" s="148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</row>
    <row r="1814" ht="35.25" customHeight="1">
      <c r="A1814" s="147"/>
      <c r="B1814" s="148"/>
      <c r="C1814" s="149"/>
      <c r="D1814" s="150"/>
      <c r="E1814" s="151"/>
      <c r="F1814" s="152"/>
      <c r="G1814" s="148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</row>
    <row r="1815" ht="35.25" customHeight="1">
      <c r="A1815" s="147"/>
      <c r="B1815" s="148"/>
      <c r="C1815" s="149"/>
      <c r="D1815" s="150"/>
      <c r="E1815" s="151"/>
      <c r="F1815" s="152"/>
      <c r="G1815" s="148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</row>
    <row r="1816" ht="35.25" customHeight="1">
      <c r="A1816" s="147"/>
      <c r="B1816" s="148"/>
      <c r="C1816" s="149"/>
      <c r="D1816" s="150"/>
      <c r="E1816" s="151"/>
      <c r="F1816" s="152"/>
      <c r="G1816" s="148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</row>
    <row r="1817" ht="35.25" customHeight="1">
      <c r="A1817" s="147"/>
      <c r="B1817" s="148"/>
      <c r="C1817" s="149"/>
      <c r="D1817" s="150"/>
      <c r="E1817" s="151"/>
      <c r="F1817" s="152"/>
      <c r="G1817" s="148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</row>
    <row r="1818" ht="35.25" customHeight="1">
      <c r="A1818" s="147"/>
      <c r="B1818" s="148"/>
      <c r="C1818" s="149"/>
      <c r="D1818" s="150"/>
      <c r="E1818" s="151"/>
      <c r="F1818" s="152"/>
      <c r="G1818" s="148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</row>
    <row r="1819" ht="35.25" customHeight="1">
      <c r="A1819" s="147"/>
      <c r="B1819" s="148"/>
      <c r="C1819" s="149"/>
      <c r="D1819" s="150"/>
      <c r="E1819" s="151"/>
      <c r="F1819" s="152"/>
      <c r="G1819" s="148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</row>
    <row r="1820" ht="35.25" customHeight="1">
      <c r="A1820" s="147"/>
      <c r="B1820" s="148"/>
      <c r="C1820" s="149"/>
      <c r="D1820" s="150"/>
      <c r="E1820" s="151"/>
      <c r="F1820" s="152"/>
      <c r="G1820" s="148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</row>
    <row r="1821" ht="35.25" customHeight="1">
      <c r="A1821" s="147"/>
      <c r="B1821" s="148"/>
      <c r="C1821" s="149"/>
      <c r="D1821" s="150"/>
      <c r="E1821" s="151"/>
      <c r="F1821" s="152"/>
      <c r="G1821" s="148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</row>
    <row r="1822" ht="35.25" customHeight="1">
      <c r="A1822" s="147"/>
      <c r="B1822" s="148"/>
      <c r="C1822" s="149"/>
      <c r="D1822" s="150"/>
      <c r="E1822" s="151"/>
      <c r="F1822" s="152"/>
      <c r="G1822" s="148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</row>
    <row r="1823" ht="35.25" customHeight="1">
      <c r="A1823" s="147"/>
      <c r="B1823" s="148"/>
      <c r="C1823" s="149"/>
      <c r="D1823" s="150"/>
      <c r="E1823" s="151"/>
      <c r="F1823" s="152"/>
      <c r="G1823" s="148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</row>
    <row r="1824" ht="35.25" customHeight="1">
      <c r="A1824" s="147"/>
      <c r="B1824" s="148"/>
      <c r="C1824" s="149"/>
      <c r="D1824" s="150"/>
      <c r="E1824" s="151"/>
      <c r="F1824" s="152"/>
      <c r="G1824" s="148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</row>
    <row r="1825" ht="35.25" customHeight="1">
      <c r="A1825" s="147"/>
      <c r="B1825" s="148"/>
      <c r="C1825" s="149"/>
      <c r="D1825" s="150"/>
      <c r="E1825" s="151"/>
      <c r="F1825" s="152"/>
      <c r="G1825" s="148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</row>
    <row r="1826" ht="35.25" customHeight="1">
      <c r="A1826" s="147"/>
      <c r="B1826" s="148"/>
      <c r="C1826" s="149"/>
      <c r="D1826" s="150"/>
      <c r="E1826" s="151"/>
      <c r="F1826" s="152"/>
      <c r="G1826" s="148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</row>
    <row r="1827" ht="35.25" customHeight="1">
      <c r="A1827" s="147"/>
      <c r="B1827" s="148"/>
      <c r="C1827" s="149"/>
      <c r="D1827" s="150"/>
      <c r="E1827" s="151"/>
      <c r="F1827" s="152"/>
      <c r="G1827" s="148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</row>
    <row r="1828" ht="35.25" customHeight="1">
      <c r="A1828" s="147"/>
      <c r="B1828" s="148"/>
      <c r="C1828" s="149"/>
      <c r="D1828" s="150"/>
      <c r="E1828" s="151"/>
      <c r="F1828" s="152"/>
      <c r="G1828" s="148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</row>
    <row r="1829" ht="35.25" customHeight="1">
      <c r="A1829" s="147"/>
      <c r="B1829" s="148"/>
      <c r="C1829" s="149"/>
      <c r="D1829" s="150"/>
      <c r="E1829" s="151"/>
      <c r="F1829" s="152"/>
      <c r="G1829" s="148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</row>
    <row r="1830" ht="35.25" customHeight="1">
      <c r="A1830" s="147"/>
      <c r="B1830" s="148"/>
      <c r="C1830" s="149"/>
      <c r="D1830" s="150"/>
      <c r="E1830" s="151"/>
      <c r="F1830" s="152"/>
      <c r="G1830" s="148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</row>
    <row r="1831" ht="35.25" customHeight="1">
      <c r="A1831" s="147"/>
      <c r="B1831" s="148"/>
      <c r="C1831" s="149"/>
      <c r="D1831" s="150"/>
      <c r="E1831" s="151"/>
      <c r="F1831" s="152"/>
      <c r="G1831" s="148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</row>
    <row r="1832" ht="35.25" customHeight="1">
      <c r="A1832" s="147"/>
      <c r="B1832" s="148"/>
      <c r="C1832" s="149"/>
      <c r="D1832" s="150"/>
      <c r="E1832" s="151"/>
      <c r="F1832" s="152"/>
      <c r="G1832" s="148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</row>
    <row r="1833" ht="35.25" customHeight="1">
      <c r="A1833" s="147"/>
      <c r="B1833" s="148"/>
      <c r="C1833" s="149"/>
      <c r="D1833" s="150"/>
      <c r="E1833" s="151"/>
      <c r="F1833" s="152"/>
      <c r="G1833" s="148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</row>
    <row r="1834" ht="35.25" customHeight="1">
      <c r="A1834" s="147"/>
      <c r="B1834" s="148"/>
      <c r="C1834" s="149"/>
      <c r="D1834" s="150"/>
      <c r="E1834" s="151"/>
      <c r="F1834" s="152"/>
      <c r="G1834" s="148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</row>
    <row r="1835" ht="35.25" customHeight="1">
      <c r="A1835" s="147"/>
      <c r="B1835" s="148"/>
      <c r="C1835" s="149"/>
      <c r="D1835" s="150"/>
      <c r="E1835" s="151"/>
      <c r="F1835" s="152"/>
      <c r="G1835" s="148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</row>
    <row r="1836" ht="35.25" customHeight="1">
      <c r="A1836" s="147"/>
      <c r="B1836" s="148"/>
      <c r="C1836" s="149"/>
      <c r="D1836" s="150"/>
      <c r="E1836" s="151"/>
      <c r="F1836" s="152"/>
      <c r="G1836" s="148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</row>
    <row r="1837" ht="35.25" customHeight="1">
      <c r="A1837" s="147"/>
      <c r="B1837" s="148"/>
      <c r="C1837" s="149"/>
      <c r="D1837" s="150"/>
      <c r="E1837" s="151"/>
      <c r="F1837" s="152"/>
      <c r="G1837" s="148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</row>
    <row r="1838" ht="35.25" customHeight="1">
      <c r="A1838" s="147"/>
      <c r="B1838" s="148"/>
      <c r="C1838" s="149"/>
      <c r="D1838" s="150"/>
      <c r="E1838" s="151"/>
      <c r="F1838" s="152"/>
      <c r="G1838" s="148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</row>
    <row r="1839" ht="35.25" customHeight="1">
      <c r="A1839" s="147"/>
      <c r="B1839" s="148"/>
      <c r="C1839" s="149"/>
      <c r="D1839" s="150"/>
      <c r="E1839" s="151"/>
      <c r="F1839" s="152"/>
      <c r="G1839" s="148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</row>
    <row r="1840" ht="35.25" customHeight="1">
      <c r="A1840" s="147"/>
      <c r="B1840" s="148"/>
      <c r="C1840" s="149"/>
      <c r="D1840" s="150"/>
      <c r="E1840" s="151"/>
      <c r="F1840" s="152"/>
      <c r="G1840" s="148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</row>
    <row r="1841" ht="35.25" customHeight="1">
      <c r="A1841" s="147"/>
      <c r="B1841" s="148"/>
      <c r="C1841" s="149"/>
      <c r="D1841" s="150"/>
      <c r="E1841" s="151"/>
      <c r="F1841" s="152"/>
      <c r="G1841" s="148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</row>
    <row r="1842" ht="35.25" customHeight="1">
      <c r="A1842" s="147"/>
      <c r="B1842" s="148"/>
      <c r="C1842" s="149"/>
      <c r="D1842" s="150"/>
      <c r="E1842" s="151"/>
      <c r="F1842" s="152"/>
      <c r="G1842" s="148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</row>
    <row r="1843" ht="35.25" customHeight="1">
      <c r="A1843" s="147"/>
      <c r="B1843" s="148"/>
      <c r="C1843" s="149"/>
      <c r="D1843" s="150"/>
      <c r="E1843" s="151"/>
      <c r="F1843" s="152"/>
      <c r="G1843" s="148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</row>
    <row r="1844" ht="35.25" customHeight="1">
      <c r="A1844" s="147"/>
      <c r="B1844" s="148"/>
      <c r="C1844" s="149"/>
      <c r="D1844" s="150"/>
      <c r="E1844" s="151"/>
      <c r="F1844" s="152"/>
      <c r="G1844" s="148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</row>
    <row r="1845" ht="35.25" customHeight="1">
      <c r="A1845" s="147"/>
      <c r="B1845" s="148"/>
      <c r="C1845" s="149"/>
      <c r="D1845" s="150"/>
      <c r="E1845" s="151"/>
      <c r="F1845" s="152"/>
      <c r="G1845" s="148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</row>
    <row r="1846" ht="35.25" customHeight="1">
      <c r="A1846" s="147"/>
      <c r="B1846" s="148"/>
      <c r="C1846" s="149"/>
      <c r="D1846" s="150"/>
      <c r="E1846" s="151"/>
      <c r="F1846" s="152"/>
      <c r="G1846" s="148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</row>
    <row r="1847" ht="35.25" customHeight="1">
      <c r="A1847" s="147"/>
      <c r="B1847" s="148"/>
      <c r="C1847" s="149"/>
      <c r="D1847" s="150"/>
      <c r="E1847" s="151"/>
      <c r="F1847" s="152"/>
      <c r="G1847" s="148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</row>
    <row r="1848" ht="35.25" customHeight="1">
      <c r="A1848" s="147"/>
      <c r="B1848" s="148"/>
      <c r="C1848" s="149"/>
      <c r="D1848" s="150"/>
      <c r="E1848" s="151"/>
      <c r="F1848" s="152"/>
      <c r="G1848" s="148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</row>
    <row r="1849" ht="35.25" customHeight="1">
      <c r="A1849" s="147"/>
      <c r="B1849" s="148"/>
      <c r="C1849" s="149"/>
      <c r="D1849" s="150"/>
      <c r="E1849" s="151"/>
      <c r="F1849" s="152"/>
      <c r="G1849" s="148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</row>
    <row r="1850" ht="35.25" customHeight="1">
      <c r="A1850" s="147"/>
      <c r="B1850" s="148"/>
      <c r="C1850" s="149"/>
      <c r="D1850" s="150"/>
      <c r="E1850" s="151"/>
      <c r="F1850" s="152"/>
      <c r="G1850" s="148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</row>
    <row r="1851" ht="35.25" customHeight="1">
      <c r="A1851" s="147"/>
      <c r="B1851" s="148"/>
      <c r="C1851" s="149"/>
      <c r="D1851" s="150"/>
      <c r="E1851" s="151"/>
      <c r="F1851" s="152"/>
      <c r="G1851" s="148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</row>
    <row r="1852" ht="35.25" customHeight="1">
      <c r="A1852" s="147"/>
      <c r="B1852" s="148"/>
      <c r="C1852" s="149"/>
      <c r="D1852" s="150"/>
      <c r="E1852" s="151"/>
      <c r="F1852" s="152"/>
      <c r="G1852" s="148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</row>
    <row r="1853" ht="35.25" customHeight="1">
      <c r="A1853" s="147"/>
      <c r="B1853" s="148"/>
      <c r="C1853" s="149"/>
      <c r="D1853" s="150"/>
      <c r="E1853" s="151"/>
      <c r="F1853" s="152"/>
      <c r="G1853" s="148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</row>
    <row r="1854" ht="35.25" customHeight="1">
      <c r="A1854" s="147"/>
      <c r="B1854" s="148"/>
      <c r="C1854" s="149"/>
      <c r="D1854" s="150"/>
      <c r="E1854" s="151"/>
      <c r="F1854" s="152"/>
      <c r="G1854" s="148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</row>
    <row r="1855" ht="35.25" customHeight="1">
      <c r="A1855" s="147"/>
      <c r="B1855" s="148"/>
      <c r="C1855" s="149"/>
      <c r="D1855" s="150"/>
      <c r="E1855" s="151"/>
      <c r="F1855" s="152"/>
      <c r="G1855" s="148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</row>
    <row r="1856" ht="35.25" customHeight="1">
      <c r="A1856" s="147"/>
      <c r="B1856" s="148"/>
      <c r="C1856" s="149"/>
      <c r="D1856" s="150"/>
      <c r="E1856" s="151"/>
      <c r="F1856" s="152"/>
      <c r="G1856" s="148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</row>
    <row r="1857" ht="35.25" customHeight="1">
      <c r="A1857" s="147"/>
      <c r="B1857" s="148"/>
      <c r="C1857" s="149"/>
      <c r="D1857" s="150"/>
      <c r="E1857" s="151"/>
      <c r="F1857" s="152"/>
      <c r="G1857" s="148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</row>
    <row r="1858" ht="35.25" customHeight="1">
      <c r="A1858" s="147"/>
      <c r="B1858" s="148"/>
      <c r="C1858" s="149"/>
      <c r="D1858" s="150"/>
      <c r="E1858" s="151"/>
      <c r="F1858" s="152"/>
      <c r="G1858" s="148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</row>
    <row r="1859" ht="35.25" customHeight="1">
      <c r="A1859" s="147"/>
      <c r="B1859" s="148"/>
      <c r="C1859" s="149"/>
      <c r="D1859" s="150"/>
      <c r="E1859" s="151"/>
      <c r="F1859" s="152"/>
      <c r="G1859" s="148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</row>
    <row r="1860" ht="35.25" customHeight="1">
      <c r="A1860" s="147"/>
      <c r="B1860" s="148"/>
      <c r="C1860" s="149"/>
      <c r="D1860" s="150"/>
      <c r="E1860" s="151"/>
      <c r="F1860" s="152"/>
      <c r="G1860" s="148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</row>
    <row r="1861" ht="35.25" customHeight="1">
      <c r="A1861" s="147"/>
      <c r="B1861" s="148"/>
      <c r="C1861" s="149"/>
      <c r="D1861" s="150"/>
      <c r="E1861" s="151"/>
      <c r="F1861" s="152"/>
      <c r="G1861" s="148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</row>
    <row r="1862" ht="35.25" customHeight="1">
      <c r="A1862" s="147"/>
      <c r="B1862" s="148"/>
      <c r="C1862" s="149"/>
      <c r="D1862" s="150"/>
      <c r="E1862" s="151"/>
      <c r="F1862" s="152"/>
      <c r="G1862" s="148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</row>
    <row r="1863" ht="35.25" customHeight="1">
      <c r="A1863" s="147"/>
      <c r="B1863" s="148"/>
      <c r="C1863" s="149"/>
      <c r="D1863" s="150"/>
      <c r="E1863" s="151"/>
      <c r="F1863" s="152"/>
      <c r="G1863" s="148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</row>
    <row r="1864" ht="35.25" customHeight="1">
      <c r="A1864" s="147"/>
      <c r="B1864" s="148"/>
      <c r="C1864" s="149"/>
      <c r="D1864" s="150"/>
      <c r="E1864" s="151"/>
      <c r="F1864" s="152"/>
      <c r="G1864" s="148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</row>
    <row r="1865" ht="35.25" customHeight="1">
      <c r="A1865" s="147"/>
      <c r="B1865" s="148"/>
      <c r="C1865" s="149"/>
      <c r="D1865" s="150"/>
      <c r="E1865" s="151"/>
      <c r="F1865" s="152"/>
      <c r="G1865" s="148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</row>
    <row r="1866" ht="35.25" customHeight="1">
      <c r="A1866" s="147"/>
      <c r="B1866" s="148"/>
      <c r="C1866" s="149"/>
      <c r="D1866" s="150"/>
      <c r="E1866" s="151"/>
      <c r="F1866" s="152"/>
      <c r="G1866" s="148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</row>
    <row r="1867" ht="35.25" customHeight="1">
      <c r="A1867" s="147"/>
      <c r="B1867" s="148"/>
      <c r="C1867" s="149"/>
      <c r="D1867" s="150"/>
      <c r="E1867" s="151"/>
      <c r="F1867" s="152"/>
      <c r="G1867" s="148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</row>
    <row r="1868" ht="35.25" customHeight="1">
      <c r="A1868" s="147"/>
      <c r="B1868" s="148"/>
      <c r="C1868" s="149"/>
      <c r="D1868" s="150"/>
      <c r="E1868" s="151"/>
      <c r="F1868" s="152"/>
      <c r="G1868" s="148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</row>
    <row r="1869" ht="35.25" customHeight="1">
      <c r="A1869" s="147"/>
      <c r="B1869" s="148"/>
      <c r="C1869" s="149"/>
      <c r="D1869" s="150"/>
      <c r="E1869" s="151"/>
      <c r="F1869" s="152"/>
      <c r="G1869" s="148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</row>
    <row r="1870" ht="35.25" customHeight="1">
      <c r="A1870" s="147"/>
      <c r="B1870" s="148"/>
      <c r="C1870" s="149"/>
      <c r="D1870" s="150"/>
      <c r="E1870" s="151"/>
      <c r="F1870" s="152"/>
      <c r="G1870" s="148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</row>
    <row r="1871" ht="35.25" customHeight="1">
      <c r="A1871" s="147"/>
      <c r="B1871" s="148"/>
      <c r="C1871" s="149"/>
      <c r="D1871" s="150"/>
      <c r="E1871" s="151"/>
      <c r="F1871" s="152"/>
      <c r="G1871" s="148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</row>
    <row r="1872" ht="35.25" customHeight="1">
      <c r="A1872" s="147"/>
      <c r="B1872" s="148"/>
      <c r="C1872" s="149"/>
      <c r="D1872" s="150"/>
      <c r="E1872" s="151"/>
      <c r="F1872" s="152"/>
      <c r="G1872" s="148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</row>
    <row r="1873" ht="35.25" customHeight="1">
      <c r="A1873" s="147"/>
      <c r="B1873" s="148"/>
      <c r="C1873" s="149"/>
      <c r="D1873" s="150"/>
      <c r="E1873" s="151"/>
      <c r="F1873" s="152"/>
      <c r="G1873" s="148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</row>
    <row r="1874" ht="35.25" customHeight="1">
      <c r="A1874" s="147"/>
      <c r="B1874" s="148"/>
      <c r="C1874" s="149"/>
      <c r="D1874" s="150"/>
      <c r="E1874" s="151"/>
      <c r="F1874" s="152"/>
      <c r="G1874" s="148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</row>
    <row r="1875" ht="35.25" customHeight="1">
      <c r="A1875" s="147"/>
      <c r="B1875" s="148"/>
      <c r="C1875" s="149"/>
      <c r="D1875" s="150"/>
      <c r="E1875" s="151"/>
      <c r="F1875" s="152"/>
      <c r="G1875" s="148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</row>
    <row r="1876" ht="35.25" customHeight="1">
      <c r="A1876" s="147"/>
      <c r="B1876" s="148"/>
      <c r="C1876" s="149"/>
      <c r="D1876" s="150"/>
      <c r="E1876" s="151"/>
      <c r="F1876" s="152"/>
      <c r="G1876" s="148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</row>
    <row r="1877" ht="35.25" customHeight="1">
      <c r="A1877" s="147"/>
      <c r="B1877" s="148"/>
      <c r="C1877" s="149"/>
      <c r="D1877" s="150"/>
      <c r="E1877" s="151"/>
      <c r="F1877" s="152"/>
      <c r="G1877" s="148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</row>
    <row r="1878" ht="35.25" customHeight="1">
      <c r="A1878" s="147"/>
      <c r="B1878" s="148"/>
      <c r="C1878" s="149"/>
      <c r="D1878" s="150"/>
      <c r="E1878" s="151"/>
      <c r="F1878" s="152"/>
      <c r="G1878" s="148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</row>
    <row r="1879" ht="35.25" customHeight="1">
      <c r="A1879" s="147"/>
      <c r="B1879" s="148"/>
      <c r="C1879" s="149"/>
      <c r="D1879" s="150"/>
      <c r="E1879" s="151"/>
      <c r="F1879" s="152"/>
      <c r="G1879" s="148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</row>
    <row r="1880" ht="35.25" customHeight="1">
      <c r="A1880" s="147"/>
      <c r="B1880" s="148"/>
      <c r="C1880" s="149"/>
      <c r="D1880" s="150"/>
      <c r="E1880" s="151"/>
      <c r="F1880" s="152"/>
      <c r="G1880" s="148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</row>
    <row r="1881" ht="35.25" customHeight="1">
      <c r="A1881" s="147"/>
      <c r="B1881" s="148"/>
      <c r="C1881" s="149"/>
      <c r="D1881" s="150"/>
      <c r="E1881" s="151"/>
      <c r="F1881" s="152"/>
      <c r="G1881" s="148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</row>
    <row r="1882" ht="35.25" customHeight="1">
      <c r="A1882" s="147"/>
      <c r="B1882" s="148"/>
      <c r="C1882" s="149"/>
      <c r="D1882" s="150"/>
      <c r="E1882" s="151"/>
      <c r="F1882" s="152"/>
      <c r="G1882" s="148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</row>
    <row r="1883" ht="35.25" customHeight="1">
      <c r="A1883" s="147"/>
      <c r="B1883" s="148"/>
      <c r="C1883" s="149"/>
      <c r="D1883" s="150"/>
      <c r="E1883" s="151"/>
      <c r="F1883" s="152"/>
      <c r="G1883" s="148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</row>
    <row r="1884" ht="35.25" customHeight="1">
      <c r="A1884" s="147"/>
      <c r="B1884" s="148"/>
      <c r="C1884" s="149"/>
      <c r="D1884" s="150"/>
      <c r="E1884" s="151"/>
      <c r="F1884" s="152"/>
      <c r="G1884" s="148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</row>
    <row r="1885" ht="35.25" customHeight="1">
      <c r="A1885" s="147"/>
      <c r="B1885" s="148"/>
      <c r="C1885" s="149"/>
      <c r="D1885" s="150"/>
      <c r="E1885" s="151"/>
      <c r="F1885" s="152"/>
      <c r="G1885" s="148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</row>
    <row r="1886" ht="35.25" customHeight="1">
      <c r="A1886" s="147"/>
      <c r="B1886" s="148"/>
      <c r="C1886" s="149"/>
      <c r="D1886" s="150"/>
      <c r="E1886" s="151"/>
      <c r="F1886" s="152"/>
      <c r="G1886" s="148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</row>
    <row r="1887" ht="35.25" customHeight="1">
      <c r="A1887" s="147"/>
      <c r="B1887" s="148"/>
      <c r="C1887" s="149"/>
      <c r="D1887" s="150"/>
      <c r="E1887" s="151"/>
      <c r="F1887" s="152"/>
      <c r="G1887" s="148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</row>
    <row r="1888" ht="35.25" customHeight="1">
      <c r="A1888" s="147"/>
      <c r="B1888" s="148"/>
      <c r="C1888" s="149"/>
      <c r="D1888" s="150"/>
      <c r="E1888" s="151"/>
      <c r="F1888" s="152"/>
      <c r="G1888" s="148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</row>
    <row r="1889" ht="35.25" customHeight="1">
      <c r="A1889" s="147"/>
      <c r="B1889" s="148"/>
      <c r="C1889" s="149"/>
      <c r="D1889" s="150"/>
      <c r="E1889" s="151"/>
      <c r="F1889" s="152"/>
      <c r="G1889" s="148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</row>
    <row r="1890" ht="35.25" customHeight="1">
      <c r="A1890" s="147"/>
      <c r="B1890" s="148"/>
      <c r="C1890" s="149"/>
      <c r="D1890" s="150"/>
      <c r="E1890" s="151"/>
      <c r="F1890" s="152"/>
      <c r="G1890" s="148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</row>
    <row r="1891" ht="35.25" customHeight="1">
      <c r="A1891" s="147"/>
      <c r="B1891" s="148"/>
      <c r="C1891" s="149"/>
      <c r="D1891" s="150"/>
      <c r="E1891" s="151"/>
      <c r="F1891" s="152"/>
      <c r="G1891" s="148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</row>
    <row r="1892" ht="35.25" customHeight="1">
      <c r="A1892" s="147"/>
      <c r="B1892" s="148"/>
      <c r="C1892" s="149"/>
      <c r="D1892" s="150"/>
      <c r="E1892" s="151"/>
      <c r="F1892" s="152"/>
      <c r="G1892" s="148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</row>
    <row r="1893" ht="35.25" customHeight="1">
      <c r="A1893" s="147"/>
      <c r="B1893" s="148"/>
      <c r="C1893" s="149"/>
      <c r="D1893" s="150"/>
      <c r="E1893" s="151"/>
      <c r="F1893" s="152"/>
      <c r="G1893" s="148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</row>
    <row r="1894" ht="35.25" customHeight="1">
      <c r="A1894" s="147"/>
      <c r="B1894" s="148"/>
      <c r="C1894" s="149"/>
      <c r="D1894" s="150"/>
      <c r="E1894" s="151"/>
      <c r="F1894" s="152"/>
      <c r="G1894" s="148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</row>
    <row r="1895" ht="35.25" customHeight="1">
      <c r="A1895" s="147"/>
      <c r="B1895" s="148"/>
      <c r="C1895" s="149"/>
      <c r="D1895" s="150"/>
      <c r="E1895" s="151"/>
      <c r="F1895" s="152"/>
      <c r="G1895" s="148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</row>
    <row r="1896" ht="35.25" customHeight="1">
      <c r="A1896" s="147"/>
      <c r="B1896" s="148"/>
      <c r="C1896" s="149"/>
      <c r="D1896" s="150"/>
      <c r="E1896" s="151"/>
      <c r="F1896" s="152"/>
      <c r="G1896" s="148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</row>
    <row r="1897" ht="35.25" customHeight="1">
      <c r="A1897" s="147"/>
      <c r="B1897" s="148"/>
      <c r="C1897" s="149"/>
      <c r="D1897" s="150"/>
      <c r="E1897" s="151"/>
      <c r="F1897" s="152"/>
      <c r="G1897" s="148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</row>
    <row r="1898" ht="35.25" customHeight="1">
      <c r="A1898" s="147"/>
      <c r="B1898" s="148"/>
      <c r="C1898" s="149"/>
      <c r="D1898" s="150"/>
      <c r="E1898" s="151"/>
      <c r="F1898" s="152"/>
      <c r="G1898" s="148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</row>
    <row r="1899" ht="35.25" customHeight="1">
      <c r="A1899" s="147"/>
      <c r="B1899" s="148"/>
      <c r="C1899" s="149"/>
      <c r="D1899" s="150"/>
      <c r="E1899" s="151"/>
      <c r="F1899" s="152"/>
      <c r="G1899" s="148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</row>
    <row r="1900" ht="35.25" customHeight="1">
      <c r="A1900" s="147"/>
      <c r="B1900" s="148"/>
      <c r="C1900" s="149"/>
      <c r="D1900" s="150"/>
      <c r="E1900" s="151"/>
      <c r="F1900" s="152"/>
      <c r="G1900" s="148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</row>
    <row r="1901" ht="35.25" customHeight="1">
      <c r="A1901" s="147"/>
      <c r="B1901" s="148"/>
      <c r="C1901" s="149"/>
      <c r="D1901" s="150"/>
      <c r="E1901" s="151"/>
      <c r="F1901" s="152"/>
      <c r="G1901" s="148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</row>
    <row r="1902" ht="35.25" customHeight="1">
      <c r="A1902" s="147"/>
      <c r="B1902" s="148"/>
      <c r="C1902" s="149"/>
      <c r="D1902" s="150"/>
      <c r="E1902" s="151"/>
      <c r="F1902" s="152"/>
      <c r="G1902" s="148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</row>
    <row r="1903" ht="35.25" customHeight="1">
      <c r="A1903" s="147"/>
      <c r="B1903" s="148"/>
      <c r="C1903" s="149"/>
      <c r="D1903" s="150"/>
      <c r="E1903" s="151"/>
      <c r="F1903" s="152"/>
      <c r="G1903" s="148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</row>
    <row r="1904" ht="35.25" customHeight="1">
      <c r="A1904" s="147"/>
      <c r="B1904" s="148"/>
      <c r="C1904" s="149"/>
      <c r="D1904" s="150"/>
      <c r="E1904" s="151"/>
      <c r="F1904" s="152"/>
      <c r="G1904" s="148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</row>
    <row r="1905" ht="35.25" customHeight="1">
      <c r="A1905" s="147"/>
      <c r="B1905" s="148"/>
      <c r="C1905" s="149"/>
      <c r="D1905" s="150"/>
      <c r="E1905" s="151"/>
      <c r="F1905" s="152"/>
      <c r="G1905" s="148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</row>
    <row r="1906" ht="35.25" customHeight="1">
      <c r="A1906" s="147"/>
      <c r="B1906" s="148"/>
      <c r="C1906" s="149"/>
      <c r="D1906" s="150"/>
      <c r="E1906" s="151"/>
      <c r="F1906" s="152"/>
      <c r="G1906" s="148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</row>
    <row r="1907" ht="35.25" customHeight="1">
      <c r="A1907" s="147"/>
      <c r="B1907" s="148"/>
      <c r="C1907" s="149"/>
      <c r="D1907" s="150"/>
      <c r="E1907" s="151"/>
      <c r="F1907" s="152"/>
      <c r="G1907" s="148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</row>
    <row r="1908" ht="35.25" customHeight="1">
      <c r="A1908" s="147"/>
      <c r="B1908" s="148"/>
      <c r="C1908" s="149"/>
      <c r="D1908" s="150"/>
      <c r="E1908" s="151"/>
      <c r="F1908" s="152"/>
      <c r="G1908" s="148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</row>
    <row r="1909" ht="35.25" customHeight="1">
      <c r="A1909" s="147"/>
      <c r="B1909" s="148"/>
      <c r="C1909" s="149"/>
      <c r="D1909" s="150"/>
      <c r="E1909" s="151"/>
      <c r="F1909" s="152"/>
      <c r="G1909" s="148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</row>
    <row r="1910" ht="35.25" customHeight="1">
      <c r="A1910" s="147"/>
      <c r="B1910" s="148"/>
      <c r="C1910" s="149"/>
      <c r="D1910" s="150"/>
      <c r="E1910" s="151"/>
      <c r="F1910" s="152"/>
      <c r="G1910" s="148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</row>
    <row r="1911" ht="35.25" customHeight="1">
      <c r="A1911" s="147"/>
      <c r="B1911" s="148"/>
      <c r="C1911" s="149"/>
      <c r="D1911" s="150"/>
      <c r="E1911" s="151"/>
      <c r="F1911" s="152"/>
      <c r="G1911" s="148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</row>
    <row r="1912" ht="35.25" customHeight="1">
      <c r="A1912" s="147"/>
      <c r="B1912" s="148"/>
      <c r="C1912" s="149"/>
      <c r="D1912" s="150"/>
      <c r="E1912" s="151"/>
      <c r="F1912" s="152"/>
      <c r="G1912" s="148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</row>
    <row r="1913" ht="35.25" customHeight="1">
      <c r="A1913" s="147"/>
      <c r="B1913" s="148"/>
      <c r="C1913" s="149"/>
      <c r="D1913" s="150"/>
      <c r="E1913" s="151"/>
      <c r="F1913" s="152"/>
      <c r="G1913" s="148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</row>
    <row r="1914" ht="35.25" customHeight="1">
      <c r="A1914" s="147"/>
      <c r="B1914" s="148"/>
      <c r="C1914" s="149"/>
      <c r="D1914" s="150"/>
      <c r="E1914" s="151"/>
      <c r="F1914" s="152"/>
      <c r="G1914" s="148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</row>
    <row r="1915" ht="35.25" customHeight="1">
      <c r="A1915" s="147"/>
      <c r="B1915" s="148"/>
      <c r="C1915" s="149"/>
      <c r="D1915" s="150"/>
      <c r="E1915" s="151"/>
      <c r="F1915" s="152"/>
      <c r="G1915" s="148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</row>
    <row r="1916" ht="35.25" customHeight="1">
      <c r="A1916" s="147"/>
      <c r="B1916" s="148"/>
      <c r="C1916" s="149"/>
      <c r="D1916" s="150"/>
      <c r="E1916" s="151"/>
      <c r="F1916" s="152"/>
      <c r="G1916" s="148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</row>
    <row r="1917" ht="35.25" customHeight="1">
      <c r="A1917" s="147"/>
      <c r="B1917" s="148"/>
      <c r="C1917" s="149"/>
      <c r="D1917" s="150"/>
      <c r="E1917" s="151"/>
      <c r="F1917" s="152"/>
      <c r="G1917" s="148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</row>
    <row r="1918" ht="35.25" customHeight="1">
      <c r="A1918" s="147"/>
      <c r="B1918" s="148"/>
      <c r="C1918" s="149"/>
      <c r="D1918" s="150"/>
      <c r="E1918" s="151"/>
      <c r="F1918" s="152"/>
      <c r="G1918" s="148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</row>
    <row r="1919" ht="35.25" customHeight="1">
      <c r="A1919" s="147"/>
      <c r="B1919" s="148"/>
      <c r="C1919" s="149"/>
      <c r="D1919" s="150"/>
      <c r="E1919" s="151"/>
      <c r="F1919" s="152"/>
      <c r="G1919" s="148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</row>
    <row r="1920" ht="35.25" customHeight="1">
      <c r="A1920" s="147"/>
      <c r="B1920" s="148"/>
      <c r="C1920" s="149"/>
      <c r="D1920" s="150"/>
      <c r="E1920" s="151"/>
      <c r="F1920" s="152"/>
      <c r="G1920" s="148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</row>
    <row r="1921" ht="35.25" customHeight="1">
      <c r="A1921" s="147"/>
      <c r="B1921" s="148"/>
      <c r="C1921" s="149"/>
      <c r="D1921" s="150"/>
      <c r="E1921" s="151"/>
      <c r="F1921" s="152"/>
      <c r="G1921" s="148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</row>
    <row r="1922" ht="35.25" customHeight="1">
      <c r="A1922" s="147"/>
      <c r="B1922" s="148"/>
      <c r="C1922" s="149"/>
      <c r="D1922" s="150"/>
      <c r="E1922" s="151"/>
      <c r="F1922" s="152"/>
      <c r="G1922" s="148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</row>
    <row r="1923" ht="35.25" customHeight="1">
      <c r="A1923" s="147"/>
      <c r="B1923" s="148"/>
      <c r="C1923" s="149"/>
      <c r="D1923" s="150"/>
      <c r="E1923" s="151"/>
      <c r="F1923" s="152"/>
      <c r="G1923" s="148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</row>
    <row r="1924" ht="35.25" customHeight="1">
      <c r="A1924" s="147"/>
      <c r="B1924" s="148"/>
      <c r="C1924" s="149"/>
      <c r="D1924" s="150"/>
      <c r="E1924" s="151"/>
      <c r="F1924" s="152"/>
      <c r="G1924" s="148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</row>
    <row r="1925" ht="35.25" customHeight="1">
      <c r="A1925" s="147"/>
      <c r="B1925" s="148"/>
      <c r="C1925" s="149"/>
      <c r="D1925" s="150"/>
      <c r="E1925" s="151"/>
      <c r="F1925" s="152"/>
      <c r="G1925" s="148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</row>
    <row r="1926" ht="35.25" customHeight="1">
      <c r="A1926" s="147"/>
      <c r="B1926" s="148"/>
      <c r="C1926" s="149"/>
      <c r="D1926" s="150"/>
      <c r="E1926" s="151"/>
      <c r="F1926" s="152"/>
      <c r="G1926" s="148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</row>
    <row r="1927" ht="35.25" customHeight="1">
      <c r="A1927" s="147"/>
      <c r="B1927" s="148"/>
      <c r="C1927" s="149"/>
      <c r="D1927" s="150"/>
      <c r="E1927" s="151"/>
      <c r="F1927" s="152"/>
      <c r="G1927" s="148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</row>
    <row r="1928" ht="35.25" customHeight="1">
      <c r="A1928" s="147"/>
      <c r="B1928" s="148"/>
      <c r="C1928" s="149"/>
      <c r="D1928" s="150"/>
      <c r="E1928" s="151"/>
      <c r="F1928" s="152"/>
      <c r="G1928" s="148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</row>
    <row r="1929" ht="35.25" customHeight="1">
      <c r="A1929" s="147"/>
      <c r="B1929" s="148"/>
      <c r="C1929" s="149"/>
      <c r="D1929" s="150"/>
      <c r="E1929" s="151"/>
      <c r="F1929" s="152"/>
      <c r="G1929" s="148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</row>
    <row r="1930" ht="35.25" customHeight="1">
      <c r="A1930" s="147"/>
      <c r="B1930" s="148"/>
      <c r="C1930" s="149"/>
      <c r="D1930" s="150"/>
      <c r="E1930" s="151"/>
      <c r="F1930" s="152"/>
      <c r="G1930" s="148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</row>
    <row r="1931" ht="35.25" customHeight="1">
      <c r="A1931" s="147"/>
      <c r="B1931" s="148"/>
      <c r="C1931" s="149"/>
      <c r="D1931" s="150"/>
      <c r="E1931" s="151"/>
      <c r="F1931" s="152"/>
      <c r="G1931" s="148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</row>
    <row r="1932" ht="35.25" customHeight="1">
      <c r="A1932" s="147"/>
      <c r="B1932" s="148"/>
      <c r="C1932" s="149"/>
      <c r="D1932" s="150"/>
      <c r="E1932" s="151"/>
      <c r="F1932" s="152"/>
      <c r="G1932" s="148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</row>
    <row r="1933" ht="35.25" customHeight="1">
      <c r="A1933" s="147"/>
      <c r="B1933" s="148"/>
      <c r="C1933" s="149"/>
      <c r="D1933" s="150"/>
      <c r="E1933" s="151"/>
      <c r="F1933" s="152"/>
      <c r="G1933" s="148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</row>
    <row r="1934" ht="35.25" customHeight="1">
      <c r="A1934" s="147"/>
      <c r="B1934" s="148"/>
      <c r="C1934" s="149"/>
      <c r="D1934" s="150"/>
      <c r="E1934" s="151"/>
      <c r="F1934" s="152"/>
      <c r="G1934" s="148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</row>
    <row r="1935" ht="35.25" customHeight="1">
      <c r="A1935" s="147"/>
      <c r="B1935" s="148"/>
      <c r="C1935" s="149"/>
      <c r="D1935" s="150"/>
      <c r="E1935" s="151"/>
      <c r="F1935" s="152"/>
      <c r="G1935" s="148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</row>
    <row r="1936" ht="35.25" customHeight="1">
      <c r="A1936" s="147"/>
      <c r="B1936" s="148"/>
      <c r="C1936" s="149"/>
      <c r="D1936" s="150"/>
      <c r="E1936" s="151"/>
      <c r="F1936" s="152"/>
      <c r="G1936" s="148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</row>
    <row r="1937" ht="35.25" customHeight="1">
      <c r="A1937" s="147"/>
      <c r="B1937" s="148"/>
      <c r="C1937" s="149"/>
      <c r="D1937" s="150"/>
      <c r="E1937" s="151"/>
      <c r="F1937" s="152"/>
      <c r="G1937" s="148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</row>
    <row r="1938" ht="35.25" customHeight="1">
      <c r="A1938" s="147"/>
      <c r="B1938" s="148"/>
      <c r="C1938" s="149"/>
      <c r="D1938" s="150"/>
      <c r="E1938" s="151"/>
      <c r="F1938" s="152"/>
      <c r="G1938" s="148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</row>
    <row r="1939" ht="35.25" customHeight="1">
      <c r="A1939" s="147"/>
      <c r="B1939" s="148"/>
      <c r="C1939" s="149"/>
      <c r="D1939" s="150"/>
      <c r="E1939" s="151"/>
      <c r="F1939" s="152"/>
      <c r="G1939" s="148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</row>
    <row r="1940" ht="35.25" customHeight="1">
      <c r="A1940" s="147"/>
      <c r="B1940" s="148"/>
      <c r="C1940" s="149"/>
      <c r="D1940" s="150"/>
      <c r="E1940" s="151"/>
      <c r="F1940" s="152"/>
      <c r="G1940" s="148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</row>
    <row r="1941" ht="35.25" customHeight="1">
      <c r="A1941" s="147"/>
      <c r="B1941" s="148"/>
      <c r="C1941" s="149"/>
      <c r="D1941" s="150"/>
      <c r="E1941" s="151"/>
      <c r="F1941" s="152"/>
      <c r="G1941" s="148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</row>
    <row r="1942" ht="35.25" customHeight="1">
      <c r="A1942" s="147"/>
      <c r="B1942" s="148"/>
      <c r="C1942" s="149"/>
      <c r="D1942" s="150"/>
      <c r="E1942" s="151"/>
      <c r="F1942" s="152"/>
      <c r="G1942" s="148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</row>
    <row r="1943" ht="35.25" customHeight="1">
      <c r="A1943" s="147"/>
      <c r="B1943" s="148"/>
      <c r="C1943" s="149"/>
      <c r="D1943" s="150"/>
      <c r="E1943" s="151"/>
      <c r="F1943" s="152"/>
      <c r="G1943" s="148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</row>
    <row r="1944" ht="35.25" customHeight="1">
      <c r="A1944" s="147"/>
      <c r="B1944" s="148"/>
      <c r="C1944" s="149"/>
      <c r="D1944" s="150"/>
      <c r="E1944" s="151"/>
      <c r="F1944" s="152"/>
      <c r="G1944" s="148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</row>
    <row r="1945" ht="35.25" customHeight="1">
      <c r="A1945" s="147"/>
      <c r="B1945" s="148"/>
      <c r="C1945" s="149"/>
      <c r="D1945" s="150"/>
      <c r="E1945" s="151"/>
      <c r="F1945" s="152"/>
      <c r="G1945" s="148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</row>
    <row r="1946" ht="35.25" customHeight="1">
      <c r="A1946" s="147"/>
      <c r="B1946" s="148"/>
      <c r="C1946" s="149"/>
      <c r="D1946" s="150"/>
      <c r="E1946" s="151"/>
      <c r="F1946" s="152"/>
      <c r="G1946" s="148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</row>
    <row r="1947" ht="35.25" customHeight="1">
      <c r="A1947" s="147"/>
      <c r="B1947" s="148"/>
      <c r="C1947" s="149"/>
      <c r="D1947" s="150"/>
      <c r="E1947" s="151"/>
      <c r="F1947" s="152"/>
      <c r="G1947" s="148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</row>
    <row r="1948" ht="35.25" customHeight="1">
      <c r="A1948" s="147"/>
      <c r="B1948" s="148"/>
      <c r="C1948" s="149"/>
      <c r="D1948" s="150"/>
      <c r="E1948" s="151"/>
      <c r="F1948" s="152"/>
      <c r="G1948" s="148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</row>
    <row r="1949" ht="35.25" customHeight="1">
      <c r="A1949" s="147"/>
      <c r="B1949" s="148"/>
      <c r="C1949" s="149"/>
      <c r="D1949" s="150"/>
      <c r="E1949" s="151"/>
      <c r="F1949" s="152"/>
      <c r="G1949" s="148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</row>
    <row r="1950" ht="35.25" customHeight="1">
      <c r="A1950" s="147"/>
      <c r="B1950" s="148"/>
      <c r="C1950" s="149"/>
      <c r="D1950" s="150"/>
      <c r="E1950" s="151"/>
      <c r="F1950" s="152"/>
      <c r="G1950" s="148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</row>
    <row r="1951" ht="35.25" customHeight="1">
      <c r="A1951" s="147"/>
      <c r="B1951" s="148"/>
      <c r="C1951" s="149"/>
      <c r="D1951" s="150"/>
      <c r="E1951" s="151"/>
      <c r="F1951" s="152"/>
      <c r="G1951" s="148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</row>
    <row r="1952" ht="35.25" customHeight="1">
      <c r="A1952" s="147"/>
      <c r="B1952" s="148"/>
      <c r="C1952" s="149"/>
      <c r="D1952" s="150"/>
      <c r="E1952" s="151"/>
      <c r="F1952" s="152"/>
      <c r="G1952" s="148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</row>
    <row r="1953" ht="35.25" customHeight="1">
      <c r="A1953" s="147"/>
      <c r="B1953" s="148"/>
      <c r="C1953" s="149"/>
      <c r="D1953" s="150"/>
      <c r="E1953" s="151"/>
      <c r="F1953" s="152"/>
      <c r="G1953" s="148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</row>
    <row r="1954" ht="35.25" customHeight="1">
      <c r="A1954" s="147"/>
      <c r="B1954" s="148"/>
      <c r="C1954" s="149"/>
      <c r="D1954" s="150"/>
      <c r="E1954" s="151"/>
      <c r="F1954" s="152"/>
      <c r="G1954" s="148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</row>
    <row r="1955" ht="35.25" customHeight="1">
      <c r="A1955" s="147"/>
      <c r="B1955" s="148"/>
      <c r="C1955" s="149"/>
      <c r="D1955" s="150"/>
      <c r="E1955" s="151"/>
      <c r="F1955" s="152"/>
      <c r="G1955" s="148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</row>
    <row r="1956" ht="35.25" customHeight="1">
      <c r="A1956" s="147"/>
      <c r="B1956" s="148"/>
      <c r="C1956" s="149"/>
      <c r="D1956" s="150"/>
      <c r="E1956" s="151"/>
      <c r="F1956" s="152"/>
      <c r="G1956" s="148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</row>
    <row r="1957" ht="35.25" customHeight="1">
      <c r="A1957" s="147"/>
      <c r="B1957" s="148"/>
      <c r="C1957" s="149"/>
      <c r="D1957" s="150"/>
      <c r="E1957" s="151"/>
      <c r="F1957" s="152"/>
      <c r="G1957" s="148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</row>
    <row r="1958" ht="35.25" customHeight="1">
      <c r="A1958" s="147"/>
      <c r="B1958" s="148"/>
      <c r="C1958" s="149"/>
      <c r="D1958" s="150"/>
      <c r="E1958" s="151"/>
      <c r="F1958" s="152"/>
      <c r="G1958" s="148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</row>
    <row r="1959" ht="35.25" customHeight="1">
      <c r="A1959" s="147"/>
      <c r="B1959" s="148"/>
      <c r="C1959" s="149"/>
      <c r="D1959" s="150"/>
      <c r="E1959" s="151"/>
      <c r="F1959" s="152"/>
      <c r="G1959" s="148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</row>
    <row r="1960" ht="35.25" customHeight="1">
      <c r="A1960" s="147"/>
      <c r="B1960" s="148"/>
      <c r="C1960" s="149"/>
      <c r="D1960" s="150"/>
      <c r="E1960" s="151"/>
      <c r="F1960" s="152"/>
      <c r="G1960" s="148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</row>
    <row r="1961" ht="35.25" customHeight="1">
      <c r="A1961" s="147"/>
      <c r="B1961" s="148"/>
      <c r="C1961" s="149"/>
      <c r="D1961" s="150"/>
      <c r="E1961" s="151"/>
      <c r="F1961" s="152"/>
      <c r="G1961" s="148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</row>
    <row r="1962" ht="35.25" customHeight="1">
      <c r="A1962" s="147"/>
      <c r="B1962" s="148"/>
      <c r="C1962" s="149"/>
      <c r="D1962" s="150"/>
      <c r="E1962" s="151"/>
      <c r="F1962" s="152"/>
      <c r="G1962" s="148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</row>
    <row r="1963" ht="35.25" customHeight="1">
      <c r="A1963" s="147"/>
      <c r="B1963" s="148"/>
      <c r="C1963" s="149"/>
      <c r="D1963" s="150"/>
      <c r="E1963" s="151"/>
      <c r="F1963" s="152"/>
      <c r="G1963" s="148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</row>
    <row r="1964" ht="35.25" customHeight="1">
      <c r="A1964" s="147"/>
      <c r="B1964" s="148"/>
      <c r="C1964" s="149"/>
      <c r="D1964" s="150"/>
      <c r="E1964" s="151"/>
      <c r="F1964" s="152"/>
      <c r="G1964" s="148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</row>
    <row r="1965" ht="35.25" customHeight="1">
      <c r="A1965" s="147"/>
      <c r="B1965" s="148"/>
      <c r="C1965" s="149"/>
      <c r="D1965" s="150"/>
      <c r="E1965" s="151"/>
      <c r="F1965" s="152"/>
      <c r="G1965" s="148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</row>
    <row r="1966" ht="35.25" customHeight="1">
      <c r="A1966" s="147"/>
      <c r="B1966" s="148"/>
      <c r="C1966" s="149"/>
      <c r="D1966" s="150"/>
      <c r="E1966" s="151"/>
      <c r="F1966" s="152"/>
      <c r="G1966" s="148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</row>
    <row r="1967" ht="35.25" customHeight="1">
      <c r="A1967" s="147"/>
      <c r="B1967" s="148"/>
      <c r="C1967" s="149"/>
      <c r="D1967" s="150"/>
      <c r="E1967" s="151"/>
      <c r="F1967" s="152"/>
      <c r="G1967" s="148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</row>
    <row r="1968" ht="35.25" customHeight="1">
      <c r="A1968" s="147"/>
      <c r="B1968" s="148"/>
      <c r="C1968" s="149"/>
      <c r="D1968" s="150"/>
      <c r="E1968" s="151"/>
      <c r="F1968" s="152"/>
      <c r="G1968" s="148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</row>
    <row r="1969" ht="35.25" customHeight="1">
      <c r="A1969" s="147"/>
      <c r="B1969" s="148"/>
      <c r="C1969" s="149"/>
      <c r="D1969" s="150"/>
      <c r="E1969" s="151"/>
      <c r="F1969" s="152"/>
      <c r="G1969" s="148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</row>
    <row r="1970" ht="35.25" customHeight="1">
      <c r="A1970" s="147"/>
      <c r="B1970" s="148"/>
      <c r="C1970" s="149"/>
      <c r="D1970" s="150"/>
      <c r="E1970" s="151"/>
      <c r="F1970" s="152"/>
      <c r="G1970" s="148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</row>
    <row r="1971" ht="35.25" customHeight="1">
      <c r="A1971" s="147"/>
      <c r="B1971" s="148"/>
      <c r="C1971" s="149"/>
      <c r="D1971" s="150"/>
      <c r="E1971" s="151"/>
      <c r="F1971" s="152"/>
      <c r="G1971" s="148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</row>
    <row r="1972" ht="35.25" customHeight="1">
      <c r="A1972" s="147"/>
      <c r="B1972" s="148"/>
      <c r="C1972" s="149"/>
      <c r="D1972" s="150"/>
      <c r="E1972" s="151"/>
      <c r="F1972" s="152"/>
      <c r="G1972" s="148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</row>
    <row r="1973" ht="35.25" customHeight="1">
      <c r="A1973" s="147"/>
      <c r="B1973" s="148"/>
      <c r="C1973" s="149"/>
      <c r="D1973" s="150"/>
      <c r="E1973" s="151"/>
      <c r="F1973" s="152"/>
      <c r="G1973" s="148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</row>
    <row r="1974" ht="35.25" customHeight="1">
      <c r="A1974" s="147"/>
      <c r="B1974" s="148"/>
      <c r="C1974" s="149"/>
      <c r="D1974" s="150"/>
      <c r="E1974" s="151"/>
      <c r="F1974" s="152"/>
      <c r="G1974" s="148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</row>
    <row r="1975" ht="35.25" customHeight="1">
      <c r="A1975" s="147"/>
      <c r="B1975" s="148"/>
      <c r="C1975" s="149"/>
      <c r="D1975" s="150"/>
      <c r="E1975" s="151"/>
      <c r="F1975" s="152"/>
      <c r="G1975" s="148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</row>
    <row r="1976" ht="35.25" customHeight="1">
      <c r="A1976" s="147"/>
      <c r="B1976" s="148"/>
      <c r="C1976" s="149"/>
      <c r="D1976" s="150"/>
      <c r="E1976" s="151"/>
      <c r="F1976" s="152"/>
      <c r="G1976" s="148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</row>
    <row r="1977" ht="35.25" customHeight="1">
      <c r="A1977" s="147"/>
      <c r="B1977" s="148"/>
      <c r="C1977" s="149"/>
      <c r="D1977" s="150"/>
      <c r="E1977" s="151"/>
      <c r="F1977" s="152"/>
      <c r="G1977" s="148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</row>
    <row r="1978" ht="35.25" customHeight="1">
      <c r="A1978" s="147"/>
      <c r="B1978" s="148"/>
      <c r="C1978" s="149"/>
      <c r="D1978" s="150"/>
      <c r="E1978" s="151"/>
      <c r="F1978" s="152"/>
      <c r="G1978" s="148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</row>
    <row r="1979" ht="35.25" customHeight="1">
      <c r="A1979" s="147"/>
      <c r="B1979" s="148"/>
      <c r="C1979" s="149"/>
      <c r="D1979" s="150"/>
      <c r="E1979" s="151"/>
      <c r="F1979" s="152"/>
      <c r="G1979" s="148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</row>
    <row r="1980" ht="35.25" customHeight="1">
      <c r="A1980" s="147"/>
      <c r="B1980" s="148"/>
      <c r="C1980" s="149"/>
      <c r="D1980" s="150"/>
      <c r="E1980" s="151"/>
      <c r="F1980" s="152"/>
      <c r="G1980" s="148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</row>
    <row r="1981" ht="35.25" customHeight="1">
      <c r="A1981" s="147"/>
      <c r="B1981" s="148"/>
      <c r="C1981" s="149"/>
      <c r="D1981" s="150"/>
      <c r="E1981" s="151"/>
      <c r="F1981" s="152"/>
      <c r="G1981" s="148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</row>
    <row r="1982" ht="35.25" customHeight="1">
      <c r="A1982" s="147"/>
      <c r="B1982" s="148"/>
      <c r="C1982" s="149"/>
      <c r="D1982" s="150"/>
      <c r="E1982" s="151"/>
      <c r="F1982" s="152"/>
      <c r="G1982" s="148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</row>
    <row r="1983" ht="35.25" customHeight="1">
      <c r="A1983" s="147"/>
      <c r="B1983" s="148"/>
      <c r="C1983" s="149"/>
      <c r="D1983" s="150"/>
      <c r="E1983" s="151"/>
      <c r="F1983" s="152"/>
      <c r="G1983" s="148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</row>
    <row r="1984" ht="35.25" customHeight="1">
      <c r="A1984" s="147"/>
      <c r="B1984" s="148"/>
      <c r="C1984" s="149"/>
      <c r="D1984" s="150"/>
      <c r="E1984" s="151"/>
      <c r="F1984" s="152"/>
      <c r="G1984" s="148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</row>
    <row r="1985" ht="35.25" customHeight="1">
      <c r="A1985" s="147"/>
      <c r="B1985" s="148"/>
      <c r="C1985" s="149"/>
      <c r="D1985" s="150"/>
      <c r="E1985" s="151"/>
      <c r="F1985" s="152"/>
      <c r="G1985" s="148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</row>
    <row r="1986" ht="35.25" customHeight="1">
      <c r="A1986" s="147"/>
      <c r="B1986" s="148"/>
      <c r="C1986" s="149"/>
      <c r="D1986" s="150"/>
      <c r="E1986" s="151"/>
      <c r="F1986" s="152"/>
      <c r="G1986" s="148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</row>
    <row r="1987" ht="35.25" customHeight="1">
      <c r="A1987" s="147"/>
      <c r="B1987" s="148"/>
      <c r="C1987" s="149"/>
      <c r="D1987" s="150"/>
      <c r="E1987" s="151"/>
      <c r="F1987" s="152"/>
      <c r="G1987" s="148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</row>
    <row r="1988" ht="35.25" customHeight="1">
      <c r="A1988" s="147"/>
      <c r="B1988" s="148"/>
      <c r="C1988" s="149"/>
      <c r="D1988" s="150"/>
      <c r="E1988" s="151"/>
      <c r="F1988" s="152"/>
      <c r="G1988" s="148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</row>
    <row r="1989" ht="35.25" customHeight="1">
      <c r="A1989" s="147"/>
      <c r="B1989" s="148"/>
      <c r="C1989" s="149"/>
      <c r="D1989" s="150"/>
      <c r="E1989" s="151"/>
      <c r="F1989" s="152"/>
      <c r="G1989" s="148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</row>
    <row r="1990" ht="35.25" customHeight="1">
      <c r="A1990" s="147"/>
      <c r="B1990" s="148"/>
      <c r="C1990" s="149"/>
      <c r="D1990" s="150"/>
      <c r="E1990" s="151"/>
      <c r="F1990" s="152"/>
      <c r="G1990" s="148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</row>
    <row r="1991" ht="35.25" customHeight="1">
      <c r="A1991" s="147"/>
      <c r="B1991" s="148"/>
      <c r="C1991" s="149"/>
      <c r="D1991" s="150"/>
      <c r="E1991" s="151"/>
      <c r="F1991" s="152"/>
      <c r="G1991" s="148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</row>
    <row r="1992" ht="35.25" customHeight="1">
      <c r="A1992" s="147"/>
      <c r="B1992" s="148"/>
      <c r="C1992" s="149"/>
      <c r="D1992" s="150"/>
      <c r="E1992" s="151"/>
      <c r="F1992" s="152"/>
      <c r="G1992" s="148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</row>
    <row r="1993" ht="35.25" customHeight="1">
      <c r="A1993" s="147"/>
      <c r="B1993" s="148"/>
      <c r="C1993" s="149"/>
      <c r="D1993" s="150"/>
      <c r="E1993" s="151"/>
      <c r="F1993" s="152"/>
      <c r="G1993" s="148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</row>
    <row r="1994" ht="35.25" customHeight="1">
      <c r="A1994" s="147"/>
      <c r="B1994" s="148"/>
      <c r="C1994" s="149"/>
      <c r="D1994" s="150"/>
      <c r="E1994" s="151"/>
      <c r="F1994" s="152"/>
      <c r="G1994" s="148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</row>
    <row r="1995" ht="35.25" customHeight="1">
      <c r="A1995" s="147"/>
      <c r="B1995" s="148"/>
      <c r="C1995" s="149"/>
      <c r="D1995" s="150"/>
      <c r="E1995" s="151"/>
      <c r="F1995" s="152"/>
      <c r="G1995" s="148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</row>
    <row r="1996" ht="35.25" customHeight="1">
      <c r="A1996" s="147"/>
      <c r="B1996" s="148"/>
      <c r="C1996" s="149"/>
      <c r="D1996" s="150"/>
      <c r="E1996" s="151"/>
      <c r="F1996" s="152"/>
      <c r="G1996" s="148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</row>
    <row r="1997" ht="35.25" customHeight="1">
      <c r="A1997" s="147"/>
      <c r="B1997" s="148"/>
      <c r="C1997" s="149"/>
      <c r="D1997" s="150"/>
      <c r="E1997" s="151"/>
      <c r="F1997" s="152"/>
      <c r="G1997" s="148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</row>
    <row r="1998" ht="35.25" customHeight="1">
      <c r="A1998" s="147"/>
      <c r="B1998" s="148"/>
      <c r="C1998" s="149"/>
      <c r="D1998" s="150"/>
      <c r="E1998" s="151"/>
      <c r="F1998" s="152"/>
      <c r="G1998" s="148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</row>
    <row r="1999" ht="35.25" customHeight="1">
      <c r="A1999" s="147"/>
      <c r="B1999" s="148"/>
      <c r="C1999" s="149"/>
      <c r="D1999" s="150"/>
      <c r="E1999" s="151"/>
      <c r="F1999" s="152"/>
      <c r="G1999" s="148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</row>
    <row r="2000" ht="35.25" customHeight="1">
      <c r="A2000" s="147"/>
      <c r="B2000" s="148"/>
      <c r="C2000" s="149"/>
      <c r="D2000" s="150"/>
      <c r="E2000" s="151"/>
      <c r="F2000" s="152"/>
      <c r="G2000" s="148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</row>
    <row r="2001" ht="35.25" customHeight="1">
      <c r="A2001" s="147"/>
      <c r="B2001" s="148"/>
      <c r="C2001" s="149"/>
      <c r="D2001" s="150"/>
      <c r="E2001" s="151"/>
      <c r="F2001" s="152"/>
      <c r="G2001" s="148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</row>
    <row r="2002" ht="35.25" customHeight="1">
      <c r="A2002" s="147"/>
      <c r="B2002" s="148"/>
      <c r="C2002" s="149"/>
      <c r="D2002" s="150"/>
      <c r="E2002" s="151"/>
      <c r="F2002" s="152"/>
      <c r="G2002" s="148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</row>
    <row r="2003" ht="35.25" customHeight="1">
      <c r="A2003" s="147"/>
      <c r="B2003" s="148"/>
      <c r="C2003" s="149"/>
      <c r="D2003" s="150"/>
      <c r="E2003" s="151"/>
      <c r="F2003" s="152"/>
      <c r="G2003" s="148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</row>
  </sheetData>
  <autoFilter ref="$A$1:$G$1296"/>
  <mergeCells count="1">
    <mergeCell ref="H1:Q1"/>
  </mergeCells>
  <conditionalFormatting sqref="G2:G1296">
    <cfRule type="expression" dxfId="0" priority="1">
      <formula>$G2=TRUE</formula>
    </cfRule>
  </conditionalFormatting>
  <conditionalFormatting sqref="G2:G1296">
    <cfRule type="expression" dxfId="2" priority="2">
      <formula>$G2=FALSE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3.13"/>
    <col customWidth="1" min="3" max="3" width="20.13"/>
    <col customWidth="1" min="4" max="4" width="30.0"/>
    <col customWidth="1" min="5" max="5" width="31.75"/>
    <col customWidth="1" min="6" max="7" width="24.5"/>
    <col customWidth="1" min="8" max="23" width="11.0"/>
  </cols>
  <sheetData>
    <row r="1" ht="31.5" customHeight="1">
      <c r="A1" s="106" t="s">
        <v>0</v>
      </c>
      <c r="B1" s="87" t="s">
        <v>2</v>
      </c>
      <c r="C1" s="86" t="s">
        <v>3</v>
      </c>
      <c r="D1" s="2" t="s">
        <v>4</v>
      </c>
      <c r="E1" s="4" t="s">
        <v>5</v>
      </c>
      <c r="F1" s="107" t="s">
        <v>6</v>
      </c>
      <c r="G1" s="108" t="s">
        <v>7</v>
      </c>
      <c r="H1" s="6" t="s">
        <v>8</v>
      </c>
      <c r="I1" s="8"/>
      <c r="J1" s="8"/>
      <c r="K1" s="8"/>
      <c r="L1" s="8"/>
      <c r="M1" s="8"/>
      <c r="N1" s="8"/>
      <c r="O1" s="8"/>
      <c r="P1" s="8"/>
      <c r="Q1" s="11"/>
      <c r="R1" s="14"/>
      <c r="S1" s="14"/>
      <c r="T1" s="14"/>
      <c r="U1" s="14"/>
      <c r="V1" s="14"/>
      <c r="W1" s="14"/>
    </row>
    <row r="2" ht="31.5" customHeight="1">
      <c r="A2" s="109" t="s">
        <v>4832</v>
      </c>
      <c r="B2" s="110" t="s">
        <v>4853</v>
      </c>
      <c r="C2" s="111" t="s">
        <v>4854</v>
      </c>
      <c r="D2" s="28" t="s">
        <v>4859</v>
      </c>
      <c r="E2" s="28" t="str">
        <f>IFERROR(__xludf.DUMMYFUNCTION("GOOGLETRANSLATE(D2,""zh-CN"",""vi"")"),"Ôi trời, đúng là đau đầu thật.")</f>
        <v>Ôi trời, đúng là đau đầu thật.</v>
      </c>
      <c r="F2" s="118" t="s">
        <v>5011</v>
      </c>
      <c r="G2" s="36" t="b">
        <f t="shared" ref="G2:G2514" si="1">EXACT(A2,F2)</f>
        <v>0</v>
      </c>
      <c r="H2" s="35" t="b">
        <v>0</v>
      </c>
      <c r="I2" s="35" t="b">
        <v>0</v>
      </c>
      <c r="J2" s="35" t="b">
        <v>0</v>
      </c>
      <c r="K2" s="35" t="b">
        <v>0</v>
      </c>
      <c r="L2" s="35" t="b">
        <v>0</v>
      </c>
      <c r="M2" s="35" t="b">
        <v>0</v>
      </c>
      <c r="N2" s="35" t="b">
        <v>0</v>
      </c>
      <c r="O2" s="35" t="b">
        <v>0</v>
      </c>
      <c r="P2" s="35" t="b">
        <v>0</v>
      </c>
      <c r="Q2" s="35" t="b">
        <v>0</v>
      </c>
      <c r="R2" s="14"/>
      <c r="S2" s="14"/>
      <c r="T2" s="14"/>
      <c r="U2" s="14"/>
      <c r="V2" s="14"/>
      <c r="W2" s="14"/>
    </row>
    <row r="3" ht="31.5" customHeight="1">
      <c r="A3" s="109" t="s">
        <v>5028</v>
      </c>
      <c r="B3" s="110" t="s">
        <v>5029</v>
      </c>
      <c r="C3" s="111" t="s">
        <v>5030</v>
      </c>
      <c r="D3" s="28" t="s">
        <v>5031</v>
      </c>
      <c r="E3" s="28" t="str">
        <f>IFERROR(__xludf.DUMMYFUNCTION("GOOGLETRANSLATE(D3,""zh-CN"",""vi"")"),"Ngày nào anh ta cũng đói.")</f>
        <v>Ngày nào anh ta cũng đói.</v>
      </c>
      <c r="F3" s="119" t="s">
        <v>5028</v>
      </c>
      <c r="G3" s="36" t="b">
        <f t="shared" si="1"/>
        <v>1</v>
      </c>
      <c r="H3" s="35" t="b">
        <v>0</v>
      </c>
      <c r="I3" s="35" t="b">
        <v>0</v>
      </c>
      <c r="J3" s="35" t="b">
        <v>0</v>
      </c>
      <c r="K3" s="35" t="b">
        <v>0</v>
      </c>
      <c r="L3" s="35" t="b">
        <v>0</v>
      </c>
      <c r="M3" s="35" t="b">
        <v>0</v>
      </c>
      <c r="N3" s="35" t="b">
        <v>0</v>
      </c>
      <c r="O3" s="35" t="b">
        <v>0</v>
      </c>
      <c r="P3" s="35" t="b">
        <v>0</v>
      </c>
      <c r="Q3" s="35" t="b">
        <v>0</v>
      </c>
      <c r="R3" s="14"/>
      <c r="S3" s="14"/>
      <c r="T3" s="14"/>
      <c r="U3" s="14"/>
      <c r="V3" s="14"/>
      <c r="W3" s="14"/>
    </row>
    <row r="4" ht="31.5" customHeight="1">
      <c r="A4" s="109" t="s">
        <v>5040</v>
      </c>
      <c r="B4" s="110" t="s">
        <v>5041</v>
      </c>
      <c r="C4" s="111" t="s">
        <v>5042</v>
      </c>
      <c r="D4" s="28" t="s">
        <v>5043</v>
      </c>
      <c r="E4" s="28" t="str">
        <f>IFERROR(__xludf.DUMMYFUNCTION("GOOGLETRANSLATE(D4,""zh-CN"",""vi"")"),"Không may thay, bà ấy đã mắc bệnh ung thư.")</f>
        <v>Không may thay, bà ấy đã mắc bệnh ung thư.</v>
      </c>
      <c r="F4" s="119" t="s">
        <v>5040</v>
      </c>
      <c r="G4" s="36" t="b">
        <f t="shared" si="1"/>
        <v>1</v>
      </c>
      <c r="H4" s="35" t="b">
        <v>0</v>
      </c>
      <c r="I4" s="35" t="b">
        <v>0</v>
      </c>
      <c r="J4" s="35" t="b">
        <v>0</v>
      </c>
      <c r="K4" s="35" t="b">
        <v>0</v>
      </c>
      <c r="L4" s="35" t="b">
        <v>0</v>
      </c>
      <c r="M4" s="35" t="b">
        <v>0</v>
      </c>
      <c r="N4" s="35" t="b">
        <v>0</v>
      </c>
      <c r="O4" s="35" t="b">
        <v>0</v>
      </c>
      <c r="P4" s="35" t="b">
        <v>0</v>
      </c>
      <c r="Q4" s="35" t="b">
        <v>0</v>
      </c>
      <c r="R4" s="14"/>
      <c r="S4" s="14"/>
      <c r="T4" s="14"/>
      <c r="U4" s="14"/>
      <c r="V4" s="14"/>
      <c r="W4" s="14"/>
    </row>
    <row r="5" ht="31.5" customHeight="1">
      <c r="A5" s="109" t="s">
        <v>5048</v>
      </c>
      <c r="B5" s="110" t="s">
        <v>5049</v>
      </c>
      <c r="C5" s="111" t="s">
        <v>5050</v>
      </c>
      <c r="D5" s="28" t="s">
        <v>5051</v>
      </c>
      <c r="E5" s="28" t="str">
        <f>IFERROR(__xludf.DUMMYFUNCTION("GOOGLETRANSLATE(D5,""zh-CN"",""vi"")"),"Anh ấy không thể rời mắt khỏi cuốn sách.")</f>
        <v>Anh ấy không thể rời mắt khỏi cuốn sách.</v>
      </c>
      <c r="F5" s="119" t="s">
        <v>5048</v>
      </c>
      <c r="G5" s="36" t="b">
        <f t="shared" si="1"/>
        <v>1</v>
      </c>
      <c r="H5" s="35" t="b">
        <v>0</v>
      </c>
      <c r="I5" s="35" t="b">
        <v>0</v>
      </c>
      <c r="J5" s="35" t="b">
        <v>0</v>
      </c>
      <c r="K5" s="35" t="b">
        <v>0</v>
      </c>
      <c r="L5" s="35" t="b">
        <v>0</v>
      </c>
      <c r="M5" s="35" t="b">
        <v>0</v>
      </c>
      <c r="N5" s="35" t="b">
        <v>0</v>
      </c>
      <c r="O5" s="35" t="b">
        <v>0</v>
      </c>
      <c r="P5" s="35" t="b">
        <v>0</v>
      </c>
      <c r="Q5" s="35" t="b">
        <v>0</v>
      </c>
      <c r="R5" s="14"/>
      <c r="S5" s="14"/>
      <c r="T5" s="14"/>
      <c r="U5" s="14"/>
      <c r="V5" s="14"/>
      <c r="W5" s="14"/>
    </row>
    <row r="6" ht="31.5" customHeight="1">
      <c r="A6" s="109" t="s">
        <v>5056</v>
      </c>
      <c r="B6" s="110" t="s">
        <v>5057</v>
      </c>
      <c r="C6" s="111" t="s">
        <v>5058</v>
      </c>
      <c r="D6" s="28" t="s">
        <v>5059</v>
      </c>
      <c r="E6" s="28" t="str">
        <f>IFERROR(__xludf.DUMMYFUNCTION("GOOGLETRANSLATE(D6,""zh-CN"",""vi"")"),"Ông ấy được mọi người vô cùng yêu quý.")</f>
        <v>Ông ấy được mọi người vô cùng yêu quý.</v>
      </c>
      <c r="F6" s="119" t="s">
        <v>5056</v>
      </c>
      <c r="G6" s="36" t="b">
        <f t="shared" si="1"/>
        <v>1</v>
      </c>
      <c r="H6" s="35" t="b">
        <v>0</v>
      </c>
      <c r="I6" s="35" t="b">
        <v>0</v>
      </c>
      <c r="J6" s="35" t="b">
        <v>0</v>
      </c>
      <c r="K6" s="35" t="b">
        <v>0</v>
      </c>
      <c r="L6" s="35" t="b">
        <v>0</v>
      </c>
      <c r="M6" s="35" t="b">
        <v>0</v>
      </c>
      <c r="N6" s="35" t="b">
        <v>0</v>
      </c>
      <c r="O6" s="35" t="b">
        <v>0</v>
      </c>
      <c r="P6" s="35" t="b">
        <v>0</v>
      </c>
      <c r="Q6" s="35" t="b">
        <v>0</v>
      </c>
      <c r="R6" s="14"/>
      <c r="S6" s="14"/>
      <c r="T6" s="14"/>
      <c r="U6" s="14"/>
      <c r="V6" s="14"/>
      <c r="W6" s="14"/>
    </row>
    <row r="7" ht="31.5" customHeight="1">
      <c r="A7" s="109" t="s">
        <v>5064</v>
      </c>
      <c r="B7" s="110" t="s">
        <v>5065</v>
      </c>
      <c r="C7" s="111" t="s">
        <v>5066</v>
      </c>
      <c r="D7" s="28" t="s">
        <v>5067</v>
      </c>
      <c r="E7" s="28" t="str">
        <f>IFERROR(__xludf.DUMMYFUNCTION("GOOGLETRANSLATE(D7,""zh-CN"",""vi"")"),"Mối quan hệ của họ khá mơ hồ.")</f>
        <v>Mối quan hệ của họ khá mơ hồ.</v>
      </c>
      <c r="F7" s="119" t="s">
        <v>5064</v>
      </c>
      <c r="G7" s="36" t="b">
        <f t="shared" si="1"/>
        <v>1</v>
      </c>
      <c r="H7" s="35" t="b">
        <v>0</v>
      </c>
      <c r="I7" s="35" t="b">
        <v>0</v>
      </c>
      <c r="J7" s="35" t="b">
        <v>0</v>
      </c>
      <c r="K7" s="35" t="b">
        <v>0</v>
      </c>
      <c r="L7" s="35" t="b">
        <v>0</v>
      </c>
      <c r="M7" s="35" t="b">
        <v>0</v>
      </c>
      <c r="N7" s="35" t="b">
        <v>0</v>
      </c>
      <c r="O7" s="35" t="b">
        <v>0</v>
      </c>
      <c r="P7" s="35" t="b">
        <v>0</v>
      </c>
      <c r="Q7" s="35" t="b">
        <v>0</v>
      </c>
      <c r="R7" s="14"/>
      <c r="S7" s="14"/>
      <c r="T7" s="14"/>
      <c r="U7" s="14"/>
      <c r="V7" s="14"/>
      <c r="W7" s="14"/>
    </row>
    <row r="8" ht="31.5" customHeight="1">
      <c r="A8" s="109" t="s">
        <v>5072</v>
      </c>
      <c r="B8" s="110" t="s">
        <v>5073</v>
      </c>
      <c r="C8" s="111" t="s">
        <v>5074</v>
      </c>
      <c r="D8" s="28" t="s">
        <v>5075</v>
      </c>
      <c r="E8" s="28" t="str">
        <f>IFERROR(__xludf.DUMMYFUNCTION("GOOGLETRANSLATE(D8,""zh-CN"",""vi"")"),"Họ sống và làm việc trong hòa bình và sự hài lòng ở đây.")</f>
        <v>Họ sống và làm việc trong hòa bình và sự hài lòng ở đây.</v>
      </c>
      <c r="F8" s="119" t="s">
        <v>5072</v>
      </c>
      <c r="G8" s="36" t="b">
        <f t="shared" si="1"/>
        <v>1</v>
      </c>
      <c r="H8" s="35" t="b">
        <v>0</v>
      </c>
      <c r="I8" s="35" t="b">
        <v>0</v>
      </c>
      <c r="J8" s="35" t="b">
        <v>0</v>
      </c>
      <c r="K8" s="35" t="b">
        <v>0</v>
      </c>
      <c r="L8" s="35" t="b">
        <v>0</v>
      </c>
      <c r="M8" s="35" t="b">
        <v>0</v>
      </c>
      <c r="N8" s="35" t="b">
        <v>0</v>
      </c>
      <c r="O8" s="35" t="b">
        <v>0</v>
      </c>
      <c r="P8" s="35" t="b">
        <v>0</v>
      </c>
      <c r="Q8" s="35" t="b">
        <v>0</v>
      </c>
      <c r="R8" s="14"/>
      <c r="S8" s="14"/>
      <c r="T8" s="14"/>
      <c r="U8" s="14"/>
      <c r="V8" s="14"/>
      <c r="W8" s="14"/>
    </row>
    <row r="9" ht="31.5" customHeight="1">
      <c r="A9" s="109" t="s">
        <v>5080</v>
      </c>
      <c r="B9" s="110" t="s">
        <v>5081</v>
      </c>
      <c r="C9" s="111" t="s">
        <v>5082</v>
      </c>
      <c r="D9" s="28" t="s">
        <v>5083</v>
      </c>
      <c r="E9" s="28" t="str">
        <f>IFERROR(__xludf.DUMMYFUNCTION("GOOGLETRANSLATE(D9,""zh-CN"",""vi"")"),"Cô ấy tận hưởng một cuộc sống bình yên.")</f>
        <v>Cô ấy tận hưởng một cuộc sống bình yên.</v>
      </c>
      <c r="F9" s="119" t="s">
        <v>5080</v>
      </c>
      <c r="G9" s="36" t="b">
        <f t="shared" si="1"/>
        <v>1</v>
      </c>
      <c r="H9" s="35" t="b">
        <v>0</v>
      </c>
      <c r="I9" s="35" t="b">
        <v>0</v>
      </c>
      <c r="J9" s="35" t="b">
        <v>0</v>
      </c>
      <c r="K9" s="35" t="b">
        <v>0</v>
      </c>
      <c r="L9" s="35" t="b">
        <v>0</v>
      </c>
      <c r="M9" s="35" t="b">
        <v>0</v>
      </c>
      <c r="N9" s="35" t="b">
        <v>0</v>
      </c>
      <c r="O9" s="35" t="b">
        <v>0</v>
      </c>
      <c r="P9" s="35" t="b">
        <v>0</v>
      </c>
      <c r="Q9" s="35" t="b">
        <v>0</v>
      </c>
      <c r="R9" s="14"/>
      <c r="S9" s="14"/>
      <c r="T9" s="14"/>
      <c r="U9" s="14"/>
      <c r="V9" s="14"/>
      <c r="W9" s="14"/>
    </row>
    <row r="10" ht="31.5" customHeight="1">
      <c r="A10" s="109" t="s">
        <v>5088</v>
      </c>
      <c r="B10" s="110" t="s">
        <v>5089</v>
      </c>
      <c r="C10" s="111" t="s">
        <v>5090</v>
      </c>
      <c r="D10" s="28" t="s">
        <v>5091</v>
      </c>
      <c r="E10" s="28" t="str">
        <f>IFERROR(__xludf.DUMMYFUNCTION("GOOGLETRANSLATE(D10,""zh-CN"",""vi"")"),"Ông ấy lúc nào cũng tỏ ra rất điềm tĩnh.")</f>
        <v>Ông ấy lúc nào cũng tỏ ra rất điềm tĩnh.</v>
      </c>
      <c r="F10" s="119" t="s">
        <v>5088</v>
      </c>
      <c r="G10" s="36" t="b">
        <f t="shared" si="1"/>
        <v>1</v>
      </c>
      <c r="H10" s="35" t="b">
        <v>0</v>
      </c>
      <c r="I10" s="35" t="b">
        <v>0</v>
      </c>
      <c r="J10" s="35" t="b">
        <v>0</v>
      </c>
      <c r="K10" s="35" t="b">
        <v>0</v>
      </c>
      <c r="L10" s="35" t="b">
        <v>0</v>
      </c>
      <c r="M10" s="35" t="b">
        <v>0</v>
      </c>
      <c r="N10" s="35" t="b">
        <v>0</v>
      </c>
      <c r="O10" s="35" t="b">
        <v>0</v>
      </c>
      <c r="P10" s="35" t="b">
        <v>0</v>
      </c>
      <c r="Q10" s="35" t="b">
        <v>0</v>
      </c>
      <c r="R10" s="14"/>
      <c r="S10" s="14"/>
      <c r="T10" s="14"/>
      <c r="U10" s="14"/>
      <c r="V10" s="14"/>
      <c r="W10" s="14"/>
    </row>
    <row r="11" ht="31.5" customHeight="1">
      <c r="A11" s="109" t="s">
        <v>5096</v>
      </c>
      <c r="B11" s="110" t="s">
        <v>5097</v>
      </c>
      <c r="C11" s="111" t="s">
        <v>5098</v>
      </c>
      <c r="D11" s="28" t="s">
        <v>5099</v>
      </c>
      <c r="E11" s="28" t="str">
        <f>IFERROR(__xludf.DUMMYFUNCTION("GOOGLETRANSLATE(D11,""zh-CN"",""vi"")"),"Chúng ta cần cung cấp nhà ở cho họ.")</f>
        <v>Chúng ta cần cung cấp nhà ở cho họ.</v>
      </c>
      <c r="F11" s="119" t="s">
        <v>5096</v>
      </c>
      <c r="G11" s="36" t="b">
        <f t="shared" si="1"/>
        <v>1</v>
      </c>
      <c r="H11" s="35" t="b">
        <v>0</v>
      </c>
      <c r="I11" s="35" t="b">
        <v>0</v>
      </c>
      <c r="J11" s="35" t="b">
        <v>0</v>
      </c>
      <c r="K11" s="35" t="b">
        <v>0</v>
      </c>
      <c r="L11" s="35" t="b">
        <v>0</v>
      </c>
      <c r="M11" s="35" t="b">
        <v>0</v>
      </c>
      <c r="N11" s="35" t="b">
        <v>0</v>
      </c>
      <c r="O11" s="35" t="b">
        <v>0</v>
      </c>
      <c r="P11" s="35" t="b">
        <v>0</v>
      </c>
      <c r="Q11" s="35" t="b">
        <v>0</v>
      </c>
      <c r="R11" s="14"/>
      <c r="S11" s="14"/>
      <c r="T11" s="14"/>
      <c r="U11" s="14"/>
      <c r="V11" s="14"/>
      <c r="W11" s="14"/>
    </row>
    <row r="12" ht="31.5" customHeight="1">
      <c r="A12" s="109" t="s">
        <v>5104</v>
      </c>
      <c r="B12" s="110" t="s">
        <v>5105</v>
      </c>
      <c r="C12" s="111" t="s">
        <v>5106</v>
      </c>
      <c r="D12" s="28" t="s">
        <v>5107</v>
      </c>
      <c r="E12" s="28" t="str">
        <f>IFERROR(__xludf.DUMMYFUNCTION("GOOGLETRANSLATE(D12,""zh-CN"",""vi"")"),"Vụ việc này rất phức tạp.")</f>
        <v>Vụ việc này rất phức tạp.</v>
      </c>
      <c r="F12" s="119" t="s">
        <v>5104</v>
      </c>
      <c r="G12" s="36" t="b">
        <f t="shared" si="1"/>
        <v>1</v>
      </c>
      <c r="H12" s="35" t="b">
        <v>0</v>
      </c>
      <c r="I12" s="35" t="b">
        <v>0</v>
      </c>
      <c r="J12" s="35" t="b">
        <v>0</v>
      </c>
      <c r="K12" s="35" t="b">
        <v>0</v>
      </c>
      <c r="L12" s="35" t="b">
        <v>0</v>
      </c>
      <c r="M12" s="35" t="b">
        <v>0</v>
      </c>
      <c r="N12" s="35" t="b">
        <v>0</v>
      </c>
      <c r="O12" s="35" t="b">
        <v>0</v>
      </c>
      <c r="P12" s="35" t="b">
        <v>0</v>
      </c>
      <c r="Q12" s="35" t="b">
        <v>0</v>
      </c>
      <c r="R12" s="14"/>
      <c r="S12" s="14"/>
      <c r="T12" s="14"/>
      <c r="U12" s="14"/>
      <c r="V12" s="14"/>
      <c r="W12" s="14"/>
    </row>
    <row r="13" ht="31.5" customHeight="1">
      <c r="A13" s="109" t="s">
        <v>5223</v>
      </c>
      <c r="B13" s="110" t="s">
        <v>5224</v>
      </c>
      <c r="C13" s="111" t="s">
        <v>5226</v>
      </c>
      <c r="D13" s="28" t="s">
        <v>5228</v>
      </c>
      <c r="E13" s="28" t="str">
        <f>IFERROR(__xludf.DUMMYFUNCTION("GOOGLETRANSLATE(D13,""zh-CN"",""vi"")"),"Trường hợp này rất có giá trị để tham khảo.")</f>
        <v>Trường hợp này rất có giá trị để tham khảo.</v>
      </c>
      <c r="F13" s="119" t="s">
        <v>5223</v>
      </c>
      <c r="G13" s="36" t="b">
        <f t="shared" si="1"/>
        <v>1</v>
      </c>
      <c r="H13" s="35" t="b">
        <v>0</v>
      </c>
      <c r="I13" s="35" t="b">
        <v>0</v>
      </c>
      <c r="J13" s="35" t="b">
        <v>0</v>
      </c>
      <c r="K13" s="35" t="b">
        <v>0</v>
      </c>
      <c r="L13" s="35" t="b">
        <v>0</v>
      </c>
      <c r="M13" s="35" t="b">
        <v>0</v>
      </c>
      <c r="N13" s="35" t="b">
        <v>0</v>
      </c>
      <c r="O13" s="35" t="b">
        <v>0</v>
      </c>
      <c r="P13" s="35" t="b">
        <v>0</v>
      </c>
      <c r="Q13" s="35" t="b">
        <v>0</v>
      </c>
      <c r="R13" s="14"/>
      <c r="S13" s="14"/>
      <c r="T13" s="14"/>
      <c r="U13" s="14"/>
      <c r="V13" s="14"/>
      <c r="W13" s="14"/>
    </row>
    <row r="14" ht="31.5" customHeight="1">
      <c r="A14" s="109" t="s">
        <v>5232</v>
      </c>
      <c r="B14" s="110" t="s">
        <v>5234</v>
      </c>
      <c r="C14" s="111" t="s">
        <v>5236</v>
      </c>
      <c r="D14" s="28" t="s">
        <v>5238</v>
      </c>
      <c r="E14" s="28" t="str">
        <f>IFERROR(__xludf.DUMMYFUNCTION("GOOGLETRANSLATE(D14,""zh-CN"",""vi"")"),"Cô ấy đi mát-xa mỗi tuần.")</f>
        <v>Cô ấy đi mát-xa mỗi tuần.</v>
      </c>
      <c r="F14" s="119" t="s">
        <v>5232</v>
      </c>
      <c r="G14" s="36" t="b">
        <f t="shared" si="1"/>
        <v>1</v>
      </c>
      <c r="H14" s="35" t="b">
        <v>0</v>
      </c>
      <c r="I14" s="35" t="b">
        <v>0</v>
      </c>
      <c r="J14" s="35" t="b">
        <v>0</v>
      </c>
      <c r="K14" s="35" t="b">
        <v>0</v>
      </c>
      <c r="L14" s="35" t="b">
        <v>0</v>
      </c>
      <c r="M14" s="35" t="b">
        <v>0</v>
      </c>
      <c r="N14" s="35" t="b">
        <v>0</v>
      </c>
      <c r="O14" s="35" t="b">
        <v>0</v>
      </c>
      <c r="P14" s="35" t="b">
        <v>0</v>
      </c>
      <c r="Q14" s="35" t="b">
        <v>0</v>
      </c>
      <c r="R14" s="14"/>
      <c r="S14" s="14"/>
      <c r="T14" s="14"/>
      <c r="U14" s="14"/>
      <c r="V14" s="14"/>
      <c r="W14" s="14"/>
    </row>
    <row r="15" ht="31.5" customHeight="1">
      <c r="A15" s="109" t="s">
        <v>5243</v>
      </c>
      <c r="B15" s="110" t="s">
        <v>5244</v>
      </c>
      <c r="C15" s="111" t="s">
        <v>5245</v>
      </c>
      <c r="D15" s="28" t="s">
        <v>5246</v>
      </c>
      <c r="E15" s="28" t="str">
        <f>IFERROR(__xludf.DUMMYFUNCTION("GOOGLETRANSLATE(D15,""zh-CN"",""vi"")"),"Anh ấy ngụ ý rằng tôi nên làm việc chăm chỉ hơn.")</f>
        <v>Anh ấy ngụ ý rằng tôi nên làm việc chăm chỉ hơn.</v>
      </c>
      <c r="F15" s="119" t="s">
        <v>5243</v>
      </c>
      <c r="G15" s="36" t="b">
        <f t="shared" si="1"/>
        <v>1</v>
      </c>
      <c r="H15" s="35" t="b">
        <v>0</v>
      </c>
      <c r="I15" s="35" t="b">
        <v>0</v>
      </c>
      <c r="J15" s="35" t="b">
        <v>0</v>
      </c>
      <c r="K15" s="35" t="b">
        <v>0</v>
      </c>
      <c r="L15" s="35" t="b">
        <v>0</v>
      </c>
      <c r="M15" s="35" t="b">
        <v>0</v>
      </c>
      <c r="N15" s="35" t="b">
        <v>0</v>
      </c>
      <c r="O15" s="35" t="b">
        <v>0</v>
      </c>
      <c r="P15" s="35" t="b">
        <v>0</v>
      </c>
      <c r="Q15" s="35" t="b">
        <v>0</v>
      </c>
      <c r="R15" s="14"/>
      <c r="S15" s="14"/>
      <c r="T15" s="14"/>
      <c r="U15" s="14"/>
      <c r="V15" s="14"/>
      <c r="W15" s="14"/>
    </row>
    <row r="16" ht="31.5" customHeight="1">
      <c r="A16" s="109" t="s">
        <v>5251</v>
      </c>
      <c r="B16" s="110" t="s">
        <v>5252</v>
      </c>
      <c r="C16" s="111" t="s">
        <v>5253</v>
      </c>
      <c r="D16" s="28" t="s">
        <v>5254</v>
      </c>
      <c r="E16" s="28" t="str">
        <f>IFERROR(__xludf.DUMMYFUNCTION("GOOGLETRANSLATE(D16,""zh-CN"",""vi"")"),"Chiếc đồng hồ này rất đắt tiền.")</f>
        <v>Chiếc đồng hồ này rất đắt tiền.</v>
      </c>
      <c r="F16" s="119" t="s">
        <v>5251</v>
      </c>
      <c r="G16" s="36" t="b">
        <f t="shared" si="1"/>
        <v>1</v>
      </c>
      <c r="H16" s="35" t="b">
        <v>0</v>
      </c>
      <c r="I16" s="35" t="b">
        <v>0</v>
      </c>
      <c r="J16" s="35" t="b">
        <v>0</v>
      </c>
      <c r="K16" s="35" t="b">
        <v>0</v>
      </c>
      <c r="L16" s="35" t="b">
        <v>0</v>
      </c>
      <c r="M16" s="35" t="b">
        <v>0</v>
      </c>
      <c r="N16" s="35" t="b">
        <v>0</v>
      </c>
      <c r="O16" s="35" t="b">
        <v>0</v>
      </c>
      <c r="P16" s="35" t="b">
        <v>0</v>
      </c>
      <c r="Q16" s="35" t="b">
        <v>0</v>
      </c>
      <c r="R16" s="14"/>
      <c r="S16" s="14"/>
      <c r="T16" s="14"/>
      <c r="U16" s="14"/>
      <c r="V16" s="14"/>
      <c r="W16" s="14"/>
    </row>
    <row r="17" ht="31.5" customHeight="1">
      <c r="A17" s="109" t="s">
        <v>5258</v>
      </c>
      <c r="B17" s="110" t="s">
        <v>5260</v>
      </c>
      <c r="C17" s="111" t="s">
        <v>5261</v>
      </c>
      <c r="D17" s="28" t="s">
        <v>5262</v>
      </c>
      <c r="E17" s="28" t="str">
        <f>IFERROR(__xludf.DUMMYFUNCTION("GOOGLETRANSLATE(D17,""zh-CN"",""vi"")"),"Con đường này rất gập ghềnh.")</f>
        <v>Con đường này rất gập ghềnh.</v>
      </c>
      <c r="F17" s="119" t="s">
        <v>5258</v>
      </c>
      <c r="G17" s="36" t="b">
        <f t="shared" si="1"/>
        <v>1</v>
      </c>
      <c r="H17" s="35" t="b">
        <v>0</v>
      </c>
      <c r="I17" s="35" t="b">
        <v>0</v>
      </c>
      <c r="J17" s="35" t="b">
        <v>0</v>
      </c>
      <c r="K17" s="35" t="b">
        <v>0</v>
      </c>
      <c r="L17" s="35" t="b">
        <v>0</v>
      </c>
      <c r="M17" s="35" t="b">
        <v>0</v>
      </c>
      <c r="N17" s="35" t="b">
        <v>0</v>
      </c>
      <c r="O17" s="35" t="b">
        <v>0</v>
      </c>
      <c r="P17" s="35" t="b">
        <v>0</v>
      </c>
      <c r="Q17" s="35" t="b">
        <v>0</v>
      </c>
      <c r="R17" s="14"/>
      <c r="S17" s="14"/>
      <c r="T17" s="14"/>
      <c r="U17" s="14"/>
      <c r="V17" s="14"/>
      <c r="W17" s="14"/>
    </row>
    <row r="18" ht="31.5" customHeight="1">
      <c r="A18" s="109" t="s">
        <v>5263</v>
      </c>
      <c r="B18" s="110" t="s">
        <v>5264</v>
      </c>
      <c r="C18" s="111" t="s">
        <v>5266</v>
      </c>
      <c r="D18" s="28" t="s">
        <v>5270</v>
      </c>
      <c r="E18" s="28" t="str">
        <f>IFERROR(__xludf.DUMMYFUNCTION("GOOGLETRANSLATE(D18,""zh-CN"",""vi"")"),"Cô ấy thức cả đêm trong bếp.")</f>
        <v>Cô ấy thức cả đêm trong bếp.</v>
      </c>
      <c r="F18" s="119" t="s">
        <v>5263</v>
      </c>
      <c r="G18" s="36" t="b">
        <f t="shared" si="1"/>
        <v>1</v>
      </c>
      <c r="H18" s="35" t="b">
        <v>0</v>
      </c>
      <c r="I18" s="35" t="b">
        <v>0</v>
      </c>
      <c r="J18" s="35" t="b">
        <v>0</v>
      </c>
      <c r="K18" s="35" t="b">
        <v>0</v>
      </c>
      <c r="L18" s="35" t="b">
        <v>0</v>
      </c>
      <c r="M18" s="35" t="b">
        <v>0</v>
      </c>
      <c r="N18" s="35" t="b">
        <v>0</v>
      </c>
      <c r="O18" s="35" t="b">
        <v>0</v>
      </c>
      <c r="P18" s="35" t="b">
        <v>0</v>
      </c>
      <c r="Q18" s="35" t="b">
        <v>0</v>
      </c>
      <c r="R18" s="14"/>
      <c r="S18" s="14"/>
      <c r="T18" s="14"/>
      <c r="U18" s="14"/>
      <c r="V18" s="14"/>
      <c r="W18" s="14"/>
    </row>
    <row r="19" ht="31.5" customHeight="1">
      <c r="A19" s="109" t="s">
        <v>5271</v>
      </c>
      <c r="B19" s="110" t="s">
        <v>5272</v>
      </c>
      <c r="C19" s="111" t="s">
        <v>5273</v>
      </c>
      <c r="D19" s="28" t="s">
        <v>5276</v>
      </c>
      <c r="E19" s="28" t="str">
        <f>IFERROR(__xludf.DUMMYFUNCTION("GOOGLETRANSLATE(D19,""zh-CN"",""vi"")"),"Câu hỏi này đầy rẫy những điều bí ẩn.")</f>
        <v>Câu hỏi này đầy rẫy những điều bí ẩn.</v>
      </c>
      <c r="F19" s="119" t="s">
        <v>5271</v>
      </c>
      <c r="G19" s="36" t="b">
        <f t="shared" si="1"/>
        <v>1</v>
      </c>
      <c r="H19" s="35" t="b">
        <v>0</v>
      </c>
      <c r="I19" s="35" t="b">
        <v>0</v>
      </c>
      <c r="J19" s="35" t="b">
        <v>0</v>
      </c>
      <c r="K19" s="35" t="b">
        <v>0</v>
      </c>
      <c r="L19" s="35" t="b">
        <v>0</v>
      </c>
      <c r="M19" s="35" t="b">
        <v>0</v>
      </c>
      <c r="N19" s="35" t="b">
        <v>0</v>
      </c>
      <c r="O19" s="35" t="b">
        <v>0</v>
      </c>
      <c r="P19" s="35" t="b">
        <v>0</v>
      </c>
      <c r="Q19" s="35" t="b">
        <v>0</v>
      </c>
      <c r="R19" s="14"/>
      <c r="S19" s="14"/>
      <c r="T19" s="14"/>
      <c r="U19" s="14"/>
      <c r="V19" s="14"/>
      <c r="W19" s="14"/>
    </row>
    <row r="20" ht="31.5" customHeight="1">
      <c r="A20" s="109" t="s">
        <v>5279</v>
      </c>
      <c r="B20" s="110" t="s">
        <v>23</v>
      </c>
      <c r="C20" s="111" t="s">
        <v>5281</v>
      </c>
      <c r="D20" s="28" t="s">
        <v>5283</v>
      </c>
      <c r="E20" s="28" t="str">
        <f>IFERROR(__xludf.DUMMYFUNCTION("GOOGLETRANSLATE(D20,""zh-CN"",""vi"")"),"Anh ta dùng hết sức mình cạy cửa ra.")</f>
        <v>Anh ta dùng hết sức mình cạy cửa ra.</v>
      </c>
      <c r="F20" s="119" t="s">
        <v>5279</v>
      </c>
      <c r="G20" s="36" t="b">
        <f t="shared" si="1"/>
        <v>1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14"/>
      <c r="S20" s="14"/>
      <c r="T20" s="14"/>
      <c r="U20" s="14"/>
      <c r="V20" s="14"/>
      <c r="W20" s="14"/>
    </row>
    <row r="21" ht="31.5" customHeight="1">
      <c r="A21" s="109" t="s">
        <v>5290</v>
      </c>
      <c r="B21" s="110" t="s">
        <v>23</v>
      </c>
      <c r="C21" s="111" t="s">
        <v>5291</v>
      </c>
      <c r="D21" s="28" t="s">
        <v>5292</v>
      </c>
      <c r="E21" s="28" t="str">
        <f>IFERROR(__xludf.DUMMYFUNCTION("GOOGLETRANSLATE(D21,""zh-CN"",""vi"")"),"Những vết sẹo trên mặt anh ta rất dễ nhận thấy.")</f>
        <v>Những vết sẹo trên mặt anh ta rất dễ nhận thấy.</v>
      </c>
      <c r="F21" s="119" t="s">
        <v>5290</v>
      </c>
      <c r="G21" s="36" t="b">
        <f t="shared" si="1"/>
        <v>1</v>
      </c>
      <c r="H21" s="35" t="b">
        <v>0</v>
      </c>
      <c r="I21" s="35" t="b">
        <v>0</v>
      </c>
      <c r="J21" s="35" t="b">
        <v>0</v>
      </c>
      <c r="K21" s="35" t="b">
        <v>0</v>
      </c>
      <c r="L21" s="35" t="b">
        <v>0</v>
      </c>
      <c r="M21" s="35" t="b">
        <v>0</v>
      </c>
      <c r="N21" s="35" t="b">
        <v>0</v>
      </c>
      <c r="O21" s="35" t="b">
        <v>0</v>
      </c>
      <c r="P21" s="35" t="b">
        <v>0</v>
      </c>
      <c r="Q21" s="35" t="b">
        <v>0</v>
      </c>
      <c r="R21" s="14"/>
      <c r="S21" s="14"/>
      <c r="T21" s="14"/>
      <c r="U21" s="14"/>
      <c r="V21" s="14"/>
      <c r="W21" s="14"/>
    </row>
    <row r="22" ht="31.5" customHeight="1">
      <c r="A22" s="109" t="s">
        <v>5297</v>
      </c>
      <c r="B22" s="110" t="s">
        <v>5298</v>
      </c>
      <c r="C22" s="111" t="s">
        <v>5299</v>
      </c>
      <c r="D22" s="28" t="s">
        <v>5300</v>
      </c>
      <c r="E22" s="28" t="str">
        <f>IFERROR(__xludf.DUMMYFUNCTION("GOOGLETRANSLATE(D22,""zh-CN"",""vi"")"),"Tôi đang rất mong chờ kỳ nghỉ bắt đầu.")</f>
        <v>Tôi đang rất mong chờ kỳ nghỉ bắt đầu.</v>
      </c>
      <c r="F22" s="119" t="s">
        <v>5297</v>
      </c>
      <c r="G22" s="36" t="b">
        <f t="shared" si="1"/>
        <v>1</v>
      </c>
      <c r="H22" s="35" t="b">
        <v>0</v>
      </c>
      <c r="I22" s="35" t="b">
        <v>0</v>
      </c>
      <c r="J22" s="35" t="b">
        <v>0</v>
      </c>
      <c r="K22" s="35" t="b">
        <v>0</v>
      </c>
      <c r="L22" s="35" t="b">
        <v>0</v>
      </c>
      <c r="M22" s="35" t="b">
        <v>0</v>
      </c>
      <c r="N22" s="35" t="b">
        <v>0</v>
      </c>
      <c r="O22" s="35" t="b">
        <v>0</v>
      </c>
      <c r="P22" s="35" t="b">
        <v>0</v>
      </c>
      <c r="Q22" s="35" t="b">
        <v>0</v>
      </c>
      <c r="R22" s="14"/>
      <c r="S22" s="14"/>
      <c r="T22" s="14"/>
      <c r="U22" s="14"/>
      <c r="V22" s="14"/>
      <c r="W22" s="14"/>
    </row>
    <row r="23" ht="31.5" customHeight="1">
      <c r="A23" s="109" t="s">
        <v>5305</v>
      </c>
      <c r="B23" s="110" t="s">
        <v>5306</v>
      </c>
      <c r="C23" s="111" t="s">
        <v>5307</v>
      </c>
      <c r="D23" s="28" t="s">
        <v>5308</v>
      </c>
      <c r="E23" s="28" t="str">
        <f>IFERROR(__xludf.DUMMYFUNCTION("GOOGLETRANSLATE(D23,""zh-CN"",""vi"")"),"Anh ta luôn thích lấy lòng cấp trên.")</f>
        <v>Anh ta luôn thích lấy lòng cấp trên.</v>
      </c>
      <c r="F23" s="119" t="s">
        <v>5305</v>
      </c>
      <c r="G23" s="36" t="b">
        <f t="shared" si="1"/>
        <v>1</v>
      </c>
      <c r="H23" s="35" t="b">
        <v>0</v>
      </c>
      <c r="I23" s="35" t="b">
        <v>0</v>
      </c>
      <c r="J23" s="35" t="b">
        <v>0</v>
      </c>
      <c r="K23" s="35" t="b">
        <v>0</v>
      </c>
      <c r="L23" s="35" t="b">
        <v>0</v>
      </c>
      <c r="M23" s="35" t="b">
        <v>0</v>
      </c>
      <c r="N23" s="35" t="b">
        <v>0</v>
      </c>
      <c r="O23" s="35" t="b">
        <v>0</v>
      </c>
      <c r="P23" s="35" t="b">
        <v>0</v>
      </c>
      <c r="Q23" s="35" t="b">
        <v>0</v>
      </c>
      <c r="R23" s="14"/>
      <c r="S23" s="14"/>
      <c r="T23" s="14"/>
      <c r="U23" s="14"/>
      <c r="V23" s="14"/>
      <c r="W23" s="14"/>
    </row>
    <row r="24" ht="31.5" customHeight="1">
      <c r="A24" s="109" t="s">
        <v>5313</v>
      </c>
      <c r="B24" s="110" t="s">
        <v>5314</v>
      </c>
      <c r="C24" s="111" t="s">
        <v>5315</v>
      </c>
      <c r="D24" s="28" t="s">
        <v>5316</v>
      </c>
      <c r="E24" s="28" t="str">
        <f>IFERROR(__xludf.DUMMYFUNCTION("GOOGLETRANSLATE(D24,""zh-CN"",""vi"")"),"Làm như vậy chỉ cản trở sự phát triển.")</f>
        <v>Làm như vậy chỉ cản trở sự phát triển.</v>
      </c>
      <c r="F24" s="119" t="s">
        <v>5313</v>
      </c>
      <c r="G24" s="36" t="b">
        <f t="shared" si="1"/>
        <v>1</v>
      </c>
      <c r="H24" s="35" t="b">
        <v>0</v>
      </c>
      <c r="I24" s="35" t="b">
        <v>0</v>
      </c>
      <c r="J24" s="35" t="b">
        <v>0</v>
      </c>
      <c r="K24" s="35" t="b">
        <v>0</v>
      </c>
      <c r="L24" s="35" t="b">
        <v>0</v>
      </c>
      <c r="M24" s="35" t="b">
        <v>0</v>
      </c>
      <c r="N24" s="35" t="b">
        <v>0</v>
      </c>
      <c r="O24" s="35" t="b">
        <v>0</v>
      </c>
      <c r="P24" s="35" t="b">
        <v>0</v>
      </c>
      <c r="Q24" s="35" t="b">
        <v>0</v>
      </c>
      <c r="R24" s="14"/>
      <c r="S24" s="14"/>
      <c r="T24" s="14"/>
      <c r="U24" s="14"/>
      <c r="V24" s="14"/>
      <c r="W24" s="14"/>
    </row>
    <row r="25" ht="31.5" customHeight="1">
      <c r="A25" s="109" t="s">
        <v>5321</v>
      </c>
      <c r="B25" s="110" t="s">
        <v>5322</v>
      </c>
      <c r="C25" s="111" t="s">
        <v>5323</v>
      </c>
      <c r="D25" s="28" t="s">
        <v>5324</v>
      </c>
      <c r="E25" s="28" t="str">
        <f>IFERROR(__xludf.DUMMYFUNCTION("GOOGLETRANSLATE(D25,""zh-CN"",""vi"")"),"Chúng ta phải kiểm soát chất lượng một cách nghiêm ngặt.")</f>
        <v>Chúng ta phải kiểm soát chất lượng một cách nghiêm ngặt.</v>
      </c>
      <c r="F25" s="119" t="s">
        <v>5321</v>
      </c>
      <c r="G25" s="36" t="b">
        <f t="shared" si="1"/>
        <v>1</v>
      </c>
      <c r="H25" s="35" t="b">
        <v>0</v>
      </c>
      <c r="I25" s="35" t="b">
        <v>0</v>
      </c>
      <c r="J25" s="35" t="b">
        <v>0</v>
      </c>
      <c r="K25" s="35" t="b">
        <v>0</v>
      </c>
      <c r="L25" s="35" t="b">
        <v>0</v>
      </c>
      <c r="M25" s="35" t="b">
        <v>0</v>
      </c>
      <c r="N25" s="35" t="b">
        <v>0</v>
      </c>
      <c r="O25" s="35" t="b">
        <v>0</v>
      </c>
      <c r="P25" s="35" t="b">
        <v>0</v>
      </c>
      <c r="Q25" s="35" t="b">
        <v>0</v>
      </c>
      <c r="R25" s="14"/>
      <c r="S25" s="14"/>
      <c r="T25" s="14"/>
      <c r="U25" s="14"/>
      <c r="V25" s="14"/>
      <c r="W25" s="14"/>
    </row>
    <row r="26" ht="31.5" customHeight="1">
      <c r="A26" s="109" t="s">
        <v>5327</v>
      </c>
      <c r="B26" s="110" t="s">
        <v>5329</v>
      </c>
      <c r="C26" s="111" t="s">
        <v>5331</v>
      </c>
      <c r="D26" s="28" t="s">
        <v>5332</v>
      </c>
      <c r="E26" s="28" t="str">
        <f>IFERROR(__xludf.DUMMYFUNCTION("GOOGLETRANSLATE(D26,""zh-CN"",""vi"")"),"Quai của chiếc cốc này bị gãy.")</f>
        <v>Quai của chiếc cốc này bị gãy.</v>
      </c>
      <c r="F26" s="119" t="s">
        <v>5327</v>
      </c>
      <c r="G26" s="36" t="b">
        <f t="shared" si="1"/>
        <v>1</v>
      </c>
      <c r="H26" s="35" t="b">
        <v>0</v>
      </c>
      <c r="I26" s="35" t="b">
        <v>0</v>
      </c>
      <c r="J26" s="35" t="b">
        <v>0</v>
      </c>
      <c r="K26" s="35" t="b">
        <v>0</v>
      </c>
      <c r="L26" s="35" t="b">
        <v>0</v>
      </c>
      <c r="M26" s="35" t="b">
        <v>0</v>
      </c>
      <c r="N26" s="35" t="b">
        <v>0</v>
      </c>
      <c r="O26" s="35" t="b">
        <v>0</v>
      </c>
      <c r="P26" s="35" t="b">
        <v>0</v>
      </c>
      <c r="Q26" s="35" t="b">
        <v>0</v>
      </c>
      <c r="R26" s="14"/>
      <c r="S26" s="14"/>
      <c r="T26" s="14"/>
      <c r="U26" s="14"/>
      <c r="V26" s="14"/>
      <c r="W26" s="14"/>
    </row>
    <row r="27" ht="31.5" customHeight="1">
      <c r="A27" s="109" t="s">
        <v>5333</v>
      </c>
      <c r="B27" s="110" t="s">
        <v>5334</v>
      </c>
      <c r="C27" s="111" t="s">
        <v>5338</v>
      </c>
      <c r="D27" s="28" t="s">
        <v>5340</v>
      </c>
      <c r="E27" s="28" t="str">
        <f>IFERROR(__xludf.DUMMYFUNCTION("GOOGLETRANSLATE(D27,""zh-CN"",""vi"")"),"Anh ấy luôn thích chơi khăm.")</f>
        <v>Anh ấy luôn thích chơi khăm.</v>
      </c>
      <c r="F27" s="119" t="s">
        <v>5333</v>
      </c>
      <c r="G27" s="36" t="b">
        <f t="shared" si="1"/>
        <v>1</v>
      </c>
      <c r="H27" s="35" t="b">
        <v>0</v>
      </c>
      <c r="I27" s="35" t="b">
        <v>0</v>
      </c>
      <c r="J27" s="35" t="b">
        <v>0</v>
      </c>
      <c r="K27" s="35" t="b">
        <v>0</v>
      </c>
      <c r="L27" s="35" t="b">
        <v>0</v>
      </c>
      <c r="M27" s="35" t="b">
        <v>0</v>
      </c>
      <c r="N27" s="35" t="b">
        <v>0</v>
      </c>
      <c r="O27" s="35" t="b">
        <v>0</v>
      </c>
      <c r="P27" s="35" t="b">
        <v>0</v>
      </c>
      <c r="Q27" s="35" t="b">
        <v>0</v>
      </c>
      <c r="R27" s="14"/>
      <c r="S27" s="14"/>
      <c r="T27" s="14"/>
      <c r="U27" s="14"/>
      <c r="V27" s="14"/>
      <c r="W27" s="14"/>
    </row>
    <row r="28" ht="31.5" customHeight="1">
      <c r="A28" s="109" t="s">
        <v>5341</v>
      </c>
      <c r="B28" s="110" t="s">
        <v>5342</v>
      </c>
      <c r="C28" s="111" t="s">
        <v>5343</v>
      </c>
      <c r="D28" s="28" t="s">
        <v>5345</v>
      </c>
      <c r="E28" s="28" t="str">
        <f>IFERROR(__xludf.DUMMYFUNCTION("GOOGLETRANSLATE(D28,""zh-CN"",""vi"")"),"Anh ấy có tính cách hơi độc đoán.")</f>
        <v>Anh ấy có tính cách hơi độc đoán.</v>
      </c>
      <c r="F28" s="119" t="s">
        <v>5341</v>
      </c>
      <c r="G28" s="36" t="b">
        <f t="shared" si="1"/>
        <v>1</v>
      </c>
      <c r="H28" s="35" t="b">
        <v>0</v>
      </c>
      <c r="I28" s="35" t="b">
        <v>0</v>
      </c>
      <c r="J28" s="35" t="b">
        <v>0</v>
      </c>
      <c r="K28" s="35" t="b">
        <v>0</v>
      </c>
      <c r="L28" s="35" t="b">
        <v>0</v>
      </c>
      <c r="M28" s="35" t="b">
        <v>0</v>
      </c>
      <c r="N28" s="35" t="b">
        <v>0</v>
      </c>
      <c r="O28" s="35" t="b">
        <v>0</v>
      </c>
      <c r="P28" s="35" t="b">
        <v>0</v>
      </c>
      <c r="Q28" s="35" t="b">
        <v>0</v>
      </c>
      <c r="R28" s="14"/>
      <c r="S28" s="14"/>
      <c r="T28" s="14"/>
      <c r="U28" s="14"/>
      <c r="V28" s="14"/>
      <c r="W28" s="14"/>
    </row>
    <row r="29" ht="31.5" customHeight="1">
      <c r="A29" s="109" t="s">
        <v>5349</v>
      </c>
      <c r="B29" s="110" t="s">
        <v>5350</v>
      </c>
      <c r="C29" s="111" t="s">
        <v>5351</v>
      </c>
      <c r="D29" s="28" t="s">
        <v>5352</v>
      </c>
      <c r="E29" s="28" t="str">
        <f>IFERROR(__xludf.DUMMYFUNCTION("GOOGLETRANSLATE(D29,""zh-CN"",""vi"")"),"Các công nhân đã quyết định đình công.")</f>
        <v>Các công nhân đã quyết định đình công.</v>
      </c>
      <c r="F29" s="119" t="s">
        <v>5349</v>
      </c>
      <c r="G29" s="36" t="b">
        <f t="shared" si="1"/>
        <v>1</v>
      </c>
      <c r="H29" s="35" t="b">
        <v>0</v>
      </c>
      <c r="I29" s="35" t="b">
        <v>0</v>
      </c>
      <c r="J29" s="35" t="b">
        <v>0</v>
      </c>
      <c r="K29" s="35" t="b">
        <v>0</v>
      </c>
      <c r="L29" s="35" t="b">
        <v>0</v>
      </c>
      <c r="M29" s="35" t="b">
        <v>0</v>
      </c>
      <c r="N29" s="35" t="b">
        <v>0</v>
      </c>
      <c r="O29" s="35" t="b">
        <v>0</v>
      </c>
      <c r="P29" s="35" t="b">
        <v>0</v>
      </c>
      <c r="Q29" s="35" t="b">
        <v>0</v>
      </c>
      <c r="R29" s="14"/>
      <c r="S29" s="14"/>
      <c r="T29" s="14"/>
      <c r="U29" s="14"/>
      <c r="V29" s="14"/>
      <c r="W29" s="14"/>
    </row>
    <row r="30" ht="31.5" customHeight="1">
      <c r="A30" s="109" t="s">
        <v>5357</v>
      </c>
      <c r="B30" s="110" t="s">
        <v>5358</v>
      </c>
      <c r="C30" s="111" t="s">
        <v>5359</v>
      </c>
      <c r="D30" s="28" t="s">
        <v>5360</v>
      </c>
      <c r="E30" s="28" t="str">
        <f>IFERROR(__xludf.DUMMYFUNCTION("GOOGLETRANSLATE(D30,""zh-CN"",""vi"")"),"Anh ta dùng sức mạnh để đập vỡ quả táo.")</f>
        <v>Anh ta dùng sức mạnh để đập vỡ quả táo.</v>
      </c>
      <c r="F30" s="119" t="s">
        <v>5357</v>
      </c>
      <c r="G30" s="36" t="b">
        <f t="shared" si="1"/>
        <v>1</v>
      </c>
      <c r="H30" s="35" t="b">
        <v>0</v>
      </c>
      <c r="I30" s="35" t="b">
        <v>0</v>
      </c>
      <c r="J30" s="35" t="b">
        <v>0</v>
      </c>
      <c r="K30" s="35" t="b">
        <v>0</v>
      </c>
      <c r="L30" s="35" t="b">
        <v>0</v>
      </c>
      <c r="M30" s="35" t="b">
        <v>0</v>
      </c>
      <c r="N30" s="35" t="b">
        <v>0</v>
      </c>
      <c r="O30" s="35" t="b">
        <v>0</v>
      </c>
      <c r="P30" s="35" t="b">
        <v>0</v>
      </c>
      <c r="Q30" s="35" t="b">
        <v>0</v>
      </c>
      <c r="R30" s="14"/>
      <c r="S30" s="14"/>
      <c r="T30" s="14"/>
      <c r="U30" s="14"/>
      <c r="V30" s="14"/>
      <c r="W30" s="14"/>
    </row>
    <row r="31" ht="31.5" customHeight="1">
      <c r="A31" s="124" t="s">
        <v>5365</v>
      </c>
      <c r="B31" s="125" t="s">
        <v>5370</v>
      </c>
      <c r="C31" s="126" t="s">
        <v>5371</v>
      </c>
      <c r="D31" s="127" t="s">
        <v>5373</v>
      </c>
      <c r="E31" s="28" t="str">
        <f>IFERROR(__xludf.DUMMYFUNCTION("GOOGLETRANSLATE(D31,""zh-CN"",""vi"")"),"Chi phí sinh hoạt tháng này đã tăng ba điểm phần trăm so với tháng trước.")</f>
        <v>Chi phí sinh hoạt tháng này đã tăng ba điểm phần trăm so với tháng trước.</v>
      </c>
      <c r="F31" s="119" t="s">
        <v>5365</v>
      </c>
      <c r="G31" s="36" t="b">
        <f t="shared" si="1"/>
        <v>1</v>
      </c>
      <c r="H31" s="35" t="b">
        <v>0</v>
      </c>
      <c r="I31" s="35" t="b">
        <v>0</v>
      </c>
      <c r="J31" s="35" t="b">
        <v>0</v>
      </c>
      <c r="K31" s="35" t="b">
        <v>0</v>
      </c>
      <c r="L31" s="35" t="b">
        <v>0</v>
      </c>
      <c r="M31" s="35" t="b">
        <v>0</v>
      </c>
      <c r="N31" s="35" t="b">
        <v>0</v>
      </c>
      <c r="O31" s="35" t="b">
        <v>0</v>
      </c>
      <c r="P31" s="35" t="b">
        <v>0</v>
      </c>
      <c r="Q31" s="35" t="b">
        <v>0</v>
      </c>
      <c r="R31" s="14"/>
      <c r="S31" s="14"/>
      <c r="T31" s="14"/>
      <c r="U31" s="14"/>
      <c r="V31" s="14"/>
      <c r="W31" s="14"/>
    </row>
    <row r="32" ht="31.5" customHeight="1">
      <c r="A32" s="109" t="s">
        <v>5377</v>
      </c>
      <c r="B32" s="110" t="s">
        <v>5379</v>
      </c>
      <c r="C32" s="111" t="s">
        <v>5381</v>
      </c>
      <c r="D32" s="28" t="s">
        <v>5383</v>
      </c>
      <c r="E32" s="28" t="str">
        <f>IFERROR(__xludf.DUMMYFUNCTION("GOOGLETRANSLATE(D32,""zh-CN"",""vi"")"),"Cuối cùng thì tôi cũng đã giải quyết xong rắc rối này rồi.")</f>
        <v>Cuối cùng thì tôi cũng đã giải quyết xong rắc rối này rồi.</v>
      </c>
      <c r="F32" s="119" t="s">
        <v>5377</v>
      </c>
      <c r="G32" s="36" t="b">
        <f t="shared" si="1"/>
        <v>1</v>
      </c>
      <c r="H32" s="35" t="b">
        <v>0</v>
      </c>
      <c r="I32" s="35" t="b">
        <v>0</v>
      </c>
      <c r="J32" s="35" t="b">
        <v>0</v>
      </c>
      <c r="K32" s="35" t="b">
        <v>0</v>
      </c>
      <c r="L32" s="35" t="b">
        <v>0</v>
      </c>
      <c r="M32" s="35" t="b">
        <v>0</v>
      </c>
      <c r="N32" s="35" t="b">
        <v>0</v>
      </c>
      <c r="O32" s="35" t="b">
        <v>0</v>
      </c>
      <c r="P32" s="35" t="b">
        <v>0</v>
      </c>
      <c r="Q32" s="35" t="b">
        <v>0</v>
      </c>
      <c r="R32" s="14"/>
      <c r="S32" s="14"/>
      <c r="T32" s="14"/>
      <c r="U32" s="14"/>
      <c r="V32" s="14"/>
      <c r="W32" s="14"/>
    </row>
    <row r="33" ht="31.5" customHeight="1">
      <c r="A33" s="109" t="s">
        <v>5385</v>
      </c>
      <c r="B33" s="110" t="s">
        <v>5386</v>
      </c>
      <c r="C33" s="111" t="s">
        <v>5387</v>
      </c>
      <c r="D33" s="28" t="s">
        <v>5389</v>
      </c>
      <c r="E33" s="28" t="str">
        <f>IFERROR(__xludf.DUMMYFUNCTION("GOOGLETRANSLATE(D33,""zh-CN"",""vi"")"),"Chúng tôi đến thăm một người bạn cũ.")</f>
        <v>Chúng tôi đến thăm một người bạn cũ.</v>
      </c>
      <c r="F33" s="119" t="s">
        <v>5385</v>
      </c>
      <c r="G33" s="36" t="b">
        <f t="shared" si="1"/>
        <v>1</v>
      </c>
      <c r="H33" s="35" t="b">
        <v>0</v>
      </c>
      <c r="I33" s="35" t="b">
        <v>0</v>
      </c>
      <c r="J33" s="35" t="b">
        <v>0</v>
      </c>
      <c r="K33" s="35" t="b">
        <v>0</v>
      </c>
      <c r="L33" s="35" t="b">
        <v>0</v>
      </c>
      <c r="M33" s="35" t="b">
        <v>0</v>
      </c>
      <c r="N33" s="35" t="b">
        <v>0</v>
      </c>
      <c r="O33" s="35" t="b">
        <v>0</v>
      </c>
      <c r="P33" s="35" t="b">
        <v>0</v>
      </c>
      <c r="Q33" s="35" t="b">
        <v>0</v>
      </c>
      <c r="R33" s="14"/>
      <c r="S33" s="14"/>
      <c r="T33" s="14"/>
      <c r="U33" s="14"/>
      <c r="V33" s="14"/>
      <c r="W33" s="14"/>
    </row>
    <row r="34" ht="31.5" customHeight="1">
      <c r="A34" s="109" t="s">
        <v>5393</v>
      </c>
      <c r="B34" s="110" t="s">
        <v>5395</v>
      </c>
      <c r="C34" s="111" t="s">
        <v>5397</v>
      </c>
      <c r="D34" s="28" t="s">
        <v>5399</v>
      </c>
      <c r="E34" s="28" t="str">
        <f>IFERROR(__xludf.DUMMYFUNCTION("GOOGLETRANSLATE(D34,""zh-CN"",""vi"")"),"Hành động của ông ta đã làm tổn hại đến danh tiếng của công ty.")</f>
        <v>Hành động của ông ta đã làm tổn hại đến danh tiếng của công ty.</v>
      </c>
      <c r="F34" s="119" t="s">
        <v>5393</v>
      </c>
      <c r="G34" s="36" t="b">
        <f t="shared" si="1"/>
        <v>1</v>
      </c>
      <c r="H34" s="35" t="b">
        <v>0</v>
      </c>
      <c r="I34" s="35" t="b">
        <v>0</v>
      </c>
      <c r="J34" s="35" t="b">
        <v>0</v>
      </c>
      <c r="K34" s="35" t="b">
        <v>0</v>
      </c>
      <c r="L34" s="35" t="b">
        <v>0</v>
      </c>
      <c r="M34" s="35" t="b">
        <v>0</v>
      </c>
      <c r="N34" s="35" t="b">
        <v>0</v>
      </c>
      <c r="O34" s="35" t="b">
        <v>0</v>
      </c>
      <c r="P34" s="35" t="b">
        <v>0</v>
      </c>
      <c r="Q34" s="35" t="b">
        <v>0</v>
      </c>
      <c r="R34" s="14"/>
      <c r="S34" s="14"/>
      <c r="T34" s="14"/>
      <c r="U34" s="14"/>
      <c r="V34" s="14"/>
      <c r="W34" s="14"/>
    </row>
    <row r="35" ht="31.5" customHeight="1">
      <c r="A35" s="109" t="s">
        <v>5476</v>
      </c>
      <c r="B35" s="110" t="s">
        <v>5477</v>
      </c>
      <c r="C35" s="111" t="s">
        <v>5478</v>
      </c>
      <c r="D35" s="28" t="s">
        <v>5479</v>
      </c>
      <c r="E35" s="28" t="str">
        <f>IFERROR(__xludf.DUMMYFUNCTION("GOOGLETRANSLATE(D35,""zh-CN"",""vi"")"),"Chúng tôi đã đi viếng thăm để chào đón năm mới.
")</f>
        <v>Chúng tôi đã đi viếng thăm để chào đón năm mới.
</v>
      </c>
      <c r="F35" s="119" t="s">
        <v>5476</v>
      </c>
      <c r="G35" s="36" t="b">
        <f t="shared" si="1"/>
        <v>1</v>
      </c>
      <c r="H35" s="35" t="b">
        <v>0</v>
      </c>
      <c r="I35" s="35" t="b">
        <v>0</v>
      </c>
      <c r="J35" s="35" t="b">
        <v>0</v>
      </c>
      <c r="K35" s="35" t="b">
        <v>0</v>
      </c>
      <c r="L35" s="35" t="b">
        <v>0</v>
      </c>
      <c r="M35" s="35" t="b">
        <v>0</v>
      </c>
      <c r="N35" s="35" t="b">
        <v>0</v>
      </c>
      <c r="O35" s="35" t="b">
        <v>0</v>
      </c>
      <c r="P35" s="35" t="b">
        <v>0</v>
      </c>
      <c r="Q35" s="35" t="b">
        <v>0</v>
      </c>
      <c r="R35" s="14"/>
      <c r="S35" s="14"/>
      <c r="T35" s="14"/>
      <c r="U35" s="14"/>
      <c r="V35" s="14"/>
      <c r="W35" s="14"/>
    </row>
    <row r="36" ht="31.5" customHeight="1">
      <c r="A36" s="109" t="s">
        <v>5493</v>
      </c>
      <c r="B36" s="110" t="s">
        <v>5496</v>
      </c>
      <c r="C36" s="111" t="s">
        <v>5498</v>
      </c>
      <c r="D36" s="28" t="s">
        <v>5499</v>
      </c>
      <c r="E36" s="28" t="str">
        <f>IFERROR(__xludf.DUMMYFUNCTION("GOOGLETRANSLATE(D36,""zh-CN"",""vi"")"),"Làm ơn giúp tôi một việc.
")</f>
        <v>Làm ơn giúp tôi một việc.
</v>
      </c>
      <c r="F36" s="119" t="s">
        <v>5493</v>
      </c>
      <c r="G36" s="36" t="b">
        <f t="shared" si="1"/>
        <v>1</v>
      </c>
      <c r="H36" s="35" t="b">
        <v>0</v>
      </c>
      <c r="I36" s="35" t="b">
        <v>0</v>
      </c>
      <c r="J36" s="35" t="b">
        <v>0</v>
      </c>
      <c r="K36" s="35" t="b">
        <v>0</v>
      </c>
      <c r="L36" s="35" t="b">
        <v>0</v>
      </c>
      <c r="M36" s="35" t="b">
        <v>0</v>
      </c>
      <c r="N36" s="35" t="b">
        <v>0</v>
      </c>
      <c r="O36" s="35" t="b">
        <v>0</v>
      </c>
      <c r="P36" s="35" t="b">
        <v>0</v>
      </c>
      <c r="Q36" s="35" t="b">
        <v>0</v>
      </c>
      <c r="R36" s="14"/>
      <c r="S36" s="14"/>
      <c r="T36" s="14"/>
      <c r="U36" s="14"/>
      <c r="V36" s="14"/>
      <c r="W36" s="14"/>
    </row>
    <row r="37" ht="31.5" customHeight="1">
      <c r="A37" s="109" t="s">
        <v>5505</v>
      </c>
      <c r="B37" s="110" t="s">
        <v>5507</v>
      </c>
      <c r="C37" s="111" t="s">
        <v>5509</v>
      </c>
      <c r="D37" s="28" t="s">
        <v>5511</v>
      </c>
      <c r="E37" s="28" t="str">
        <f>IFERROR(__xludf.DUMMYFUNCTION("GOOGLETRANSLATE(D37,""zh-CN"",""vi"")"),"Chính phủ đã ban hành luật mới.")</f>
        <v>Chính phủ đã ban hành luật mới.</v>
      </c>
      <c r="F37" s="119" t="s">
        <v>5505</v>
      </c>
      <c r="G37" s="36" t="b">
        <f t="shared" si="1"/>
        <v>1</v>
      </c>
      <c r="H37" s="35" t="b">
        <v>0</v>
      </c>
      <c r="I37" s="35" t="b">
        <v>0</v>
      </c>
      <c r="J37" s="35" t="b">
        <v>0</v>
      </c>
      <c r="K37" s="35" t="b">
        <v>0</v>
      </c>
      <c r="L37" s="35" t="b">
        <v>0</v>
      </c>
      <c r="M37" s="35" t="b">
        <v>0</v>
      </c>
      <c r="N37" s="35" t="b">
        <v>0</v>
      </c>
      <c r="O37" s="35" t="b">
        <v>0</v>
      </c>
      <c r="P37" s="35" t="b">
        <v>0</v>
      </c>
      <c r="Q37" s="35" t="b">
        <v>0</v>
      </c>
      <c r="R37" s="14"/>
      <c r="S37" s="14"/>
      <c r="T37" s="14"/>
      <c r="U37" s="14"/>
      <c r="V37" s="14"/>
      <c r="W37" s="14"/>
    </row>
    <row r="38" ht="31.5" customHeight="1">
      <c r="A38" s="109" t="s">
        <v>5512</v>
      </c>
      <c r="B38" s="110" t="s">
        <v>5513</v>
      </c>
      <c r="C38" s="111" t="s">
        <v>5514</v>
      </c>
      <c r="D38" s="28" t="s">
        <v>5515</v>
      </c>
      <c r="E38" s="28" t="str">
        <f>IFERROR(__xludf.DUMMYFUNCTION("GOOGLETRANSLATE(D38,""zh-CN"",""vi"")"),"Trường đã trao học bổng.
")</f>
        <v>Trường đã trao học bổng.
</v>
      </c>
      <c r="F38" s="119" t="s">
        <v>5512</v>
      </c>
      <c r="G38" s="36" t="b">
        <f t="shared" si="1"/>
        <v>1</v>
      </c>
      <c r="H38" s="35" t="b">
        <v>0</v>
      </c>
      <c r="I38" s="35" t="b">
        <v>0</v>
      </c>
      <c r="J38" s="35" t="b">
        <v>0</v>
      </c>
      <c r="K38" s="35" t="b">
        <v>0</v>
      </c>
      <c r="L38" s="35" t="b">
        <v>0</v>
      </c>
      <c r="M38" s="35" t="b">
        <v>0</v>
      </c>
      <c r="N38" s="35" t="b">
        <v>0</v>
      </c>
      <c r="O38" s="35" t="b">
        <v>0</v>
      </c>
      <c r="P38" s="35" t="b">
        <v>0</v>
      </c>
      <c r="Q38" s="35" t="b">
        <v>0</v>
      </c>
      <c r="R38" s="14"/>
      <c r="S38" s="14"/>
      <c r="T38" s="14"/>
      <c r="U38" s="14"/>
      <c r="V38" s="14"/>
      <c r="W38" s="14"/>
    </row>
    <row r="39" ht="31.5" customHeight="1">
      <c r="A39" s="109" t="s">
        <v>5520</v>
      </c>
      <c r="B39" s="110" t="s">
        <v>5521</v>
      </c>
      <c r="C39" s="111" t="s">
        <v>5522</v>
      </c>
      <c r="D39" s="28" t="s">
        <v>5523</v>
      </c>
      <c r="E39" s="28" t="str">
        <f>IFERROR(__xludf.DUMMYFUNCTION("GOOGLETRANSLATE(D39,""zh-CN"",""vi"")"),"Con hổ này có những vằn rất đẹp.")</f>
        <v>Con hổ này có những vằn rất đẹp.</v>
      </c>
      <c r="F39" s="119" t="s">
        <v>5520</v>
      </c>
      <c r="G39" s="36" t="b">
        <f t="shared" si="1"/>
        <v>1</v>
      </c>
      <c r="H39" s="35" t="b">
        <v>0</v>
      </c>
      <c r="I39" s="35" t="b">
        <v>0</v>
      </c>
      <c r="J39" s="35" t="b">
        <v>0</v>
      </c>
      <c r="K39" s="35" t="b">
        <v>0</v>
      </c>
      <c r="L39" s="35" t="b">
        <v>0</v>
      </c>
      <c r="M39" s="35" t="b">
        <v>0</v>
      </c>
      <c r="N39" s="35" t="b">
        <v>0</v>
      </c>
      <c r="O39" s="35" t="b">
        <v>0</v>
      </c>
      <c r="P39" s="35" t="b">
        <v>0</v>
      </c>
      <c r="Q39" s="35" t="b">
        <v>0</v>
      </c>
      <c r="R39" s="14"/>
      <c r="S39" s="14"/>
      <c r="T39" s="14"/>
      <c r="U39" s="14"/>
      <c r="V39" s="14"/>
      <c r="W39" s="14"/>
    </row>
    <row r="40" ht="31.5" customHeight="1">
      <c r="A40" s="109" t="s">
        <v>5528</v>
      </c>
      <c r="B40" s="110" t="s">
        <v>5529</v>
      </c>
      <c r="C40" s="111" t="s">
        <v>5530</v>
      </c>
      <c r="D40" s="28" t="s">
        <v>5531</v>
      </c>
      <c r="E40" s="28" t="str">
        <f>IFERROR(__xludf.DUMMYFUNCTION("GOOGLETRANSLATE(D40,""zh-CN"",""vi"")"),"Chúng ta cần cập nhật phiên bản ứng dụng này.")</f>
        <v>Chúng ta cần cập nhật phiên bản ứng dụng này.</v>
      </c>
      <c r="F40" s="119" t="s">
        <v>5528</v>
      </c>
      <c r="G40" s="36" t="b">
        <f t="shared" si="1"/>
        <v>1</v>
      </c>
      <c r="H40" s="35" t="b">
        <v>0</v>
      </c>
      <c r="I40" s="35" t="b">
        <v>0</v>
      </c>
      <c r="J40" s="35" t="b">
        <v>0</v>
      </c>
      <c r="K40" s="35" t="b">
        <v>0</v>
      </c>
      <c r="L40" s="35" t="b">
        <v>0</v>
      </c>
      <c r="M40" s="35" t="b">
        <v>0</v>
      </c>
      <c r="N40" s="35" t="b">
        <v>0</v>
      </c>
      <c r="O40" s="35" t="b">
        <v>0</v>
      </c>
      <c r="P40" s="35" t="b">
        <v>0</v>
      </c>
      <c r="Q40" s="35" t="b">
        <v>0</v>
      </c>
      <c r="R40" s="14"/>
      <c r="S40" s="14"/>
      <c r="T40" s="14"/>
      <c r="U40" s="14"/>
      <c r="V40" s="14"/>
      <c r="W40" s="14"/>
    </row>
    <row r="41" ht="31.5" customHeight="1">
      <c r="A41" s="109" t="s">
        <v>5532</v>
      </c>
      <c r="B41" s="110" t="s">
        <v>5533</v>
      </c>
      <c r="C41" s="111" t="s">
        <v>5535</v>
      </c>
      <c r="D41" s="28" t="s">
        <v>5537</v>
      </c>
      <c r="E41" s="28" t="str">
        <f>IFERROR(__xludf.DUMMYFUNCTION("GOOGLETRANSLATE(D41,""zh-CN"",""vi"")"),"Anh ấy là cộng sự tốt nhất của tôi.")</f>
        <v>Anh ấy là cộng sự tốt nhất của tôi.</v>
      </c>
      <c r="F41" s="119" t="s">
        <v>5532</v>
      </c>
      <c r="G41" s="36" t="b">
        <f t="shared" si="1"/>
        <v>1</v>
      </c>
      <c r="H41" s="35" t="b">
        <v>0</v>
      </c>
      <c r="I41" s="35" t="b">
        <v>0</v>
      </c>
      <c r="J41" s="35" t="b">
        <v>0</v>
      </c>
      <c r="K41" s="35" t="b">
        <v>0</v>
      </c>
      <c r="L41" s="35" t="b">
        <v>0</v>
      </c>
      <c r="M41" s="35" t="b">
        <v>0</v>
      </c>
      <c r="N41" s="35" t="b">
        <v>0</v>
      </c>
      <c r="O41" s="35" t="b">
        <v>0</v>
      </c>
      <c r="P41" s="35" t="b">
        <v>0</v>
      </c>
      <c r="Q41" s="35" t="b">
        <v>0</v>
      </c>
      <c r="R41" s="14"/>
      <c r="S41" s="14"/>
      <c r="T41" s="14"/>
      <c r="U41" s="14"/>
      <c r="V41" s="14"/>
      <c r="W41" s="14"/>
    </row>
    <row r="42" ht="31.5" customHeight="1">
      <c r="A42" s="109" t="s">
        <v>5541</v>
      </c>
      <c r="B42" s="110" t="s">
        <v>5543</v>
      </c>
      <c r="C42" s="111" t="s">
        <v>5545</v>
      </c>
      <c r="D42" s="28" t="s">
        <v>5547</v>
      </c>
      <c r="E42" s="28" t="str">
        <f>IFERROR(__xludf.DUMMYFUNCTION("GOOGLETRANSLATE(D42,""zh-CN"",""vi"")"),"Việc này luôn đi kèm với rắc rối.")</f>
        <v>Việc này luôn đi kèm với rắc rối.</v>
      </c>
      <c r="F42" s="119" t="s">
        <v>5541</v>
      </c>
      <c r="G42" s="36" t="b">
        <f t="shared" si="1"/>
        <v>1</v>
      </c>
      <c r="H42" s="35" t="b">
        <v>0</v>
      </c>
      <c r="I42" s="35" t="b">
        <v>0</v>
      </c>
      <c r="J42" s="35" t="b">
        <v>0</v>
      </c>
      <c r="K42" s="35" t="b">
        <v>0</v>
      </c>
      <c r="L42" s="35" t="b">
        <v>0</v>
      </c>
      <c r="M42" s="35" t="b">
        <v>0</v>
      </c>
      <c r="N42" s="35" t="b">
        <v>0</v>
      </c>
      <c r="O42" s="35" t="b">
        <v>0</v>
      </c>
      <c r="P42" s="35" t="b">
        <v>0</v>
      </c>
      <c r="Q42" s="35" t="b">
        <v>0</v>
      </c>
      <c r="R42" s="14"/>
      <c r="S42" s="14"/>
      <c r="T42" s="14"/>
      <c r="U42" s="14"/>
      <c r="V42" s="14"/>
      <c r="W42" s="14"/>
    </row>
    <row r="43" ht="31.5" customHeight="1">
      <c r="A43" s="109" t="s">
        <v>5551</v>
      </c>
      <c r="B43" s="110" t="s">
        <v>5553</v>
      </c>
      <c r="C43" s="111" t="s">
        <v>5554</v>
      </c>
      <c r="D43" s="28" t="s">
        <v>5555</v>
      </c>
      <c r="E43" s="28" t="str">
        <f>IFERROR(__xludf.DUMMYFUNCTION("GOOGLETRANSLATE(D43,""zh-CN"",""vi"")"),"Anh ta luôn bỏ cuộc giữa chừng.")</f>
        <v>Anh ta luôn bỏ cuộc giữa chừng.</v>
      </c>
      <c r="F43" s="119" t="s">
        <v>5551</v>
      </c>
      <c r="G43" s="36" t="b">
        <f t="shared" si="1"/>
        <v>1</v>
      </c>
      <c r="H43" s="35" t="b">
        <v>0</v>
      </c>
      <c r="I43" s="35" t="b">
        <v>0</v>
      </c>
      <c r="J43" s="35" t="b">
        <v>0</v>
      </c>
      <c r="K43" s="35" t="b">
        <v>0</v>
      </c>
      <c r="L43" s="35" t="b">
        <v>0</v>
      </c>
      <c r="M43" s="35" t="b">
        <v>0</v>
      </c>
      <c r="N43" s="35" t="b">
        <v>0</v>
      </c>
      <c r="O43" s="35" t="b">
        <v>0</v>
      </c>
      <c r="P43" s="35" t="b">
        <v>0</v>
      </c>
      <c r="Q43" s="35" t="b">
        <v>0</v>
      </c>
      <c r="R43" s="14"/>
      <c r="S43" s="14"/>
      <c r="T43" s="14"/>
      <c r="U43" s="14"/>
      <c r="V43" s="14"/>
      <c r="W43" s="14"/>
    </row>
    <row r="44" ht="31.5" customHeight="1">
      <c r="A44" s="109" t="s">
        <v>5559</v>
      </c>
      <c r="B44" s="110" t="s">
        <v>5561</v>
      </c>
      <c r="C44" s="111" t="s">
        <v>5562</v>
      </c>
      <c r="D44" s="28" t="s">
        <v>5563</v>
      </c>
      <c r="E44" s="28" t="str">
        <f>IFERROR(__xludf.DUMMYFUNCTION("GOOGLETRANSLATE(D44,""zh-CN"",""vi"")"),"Anh ấy đóng một vai trò quan trọng trong bộ phim.")</f>
        <v>Anh ấy đóng một vai trò quan trọng trong bộ phim.</v>
      </c>
      <c r="F44" s="119" t="s">
        <v>5559</v>
      </c>
      <c r="G44" s="36" t="b">
        <f t="shared" si="1"/>
        <v>1</v>
      </c>
      <c r="H44" s="35" t="b">
        <v>0</v>
      </c>
      <c r="I44" s="35" t="b">
        <v>0</v>
      </c>
      <c r="J44" s="35" t="b">
        <v>0</v>
      </c>
      <c r="K44" s="35" t="b">
        <v>0</v>
      </c>
      <c r="L44" s="35" t="b">
        <v>0</v>
      </c>
      <c r="M44" s="35" t="b">
        <v>0</v>
      </c>
      <c r="N44" s="35" t="b">
        <v>0</v>
      </c>
      <c r="O44" s="35" t="b">
        <v>0</v>
      </c>
      <c r="P44" s="35" t="b">
        <v>0</v>
      </c>
      <c r="Q44" s="35" t="b">
        <v>0</v>
      </c>
      <c r="R44" s="14"/>
      <c r="S44" s="14"/>
      <c r="T44" s="14"/>
      <c r="U44" s="14"/>
      <c r="V44" s="14"/>
      <c r="W44" s="14"/>
    </row>
    <row r="45" ht="31.5" customHeight="1">
      <c r="A45" s="109" t="s">
        <v>5568</v>
      </c>
      <c r="B45" s="110" t="s">
        <v>5569</v>
      </c>
      <c r="C45" s="111" t="s">
        <v>5570</v>
      </c>
      <c r="D45" s="28" t="s">
        <v>5571</v>
      </c>
      <c r="E45" s="28" t="str">
        <f>IFERROR(__xludf.DUMMYFUNCTION("GOOGLETRANSLATE(D45,""zh-CN"",""vi"")"),"Tên tội phạm đã bắt cóc một đứa trẻ.")</f>
        <v>Tên tội phạm đã bắt cóc một đứa trẻ.</v>
      </c>
      <c r="F45" s="119" t="s">
        <v>5568</v>
      </c>
      <c r="G45" s="36" t="b">
        <f t="shared" si="1"/>
        <v>1</v>
      </c>
      <c r="H45" s="35" t="b">
        <v>0</v>
      </c>
      <c r="I45" s="35" t="b">
        <v>0</v>
      </c>
      <c r="J45" s="35" t="b">
        <v>0</v>
      </c>
      <c r="K45" s="35" t="b">
        <v>0</v>
      </c>
      <c r="L45" s="35" t="b">
        <v>0</v>
      </c>
      <c r="M45" s="35" t="b">
        <v>0</v>
      </c>
      <c r="N45" s="35" t="b">
        <v>0</v>
      </c>
      <c r="O45" s="35" t="b">
        <v>0</v>
      </c>
      <c r="P45" s="35" t="b">
        <v>0</v>
      </c>
      <c r="Q45" s="35" t="b">
        <v>0</v>
      </c>
      <c r="R45" s="14"/>
      <c r="S45" s="14"/>
      <c r="T45" s="14"/>
      <c r="U45" s="14"/>
      <c r="V45" s="14"/>
      <c r="W45" s="14"/>
    </row>
    <row r="46" ht="31.5" customHeight="1">
      <c r="A46" s="109" t="s">
        <v>5576</v>
      </c>
      <c r="B46" s="110" t="s">
        <v>5577</v>
      </c>
      <c r="C46" s="111" t="s">
        <v>5578</v>
      </c>
      <c r="D46" s="28" t="s">
        <v>5579</v>
      </c>
      <c r="E46" s="28" t="str">
        <f>IFERROR(__xludf.DUMMYFUNCTION("GOOGLETRANSLATE(D46,""zh-CN"",""vi"")"),"Ông ấy là một hình mẫu để chúng ta học hỏi.")</f>
        <v>Ông ấy là một hình mẫu để chúng ta học hỏi.</v>
      </c>
      <c r="F46" s="119" t="s">
        <v>5576</v>
      </c>
      <c r="G46" s="36" t="b">
        <f t="shared" si="1"/>
        <v>1</v>
      </c>
      <c r="H46" s="35" t="b">
        <v>1</v>
      </c>
      <c r="I46" s="35" t="b">
        <v>0</v>
      </c>
      <c r="J46" s="35" t="b">
        <v>0</v>
      </c>
      <c r="K46" s="35" t="b">
        <v>0</v>
      </c>
      <c r="L46" s="35" t="b">
        <v>0</v>
      </c>
      <c r="M46" s="35" t="b">
        <v>0</v>
      </c>
      <c r="N46" s="35" t="b">
        <v>0</v>
      </c>
      <c r="O46" s="35" t="b">
        <v>0</v>
      </c>
      <c r="P46" s="35" t="b">
        <v>0</v>
      </c>
      <c r="Q46" s="35" t="b">
        <v>0</v>
      </c>
      <c r="R46" s="14"/>
      <c r="S46" s="14"/>
      <c r="T46" s="14"/>
      <c r="U46" s="14"/>
      <c r="V46" s="14"/>
      <c r="W46" s="14"/>
    </row>
    <row r="47" ht="31.5" customHeight="1">
      <c r="A47" s="109" t="s">
        <v>5584</v>
      </c>
      <c r="B47" s="110" t="s">
        <v>343</v>
      </c>
      <c r="C47" s="111" t="s">
        <v>5586</v>
      </c>
      <c r="D47" s="28" t="s">
        <v>5588</v>
      </c>
      <c r="E47" s="28" t="str">
        <f>IFERROR(__xludf.DUMMYFUNCTION("GOOGLETRANSLATE(D47,""zh-CN"",""vi"")"),"Chiếc hộp này nặng mười pound.")</f>
        <v>Chiếc hộp này nặng mười pound.</v>
      </c>
      <c r="F47" s="119" t="s">
        <v>5584</v>
      </c>
      <c r="G47" s="36" t="b">
        <f t="shared" si="1"/>
        <v>1</v>
      </c>
      <c r="H47" s="35" t="b">
        <v>1</v>
      </c>
      <c r="I47" s="35" t="b">
        <v>0</v>
      </c>
      <c r="J47" s="35" t="b">
        <v>0</v>
      </c>
      <c r="K47" s="35" t="b">
        <v>0</v>
      </c>
      <c r="L47" s="35" t="b">
        <v>0</v>
      </c>
      <c r="M47" s="35" t="b">
        <v>0</v>
      </c>
      <c r="N47" s="35" t="b">
        <v>0</v>
      </c>
      <c r="O47" s="35" t="b">
        <v>0</v>
      </c>
      <c r="P47" s="35" t="b">
        <v>0</v>
      </c>
      <c r="Q47" s="35" t="b">
        <v>0</v>
      </c>
      <c r="R47" s="14"/>
      <c r="S47" s="14"/>
      <c r="T47" s="14"/>
      <c r="U47" s="14"/>
      <c r="V47" s="14"/>
      <c r="W47" s="14"/>
    </row>
    <row r="48" ht="31.5" customHeight="1">
      <c r="A48" s="109" t="s">
        <v>5592</v>
      </c>
      <c r="B48" s="110" t="s">
        <v>5594</v>
      </c>
      <c r="C48" s="111" t="s">
        <v>5596</v>
      </c>
      <c r="D48" s="28" t="s">
        <v>5598</v>
      </c>
      <c r="E48" s="28" t="str">
        <f>IFERROR(__xludf.DUMMYFUNCTION("GOOGLETRANSLATE(D48,""zh-CN"",""vi"")"),"Anh ấy đã cố gắng bảo vệ bạn mình.")</f>
        <v>Anh ấy đã cố gắng bảo vệ bạn mình.</v>
      </c>
      <c r="F48" s="119" t="s">
        <v>5592</v>
      </c>
      <c r="G48" s="36" t="b">
        <f t="shared" si="1"/>
        <v>1</v>
      </c>
      <c r="H48" s="35" t="b">
        <v>1</v>
      </c>
      <c r="I48" s="35" t="b">
        <v>0</v>
      </c>
      <c r="J48" s="35" t="b">
        <v>0</v>
      </c>
      <c r="K48" s="35" t="b">
        <v>0</v>
      </c>
      <c r="L48" s="35" t="b">
        <v>0</v>
      </c>
      <c r="M48" s="35" t="b">
        <v>0</v>
      </c>
      <c r="N48" s="35" t="b">
        <v>0</v>
      </c>
      <c r="O48" s="35" t="b">
        <v>0</v>
      </c>
      <c r="P48" s="35" t="b">
        <v>0</v>
      </c>
      <c r="Q48" s="35" t="b">
        <v>0</v>
      </c>
      <c r="R48" s="14"/>
      <c r="S48" s="14"/>
      <c r="T48" s="14"/>
      <c r="U48" s="14"/>
      <c r="V48" s="14"/>
      <c r="W48" s="14"/>
    </row>
    <row r="49" ht="31.5" customHeight="1">
      <c r="A49" s="109" t="s">
        <v>5599</v>
      </c>
      <c r="B49" s="110" t="s">
        <v>5601</v>
      </c>
      <c r="C49" s="111" t="s">
        <v>5603</v>
      </c>
      <c r="D49" s="28" t="s">
        <v>5604</v>
      </c>
      <c r="E49" s="28" t="str">
        <f>IFERROR(__xludf.DUMMYFUNCTION("GOOGLETRANSLATE(D49,""zh-CN"",""vi"")"),"Chúng ta cần giải quyết vấn đề này.")</f>
        <v>Chúng ta cần giải quyết vấn đề này.</v>
      </c>
      <c r="F49" s="119" t="s">
        <v>5599</v>
      </c>
      <c r="G49" s="36" t="b">
        <f t="shared" si="1"/>
        <v>1</v>
      </c>
      <c r="H49" s="35" t="b">
        <v>1</v>
      </c>
      <c r="I49" s="35" t="b">
        <v>0</v>
      </c>
      <c r="J49" s="35" t="b">
        <v>0</v>
      </c>
      <c r="K49" s="35" t="b">
        <v>0</v>
      </c>
      <c r="L49" s="35" t="b">
        <v>0</v>
      </c>
      <c r="M49" s="35" t="b">
        <v>0</v>
      </c>
      <c r="N49" s="35" t="b">
        <v>0</v>
      </c>
      <c r="O49" s="35" t="b">
        <v>0</v>
      </c>
      <c r="P49" s="35" t="b">
        <v>0</v>
      </c>
      <c r="Q49" s="35" t="b">
        <v>0</v>
      </c>
      <c r="R49" s="14"/>
      <c r="S49" s="14"/>
      <c r="T49" s="14"/>
      <c r="U49" s="14"/>
      <c r="V49" s="14"/>
      <c r="W49" s="14"/>
    </row>
    <row r="50" ht="31.5" customHeight="1">
      <c r="A50" s="109" t="s">
        <v>5608</v>
      </c>
      <c r="B50" s="110" t="s">
        <v>5610</v>
      </c>
      <c r="C50" s="111" t="s">
        <v>5612</v>
      </c>
      <c r="D50" s="28" t="s">
        <v>5613</v>
      </c>
      <c r="E50" s="28" t="str">
        <f>IFERROR(__xludf.DUMMYFUNCTION("GOOGLETRANSLATE(D50,""zh-CN"",""vi"")"),"Quân địch đã bao vây thành phố.")</f>
        <v>Quân địch đã bao vây thành phố.</v>
      </c>
      <c r="F50" s="119" t="s">
        <v>5608</v>
      </c>
      <c r="G50" s="36" t="b">
        <f t="shared" si="1"/>
        <v>1</v>
      </c>
      <c r="H50" s="35" t="b">
        <v>1</v>
      </c>
      <c r="I50" s="35" t="b">
        <v>0</v>
      </c>
      <c r="J50" s="35" t="b">
        <v>0</v>
      </c>
      <c r="K50" s="35" t="b">
        <v>0</v>
      </c>
      <c r="L50" s="35" t="b">
        <v>0</v>
      </c>
      <c r="M50" s="35" t="b">
        <v>0</v>
      </c>
      <c r="N50" s="35" t="b">
        <v>0</v>
      </c>
      <c r="O50" s="35" t="b">
        <v>0</v>
      </c>
      <c r="P50" s="35" t="b">
        <v>0</v>
      </c>
      <c r="Q50" s="35" t="b">
        <v>0</v>
      </c>
      <c r="R50" s="14"/>
      <c r="S50" s="14"/>
      <c r="T50" s="14"/>
      <c r="U50" s="14"/>
      <c r="V50" s="14"/>
      <c r="W50" s="14"/>
    </row>
    <row r="51" ht="31.5" customHeight="1">
      <c r="A51" s="109" t="s">
        <v>5618</v>
      </c>
      <c r="B51" s="110" t="s">
        <v>5619</v>
      </c>
      <c r="C51" s="111" t="s">
        <v>5620</v>
      </c>
      <c r="D51" s="28" t="s">
        <v>5621</v>
      </c>
      <c r="E51" s="28" t="str">
        <f>IFERROR(__xludf.DUMMYFUNCTION("GOOGLETRANSLATE(D51,""zh-CN"",""vi"")"),"Tôi cần gói những món quà này.")</f>
        <v>Tôi cần gói những món quà này.</v>
      </c>
      <c r="F51" s="119" t="s">
        <v>5618</v>
      </c>
      <c r="G51" s="36" t="b">
        <f t="shared" si="1"/>
        <v>1</v>
      </c>
      <c r="H51" s="35" t="b">
        <v>1</v>
      </c>
      <c r="I51" s="35" t="b">
        <v>0</v>
      </c>
      <c r="J51" s="35" t="b">
        <v>0</v>
      </c>
      <c r="K51" s="35" t="b">
        <v>0</v>
      </c>
      <c r="L51" s="35" t="b">
        <v>0</v>
      </c>
      <c r="M51" s="35" t="b">
        <v>0</v>
      </c>
      <c r="N51" s="35" t="b">
        <v>0</v>
      </c>
      <c r="O51" s="35" t="b">
        <v>0</v>
      </c>
      <c r="P51" s="35" t="b">
        <v>0</v>
      </c>
      <c r="Q51" s="35" t="b">
        <v>0</v>
      </c>
      <c r="R51" s="14"/>
      <c r="S51" s="14"/>
      <c r="T51" s="14"/>
      <c r="U51" s="14"/>
      <c r="V51" s="14"/>
      <c r="W51" s="14"/>
    </row>
    <row r="52" ht="31.5" customHeight="1">
      <c r="A52" s="109" t="s">
        <v>5625</v>
      </c>
      <c r="B52" s="110" t="s">
        <v>5626</v>
      </c>
      <c r="C52" s="111" t="s">
        <v>5627</v>
      </c>
      <c r="D52" s="28" t="s">
        <v>5628</v>
      </c>
      <c r="E52" s="28" t="str">
        <f>IFERROR(__xludf.DUMMYFUNCTION("GOOGLETRANSLATE(D52,""zh-CN"",""vi"")"),"Hãy giữ gìn đồ vật quý giá của bạn cẩn thận.")</f>
        <v>Hãy giữ gìn đồ vật quý giá của bạn cẩn thận.</v>
      </c>
      <c r="F52" s="119" t="s">
        <v>5625</v>
      </c>
      <c r="G52" s="36" t="b">
        <f t="shared" si="1"/>
        <v>1</v>
      </c>
      <c r="H52" s="35" t="b">
        <v>1</v>
      </c>
      <c r="I52" s="35" t="b">
        <v>0</v>
      </c>
      <c r="J52" s="35" t="b">
        <v>0</v>
      </c>
      <c r="K52" s="35" t="b">
        <v>0</v>
      </c>
      <c r="L52" s="35" t="b">
        <v>0</v>
      </c>
      <c r="M52" s="35" t="b">
        <v>0</v>
      </c>
      <c r="N52" s="35" t="b">
        <v>0</v>
      </c>
      <c r="O52" s="35" t="b">
        <v>0</v>
      </c>
      <c r="P52" s="35" t="b">
        <v>0</v>
      </c>
      <c r="Q52" s="35" t="b">
        <v>0</v>
      </c>
      <c r="R52" s="14"/>
      <c r="S52" s="14"/>
      <c r="T52" s="14"/>
      <c r="U52" s="14"/>
      <c r="V52" s="14"/>
      <c r="W52" s="14"/>
    </row>
    <row r="53" ht="31.5" customHeight="1">
      <c r="A53" s="109" t="s">
        <v>5629</v>
      </c>
      <c r="B53" s="110" t="s">
        <v>5630</v>
      </c>
      <c r="C53" s="111" t="s">
        <v>5631</v>
      </c>
      <c r="D53" s="28" t="s">
        <v>5633</v>
      </c>
      <c r="E53" s="28" t="str">
        <f>IFERROR(__xludf.DUMMYFUNCTION("GOOGLETRANSLATE(D53,""zh-CN"",""vi"")"),"Thị trường này đã bão hòa rồi.")</f>
        <v>Thị trường này đã bão hòa rồi.</v>
      </c>
      <c r="F53" s="119" t="s">
        <v>5629</v>
      </c>
      <c r="G53" s="36" t="b">
        <f t="shared" si="1"/>
        <v>1</v>
      </c>
      <c r="H53" s="35" t="b">
        <v>1</v>
      </c>
      <c r="I53" s="35" t="b">
        <v>0</v>
      </c>
      <c r="J53" s="35" t="b">
        <v>0</v>
      </c>
      <c r="K53" s="35" t="b">
        <v>0</v>
      </c>
      <c r="L53" s="35" t="b">
        <v>0</v>
      </c>
      <c r="M53" s="35" t="b">
        <v>0</v>
      </c>
      <c r="N53" s="35" t="b">
        <v>0</v>
      </c>
      <c r="O53" s="35" t="b">
        <v>0</v>
      </c>
      <c r="P53" s="35" t="b">
        <v>0</v>
      </c>
      <c r="Q53" s="35" t="b">
        <v>0</v>
      </c>
      <c r="R53" s="14"/>
      <c r="S53" s="14"/>
      <c r="T53" s="14"/>
      <c r="U53" s="14"/>
      <c r="V53" s="14"/>
      <c r="W53" s="14"/>
    </row>
    <row r="54" ht="31.5" customHeight="1">
      <c r="A54" s="109" t="s">
        <v>5637</v>
      </c>
      <c r="B54" s="110" t="s">
        <v>5638</v>
      </c>
      <c r="C54" s="111" t="s">
        <v>5639</v>
      </c>
      <c r="D54" s="28" t="s">
        <v>5640</v>
      </c>
      <c r="E54" s="28" t="str">
        <f>IFERROR(__xludf.DUMMYFUNCTION("GOOGLETRANSLATE(D54,""zh-CN"",""vi"")"),"Ông ấy đã trải qua nhiều gian khổ và khó khăn.")</f>
        <v>Ông ấy đã trải qua nhiều gian khổ và khó khăn.</v>
      </c>
      <c r="F54" s="119" t="s">
        <v>5637</v>
      </c>
      <c r="G54" s="36" t="b">
        <f t="shared" si="1"/>
        <v>1</v>
      </c>
      <c r="H54" s="35" t="b">
        <v>1</v>
      </c>
      <c r="I54" s="35" t="b">
        <v>0</v>
      </c>
      <c r="J54" s="35" t="b">
        <v>0</v>
      </c>
      <c r="K54" s="35" t="b">
        <v>0</v>
      </c>
      <c r="L54" s="35" t="b">
        <v>0</v>
      </c>
      <c r="M54" s="35" t="b">
        <v>0</v>
      </c>
      <c r="N54" s="35" t="b">
        <v>0</v>
      </c>
      <c r="O54" s="35" t="b">
        <v>0</v>
      </c>
      <c r="P54" s="35" t="b">
        <v>0</v>
      </c>
      <c r="Q54" s="35" t="b">
        <v>0</v>
      </c>
      <c r="R54" s="14"/>
      <c r="S54" s="14"/>
      <c r="T54" s="14"/>
      <c r="U54" s="14"/>
      <c r="V54" s="14"/>
      <c r="W54" s="14"/>
    </row>
    <row r="55" ht="31.5" customHeight="1">
      <c r="A55" s="109" t="s">
        <v>5645</v>
      </c>
      <c r="B55" s="110" t="s">
        <v>5646</v>
      </c>
      <c r="C55" s="111" t="s">
        <v>5647</v>
      </c>
      <c r="D55" s="28" t="s">
        <v>5648</v>
      </c>
      <c r="E55" s="28" t="str">
        <f>IFERROR(__xludf.DUMMYFUNCTION("GOOGLETRANSLATE(D55,""zh-CN"",""vi"")"),"Tài liệu này cần được giữ bí mật.")</f>
        <v>Tài liệu này cần được giữ bí mật.</v>
      </c>
      <c r="F55" s="119" t="s">
        <v>5645</v>
      </c>
      <c r="G55" s="36" t="b">
        <f t="shared" si="1"/>
        <v>1</v>
      </c>
      <c r="H55" s="35" t="b">
        <v>1</v>
      </c>
      <c r="I55" s="35" t="b">
        <v>0</v>
      </c>
      <c r="J55" s="35" t="b">
        <v>0</v>
      </c>
      <c r="K55" s="35" t="b">
        <v>0</v>
      </c>
      <c r="L55" s="35" t="b">
        <v>0</v>
      </c>
      <c r="M55" s="35" t="b">
        <v>0</v>
      </c>
      <c r="N55" s="35" t="b">
        <v>0</v>
      </c>
      <c r="O55" s="35" t="b">
        <v>0</v>
      </c>
      <c r="P55" s="35" t="b">
        <v>0</v>
      </c>
      <c r="Q55" s="35" t="b">
        <v>0</v>
      </c>
      <c r="R55" s="14"/>
      <c r="S55" s="14"/>
      <c r="T55" s="14"/>
      <c r="U55" s="14"/>
      <c r="V55" s="14"/>
      <c r="W55" s="14"/>
    </row>
    <row r="56" ht="31.5" customHeight="1">
      <c r="A56" s="109" t="s">
        <v>5650</v>
      </c>
      <c r="B56" s="110" t="s">
        <v>5652</v>
      </c>
      <c r="C56" s="111" t="s">
        <v>5654</v>
      </c>
      <c r="D56" s="28" t="s">
        <v>5655</v>
      </c>
      <c r="E56" s="28" t="str">
        <f>IFERROR(__xludf.DUMMYFUNCTION("GOOGLETRANSLATE(D56,""zh-CN"",""vi"")"),"Tôi đã thuê một người giữ trẻ để chăm sóc đứa bé.")</f>
        <v>Tôi đã thuê một người giữ trẻ để chăm sóc đứa bé.</v>
      </c>
      <c r="F56" s="119" t="s">
        <v>5650</v>
      </c>
      <c r="G56" s="36" t="b">
        <f t="shared" si="1"/>
        <v>1</v>
      </c>
      <c r="H56" s="35" t="b">
        <v>1</v>
      </c>
      <c r="I56" s="35" t="b">
        <v>0</v>
      </c>
      <c r="J56" s="35" t="b">
        <v>0</v>
      </c>
      <c r="K56" s="35" t="b">
        <v>0</v>
      </c>
      <c r="L56" s="35" t="b">
        <v>0</v>
      </c>
      <c r="M56" s="35" t="b">
        <v>0</v>
      </c>
      <c r="N56" s="35" t="b">
        <v>0</v>
      </c>
      <c r="O56" s="35" t="b">
        <v>0</v>
      </c>
      <c r="P56" s="35" t="b">
        <v>0</v>
      </c>
      <c r="Q56" s="35" t="b">
        <v>0</v>
      </c>
      <c r="R56" s="14"/>
      <c r="S56" s="14"/>
      <c r="T56" s="14"/>
      <c r="U56" s="14"/>
      <c r="V56" s="14"/>
      <c r="W56" s="14"/>
    </row>
    <row r="57" ht="31.5" customHeight="1">
      <c r="A57" s="109" t="s">
        <v>5658</v>
      </c>
      <c r="B57" s="110" t="s">
        <v>5660</v>
      </c>
      <c r="C57" s="111" t="s">
        <v>5662</v>
      </c>
      <c r="D57" s="28" t="s">
        <v>5663</v>
      </c>
      <c r="E57" s="28" t="str">
        <f>IFERROR(__xludf.DUMMYFUNCTION("GOOGLETRANSLATE(D57,""zh-CN"",""vi"")"),"Ông ấy là một người rất bảo thủ.")</f>
        <v>Ông ấy là một người rất bảo thủ.</v>
      </c>
      <c r="F57" s="119" t="s">
        <v>5658</v>
      </c>
      <c r="G57" s="36" t="b">
        <f t="shared" si="1"/>
        <v>1</v>
      </c>
      <c r="H57" s="35" t="b">
        <v>1</v>
      </c>
      <c r="I57" s="35" t="b">
        <v>0</v>
      </c>
      <c r="J57" s="35" t="b">
        <v>0</v>
      </c>
      <c r="K57" s="35" t="b">
        <v>0</v>
      </c>
      <c r="L57" s="35" t="b">
        <v>0</v>
      </c>
      <c r="M57" s="35" t="b">
        <v>0</v>
      </c>
      <c r="N57" s="35" t="b">
        <v>0</v>
      </c>
      <c r="O57" s="35" t="b">
        <v>0</v>
      </c>
      <c r="P57" s="35" t="b">
        <v>0</v>
      </c>
      <c r="Q57" s="35" t="b">
        <v>0</v>
      </c>
      <c r="R57" s="14"/>
      <c r="S57" s="14"/>
      <c r="T57" s="14"/>
      <c r="U57" s="14"/>
      <c r="V57" s="14"/>
      <c r="W57" s="14"/>
    </row>
    <row r="58" ht="31.5" customHeight="1">
      <c r="A58" s="109" t="s">
        <v>5668</v>
      </c>
      <c r="B58" s="110" t="s">
        <v>5669</v>
      </c>
      <c r="C58" s="111" t="s">
        <v>5670</v>
      </c>
      <c r="D58" s="28" t="s">
        <v>5671</v>
      </c>
      <c r="E58" s="28" t="str">
        <f>IFERROR(__xludf.DUMMYFUNCTION("GOOGLETRANSLATE(D58,""zh-CN"",""vi"")"),"Chúng ta phải bảo vệ Tổ quốc.")</f>
        <v>Chúng ta phải bảo vệ Tổ quốc.</v>
      </c>
      <c r="F58" s="119" t="s">
        <v>5668</v>
      </c>
      <c r="G58" s="36" t="b">
        <f t="shared" si="1"/>
        <v>1</v>
      </c>
      <c r="H58" s="35" t="b">
        <v>1</v>
      </c>
      <c r="I58" s="35" t="b">
        <v>0</v>
      </c>
      <c r="J58" s="35" t="b">
        <v>0</v>
      </c>
      <c r="K58" s="35" t="b">
        <v>0</v>
      </c>
      <c r="L58" s="35" t="b">
        <v>0</v>
      </c>
      <c r="M58" s="35" t="b">
        <v>0</v>
      </c>
      <c r="N58" s="35" t="b">
        <v>0</v>
      </c>
      <c r="O58" s="35" t="b">
        <v>0</v>
      </c>
      <c r="P58" s="35" t="b">
        <v>0</v>
      </c>
      <c r="Q58" s="35" t="b">
        <v>0</v>
      </c>
      <c r="R58" s="14"/>
      <c r="S58" s="14"/>
      <c r="T58" s="14"/>
      <c r="U58" s="14"/>
      <c r="V58" s="14"/>
      <c r="W58" s="14"/>
    </row>
    <row r="59" ht="31.5" customHeight="1">
      <c r="A59" s="109" t="s">
        <v>5672</v>
      </c>
      <c r="B59" s="110" t="s">
        <v>5674</v>
      </c>
      <c r="C59" s="111" t="s">
        <v>5676</v>
      </c>
      <c r="D59" s="28" t="s">
        <v>5677</v>
      </c>
      <c r="E59" s="28" t="str">
        <f>IFERROR(__xludf.DUMMYFUNCTION("GOOGLETRANSLATE(D59,""zh-CN"",""vi"")"),"Cô ấy dành thời gian chăm sóc da mỗi ngày.")</f>
        <v>Cô ấy dành thời gian chăm sóc da mỗi ngày.</v>
      </c>
      <c r="F59" s="119" t="s">
        <v>5672</v>
      </c>
      <c r="G59" s="36" t="b">
        <f t="shared" si="1"/>
        <v>1</v>
      </c>
      <c r="H59" s="35" t="b">
        <v>1</v>
      </c>
      <c r="I59" s="35" t="b">
        <v>0</v>
      </c>
      <c r="J59" s="35" t="b">
        <v>0</v>
      </c>
      <c r="K59" s="35" t="b">
        <v>0</v>
      </c>
      <c r="L59" s="35" t="b">
        <v>0</v>
      </c>
      <c r="M59" s="35" t="b">
        <v>0</v>
      </c>
      <c r="N59" s="35" t="b">
        <v>0</v>
      </c>
      <c r="O59" s="35" t="b">
        <v>0</v>
      </c>
      <c r="P59" s="35" t="b">
        <v>0</v>
      </c>
      <c r="Q59" s="35" t="b">
        <v>0</v>
      </c>
      <c r="R59" s="14"/>
      <c r="S59" s="14"/>
      <c r="T59" s="14"/>
      <c r="U59" s="14"/>
      <c r="V59" s="14"/>
      <c r="W59" s="14"/>
    </row>
    <row r="60" ht="31.5" customHeight="1">
      <c r="A60" s="109" t="s">
        <v>5680</v>
      </c>
      <c r="B60" s="110" t="s">
        <v>5681</v>
      </c>
      <c r="C60" s="111" t="s">
        <v>5682</v>
      </c>
      <c r="D60" s="28" t="s">
        <v>5683</v>
      </c>
      <c r="E60" s="28" t="str">
        <f>IFERROR(__xludf.DUMMYFUNCTION("GOOGLETRANSLATE(D60,""zh-CN"",""vi"")"),"Chính phủ đã thực hiện các biện pháp để đảm bảo an toàn cho người dân.")</f>
        <v>Chính phủ đã thực hiện các biện pháp để đảm bảo an toàn cho người dân.</v>
      </c>
      <c r="F60" s="119" t="s">
        <v>5680</v>
      </c>
      <c r="G60" s="36" t="b">
        <f t="shared" si="1"/>
        <v>1</v>
      </c>
      <c r="H60" s="35" t="b">
        <v>1</v>
      </c>
      <c r="I60" s="35" t="b">
        <v>0</v>
      </c>
      <c r="J60" s="35" t="b">
        <v>0</v>
      </c>
      <c r="K60" s="35" t="b">
        <v>0</v>
      </c>
      <c r="L60" s="35" t="b">
        <v>0</v>
      </c>
      <c r="M60" s="35" t="b">
        <v>0</v>
      </c>
      <c r="N60" s="35" t="b">
        <v>0</v>
      </c>
      <c r="O60" s="35" t="b">
        <v>0</v>
      </c>
      <c r="P60" s="35" t="b">
        <v>0</v>
      </c>
      <c r="Q60" s="35" t="b">
        <v>0</v>
      </c>
      <c r="R60" s="14"/>
      <c r="S60" s="14"/>
      <c r="T60" s="14"/>
      <c r="U60" s="14"/>
      <c r="V60" s="14"/>
      <c r="W60" s="14"/>
    </row>
    <row r="61" ht="31.5" customHeight="1">
      <c r="A61" s="109" t="s">
        <v>5688</v>
      </c>
      <c r="B61" s="110" t="s">
        <v>5689</v>
      </c>
      <c r="C61" s="111" t="s">
        <v>5690</v>
      </c>
      <c r="D61" s="28" t="s">
        <v>5691</v>
      </c>
      <c r="E61" s="28" t="str">
        <f>IFERROR(__xludf.DUMMYFUNCTION("GOOGLETRANSLATE(D61,""zh-CN"",""vi"")"),"Hãy giữ gìn sức khỏe nhé.")</f>
        <v>Hãy giữ gìn sức khỏe nhé.</v>
      </c>
      <c r="F61" s="119" t="s">
        <v>5688</v>
      </c>
      <c r="G61" s="36" t="b">
        <f t="shared" si="1"/>
        <v>1</v>
      </c>
      <c r="H61" s="35" t="b">
        <v>1</v>
      </c>
      <c r="I61" s="35" t="b">
        <v>0</v>
      </c>
      <c r="J61" s="35" t="b">
        <v>0</v>
      </c>
      <c r="K61" s="35" t="b">
        <v>0</v>
      </c>
      <c r="L61" s="35" t="b">
        <v>0</v>
      </c>
      <c r="M61" s="35" t="b">
        <v>0</v>
      </c>
      <c r="N61" s="35" t="b">
        <v>0</v>
      </c>
      <c r="O61" s="35" t="b">
        <v>0</v>
      </c>
      <c r="P61" s="35" t="b">
        <v>0</v>
      </c>
      <c r="Q61" s="35" t="b">
        <v>0</v>
      </c>
      <c r="R61" s="14"/>
      <c r="S61" s="14"/>
      <c r="T61" s="14"/>
      <c r="U61" s="14"/>
      <c r="V61" s="14"/>
      <c r="W61" s="14"/>
    </row>
    <row r="62" ht="31.5" customHeight="1">
      <c r="A62" s="109" t="s">
        <v>5696</v>
      </c>
      <c r="B62" s="110" t="s">
        <v>5697</v>
      </c>
      <c r="C62" s="111" t="s">
        <v>5698</v>
      </c>
      <c r="D62" s="28" t="s">
        <v>5699</v>
      </c>
      <c r="E62" s="28" t="str">
        <f>IFERROR(__xludf.DUMMYFUNCTION("GOOGLETRANSLATE(D62,""zh-CN"",""vi"")"),"Anh ta thề sẽ trả thù.")</f>
        <v>Anh ta thề sẽ trả thù.</v>
      </c>
      <c r="F62" s="119" t="s">
        <v>5696</v>
      </c>
      <c r="G62" s="36" t="b">
        <f t="shared" si="1"/>
        <v>1</v>
      </c>
      <c r="H62" s="35" t="b">
        <v>1</v>
      </c>
      <c r="I62" s="35" t="b">
        <v>0</v>
      </c>
      <c r="J62" s="35" t="b">
        <v>0</v>
      </c>
      <c r="K62" s="35" t="b">
        <v>0</v>
      </c>
      <c r="L62" s="35" t="b">
        <v>0</v>
      </c>
      <c r="M62" s="35" t="b">
        <v>0</v>
      </c>
      <c r="N62" s="35" t="b">
        <v>0</v>
      </c>
      <c r="O62" s="35" t="b">
        <v>0</v>
      </c>
      <c r="P62" s="35" t="b">
        <v>0</v>
      </c>
      <c r="Q62" s="35" t="b">
        <v>0</v>
      </c>
      <c r="R62" s="14"/>
      <c r="S62" s="14"/>
      <c r="T62" s="14"/>
      <c r="U62" s="14"/>
      <c r="V62" s="14"/>
      <c r="W62" s="14"/>
    </row>
    <row r="63" ht="31.5" customHeight="1">
      <c r="A63" s="109" t="s">
        <v>5704</v>
      </c>
      <c r="B63" s="110" t="s">
        <v>5697</v>
      </c>
      <c r="C63" s="111" t="s">
        <v>5705</v>
      </c>
      <c r="D63" s="28" t="s">
        <v>5706</v>
      </c>
      <c r="E63" s="28" t="str">
        <f>IFERROR(__xludf.DUMMYFUNCTION("GOOGLETRANSLATE(D63,""zh-CN"",""vi"")"),"Công việc của anh ấy có mức lương rất cao.")</f>
        <v>Công việc của anh ấy có mức lương rất cao.</v>
      </c>
      <c r="F63" s="119" t="s">
        <v>5704</v>
      </c>
      <c r="G63" s="36" t="b">
        <f t="shared" si="1"/>
        <v>1</v>
      </c>
      <c r="H63" s="35" t="b">
        <v>1</v>
      </c>
      <c r="I63" s="35" t="b">
        <v>0</v>
      </c>
      <c r="J63" s="35" t="b">
        <v>0</v>
      </c>
      <c r="K63" s="35" t="b">
        <v>0</v>
      </c>
      <c r="L63" s="35" t="b">
        <v>0</v>
      </c>
      <c r="M63" s="35" t="b">
        <v>0</v>
      </c>
      <c r="N63" s="35" t="b">
        <v>0</v>
      </c>
      <c r="O63" s="35" t="b">
        <v>0</v>
      </c>
      <c r="P63" s="35" t="b">
        <v>0</v>
      </c>
      <c r="Q63" s="35" t="b">
        <v>0</v>
      </c>
      <c r="R63" s="14"/>
      <c r="S63" s="14"/>
      <c r="T63" s="14"/>
      <c r="U63" s="14"/>
      <c r="V63" s="14"/>
      <c r="W63" s="14"/>
    </row>
    <row r="64" ht="31.5" customHeight="1">
      <c r="A64" s="109" t="s">
        <v>5711</v>
      </c>
      <c r="B64" s="110" t="s">
        <v>5712</v>
      </c>
      <c r="C64" s="111" t="s">
        <v>5713</v>
      </c>
      <c r="D64" s="28" t="s">
        <v>5714</v>
      </c>
      <c r="E64" s="28" t="str">
        <f>IFERROR(__xludf.DUMMYFUNCTION("GOOGLETRANSLATE(D64,""zh-CN"",""vi"")"),"Tôi sẽ cố gắng hết sức để đền đáp sự giúp đỡ của bạn.")</f>
        <v>Tôi sẽ cố gắng hết sức để đền đáp sự giúp đỡ của bạn.</v>
      </c>
      <c r="F64" s="119" t="s">
        <v>5711</v>
      </c>
      <c r="G64" s="36" t="b">
        <f t="shared" si="1"/>
        <v>1</v>
      </c>
      <c r="H64" s="35" t="b">
        <v>1</v>
      </c>
      <c r="I64" s="35" t="b">
        <v>0</v>
      </c>
      <c r="J64" s="35" t="b">
        <v>0</v>
      </c>
      <c r="K64" s="35" t="b">
        <v>0</v>
      </c>
      <c r="L64" s="35" t="b">
        <v>0</v>
      </c>
      <c r="M64" s="35" t="b">
        <v>0</v>
      </c>
      <c r="N64" s="35" t="b">
        <v>0</v>
      </c>
      <c r="O64" s="35" t="b">
        <v>0</v>
      </c>
      <c r="P64" s="35" t="b">
        <v>0</v>
      </c>
      <c r="Q64" s="35" t="b">
        <v>0</v>
      </c>
      <c r="R64" s="14"/>
      <c r="S64" s="14"/>
      <c r="T64" s="14"/>
      <c r="U64" s="14"/>
      <c r="V64" s="14"/>
      <c r="W64" s="14"/>
    </row>
    <row r="65" ht="31.5" customHeight="1">
      <c r="A65" s="109" t="s">
        <v>4538</v>
      </c>
      <c r="B65" s="110" t="s">
        <v>4540</v>
      </c>
      <c r="C65" s="111" t="s">
        <v>5719</v>
      </c>
      <c r="D65" s="28" t="s">
        <v>5720</v>
      </c>
      <c r="E65" s="28" t="str">
        <f>IFERROR(__xludf.DUMMYFUNCTION("GOOGLETRANSLATE(D65,""zh-CN"",""vi"")"),"Vui lòng có mặt lúc 9:00 sáng mai để làm nhiệm vụ.")</f>
        <v>Vui lòng có mặt lúc 9:00 sáng mai để làm nhiệm vụ.</v>
      </c>
      <c r="F65" s="119" t="s">
        <v>4538</v>
      </c>
      <c r="G65" s="36" t="b">
        <f t="shared" si="1"/>
        <v>1</v>
      </c>
      <c r="H65" s="35" t="b">
        <v>1</v>
      </c>
      <c r="I65" s="35" t="b">
        <v>0</v>
      </c>
      <c r="J65" s="35" t="b">
        <v>0</v>
      </c>
      <c r="K65" s="35" t="b">
        <v>0</v>
      </c>
      <c r="L65" s="35" t="b">
        <v>0</v>
      </c>
      <c r="M65" s="35" t="b">
        <v>0</v>
      </c>
      <c r="N65" s="35" t="b">
        <v>0</v>
      </c>
      <c r="O65" s="35" t="b">
        <v>0</v>
      </c>
      <c r="P65" s="35" t="b">
        <v>0</v>
      </c>
      <c r="Q65" s="35" t="b">
        <v>0</v>
      </c>
      <c r="R65" s="14"/>
      <c r="S65" s="14"/>
      <c r="T65" s="14"/>
      <c r="U65" s="14"/>
      <c r="V65" s="14"/>
      <c r="W65" s="14"/>
    </row>
    <row r="66" ht="31.5" customHeight="1">
      <c r="A66" s="109" t="s">
        <v>5725</v>
      </c>
      <c r="B66" s="110" t="s">
        <v>5726</v>
      </c>
      <c r="C66" s="111" t="s">
        <v>5727</v>
      </c>
      <c r="D66" s="28" t="s">
        <v>5728</v>
      </c>
      <c r="E66" s="28" t="str">
        <f>IFERROR(__xludf.DUMMYFUNCTION("GOOGLETRANSLATE(D66,""zh-CN"",""vi"")"),"Núi lửa đột nhiên phun trào.")</f>
        <v>Núi lửa đột nhiên phun trào.</v>
      </c>
      <c r="F66" s="119" t="s">
        <v>5725</v>
      </c>
      <c r="G66" s="36" t="b">
        <f t="shared" si="1"/>
        <v>1</v>
      </c>
      <c r="H66" s="35" t="b">
        <v>1</v>
      </c>
      <c r="I66" s="35" t="b">
        <v>0</v>
      </c>
      <c r="J66" s="35" t="b">
        <v>0</v>
      </c>
      <c r="K66" s="35" t="b">
        <v>0</v>
      </c>
      <c r="L66" s="35" t="b">
        <v>0</v>
      </c>
      <c r="M66" s="35" t="b">
        <v>0</v>
      </c>
      <c r="N66" s="35" t="b">
        <v>0</v>
      </c>
      <c r="O66" s="35" t="b">
        <v>0</v>
      </c>
      <c r="P66" s="35" t="b">
        <v>0</v>
      </c>
      <c r="Q66" s="35" t="b">
        <v>0</v>
      </c>
      <c r="R66" s="14"/>
      <c r="S66" s="14"/>
      <c r="T66" s="14"/>
      <c r="U66" s="14"/>
      <c r="V66" s="14"/>
      <c r="W66" s="14"/>
    </row>
    <row r="67" ht="31.5" customHeight="1">
      <c r="A67" s="109" t="s">
        <v>5733</v>
      </c>
      <c r="B67" s="110" t="s">
        <v>5734</v>
      </c>
      <c r="C67" s="111" t="s">
        <v>5698</v>
      </c>
      <c r="D67" s="28" t="s">
        <v>5735</v>
      </c>
      <c r="E67" s="28" t="str">
        <f>IFERROR(__xludf.DUMMYFUNCTION("GOOGLETRANSLATE(D67,""zh-CN"",""vi"")"),"Anh ta đã bị các đồng nghiệp trả thù.")</f>
        <v>Anh ta đã bị các đồng nghiệp trả thù.</v>
      </c>
      <c r="F67" s="119" t="s">
        <v>5733</v>
      </c>
      <c r="G67" s="36" t="b">
        <f t="shared" si="1"/>
        <v>1</v>
      </c>
      <c r="H67" s="35" t="b">
        <v>1</v>
      </c>
      <c r="I67" s="35" t="b">
        <v>0</v>
      </c>
      <c r="J67" s="35" t="b">
        <v>0</v>
      </c>
      <c r="K67" s="35" t="b">
        <v>0</v>
      </c>
      <c r="L67" s="35" t="b">
        <v>0</v>
      </c>
      <c r="M67" s="35" t="b">
        <v>0</v>
      </c>
      <c r="N67" s="35" t="b">
        <v>0</v>
      </c>
      <c r="O67" s="35" t="b">
        <v>0</v>
      </c>
      <c r="P67" s="35" t="b">
        <v>0</v>
      </c>
      <c r="Q67" s="35" t="b">
        <v>0</v>
      </c>
      <c r="R67" s="14"/>
      <c r="S67" s="14"/>
      <c r="T67" s="14"/>
      <c r="U67" s="14"/>
      <c r="V67" s="14"/>
      <c r="W67" s="14"/>
    </row>
    <row r="68" ht="31.5" customHeight="1">
      <c r="A68" s="109" t="s">
        <v>5740</v>
      </c>
      <c r="B68" s="110" t="s">
        <v>5734</v>
      </c>
      <c r="C68" s="111" t="s">
        <v>5741</v>
      </c>
      <c r="D68" s="28" t="s">
        <v>5742</v>
      </c>
      <c r="E68" s="28" t="str">
        <f>IFERROR(__xludf.DUMMYFUNCTION("GOOGLETRANSLATE(D68,""zh-CN"",""vi"")"),"Ông ấy đã có những hoài bão lớn từ khi còn trẻ.")</f>
        <v>Ông ấy đã có những hoài bão lớn từ khi còn trẻ.</v>
      </c>
      <c r="F68" s="119" t="s">
        <v>5740</v>
      </c>
      <c r="G68" s="36" t="b">
        <f t="shared" si="1"/>
        <v>1</v>
      </c>
      <c r="H68" s="35" t="b">
        <v>1</v>
      </c>
      <c r="I68" s="35" t="b">
        <v>0</v>
      </c>
      <c r="J68" s="35" t="b">
        <v>0</v>
      </c>
      <c r="K68" s="35" t="b">
        <v>0</v>
      </c>
      <c r="L68" s="35" t="b">
        <v>0</v>
      </c>
      <c r="M68" s="35" t="b">
        <v>0</v>
      </c>
      <c r="N68" s="35" t="b">
        <v>0</v>
      </c>
      <c r="O68" s="35" t="b">
        <v>0</v>
      </c>
      <c r="P68" s="35" t="b">
        <v>0</v>
      </c>
      <c r="Q68" s="35" t="b">
        <v>0</v>
      </c>
      <c r="R68" s="14"/>
      <c r="S68" s="14"/>
      <c r="T68" s="14"/>
      <c r="U68" s="14"/>
      <c r="V68" s="14"/>
      <c r="W68" s="14"/>
    </row>
    <row r="69" ht="31.5" customHeight="1">
      <c r="A69" s="109" t="s">
        <v>5747</v>
      </c>
      <c r="B69" s="110" t="s">
        <v>5748</v>
      </c>
      <c r="C69" s="111" t="s">
        <v>5749</v>
      </c>
      <c r="D69" s="28" t="s">
        <v>5750</v>
      </c>
      <c r="E69" s="28" t="str">
        <f>IFERROR(__xludf.DUMMYFUNCTION("GOOGLETRANSLATE(D69,""zh-CN"",""vi"")"),"Vụ việc này đã được giới truyền thông phơi bày.")</f>
        <v>Vụ việc này đã được giới truyền thông phơi bày.</v>
      </c>
      <c r="F69" s="119" t="s">
        <v>5747</v>
      </c>
      <c r="G69" s="36" t="b">
        <f t="shared" si="1"/>
        <v>1</v>
      </c>
      <c r="H69" s="35" t="b">
        <v>1</v>
      </c>
      <c r="I69" s="35" t="b">
        <v>0</v>
      </c>
      <c r="J69" s="35" t="b">
        <v>0</v>
      </c>
      <c r="K69" s="35" t="b">
        <v>0</v>
      </c>
      <c r="L69" s="35" t="b">
        <v>0</v>
      </c>
      <c r="M69" s="35" t="b">
        <v>0</v>
      </c>
      <c r="N69" s="35" t="b">
        <v>0</v>
      </c>
      <c r="O69" s="35" t="b">
        <v>0</v>
      </c>
      <c r="P69" s="35" t="b">
        <v>0</v>
      </c>
      <c r="Q69" s="35" t="b">
        <v>0</v>
      </c>
      <c r="R69" s="14"/>
      <c r="S69" s="14"/>
      <c r="T69" s="14"/>
      <c r="U69" s="14"/>
      <c r="V69" s="14"/>
      <c r="W69" s="14"/>
    </row>
    <row r="70" ht="31.5" customHeight="1">
      <c r="A70" s="109" t="s">
        <v>5754</v>
      </c>
      <c r="B70" s="110" t="s">
        <v>5755</v>
      </c>
      <c r="C70" s="111" t="s">
        <v>5756</v>
      </c>
      <c r="D70" s="28" t="s">
        <v>5757</v>
      </c>
      <c r="E70" s="28" t="str">
        <f>IFERROR(__xludf.DUMMYFUNCTION("GOOGLETRANSLATE(D70,""zh-CN"",""vi"")"),"Ông ta dùng bạo lực để giải quyết vấn đề.")</f>
        <v>Ông ta dùng bạo lực để giải quyết vấn đề.</v>
      </c>
      <c r="F70" s="119" t="s">
        <v>5754</v>
      </c>
      <c r="G70" s="36" t="b">
        <f t="shared" si="1"/>
        <v>1</v>
      </c>
      <c r="H70" s="35" t="b">
        <v>1</v>
      </c>
      <c r="I70" s="35" t="b">
        <v>0</v>
      </c>
      <c r="J70" s="35" t="b">
        <v>0</v>
      </c>
      <c r="K70" s="35" t="b">
        <v>0</v>
      </c>
      <c r="L70" s="35" t="b">
        <v>0</v>
      </c>
      <c r="M70" s="35" t="b">
        <v>0</v>
      </c>
      <c r="N70" s="35" t="b">
        <v>0</v>
      </c>
      <c r="O70" s="35" t="b">
        <v>0</v>
      </c>
      <c r="P70" s="35" t="b">
        <v>0</v>
      </c>
      <c r="Q70" s="35" t="b">
        <v>0</v>
      </c>
      <c r="R70" s="14"/>
      <c r="S70" s="14"/>
      <c r="T70" s="14"/>
      <c r="U70" s="14"/>
      <c r="V70" s="14"/>
      <c r="W70" s="14"/>
    </row>
    <row r="71" ht="31.5" customHeight="1">
      <c r="A71" s="109" t="s">
        <v>5762</v>
      </c>
      <c r="B71" s="110" t="s">
        <v>5763</v>
      </c>
      <c r="C71" s="111" t="s">
        <v>5764</v>
      </c>
      <c r="D71" s="28" t="s">
        <v>5765</v>
      </c>
      <c r="E71" s="28" t="str">
        <f>IFERROR(__xludf.DUMMYFUNCTION("GOOGLETRANSLATE(D71,""zh-CN"",""vi"")"),"Lời nói của ông ấy đã hé lộ sự thật.")</f>
        <v>Lời nói của ông ấy đã hé lộ sự thật.</v>
      </c>
      <c r="F71" s="119" t="s">
        <v>5762</v>
      </c>
      <c r="G71" s="36" t="b">
        <f t="shared" si="1"/>
        <v>1</v>
      </c>
      <c r="H71" s="35" t="b">
        <v>1</v>
      </c>
      <c r="I71" s="35" t="b">
        <v>0</v>
      </c>
      <c r="J71" s="35" t="b">
        <v>0</v>
      </c>
      <c r="K71" s="35" t="b">
        <v>0</v>
      </c>
      <c r="L71" s="35" t="b">
        <v>0</v>
      </c>
      <c r="M71" s="35" t="b">
        <v>0</v>
      </c>
      <c r="N71" s="35" t="b">
        <v>0</v>
      </c>
      <c r="O71" s="35" t="b">
        <v>0</v>
      </c>
      <c r="P71" s="35" t="b">
        <v>0</v>
      </c>
      <c r="Q71" s="35" t="b">
        <v>0</v>
      </c>
      <c r="R71" s="14"/>
      <c r="S71" s="14"/>
      <c r="T71" s="14"/>
      <c r="U71" s="14"/>
      <c r="V71" s="14"/>
      <c r="W71" s="14"/>
    </row>
    <row r="72" ht="31.5" customHeight="1">
      <c r="A72" s="109" t="s">
        <v>4565</v>
      </c>
      <c r="B72" s="110" t="s">
        <v>4567</v>
      </c>
      <c r="C72" s="111" t="s">
        <v>4569</v>
      </c>
      <c r="D72" s="28" t="s">
        <v>4570</v>
      </c>
      <c r="E72" s="28" t="str">
        <f>IFERROR(__xludf.DUMMYFUNCTION("GOOGLETRANSLATE(D72,""zh-CN"",""vi"")"),"Anh ấy làm việc tại một tờ báo.")</f>
        <v>Anh ấy làm việc tại một tờ báo.</v>
      </c>
      <c r="F72" s="119" t="s">
        <v>4565</v>
      </c>
      <c r="G72" s="36" t="b">
        <f t="shared" si="1"/>
        <v>1</v>
      </c>
      <c r="H72" s="35" t="b">
        <v>1</v>
      </c>
      <c r="I72" s="35" t="b">
        <v>0</v>
      </c>
      <c r="J72" s="35" t="b">
        <v>0</v>
      </c>
      <c r="K72" s="35" t="b">
        <v>0</v>
      </c>
      <c r="L72" s="35" t="b">
        <v>0</v>
      </c>
      <c r="M72" s="35" t="b">
        <v>0</v>
      </c>
      <c r="N72" s="35" t="b">
        <v>0</v>
      </c>
      <c r="O72" s="35" t="b">
        <v>0</v>
      </c>
      <c r="P72" s="35" t="b">
        <v>0</v>
      </c>
      <c r="Q72" s="35" t="b">
        <v>0</v>
      </c>
      <c r="R72" s="14"/>
      <c r="S72" s="14"/>
      <c r="T72" s="14"/>
      <c r="U72" s="14"/>
      <c r="V72" s="14"/>
      <c r="W72" s="14"/>
    </row>
    <row r="73" ht="31.5" customHeight="1">
      <c r="A73" s="109" t="s">
        <v>5774</v>
      </c>
      <c r="B73" s="110" t="s">
        <v>5775</v>
      </c>
      <c r="C73" s="111" t="s">
        <v>5776</v>
      </c>
      <c r="D73" s="28" t="s">
        <v>5777</v>
      </c>
      <c r="E73" s="28" t="str">
        <f>IFERROR(__xludf.DUMMYFUNCTION("GOOGLETRANSLATE(D73,""zh-CN"",""vi"")"),"Các khoản chi phí này sẽ được hoàn trả.")</f>
        <v>Các khoản chi phí này sẽ được hoàn trả.</v>
      </c>
      <c r="F73" s="119" t="s">
        <v>5774</v>
      </c>
      <c r="G73" s="36" t="b">
        <f t="shared" si="1"/>
        <v>1</v>
      </c>
      <c r="H73" s="35" t="b">
        <v>1</v>
      </c>
      <c r="I73" s="35" t="b">
        <v>0</v>
      </c>
      <c r="J73" s="35" t="b">
        <v>0</v>
      </c>
      <c r="K73" s="35" t="b">
        <v>0</v>
      </c>
      <c r="L73" s="35" t="b">
        <v>0</v>
      </c>
      <c r="M73" s="35" t="b">
        <v>0</v>
      </c>
      <c r="N73" s="35" t="b">
        <v>0</v>
      </c>
      <c r="O73" s="35" t="b">
        <v>0</v>
      </c>
      <c r="P73" s="35" t="b">
        <v>0</v>
      </c>
      <c r="Q73" s="35" t="b">
        <v>0</v>
      </c>
      <c r="R73" s="14"/>
      <c r="S73" s="14"/>
      <c r="T73" s="14"/>
      <c r="U73" s="14"/>
      <c r="V73" s="14"/>
      <c r="W73" s="14"/>
    </row>
    <row r="74" ht="31.5" customHeight="1">
      <c r="A74" s="109" t="s">
        <v>4572</v>
      </c>
      <c r="B74" s="110" t="s">
        <v>4573</v>
      </c>
      <c r="C74" s="111" t="s">
        <v>5781</v>
      </c>
      <c r="D74" s="28" t="s">
        <v>5783</v>
      </c>
      <c r="E74" s="28" t="str">
        <f>IFERROR(__xludf.DUMMYFUNCTION("GOOGLETRANSLATE(D74,""zh-CN"",""vi"")"),"Ông ta lúc nào cũng thích than phiền về cuộc sống.")</f>
        <v>Ông ta lúc nào cũng thích than phiền về cuộc sống.</v>
      </c>
      <c r="F74" s="119" t="s">
        <v>4572</v>
      </c>
      <c r="G74" s="36" t="b">
        <f t="shared" si="1"/>
        <v>1</v>
      </c>
      <c r="H74" s="35" t="b">
        <v>1</v>
      </c>
      <c r="I74" s="35" t="b">
        <v>0</v>
      </c>
      <c r="J74" s="35" t="b">
        <v>0</v>
      </c>
      <c r="K74" s="35" t="b">
        <v>0</v>
      </c>
      <c r="L74" s="35" t="b">
        <v>0</v>
      </c>
      <c r="M74" s="35" t="b">
        <v>0</v>
      </c>
      <c r="N74" s="35" t="b">
        <v>0</v>
      </c>
      <c r="O74" s="35" t="b">
        <v>0</v>
      </c>
      <c r="P74" s="35" t="b">
        <v>0</v>
      </c>
      <c r="Q74" s="35" t="b">
        <v>0</v>
      </c>
      <c r="R74" s="14"/>
      <c r="S74" s="14"/>
      <c r="T74" s="14"/>
      <c r="U74" s="14"/>
      <c r="V74" s="14"/>
      <c r="W74" s="14"/>
    </row>
    <row r="75" ht="31.5" customHeight="1">
      <c r="A75" s="109" t="s">
        <v>5787</v>
      </c>
      <c r="B75" s="110" t="s">
        <v>5788</v>
      </c>
      <c r="C75" s="111" t="s">
        <v>5789</v>
      </c>
      <c r="D75" s="28" t="s">
        <v>5791</v>
      </c>
      <c r="E75" s="28" t="str">
        <f>IFERROR(__xludf.DUMMYFUNCTION("GOOGLETRANSLATE(D75,""zh-CN"",""vi"")"),"Một vụ nổ đã xảy ra tại nhà máy.")</f>
        <v>Một vụ nổ đã xảy ra tại nhà máy.</v>
      </c>
      <c r="F75" s="119" t="s">
        <v>5787</v>
      </c>
      <c r="G75" s="36" t="b">
        <f t="shared" si="1"/>
        <v>1</v>
      </c>
      <c r="H75" s="35" t="b">
        <v>1</v>
      </c>
      <c r="I75" s="35" t="b">
        <v>0</v>
      </c>
      <c r="J75" s="35" t="b">
        <v>0</v>
      </c>
      <c r="K75" s="35" t="b">
        <v>0</v>
      </c>
      <c r="L75" s="35" t="b">
        <v>0</v>
      </c>
      <c r="M75" s="35" t="b">
        <v>0</v>
      </c>
      <c r="N75" s="35" t="b">
        <v>0</v>
      </c>
      <c r="O75" s="35" t="b">
        <v>0</v>
      </c>
      <c r="P75" s="35" t="b">
        <v>0</v>
      </c>
      <c r="Q75" s="35" t="b">
        <v>0</v>
      </c>
      <c r="R75" s="14"/>
      <c r="S75" s="14"/>
      <c r="T75" s="14"/>
      <c r="U75" s="14"/>
      <c r="V75" s="14"/>
      <c r="W75" s="14"/>
    </row>
    <row r="76" ht="31.5" customHeight="1">
      <c r="A76" s="109" t="s">
        <v>5795</v>
      </c>
      <c r="B76" s="110" t="s">
        <v>5796</v>
      </c>
      <c r="C76" s="111" t="s">
        <v>5797</v>
      </c>
      <c r="D76" s="28" t="s">
        <v>5799</v>
      </c>
      <c r="E76" s="28" t="str">
        <f>IFERROR(__xludf.DUMMYFUNCTION("GOOGLETRANSLATE(D76,""zh-CN"",""vi"")"),"Anh ấy cảm thấy vô cùng buồn bã.")</f>
        <v>Anh ấy cảm thấy vô cùng buồn bã.</v>
      </c>
      <c r="F76" s="119" t="s">
        <v>5795</v>
      </c>
      <c r="G76" s="36" t="b">
        <f t="shared" si="1"/>
        <v>1</v>
      </c>
      <c r="H76" s="35" t="b">
        <v>1</v>
      </c>
      <c r="I76" s="35" t="b">
        <v>0</v>
      </c>
      <c r="J76" s="35" t="b">
        <v>0</v>
      </c>
      <c r="K76" s="35" t="b">
        <v>0</v>
      </c>
      <c r="L76" s="35" t="b">
        <v>0</v>
      </c>
      <c r="M76" s="35" t="b">
        <v>0</v>
      </c>
      <c r="N76" s="35" t="b">
        <v>0</v>
      </c>
      <c r="O76" s="35" t="b">
        <v>0</v>
      </c>
      <c r="P76" s="35" t="b">
        <v>0</v>
      </c>
      <c r="Q76" s="35" t="b">
        <v>0</v>
      </c>
      <c r="R76" s="14"/>
      <c r="S76" s="14"/>
      <c r="T76" s="14"/>
      <c r="U76" s="14"/>
      <c r="V76" s="14"/>
      <c r="W76" s="14"/>
    </row>
    <row r="77" ht="31.5" customHeight="1">
      <c r="A77" s="109" t="s">
        <v>5803</v>
      </c>
      <c r="B77" s="110" t="s">
        <v>5805</v>
      </c>
      <c r="C77" s="111" t="s">
        <v>5807</v>
      </c>
      <c r="D77" s="28" t="s">
        <v>5809</v>
      </c>
      <c r="E77" s="28" t="str">
        <f>IFERROR(__xludf.DUMMYFUNCTION("GOOGLETRANSLATE(D77,""zh-CN"",""vi"")"),"Hành vi của hắn ta thật đáng khinh bỉ.")</f>
        <v>Hành vi của hắn ta thật đáng khinh bỉ.</v>
      </c>
      <c r="F77" s="119" t="s">
        <v>5803</v>
      </c>
      <c r="G77" s="36" t="b">
        <f t="shared" si="1"/>
        <v>1</v>
      </c>
      <c r="H77" s="35" t="b">
        <v>1</v>
      </c>
      <c r="I77" s="35" t="b">
        <v>0</v>
      </c>
      <c r="J77" s="35" t="b">
        <v>0</v>
      </c>
      <c r="K77" s="35" t="b">
        <v>0</v>
      </c>
      <c r="L77" s="35" t="b">
        <v>0</v>
      </c>
      <c r="M77" s="35" t="b">
        <v>0</v>
      </c>
      <c r="N77" s="35" t="b">
        <v>0</v>
      </c>
      <c r="O77" s="35" t="b">
        <v>0</v>
      </c>
      <c r="P77" s="35" t="b">
        <v>0</v>
      </c>
      <c r="Q77" s="35" t="b">
        <v>0</v>
      </c>
      <c r="R77" s="14"/>
      <c r="S77" s="14"/>
      <c r="T77" s="14"/>
      <c r="U77" s="14"/>
      <c r="V77" s="14"/>
      <c r="W77" s="14"/>
    </row>
    <row r="78" ht="31.5" customHeight="1">
      <c r="A78" s="109" t="s">
        <v>5813</v>
      </c>
      <c r="B78" s="110" t="s">
        <v>5815</v>
      </c>
      <c r="C78" s="111" t="s">
        <v>5817</v>
      </c>
      <c r="D78" s="28" t="s">
        <v>5818</v>
      </c>
      <c r="E78" s="28" t="str">
        <f>IFERROR(__xludf.DUMMYFUNCTION("GOOGLETRANSLATE(D78,""zh-CN"",""vi"")"),"Câu chuyện này thật bi thảm.")</f>
        <v>Câu chuyện này thật bi thảm.</v>
      </c>
      <c r="F78" s="119" t="s">
        <v>5813</v>
      </c>
      <c r="G78" s="36" t="b">
        <f t="shared" si="1"/>
        <v>1</v>
      </c>
      <c r="H78" s="35" t="b">
        <v>1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14"/>
      <c r="S78" s="14"/>
      <c r="T78" s="14"/>
      <c r="U78" s="14"/>
      <c r="V78" s="14"/>
      <c r="W78" s="14"/>
    </row>
    <row r="79" ht="31.5" customHeight="1">
      <c r="A79" s="109" t="s">
        <v>5820</v>
      </c>
      <c r="B79" s="110" t="s">
        <v>5822</v>
      </c>
      <c r="C79" s="111" t="s">
        <v>5824</v>
      </c>
      <c r="D79" s="28" t="s">
        <v>5825</v>
      </c>
      <c r="E79" s="28" t="str">
        <f>IFERROR(__xludf.DUMMYFUNCTION("GOOGLETRANSLATE(D79,""zh-CN"",""vi"")"),"Tôi muốn tham gia một chuyến thám hiểm đến Bắc Cực.")</f>
        <v>Tôi muốn tham gia một chuyến thám hiểm đến Bắc Cực.</v>
      </c>
      <c r="F79" s="119" t="s">
        <v>5820</v>
      </c>
      <c r="G79" s="36" t="b">
        <f t="shared" si="1"/>
        <v>1</v>
      </c>
      <c r="H79" s="35" t="b">
        <v>1</v>
      </c>
      <c r="I79" s="35" t="b">
        <v>0</v>
      </c>
      <c r="J79" s="35" t="b">
        <v>0</v>
      </c>
      <c r="K79" s="35" t="b">
        <v>0</v>
      </c>
      <c r="L79" s="35" t="b">
        <v>0</v>
      </c>
      <c r="M79" s="35" t="b">
        <v>0</v>
      </c>
      <c r="N79" s="35" t="b">
        <v>0</v>
      </c>
      <c r="O79" s="35" t="b">
        <v>0</v>
      </c>
      <c r="P79" s="35" t="b">
        <v>0</v>
      </c>
      <c r="Q79" s="35" t="b">
        <v>0</v>
      </c>
      <c r="R79" s="14"/>
      <c r="S79" s="14"/>
      <c r="T79" s="14"/>
      <c r="U79" s="14"/>
      <c r="V79" s="14"/>
      <c r="W79" s="14"/>
    </row>
    <row r="80" ht="31.5" customHeight="1">
      <c r="A80" s="109" t="s">
        <v>5826</v>
      </c>
      <c r="B80" s="110" t="s">
        <v>5828</v>
      </c>
      <c r="C80" s="111" t="s">
        <v>5829</v>
      </c>
      <c r="D80" s="28" t="s">
        <v>5831</v>
      </c>
      <c r="E80" s="28" t="str">
        <f>IFERROR(__xludf.DUMMYFUNCTION("GOOGLETRANSLATE(D80,""zh-CN"",""vi"")"),"Ông ta tỏ ra rất thụ động trong suốt cuộc họp.")</f>
        <v>Ông ta tỏ ra rất thụ động trong suốt cuộc họp.</v>
      </c>
      <c r="F80" s="119" t="s">
        <v>5826</v>
      </c>
      <c r="G80" s="36" t="b">
        <f t="shared" si="1"/>
        <v>1</v>
      </c>
      <c r="H80" s="35" t="b">
        <v>1</v>
      </c>
      <c r="I80" s="35" t="b">
        <v>0</v>
      </c>
      <c r="J80" s="35" t="b">
        <v>0</v>
      </c>
      <c r="K80" s="35" t="b">
        <v>0</v>
      </c>
      <c r="L80" s="35" t="b">
        <v>0</v>
      </c>
      <c r="M80" s="35" t="b">
        <v>0</v>
      </c>
      <c r="N80" s="35" t="b">
        <v>0</v>
      </c>
      <c r="O80" s="35" t="b">
        <v>0</v>
      </c>
      <c r="P80" s="35" t="b">
        <v>0</v>
      </c>
      <c r="Q80" s="35" t="b">
        <v>0</v>
      </c>
      <c r="R80" s="14"/>
      <c r="S80" s="14"/>
      <c r="T80" s="14"/>
      <c r="U80" s="14"/>
      <c r="V80" s="14"/>
      <c r="W80" s="14"/>
    </row>
    <row r="81" ht="31.5" customHeight="1">
      <c r="A81" s="109" t="s">
        <v>5838</v>
      </c>
      <c r="B81" s="110" t="s">
        <v>5839</v>
      </c>
      <c r="C81" s="111" t="s">
        <v>5840</v>
      </c>
      <c r="D81" s="28" t="s">
        <v>5841</v>
      </c>
      <c r="E81" s="28" t="str">
        <f>IFERROR(__xludf.DUMMYFUNCTION("GOOGLETRANSLATE(D81,""zh-CN"",""vi"")"),"Hãy sao lưu dữ liệu trước, phòng trường hợp cần thiết.")</f>
        <v>Hãy sao lưu dữ liệu trước, phòng trường hợp cần thiết.</v>
      </c>
      <c r="F81" s="119" t="s">
        <v>5838</v>
      </c>
      <c r="G81" s="36" t="b">
        <f t="shared" si="1"/>
        <v>1</v>
      </c>
      <c r="H81" s="35" t="b">
        <v>1</v>
      </c>
      <c r="I81" s="35" t="b">
        <v>0</v>
      </c>
      <c r="J81" s="35" t="b">
        <v>0</v>
      </c>
      <c r="K81" s="35" t="b">
        <v>0</v>
      </c>
      <c r="L81" s="35" t="b">
        <v>0</v>
      </c>
      <c r="M81" s="35" t="b">
        <v>0</v>
      </c>
      <c r="N81" s="35" t="b">
        <v>0</v>
      </c>
      <c r="O81" s="35" t="b">
        <v>0</v>
      </c>
      <c r="P81" s="35" t="b">
        <v>0</v>
      </c>
      <c r="Q81" s="35" t="b">
        <v>0</v>
      </c>
      <c r="R81" s="14"/>
      <c r="S81" s="14"/>
      <c r="T81" s="14"/>
      <c r="U81" s="14"/>
      <c r="V81" s="14"/>
      <c r="W81" s="14"/>
    </row>
    <row r="82" ht="31.5" customHeight="1">
      <c r="A82" s="109" t="s">
        <v>5845</v>
      </c>
      <c r="B82" s="110" t="s">
        <v>5847</v>
      </c>
      <c r="C82" s="111" t="s">
        <v>5848</v>
      </c>
      <c r="D82" s="28" t="s">
        <v>5849</v>
      </c>
      <c r="E82" s="28" t="str">
        <f>IFERROR(__xludf.DUMMYFUNCTION("GOOGLETRANSLATE(D82,""zh-CN"",""vi"")"),"Bị cáo đã tự bào chữa cho mình trước tòa.")</f>
        <v>Bị cáo đã tự bào chữa cho mình trước tòa.</v>
      </c>
      <c r="F82" s="119" t="s">
        <v>5845</v>
      </c>
      <c r="G82" s="36" t="b">
        <f t="shared" si="1"/>
        <v>1</v>
      </c>
      <c r="H82" s="35" t="b">
        <v>1</v>
      </c>
      <c r="I82" s="35" t="b">
        <v>0</v>
      </c>
      <c r="J82" s="35" t="b">
        <v>0</v>
      </c>
      <c r="K82" s="35" t="b">
        <v>0</v>
      </c>
      <c r="L82" s="35" t="b">
        <v>0</v>
      </c>
      <c r="M82" s="35" t="b">
        <v>0</v>
      </c>
      <c r="N82" s="35" t="b">
        <v>0</v>
      </c>
      <c r="O82" s="35" t="b">
        <v>0</v>
      </c>
      <c r="P82" s="35" t="b">
        <v>0</v>
      </c>
      <c r="Q82" s="35" t="b">
        <v>0</v>
      </c>
      <c r="R82" s="14"/>
      <c r="S82" s="14"/>
      <c r="T82" s="14"/>
      <c r="U82" s="14"/>
      <c r="V82" s="14"/>
      <c r="W82" s="14"/>
    </row>
    <row r="83" ht="31.5" customHeight="1">
      <c r="A83" s="109" t="s">
        <v>5852</v>
      </c>
      <c r="B83" s="110" t="s">
        <v>5854</v>
      </c>
      <c r="C83" s="111" t="s">
        <v>5855</v>
      </c>
      <c r="D83" s="28" t="s">
        <v>5857</v>
      </c>
      <c r="E83" s="28" t="str">
        <f>IFERROR(__xludf.DUMMYFUNCTION("GOOGLETRANSLATE(D83,""zh-CN"",""vi"")"),"Trên bãi biển có rất nhiều vỏ sò đẹp.")</f>
        <v>Trên bãi biển có rất nhiều vỏ sò đẹp.</v>
      </c>
      <c r="F83" s="119" t="s">
        <v>5852</v>
      </c>
      <c r="G83" s="36" t="b">
        <f t="shared" si="1"/>
        <v>1</v>
      </c>
      <c r="H83" s="35" t="b">
        <v>1</v>
      </c>
      <c r="I83" s="35" t="b">
        <v>0</v>
      </c>
      <c r="J83" s="35" t="b">
        <v>0</v>
      </c>
      <c r="K83" s="35" t="b">
        <v>0</v>
      </c>
      <c r="L83" s="35" t="b">
        <v>0</v>
      </c>
      <c r="M83" s="35" t="b">
        <v>0</v>
      </c>
      <c r="N83" s="35" t="b">
        <v>0</v>
      </c>
      <c r="O83" s="35" t="b">
        <v>0</v>
      </c>
      <c r="P83" s="35" t="b">
        <v>0</v>
      </c>
      <c r="Q83" s="35" t="b">
        <v>0</v>
      </c>
      <c r="R83" s="14"/>
      <c r="S83" s="14"/>
      <c r="T83" s="14"/>
      <c r="U83" s="14"/>
      <c r="V83" s="14"/>
      <c r="W83" s="14"/>
    </row>
    <row r="84" ht="31.5" customHeight="1">
      <c r="A84" s="109" t="s">
        <v>5860</v>
      </c>
      <c r="B84" s="110" t="s">
        <v>5861</v>
      </c>
      <c r="C84" s="111" t="s">
        <v>5863</v>
      </c>
      <c r="D84" s="28" t="s">
        <v>5865</v>
      </c>
      <c r="E84" s="28" t="str">
        <f>IFERROR(__xludf.DUMMYFUNCTION("GOOGLETRANSLATE(D84,""zh-CN"",""vi"")"),"Anh ta đã phản bội lòng tin của bạn mình.")</f>
        <v>Anh ta đã phản bội lòng tin của bạn mình.</v>
      </c>
      <c r="F84" s="119" t="s">
        <v>5860</v>
      </c>
      <c r="G84" s="36" t="b">
        <f t="shared" si="1"/>
        <v>1</v>
      </c>
      <c r="H84" s="35" t="b">
        <v>1</v>
      </c>
      <c r="I84" s="35" t="b">
        <v>0</v>
      </c>
      <c r="J84" s="35" t="b">
        <v>0</v>
      </c>
      <c r="K84" s="35" t="b">
        <v>0</v>
      </c>
      <c r="L84" s="35" t="b">
        <v>0</v>
      </c>
      <c r="M84" s="35" t="b">
        <v>0</v>
      </c>
      <c r="N84" s="35" t="b">
        <v>0</v>
      </c>
      <c r="O84" s="35" t="b">
        <v>0</v>
      </c>
      <c r="P84" s="35" t="b">
        <v>0</v>
      </c>
      <c r="Q84" s="35" t="b">
        <v>0</v>
      </c>
      <c r="R84" s="14"/>
      <c r="S84" s="14"/>
      <c r="T84" s="14"/>
      <c r="U84" s="14"/>
      <c r="V84" s="14"/>
      <c r="W84" s="14"/>
    </row>
    <row r="85" ht="31.5" customHeight="1">
      <c r="A85" s="109" t="s">
        <v>5866</v>
      </c>
      <c r="B85" s="110" t="s">
        <v>5867</v>
      </c>
      <c r="C85" s="111" t="s">
        <v>5868</v>
      </c>
      <c r="D85" s="28" t="s">
        <v>5869</v>
      </c>
      <c r="E85" s="28" t="str">
        <f>IFERROR(__xludf.DUMMYFUNCTION("GOOGLETRANSLATE(D85,""zh-CN"",""vi"")"),"Hãy học thuộc lòng đoạn văn này.")</f>
        <v>Hãy học thuộc lòng đoạn văn này.</v>
      </c>
      <c r="F85" s="119" t="s">
        <v>5866</v>
      </c>
      <c r="G85" s="36" t="b">
        <f t="shared" si="1"/>
        <v>1</v>
      </c>
      <c r="H85" s="35" t="b">
        <v>1</v>
      </c>
      <c r="I85" s="35" t="b">
        <v>0</v>
      </c>
      <c r="J85" s="35" t="b">
        <v>0</v>
      </c>
      <c r="K85" s="35" t="b">
        <v>0</v>
      </c>
      <c r="L85" s="35" t="b">
        <v>0</v>
      </c>
      <c r="M85" s="35" t="b">
        <v>0</v>
      </c>
      <c r="N85" s="35" t="b">
        <v>0</v>
      </c>
      <c r="O85" s="35" t="b">
        <v>0</v>
      </c>
      <c r="P85" s="35" t="b">
        <v>0</v>
      </c>
      <c r="Q85" s="35" t="b">
        <v>0</v>
      </c>
      <c r="R85" s="14"/>
      <c r="S85" s="14"/>
      <c r="T85" s="14"/>
      <c r="U85" s="14"/>
      <c r="V85" s="14"/>
      <c r="W85" s="14"/>
    </row>
    <row r="86" ht="31.5" customHeight="1">
      <c r="A86" s="109" t="s">
        <v>5874</v>
      </c>
      <c r="B86" s="110" t="s">
        <v>5875</v>
      </c>
      <c r="C86" s="111" t="s">
        <v>5876</v>
      </c>
      <c r="D86" s="28" t="s">
        <v>5877</v>
      </c>
      <c r="E86" s="28" t="str">
        <f>IFERROR(__xludf.DUMMYFUNCTION("GOOGLETRANSLATE(D86,""zh-CN"",""vi"")"),"Tôi đã viết một bản ghi nhớ.")</f>
        <v>Tôi đã viết một bản ghi nhớ.</v>
      </c>
      <c r="F86" s="119" t="s">
        <v>5874</v>
      </c>
      <c r="G86" s="36" t="b">
        <f t="shared" si="1"/>
        <v>1</v>
      </c>
      <c r="H86" s="35" t="b">
        <v>1</v>
      </c>
      <c r="I86" s="35" t="b">
        <v>0</v>
      </c>
      <c r="J86" s="35" t="b">
        <v>0</v>
      </c>
      <c r="K86" s="35" t="b">
        <v>0</v>
      </c>
      <c r="L86" s="35" t="b">
        <v>0</v>
      </c>
      <c r="M86" s="35" t="b">
        <v>0</v>
      </c>
      <c r="N86" s="35" t="b">
        <v>0</v>
      </c>
      <c r="O86" s="35" t="b">
        <v>0</v>
      </c>
      <c r="P86" s="35" t="b">
        <v>0</v>
      </c>
      <c r="Q86" s="35" t="b">
        <v>0</v>
      </c>
      <c r="R86" s="14"/>
      <c r="S86" s="14"/>
      <c r="T86" s="14"/>
      <c r="U86" s="14"/>
      <c r="V86" s="14"/>
      <c r="W86" s="14"/>
    </row>
    <row r="87" ht="31.5" customHeight="1">
      <c r="A87" s="109" t="s">
        <v>5881</v>
      </c>
      <c r="B87" s="110" t="s">
        <v>5882</v>
      </c>
      <c r="C87" s="111" t="s">
        <v>5883</v>
      </c>
      <c r="D87" s="28" t="s">
        <v>5884</v>
      </c>
      <c r="E87" s="28" t="str">
        <f>IFERROR(__xludf.DUMMYFUNCTION("GOOGLETRANSLATE(D87,""zh-CN"",""vi"")"),"Ông đi lại giữa các thành phố và làng mạc.")</f>
        <v>Ông đi lại giữa các thành phố và làng mạc.</v>
      </c>
      <c r="F87" s="119" t="s">
        <v>5881</v>
      </c>
      <c r="G87" s="36" t="b">
        <f t="shared" si="1"/>
        <v>1</v>
      </c>
      <c r="H87" s="35" t="b">
        <v>1</v>
      </c>
      <c r="I87" s="35" t="b">
        <v>0</v>
      </c>
      <c r="J87" s="35" t="b">
        <v>0</v>
      </c>
      <c r="K87" s="35" t="b">
        <v>0</v>
      </c>
      <c r="L87" s="35" t="b">
        <v>0</v>
      </c>
      <c r="M87" s="35" t="b">
        <v>0</v>
      </c>
      <c r="N87" s="35" t="b">
        <v>0</v>
      </c>
      <c r="O87" s="35" t="b">
        <v>0</v>
      </c>
      <c r="P87" s="35" t="b">
        <v>0</v>
      </c>
      <c r="Q87" s="35" t="b">
        <v>0</v>
      </c>
      <c r="R87" s="14"/>
      <c r="S87" s="14"/>
      <c r="T87" s="14"/>
      <c r="U87" s="14"/>
      <c r="V87" s="14"/>
      <c r="W87" s="14"/>
    </row>
    <row r="88" ht="31.5" customHeight="1">
      <c r="A88" s="109" t="s">
        <v>5885</v>
      </c>
      <c r="B88" s="110" t="s">
        <v>5886</v>
      </c>
      <c r="C88" s="111" t="s">
        <v>5888</v>
      </c>
      <c r="D88" s="28" t="s">
        <v>5890</v>
      </c>
      <c r="E88" s="28" t="str">
        <f>IFERROR(__xludf.DUMMYFUNCTION("GOOGLETRANSLATE(D88,""zh-CN"",""vi"")"),"Con ngựa này phi nước đại rất nhanh.")</f>
        <v>Con ngựa này phi nước đại rất nhanh.</v>
      </c>
      <c r="F88" s="119" t="s">
        <v>5885</v>
      </c>
      <c r="G88" s="36" t="b">
        <f t="shared" si="1"/>
        <v>1</v>
      </c>
      <c r="H88" s="35" t="b">
        <v>1</v>
      </c>
      <c r="I88" s="35" t="b">
        <v>0</v>
      </c>
      <c r="J88" s="35" t="b">
        <v>0</v>
      </c>
      <c r="K88" s="35" t="b">
        <v>0</v>
      </c>
      <c r="L88" s="35" t="b">
        <v>0</v>
      </c>
      <c r="M88" s="35" t="b">
        <v>0</v>
      </c>
      <c r="N88" s="35" t="b">
        <v>0</v>
      </c>
      <c r="O88" s="35" t="b">
        <v>0</v>
      </c>
      <c r="P88" s="35" t="b">
        <v>0</v>
      </c>
      <c r="Q88" s="35" t="b">
        <v>0</v>
      </c>
      <c r="R88" s="14"/>
      <c r="S88" s="14"/>
      <c r="T88" s="14"/>
      <c r="U88" s="14"/>
      <c r="V88" s="14"/>
      <c r="W88" s="14"/>
    </row>
    <row r="89" ht="31.5" customHeight="1">
      <c r="A89" s="109" t="s">
        <v>5893</v>
      </c>
      <c r="B89" s="110" t="s">
        <v>5894</v>
      </c>
      <c r="C89" s="111" t="s">
        <v>5895</v>
      </c>
      <c r="D89" s="28" t="s">
        <v>5896</v>
      </c>
      <c r="E89" s="28" t="str">
        <f>IFERROR(__xludf.DUMMYFUNCTION("GOOGLETRANSLATE(D89,""zh-CN"",""vi"")"),"Đây là bản năng cơ bản của con người.")</f>
        <v>Đây là bản năng cơ bản của con người.</v>
      </c>
      <c r="F89" s="119" t="s">
        <v>5893</v>
      </c>
      <c r="G89" s="36" t="b">
        <f t="shared" si="1"/>
        <v>1</v>
      </c>
      <c r="H89" s="35" t="b">
        <v>1</v>
      </c>
      <c r="I89" s="35" t="b">
        <v>0</v>
      </c>
      <c r="J89" s="35" t="b">
        <v>0</v>
      </c>
      <c r="K89" s="35" t="b">
        <v>0</v>
      </c>
      <c r="L89" s="35" t="b">
        <v>0</v>
      </c>
      <c r="M89" s="35" t="b">
        <v>0</v>
      </c>
      <c r="N89" s="35" t="b">
        <v>0</v>
      </c>
      <c r="O89" s="35" t="b">
        <v>0</v>
      </c>
      <c r="P89" s="35" t="b">
        <v>0</v>
      </c>
      <c r="Q89" s="35" t="b">
        <v>0</v>
      </c>
      <c r="R89" s="14"/>
      <c r="S89" s="14"/>
      <c r="T89" s="14"/>
      <c r="U89" s="14"/>
      <c r="V89" s="14"/>
      <c r="W89" s="14"/>
    </row>
    <row r="90" ht="31.5" customHeight="1">
      <c r="A90" s="109" t="s">
        <v>5900</v>
      </c>
      <c r="B90" s="110" t="s">
        <v>5901</v>
      </c>
      <c r="C90" s="111" t="s">
        <v>5902</v>
      </c>
      <c r="D90" s="28" t="s">
        <v>5903</v>
      </c>
      <c r="E90" s="28" t="str">
        <f>IFERROR(__xludf.DUMMYFUNCTION("GOOGLETRANSLATE(D90,""zh-CN"",""vi"")"),"Ông bắt đầu công việc kinh doanh của mình bằng vốn tự có.")</f>
        <v>Ông bắt đầu công việc kinh doanh của mình bằng vốn tự có.</v>
      </c>
      <c r="F90" s="119" t="s">
        <v>5900</v>
      </c>
      <c r="G90" s="36" t="b">
        <f t="shared" si="1"/>
        <v>1</v>
      </c>
      <c r="H90" s="35" t="b">
        <v>1</v>
      </c>
      <c r="I90" s="35" t="b">
        <v>0</v>
      </c>
      <c r="J90" s="35" t="b">
        <v>0</v>
      </c>
      <c r="K90" s="35" t="b">
        <v>0</v>
      </c>
      <c r="L90" s="35" t="b">
        <v>0</v>
      </c>
      <c r="M90" s="35" t="b">
        <v>0</v>
      </c>
      <c r="N90" s="35" t="b">
        <v>0</v>
      </c>
      <c r="O90" s="35" t="b">
        <v>0</v>
      </c>
      <c r="P90" s="35" t="b">
        <v>0</v>
      </c>
      <c r="Q90" s="35" t="b">
        <v>0</v>
      </c>
      <c r="R90" s="14"/>
      <c r="S90" s="14"/>
      <c r="T90" s="14"/>
      <c r="U90" s="14"/>
      <c r="V90" s="14"/>
      <c r="W90" s="14"/>
    </row>
    <row r="91" ht="31.5" customHeight="1">
      <c r="A91" s="109" t="s">
        <v>5904</v>
      </c>
      <c r="B91" s="110" t="s">
        <v>5905</v>
      </c>
      <c r="C91" s="111" t="s">
        <v>3616</v>
      </c>
      <c r="D91" s="28" t="s">
        <v>5906</v>
      </c>
      <c r="E91" s="28" t="str">
        <f>IFERROR(__xludf.DUMMYFUNCTION("GOOGLETRANSLATE(D91,""zh-CN"",""vi"")"),"Tôi không biết về vấn đề này.")</f>
        <v>Tôi không biết về vấn đề này.</v>
      </c>
      <c r="F91" s="119" t="s">
        <v>5904</v>
      </c>
      <c r="G91" s="36" t="b">
        <f t="shared" si="1"/>
        <v>1</v>
      </c>
      <c r="H91" s="35" t="b">
        <v>1</v>
      </c>
      <c r="I91" s="35" t="b">
        <v>0</v>
      </c>
      <c r="J91" s="35" t="b">
        <v>0</v>
      </c>
      <c r="K91" s="35" t="b">
        <v>0</v>
      </c>
      <c r="L91" s="35" t="b">
        <v>0</v>
      </c>
      <c r="M91" s="35" t="b">
        <v>0</v>
      </c>
      <c r="N91" s="35" t="b">
        <v>0</v>
      </c>
      <c r="O91" s="35" t="b">
        <v>0</v>
      </c>
      <c r="P91" s="35" t="b">
        <v>0</v>
      </c>
      <c r="Q91" s="35" t="b">
        <v>0</v>
      </c>
      <c r="R91" s="14"/>
      <c r="S91" s="14"/>
      <c r="T91" s="14"/>
      <c r="U91" s="14"/>
      <c r="V91" s="14"/>
      <c r="W91" s="14"/>
    </row>
    <row r="92" ht="31.5" customHeight="1">
      <c r="A92" s="109" t="s">
        <v>5911</v>
      </c>
      <c r="B92" s="110" t="s">
        <v>5912</v>
      </c>
      <c r="C92" s="111" t="s">
        <v>3616</v>
      </c>
      <c r="D92" s="28" t="s">
        <v>5913</v>
      </c>
      <c r="E92" s="28" t="str">
        <f>IFERROR(__xludf.DUMMYFUNCTION("GOOGLETRANSLATE(D92,""zh-CN"",""vi"")"),"Đây là một vấn đề rất phức tạp.")</f>
        <v>Đây là một vấn đề rất phức tạp.</v>
      </c>
      <c r="F92" s="119" t="s">
        <v>5911</v>
      </c>
      <c r="G92" s="36" t="b">
        <f t="shared" si="1"/>
        <v>1</v>
      </c>
      <c r="H92" s="35" t="b">
        <v>1</v>
      </c>
      <c r="I92" s="35" t="b">
        <v>0</v>
      </c>
      <c r="J92" s="35" t="b">
        <v>0</v>
      </c>
      <c r="K92" s="35" t="b">
        <v>0</v>
      </c>
      <c r="L92" s="35" t="b">
        <v>0</v>
      </c>
      <c r="M92" s="35" t="b">
        <v>0</v>
      </c>
      <c r="N92" s="35" t="b">
        <v>0</v>
      </c>
      <c r="O92" s="35" t="b">
        <v>0</v>
      </c>
      <c r="P92" s="35" t="b">
        <v>0</v>
      </c>
      <c r="Q92" s="35" t="b">
        <v>0</v>
      </c>
      <c r="R92" s="14"/>
      <c r="S92" s="14"/>
      <c r="T92" s="14"/>
      <c r="U92" s="14"/>
      <c r="V92" s="14"/>
      <c r="W92" s="14"/>
    </row>
    <row r="93" ht="31.5" customHeight="1">
      <c r="A93" s="109" t="s">
        <v>5917</v>
      </c>
      <c r="B93" s="110" t="s">
        <v>5919</v>
      </c>
      <c r="C93" s="111" t="s">
        <v>5920</v>
      </c>
      <c r="D93" s="28" t="s">
        <v>5921</v>
      </c>
      <c r="E93" s="28" t="str">
        <f>IFERROR(__xludf.DUMMYFUNCTION("GOOGLETRANSLATE(D93,""zh-CN"",""vi"")"),"Anh ấy có rất nhiều kỹ năng.")</f>
        <v>Anh ấy có rất nhiều kỹ năng.</v>
      </c>
      <c r="F93" s="119" t="s">
        <v>5917</v>
      </c>
      <c r="G93" s="36" t="b">
        <f t="shared" si="1"/>
        <v>1</v>
      </c>
      <c r="H93" s="35" t="b">
        <v>1</v>
      </c>
      <c r="I93" s="35" t="b">
        <v>0</v>
      </c>
      <c r="J93" s="35" t="b">
        <v>0</v>
      </c>
      <c r="K93" s="35" t="b">
        <v>0</v>
      </c>
      <c r="L93" s="35" t="b">
        <v>0</v>
      </c>
      <c r="M93" s="35" t="b">
        <v>0</v>
      </c>
      <c r="N93" s="35" t="b">
        <v>0</v>
      </c>
      <c r="O93" s="35" t="b">
        <v>0</v>
      </c>
      <c r="P93" s="35" t="b">
        <v>0</v>
      </c>
      <c r="Q93" s="35" t="b">
        <v>0</v>
      </c>
      <c r="R93" s="14"/>
      <c r="S93" s="14"/>
      <c r="T93" s="14"/>
      <c r="U93" s="14"/>
      <c r="V93" s="14"/>
      <c r="W93" s="14"/>
    </row>
    <row r="94" ht="31.5" customHeight="1">
      <c r="A94" s="109" t="s">
        <v>5922</v>
      </c>
      <c r="B94" s="110" t="s">
        <v>5923</v>
      </c>
      <c r="C94" s="111" t="s">
        <v>1240</v>
      </c>
      <c r="D94" s="28" t="s">
        <v>5924</v>
      </c>
      <c r="E94" s="28" t="str">
        <f>IFERROR(__xludf.DUMMYFUNCTION("GOOGLETRANSLATE(D94,""zh-CN"",""vi"")"),"Dựa trên nguyên tắc công bằng, chúng tôi đã đưa ra quyết định.")</f>
        <v>Dựa trên nguyên tắc công bằng, chúng tôi đã đưa ra quyết định.</v>
      </c>
      <c r="F94" s="119" t="s">
        <v>5922</v>
      </c>
      <c r="G94" s="36" t="b">
        <f t="shared" si="1"/>
        <v>1</v>
      </c>
      <c r="H94" s="35" t="b">
        <v>1</v>
      </c>
      <c r="I94" s="35" t="b">
        <v>0</v>
      </c>
      <c r="J94" s="35" t="b">
        <v>0</v>
      </c>
      <c r="K94" s="35" t="b">
        <v>0</v>
      </c>
      <c r="L94" s="35" t="b">
        <v>0</v>
      </c>
      <c r="M94" s="35" t="b">
        <v>0</v>
      </c>
      <c r="N94" s="35" t="b">
        <v>0</v>
      </c>
      <c r="O94" s="35" t="b">
        <v>0</v>
      </c>
      <c r="P94" s="35" t="b">
        <v>0</v>
      </c>
      <c r="Q94" s="35" t="b">
        <v>0</v>
      </c>
      <c r="R94" s="14"/>
      <c r="S94" s="14"/>
      <c r="T94" s="14"/>
      <c r="U94" s="14"/>
      <c r="V94" s="14"/>
      <c r="W94" s="14"/>
    </row>
    <row r="95" ht="31.5" customHeight="1">
      <c r="A95" s="109" t="s">
        <v>5929</v>
      </c>
      <c r="B95" s="110" t="s">
        <v>5930</v>
      </c>
      <c r="C95" s="111" t="s">
        <v>5931</v>
      </c>
      <c r="D95" s="28" t="s">
        <v>5932</v>
      </c>
      <c r="E95" s="28" t="str">
        <f>IFERROR(__xludf.DUMMYFUNCTION("GOOGLETRANSLATE(D95,""zh-CN"",""vi"")"),"Anh ta có vẻ vụng về khi làm việc.")</f>
        <v>Anh ta có vẻ vụng về khi làm việc.</v>
      </c>
      <c r="F95" s="119" t="s">
        <v>5929</v>
      </c>
      <c r="G95" s="36" t="b">
        <f t="shared" si="1"/>
        <v>1</v>
      </c>
      <c r="H95" s="35" t="b">
        <v>1</v>
      </c>
      <c r="I95" s="35" t="b">
        <v>0</v>
      </c>
      <c r="J95" s="35" t="b">
        <v>0</v>
      </c>
      <c r="K95" s="35" t="b">
        <v>0</v>
      </c>
      <c r="L95" s="35" t="b">
        <v>0</v>
      </c>
      <c r="M95" s="35" t="b">
        <v>0</v>
      </c>
      <c r="N95" s="35" t="b">
        <v>0</v>
      </c>
      <c r="O95" s="35" t="b">
        <v>0</v>
      </c>
      <c r="P95" s="35" t="b">
        <v>0</v>
      </c>
      <c r="Q95" s="35" t="b">
        <v>0</v>
      </c>
      <c r="R95" s="14"/>
      <c r="S95" s="14"/>
      <c r="T95" s="14"/>
      <c r="U95" s="14"/>
      <c r="V95" s="14"/>
      <c r="W95" s="14"/>
    </row>
    <row r="96" ht="31.5" customHeight="1">
      <c r="A96" s="109" t="s">
        <v>5933</v>
      </c>
      <c r="B96" s="110" t="s">
        <v>5935</v>
      </c>
      <c r="C96" s="111" t="s">
        <v>5937</v>
      </c>
      <c r="D96" s="28" t="s">
        <v>5939</v>
      </c>
      <c r="E96" s="28" t="str">
        <f>IFERROR(__xludf.DUMMYFUNCTION("GOOGLETRANSLATE(D96,""zh-CN"",""vi"")"),"Anh ấy đã bị suy sụp tinh thần.")</f>
        <v>Anh ấy đã bị suy sụp tinh thần.</v>
      </c>
      <c r="F96" s="119" t="s">
        <v>5933</v>
      </c>
      <c r="G96" s="36" t="b">
        <f t="shared" si="1"/>
        <v>1</v>
      </c>
      <c r="H96" s="35" t="b">
        <v>1</v>
      </c>
      <c r="I96" s="35" t="b">
        <v>0</v>
      </c>
      <c r="J96" s="35" t="b">
        <v>0</v>
      </c>
      <c r="K96" s="35" t="b">
        <v>0</v>
      </c>
      <c r="L96" s="35" t="b">
        <v>0</v>
      </c>
      <c r="M96" s="35" t="b">
        <v>0</v>
      </c>
      <c r="N96" s="35" t="b">
        <v>0</v>
      </c>
      <c r="O96" s="35" t="b">
        <v>0</v>
      </c>
      <c r="P96" s="35" t="b">
        <v>0</v>
      </c>
      <c r="Q96" s="35" t="b">
        <v>0</v>
      </c>
      <c r="R96" s="14"/>
      <c r="S96" s="14"/>
      <c r="T96" s="14"/>
      <c r="U96" s="14"/>
      <c r="V96" s="14"/>
      <c r="W96" s="14"/>
    </row>
    <row r="97" ht="31.5" customHeight="1">
      <c r="A97" s="109" t="s">
        <v>5941</v>
      </c>
      <c r="B97" s="110" t="s">
        <v>5942</v>
      </c>
      <c r="C97" s="111" t="s">
        <v>5943</v>
      </c>
      <c r="D97" s="28" t="s">
        <v>5944</v>
      </c>
      <c r="E97" s="28" t="str">
        <f>IFERROR(__xludf.DUMMYFUNCTION("GOOGLETRANSLATE(D97,""zh-CN"",""vi"")"),"Đừng lo lắng, mọi chuyện sẽ ổn thôi.")</f>
        <v>Đừng lo lắng, mọi chuyện sẽ ổn thôi.</v>
      </c>
      <c r="F97" s="119" t="s">
        <v>5941</v>
      </c>
      <c r="G97" s="36" t="b">
        <f t="shared" si="1"/>
        <v>1</v>
      </c>
      <c r="H97" s="35" t="b">
        <v>1</v>
      </c>
      <c r="I97" s="35" t="b">
        <v>0</v>
      </c>
      <c r="J97" s="35" t="b">
        <v>0</v>
      </c>
      <c r="K97" s="35" t="b">
        <v>0</v>
      </c>
      <c r="L97" s="35" t="b">
        <v>0</v>
      </c>
      <c r="M97" s="35" t="b">
        <v>0</v>
      </c>
      <c r="N97" s="35" t="b">
        <v>0</v>
      </c>
      <c r="O97" s="35" t="b">
        <v>0</v>
      </c>
      <c r="P97" s="35" t="b">
        <v>0</v>
      </c>
      <c r="Q97" s="35" t="b">
        <v>0</v>
      </c>
      <c r="R97" s="14"/>
      <c r="S97" s="14"/>
      <c r="T97" s="14"/>
      <c r="U97" s="14"/>
      <c r="V97" s="14"/>
      <c r="W97" s="14"/>
    </row>
    <row r="98" ht="31.5" customHeight="1">
      <c r="A98" s="109" t="s">
        <v>5949</v>
      </c>
      <c r="B98" s="110" t="s">
        <v>5950</v>
      </c>
      <c r="C98" s="111" t="s">
        <v>5951</v>
      </c>
      <c r="D98" s="28" t="s">
        <v>5954</v>
      </c>
      <c r="E98" s="28" t="str">
        <f>IFERROR(__xludf.DUMMYFUNCTION("GOOGLETRANSLATE(D98,""zh-CN"",""vi"")"),"Anh ta bật dậy khỏi ghế.")</f>
        <v>Anh ta bật dậy khỏi ghế.</v>
      </c>
      <c r="F98" s="119" t="s">
        <v>5949</v>
      </c>
      <c r="G98" s="36" t="b">
        <f t="shared" si="1"/>
        <v>1</v>
      </c>
      <c r="H98" s="35" t="b">
        <v>1</v>
      </c>
      <c r="I98" s="35" t="b">
        <v>0</v>
      </c>
      <c r="J98" s="35" t="b">
        <v>0</v>
      </c>
      <c r="K98" s="35" t="b">
        <v>0</v>
      </c>
      <c r="L98" s="35" t="b">
        <v>0</v>
      </c>
      <c r="M98" s="35" t="b">
        <v>0</v>
      </c>
      <c r="N98" s="35" t="b">
        <v>0</v>
      </c>
      <c r="O98" s="35" t="b">
        <v>0</v>
      </c>
      <c r="P98" s="35" t="b">
        <v>0</v>
      </c>
      <c r="Q98" s="35" t="b">
        <v>0</v>
      </c>
      <c r="R98" s="14"/>
      <c r="S98" s="14"/>
      <c r="T98" s="14"/>
      <c r="U98" s="14"/>
      <c r="V98" s="14"/>
      <c r="W98" s="14"/>
    </row>
    <row r="99" ht="31.5" customHeight="1">
      <c r="A99" s="109" t="s">
        <v>5957</v>
      </c>
      <c r="B99" s="110" t="s">
        <v>5958</v>
      </c>
      <c r="C99" s="111" t="s">
        <v>5727</v>
      </c>
      <c r="D99" s="28" t="s">
        <v>5959</v>
      </c>
      <c r="E99" s="28" t="str">
        <f>IFERROR(__xludf.DUMMYFUNCTION("GOOGLETRANSLATE(D99,""zh-CN"",""vi"")"),"Một tia sáng sáng tạo bất chợt bùng lên.")</f>
        <v>Một tia sáng sáng tạo bất chợt bùng lên.</v>
      </c>
      <c r="F99" s="119" t="s">
        <v>5957</v>
      </c>
      <c r="G99" s="36" t="b">
        <f t="shared" si="1"/>
        <v>1</v>
      </c>
      <c r="H99" s="35" t="b">
        <v>1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14"/>
      <c r="S99" s="14"/>
      <c r="T99" s="14"/>
      <c r="U99" s="14"/>
      <c r="V99" s="14"/>
      <c r="W99" s="14"/>
    </row>
    <row r="100" ht="31.5" customHeight="1">
      <c r="A100" s="109" t="s">
        <v>5964</v>
      </c>
      <c r="B100" s="110" t="s">
        <v>5965</v>
      </c>
      <c r="C100" s="111" t="s">
        <v>5966</v>
      </c>
      <c r="D100" s="28" t="s">
        <v>5967</v>
      </c>
      <c r="E100" s="28" t="str">
        <f>IFERROR(__xludf.DUMMYFUNCTION("GOOGLETRANSLATE(D100,""zh-CN"",""vi"")"),"Anh ấy cảm thấy mình bị ép phải đưa ra lựa chọn.")</f>
        <v>Anh ấy cảm thấy mình bị ép phải đưa ra lựa chọn.</v>
      </c>
      <c r="F100" s="119" t="s">
        <v>5964</v>
      </c>
      <c r="G100" s="36" t="b">
        <f t="shared" si="1"/>
        <v>1</v>
      </c>
      <c r="H100" s="35" t="b">
        <v>1</v>
      </c>
      <c r="I100" s="35" t="b">
        <v>0</v>
      </c>
      <c r="J100" s="35" t="b">
        <v>0</v>
      </c>
      <c r="K100" s="35" t="b">
        <v>0</v>
      </c>
      <c r="L100" s="35" t="b">
        <v>0</v>
      </c>
      <c r="M100" s="35" t="b">
        <v>0</v>
      </c>
      <c r="N100" s="35" t="b">
        <v>0</v>
      </c>
      <c r="O100" s="35" t="b">
        <v>0</v>
      </c>
      <c r="P100" s="35" t="b">
        <v>0</v>
      </c>
      <c r="Q100" s="35" t="b">
        <v>0</v>
      </c>
      <c r="R100" s="14"/>
      <c r="S100" s="14"/>
      <c r="T100" s="14"/>
      <c r="U100" s="14"/>
      <c r="V100" s="14"/>
      <c r="W100" s="14"/>
    </row>
    <row r="101" ht="31.5" customHeight="1">
      <c r="A101" s="109" t="s">
        <v>5972</v>
      </c>
      <c r="B101" s="110" t="s">
        <v>5973</v>
      </c>
      <c r="C101" s="111" t="s">
        <v>5974</v>
      </c>
      <c r="D101" s="28" t="s">
        <v>5975</v>
      </c>
      <c r="E101" s="28" t="str">
        <f>IFERROR(__xludf.DUMMYFUNCTION("GOOGLETRANSLATE(D101,""zh-CN"",""vi"")"),"Trẻ em thường hay bị sổ mũi.")</f>
        <v>Trẻ em thường hay bị sổ mũi.</v>
      </c>
      <c r="F101" s="119" t="s">
        <v>5972</v>
      </c>
      <c r="G101" s="36" t="b">
        <f t="shared" si="1"/>
        <v>1</v>
      </c>
      <c r="H101" s="35" t="b">
        <v>1</v>
      </c>
      <c r="I101" s="35" t="b">
        <v>0</v>
      </c>
      <c r="J101" s="35" t="b">
        <v>0</v>
      </c>
      <c r="K101" s="35" t="b">
        <v>0</v>
      </c>
      <c r="L101" s="35" t="b">
        <v>0</v>
      </c>
      <c r="M101" s="35" t="b">
        <v>0</v>
      </c>
      <c r="N101" s="35" t="b">
        <v>0</v>
      </c>
      <c r="O101" s="35" t="b">
        <v>0</v>
      </c>
      <c r="P101" s="35" t="b">
        <v>0</v>
      </c>
      <c r="Q101" s="35" t="b">
        <v>0</v>
      </c>
      <c r="R101" s="14"/>
      <c r="S101" s="14"/>
      <c r="T101" s="14"/>
      <c r="U101" s="14"/>
      <c r="V101" s="14"/>
      <c r="W101" s="14"/>
    </row>
    <row r="102" ht="31.5" customHeight="1">
      <c r="A102" s="109" t="s">
        <v>5980</v>
      </c>
      <c r="B102" s="110" t="s">
        <v>5981</v>
      </c>
      <c r="C102" s="111" t="s">
        <v>3290</v>
      </c>
      <c r="D102" s="28" t="s">
        <v>5982</v>
      </c>
      <c r="E102" s="28" t="str">
        <f>IFERROR(__xludf.DUMMYFUNCTION("GOOGLETRANSLATE(D102,""zh-CN"",""vi"")"),"Ví dụ, bạn có thể làm như thế này.")</f>
        <v>Ví dụ, bạn có thể làm như thế này.</v>
      </c>
      <c r="F102" s="119" t="s">
        <v>5980</v>
      </c>
      <c r="G102" s="36" t="b">
        <f t="shared" si="1"/>
        <v>1</v>
      </c>
      <c r="H102" s="35" t="b">
        <v>1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14"/>
      <c r="S102" s="14"/>
      <c r="T102" s="14"/>
      <c r="U102" s="14"/>
      <c r="V102" s="14"/>
      <c r="W102" s="14"/>
    </row>
    <row r="103" ht="31.5" customHeight="1">
      <c r="A103" s="109" t="s">
        <v>5987</v>
      </c>
      <c r="B103" s="110" t="s">
        <v>5988</v>
      </c>
      <c r="C103" s="111" t="s">
        <v>5989</v>
      </c>
      <c r="D103" s="28" t="s">
        <v>5990</v>
      </c>
      <c r="E103" s="28" t="str">
        <f>IFERROR(__xludf.DUMMYFUNCTION("GOOGLETRANSLATE(D103,""zh-CN"",""vi"")"),"Ông ấy đã sử dụng một phép ẩn dụ để giải thích khái niệm đó.")</f>
        <v>Ông ấy đã sử dụng một phép ẩn dụ để giải thích khái niệm đó.</v>
      </c>
      <c r="F103" s="119" t="s">
        <v>5987</v>
      </c>
      <c r="G103" s="36" t="b">
        <f t="shared" si="1"/>
        <v>1</v>
      </c>
      <c r="H103" s="35" t="b">
        <v>1</v>
      </c>
      <c r="I103" s="35" t="b">
        <v>0</v>
      </c>
      <c r="J103" s="35" t="b">
        <v>0</v>
      </c>
      <c r="K103" s="35" t="b">
        <v>0</v>
      </c>
      <c r="L103" s="35" t="b">
        <v>0</v>
      </c>
      <c r="M103" s="35" t="b">
        <v>0</v>
      </c>
      <c r="N103" s="35" t="b">
        <v>0</v>
      </c>
      <c r="O103" s="35" t="b">
        <v>0</v>
      </c>
      <c r="P103" s="35" t="b">
        <v>0</v>
      </c>
      <c r="Q103" s="35" t="b">
        <v>0</v>
      </c>
      <c r="R103" s="14"/>
      <c r="S103" s="14"/>
      <c r="T103" s="14"/>
      <c r="U103" s="14"/>
      <c r="V103" s="14"/>
      <c r="W103" s="14"/>
    </row>
    <row r="104" ht="31.5" customHeight="1">
      <c r="A104" s="109" t="s">
        <v>5995</v>
      </c>
      <c r="B104" s="110" t="s">
        <v>5996</v>
      </c>
      <c r="C104" s="111" t="s">
        <v>5997</v>
      </c>
      <c r="D104" s="28" t="s">
        <v>5998</v>
      </c>
      <c r="E104" s="28" t="str">
        <f>IFERROR(__xludf.DUMMYFUNCTION("GOOGLETRANSLATE(D104,""zh-CN"",""vi"")"),"Ngành công nghiệp này chiếm một tỷ trọng lớn trong nền kinh tế.")</f>
        <v>Ngành công nghiệp này chiếm một tỷ trọng lớn trong nền kinh tế.</v>
      </c>
      <c r="F104" s="119" t="s">
        <v>5995</v>
      </c>
      <c r="G104" s="36" t="b">
        <f t="shared" si="1"/>
        <v>1</v>
      </c>
      <c r="H104" s="35" t="b">
        <v>1</v>
      </c>
      <c r="I104" s="35" t="b">
        <v>0</v>
      </c>
      <c r="J104" s="35" t="b">
        <v>0</v>
      </c>
      <c r="K104" s="35" t="b">
        <v>0</v>
      </c>
      <c r="L104" s="35" t="b">
        <v>0</v>
      </c>
      <c r="M104" s="35" t="b">
        <v>0</v>
      </c>
      <c r="N104" s="35" t="b">
        <v>0</v>
      </c>
      <c r="O104" s="35" t="b">
        <v>0</v>
      </c>
      <c r="P104" s="35" t="b">
        <v>0</v>
      </c>
      <c r="Q104" s="35" t="b">
        <v>0</v>
      </c>
      <c r="R104" s="14"/>
      <c r="S104" s="14"/>
      <c r="T104" s="14"/>
      <c r="U104" s="14"/>
      <c r="V104" s="14"/>
      <c r="W104" s="14"/>
    </row>
    <row r="105" ht="31.5" customHeight="1">
      <c r="A105" s="109" t="s">
        <v>6003</v>
      </c>
      <c r="B105" s="110" t="s">
        <v>6004</v>
      </c>
      <c r="C105" s="111" t="s">
        <v>1715</v>
      </c>
      <c r="D105" s="28" t="s">
        <v>6006</v>
      </c>
      <c r="E105" s="28" t="str">
        <f>IFERROR(__xludf.DUMMYFUNCTION("GOOGLETRANSLATE(D105,""zh-CN"",""vi"")"),"Anh ta giơ tay lên.")</f>
        <v>Anh ta giơ tay lên.</v>
      </c>
      <c r="F105" s="119" t="s">
        <v>6003</v>
      </c>
      <c r="G105" s="36" t="b">
        <f t="shared" si="1"/>
        <v>1</v>
      </c>
      <c r="H105" s="35" t="b">
        <v>1</v>
      </c>
      <c r="I105" s="35" t="b">
        <v>0</v>
      </c>
      <c r="J105" s="35" t="b">
        <v>0</v>
      </c>
      <c r="K105" s="35" t="b">
        <v>0</v>
      </c>
      <c r="L105" s="35" t="b">
        <v>0</v>
      </c>
      <c r="M105" s="35" t="b">
        <v>0</v>
      </c>
      <c r="N105" s="35" t="b">
        <v>0</v>
      </c>
      <c r="O105" s="35" t="b">
        <v>0</v>
      </c>
      <c r="P105" s="35" t="b">
        <v>0</v>
      </c>
      <c r="Q105" s="35" t="b">
        <v>0</v>
      </c>
      <c r="R105" s="14"/>
      <c r="S105" s="14"/>
      <c r="T105" s="14"/>
      <c r="U105" s="14"/>
      <c r="V105" s="14"/>
      <c r="W105" s="14"/>
    </row>
    <row r="106" ht="31.5" customHeight="1">
      <c r="A106" s="109" t="s">
        <v>6010</v>
      </c>
      <c r="B106" s="110" t="s">
        <v>6011</v>
      </c>
      <c r="C106" s="111" t="s">
        <v>6012</v>
      </c>
      <c r="D106" s="28" t="s">
        <v>6014</v>
      </c>
      <c r="E106" s="28" t="str">
        <f>IFERROR(__xludf.DUMMYFUNCTION("GOOGLETRANSLATE(D106,""zh-CN"",""vi"")"),"Chúng ta cần khắc phục những thiếu sót trong hệ thống này.")</f>
        <v>Chúng ta cần khắc phục những thiếu sót trong hệ thống này.</v>
      </c>
      <c r="F106" s="119" t="s">
        <v>6010</v>
      </c>
      <c r="G106" s="36" t="b">
        <f t="shared" si="1"/>
        <v>1</v>
      </c>
      <c r="H106" s="35" t="b">
        <v>1</v>
      </c>
      <c r="I106" s="35" t="b">
        <v>0</v>
      </c>
      <c r="J106" s="35" t="b">
        <v>0</v>
      </c>
      <c r="K106" s="35" t="b">
        <v>0</v>
      </c>
      <c r="L106" s="35" t="b">
        <v>0</v>
      </c>
      <c r="M106" s="35" t="b">
        <v>0</v>
      </c>
      <c r="N106" s="35" t="b">
        <v>0</v>
      </c>
      <c r="O106" s="35" t="b">
        <v>0</v>
      </c>
      <c r="P106" s="35" t="b">
        <v>0</v>
      </c>
      <c r="Q106" s="35" t="b">
        <v>0</v>
      </c>
      <c r="R106" s="14"/>
      <c r="S106" s="14"/>
      <c r="T106" s="14"/>
      <c r="U106" s="14"/>
      <c r="V106" s="14"/>
      <c r="W106" s="14"/>
    </row>
    <row r="107" ht="31.5" customHeight="1">
      <c r="A107" s="109" t="s">
        <v>6018</v>
      </c>
      <c r="B107" s="110" t="s">
        <v>6019</v>
      </c>
      <c r="C107" s="111" t="s">
        <v>3230</v>
      </c>
      <c r="D107" s="28" t="s">
        <v>6020</v>
      </c>
      <c r="E107" s="28" t="str">
        <f>IFERROR(__xludf.DUMMYFUNCTION("GOOGLETRANSLATE(D107,""zh-CN"",""vi"")"),"Anh ấy chắc chắn sẽ thành công.")</f>
        <v>Anh ấy chắc chắn sẽ thành công.</v>
      </c>
      <c r="F107" s="119" t="s">
        <v>6018</v>
      </c>
      <c r="G107" s="36" t="b">
        <f t="shared" si="1"/>
        <v>1</v>
      </c>
      <c r="H107" s="35" t="b">
        <v>1</v>
      </c>
      <c r="I107" s="35" t="b">
        <v>0</v>
      </c>
      <c r="J107" s="35" t="b">
        <v>0</v>
      </c>
      <c r="K107" s="35" t="b">
        <v>0</v>
      </c>
      <c r="L107" s="35" t="b">
        <v>0</v>
      </c>
      <c r="M107" s="35" t="b">
        <v>0</v>
      </c>
      <c r="N107" s="35" t="b">
        <v>0</v>
      </c>
      <c r="O107" s="35" t="b">
        <v>0</v>
      </c>
      <c r="P107" s="35" t="b">
        <v>0</v>
      </c>
      <c r="Q107" s="35" t="b">
        <v>0</v>
      </c>
      <c r="R107" s="14"/>
      <c r="S107" s="14"/>
      <c r="T107" s="14"/>
      <c r="U107" s="14"/>
      <c r="V107" s="14"/>
      <c r="W107" s="14"/>
    </row>
    <row r="108" ht="31.5" customHeight="1">
      <c r="A108" s="109" t="s">
        <v>6025</v>
      </c>
      <c r="B108" s="110" t="s">
        <v>6026</v>
      </c>
      <c r="C108" s="111" t="s">
        <v>6027</v>
      </c>
      <c r="D108" s="28" t="s">
        <v>6028</v>
      </c>
      <c r="E108" s="28" t="str">
        <f>IFERROR(__xludf.DUMMYFUNCTION("GOOGLETRANSLATE(D108,""zh-CN"",""vi"")"),"Chính sách này có nhiều nhược điểm.")</f>
        <v>Chính sách này có nhiều nhược điểm.</v>
      </c>
      <c r="F108" s="119" t="s">
        <v>6025</v>
      </c>
      <c r="G108" s="36" t="b">
        <f t="shared" si="1"/>
        <v>1</v>
      </c>
      <c r="H108" s="35" t="b">
        <v>1</v>
      </c>
      <c r="I108" s="35" t="b">
        <v>0</v>
      </c>
      <c r="J108" s="35" t="b">
        <v>0</v>
      </c>
      <c r="K108" s="35" t="b">
        <v>0</v>
      </c>
      <c r="L108" s="35" t="b">
        <v>0</v>
      </c>
      <c r="M108" s="35" t="b">
        <v>0</v>
      </c>
      <c r="N108" s="35" t="b">
        <v>0</v>
      </c>
      <c r="O108" s="35" t="b">
        <v>0</v>
      </c>
      <c r="P108" s="35" t="b">
        <v>0</v>
      </c>
      <c r="Q108" s="35" t="b">
        <v>0</v>
      </c>
      <c r="R108" s="14"/>
      <c r="S108" s="14"/>
      <c r="T108" s="14"/>
      <c r="U108" s="14"/>
      <c r="V108" s="14"/>
      <c r="W108" s="14"/>
    </row>
    <row r="109" ht="31.5" customHeight="1">
      <c r="A109" s="109" t="s">
        <v>6033</v>
      </c>
      <c r="B109" s="110" t="s">
        <v>6034</v>
      </c>
      <c r="C109" s="111" t="s">
        <v>6035</v>
      </c>
      <c r="D109" s="28" t="s">
        <v>6036</v>
      </c>
      <c r="E109" s="28" t="str">
        <f>IFERROR(__xludf.DUMMYFUNCTION("GOOGLETRANSLATE(D109,""zh-CN"",""vi"")"),"Nơi này khó tiếp cận do hệ thống giao thông kém.")</f>
        <v>Nơi này khó tiếp cận do hệ thống giao thông kém.</v>
      </c>
      <c r="F109" s="119" t="s">
        <v>6033</v>
      </c>
      <c r="G109" s="36" t="b">
        <f t="shared" si="1"/>
        <v>1</v>
      </c>
      <c r="H109" s="35" t="b">
        <v>1</v>
      </c>
      <c r="I109" s="35" t="b">
        <v>0</v>
      </c>
      <c r="J109" s="35" t="b">
        <v>0</v>
      </c>
      <c r="K109" s="35" t="b">
        <v>0</v>
      </c>
      <c r="L109" s="35" t="b">
        <v>0</v>
      </c>
      <c r="M109" s="35" t="b">
        <v>0</v>
      </c>
      <c r="N109" s="35" t="b">
        <v>0</v>
      </c>
      <c r="O109" s="35" t="b">
        <v>0</v>
      </c>
      <c r="P109" s="35" t="b">
        <v>0</v>
      </c>
      <c r="Q109" s="35" t="b">
        <v>0</v>
      </c>
      <c r="R109" s="14"/>
      <c r="S109" s="14"/>
      <c r="T109" s="14"/>
      <c r="U109" s="14"/>
      <c r="V109" s="14"/>
      <c r="W109" s="14"/>
    </row>
    <row r="110" ht="31.5" customHeight="1">
      <c r="A110" s="109" t="s">
        <v>6041</v>
      </c>
      <c r="B110" s="110" t="s">
        <v>6042</v>
      </c>
      <c r="C110" s="111" t="s">
        <v>6043</v>
      </c>
      <c r="D110" s="28" t="s">
        <v>6044</v>
      </c>
      <c r="E110" s="28" t="str">
        <f>IFERROR(__xludf.DUMMYFUNCTION("GOOGLETRANSLATE(D110,""zh-CN"",""vi"")"),"Ngọc bích là một loại đá quý.")</f>
        <v>Ngọc bích là một loại đá quý.</v>
      </c>
      <c r="F110" s="119" t="s">
        <v>6041</v>
      </c>
      <c r="G110" s="36" t="b">
        <f t="shared" si="1"/>
        <v>1</v>
      </c>
      <c r="H110" s="35" t="b">
        <v>1</v>
      </c>
      <c r="I110" s="35" t="b">
        <v>0</v>
      </c>
      <c r="J110" s="35" t="b">
        <v>0</v>
      </c>
      <c r="K110" s="35" t="b">
        <v>0</v>
      </c>
      <c r="L110" s="35" t="b">
        <v>0</v>
      </c>
      <c r="M110" s="35" t="b">
        <v>0</v>
      </c>
      <c r="N110" s="35" t="b">
        <v>0</v>
      </c>
      <c r="O110" s="35" t="b">
        <v>0</v>
      </c>
      <c r="P110" s="35" t="b">
        <v>0</v>
      </c>
      <c r="Q110" s="35" t="b">
        <v>0</v>
      </c>
      <c r="R110" s="14"/>
      <c r="S110" s="14"/>
      <c r="T110" s="14"/>
      <c r="U110" s="14"/>
      <c r="V110" s="14"/>
      <c r="W110" s="14"/>
    </row>
    <row r="111" ht="31.5" customHeight="1">
      <c r="A111" s="109" t="s">
        <v>6049</v>
      </c>
      <c r="B111" s="110" t="s">
        <v>6050</v>
      </c>
      <c r="C111" s="111" t="s">
        <v>6051</v>
      </c>
      <c r="D111" s="28" t="s">
        <v>6052</v>
      </c>
      <c r="E111" s="28" t="str">
        <f>IFERROR(__xludf.DUMMYFUNCTION("GOOGLETRANSLATE(D111,""zh-CN"",""vi"")"),"Cô giáo khuyến khích học sinh học tập chăm chỉ.")</f>
        <v>Cô giáo khuyến khích học sinh học tập chăm chỉ.</v>
      </c>
      <c r="F111" s="119" t="s">
        <v>6049</v>
      </c>
      <c r="G111" s="36" t="b">
        <f t="shared" si="1"/>
        <v>1</v>
      </c>
      <c r="H111" s="35" t="b">
        <v>1</v>
      </c>
      <c r="I111" s="35" t="b">
        <v>0</v>
      </c>
      <c r="J111" s="35" t="b">
        <v>0</v>
      </c>
      <c r="K111" s="35" t="b">
        <v>0</v>
      </c>
      <c r="L111" s="35" t="b">
        <v>0</v>
      </c>
      <c r="M111" s="35" t="b">
        <v>0</v>
      </c>
      <c r="N111" s="35" t="b">
        <v>0</v>
      </c>
      <c r="O111" s="35" t="b">
        <v>0</v>
      </c>
      <c r="P111" s="35" t="b">
        <v>0</v>
      </c>
      <c r="Q111" s="35" t="b">
        <v>0</v>
      </c>
      <c r="R111" s="14"/>
      <c r="S111" s="14"/>
      <c r="T111" s="14"/>
      <c r="U111" s="14"/>
      <c r="V111" s="14"/>
      <c r="W111" s="14"/>
    </row>
    <row r="112" ht="31.5" customHeight="1">
      <c r="A112" s="109" t="s">
        <v>6057</v>
      </c>
      <c r="B112" s="110" t="s">
        <v>6058</v>
      </c>
      <c r="C112" s="111" t="s">
        <v>6059</v>
      </c>
      <c r="D112" s="28" t="s">
        <v>6060</v>
      </c>
      <c r="E112" s="28" t="str">
        <f>IFERROR(__xludf.DUMMYFUNCTION("GOOGLETRANSLATE(D112,""zh-CN"",""vi"")"),"Vùng biên giới có phong cảnh rất đẹp.")</f>
        <v>Vùng biên giới có phong cảnh rất đẹp.</v>
      </c>
      <c r="F112" s="119" t="s">
        <v>6057</v>
      </c>
      <c r="G112" s="36" t="b">
        <f t="shared" si="1"/>
        <v>1</v>
      </c>
      <c r="H112" s="35" t="b">
        <v>1</v>
      </c>
      <c r="I112" s="35" t="b">
        <v>0</v>
      </c>
      <c r="J112" s="35" t="b">
        <v>0</v>
      </c>
      <c r="K112" s="35" t="b">
        <v>0</v>
      </c>
      <c r="L112" s="35" t="b">
        <v>0</v>
      </c>
      <c r="M112" s="35" t="b">
        <v>0</v>
      </c>
      <c r="N112" s="35" t="b">
        <v>0</v>
      </c>
      <c r="O112" s="35" t="b">
        <v>0</v>
      </c>
      <c r="P112" s="35" t="b">
        <v>0</v>
      </c>
      <c r="Q112" s="35" t="b">
        <v>0</v>
      </c>
      <c r="R112" s="14"/>
      <c r="S112" s="14"/>
      <c r="T112" s="14"/>
      <c r="U112" s="14"/>
      <c r="V112" s="14"/>
      <c r="W112" s="14"/>
    </row>
    <row r="113" ht="31.5" customHeight="1">
      <c r="A113" s="109" t="s">
        <v>6063</v>
      </c>
      <c r="B113" s="110" t="s">
        <v>6064</v>
      </c>
      <c r="C113" s="111" t="s">
        <v>6066</v>
      </c>
      <c r="D113" s="28" t="s">
        <v>6067</v>
      </c>
      <c r="E113" s="28" t="str">
        <f>IFERROR(__xludf.DUMMYFUNCTION("GOOGLETRANSLATE(D113,""zh-CN"",""vi"")"),"Đây là đường biên giới giữa hai quốc gia.")</f>
        <v>Đây là đường biên giới giữa hai quốc gia.</v>
      </c>
      <c r="F113" s="119" t="s">
        <v>6063</v>
      </c>
      <c r="G113" s="36" t="b">
        <f t="shared" si="1"/>
        <v>1</v>
      </c>
      <c r="H113" s="35" t="b">
        <v>1</v>
      </c>
      <c r="I113" s="35" t="b">
        <v>0</v>
      </c>
      <c r="J113" s="35" t="b">
        <v>0</v>
      </c>
      <c r="K113" s="35" t="b">
        <v>0</v>
      </c>
      <c r="L113" s="35" t="b">
        <v>0</v>
      </c>
      <c r="M113" s="35" t="b">
        <v>0</v>
      </c>
      <c r="N113" s="35" t="b">
        <v>0</v>
      </c>
      <c r="O113" s="35" t="b">
        <v>0</v>
      </c>
      <c r="P113" s="35" t="b">
        <v>0</v>
      </c>
      <c r="Q113" s="35" t="b">
        <v>0</v>
      </c>
      <c r="R113" s="14"/>
      <c r="S113" s="14"/>
      <c r="T113" s="14"/>
      <c r="U113" s="14"/>
      <c r="V113" s="14"/>
      <c r="W113" s="14"/>
    </row>
    <row r="114" ht="31.5" customHeight="1">
      <c r="A114" s="109" t="s">
        <v>6069</v>
      </c>
      <c r="B114" s="110" t="s">
        <v>6071</v>
      </c>
      <c r="C114" s="111" t="s">
        <v>6066</v>
      </c>
      <c r="D114" s="28" t="s">
        <v>6074</v>
      </c>
      <c r="E114" s="28" t="str">
        <f>IFERROR(__xludf.DUMMYFUNCTION("GOOGLETRANSLATE(D114,""zh-CN"",""vi"")"),"Chúng tôi không thể vượt biên.")</f>
        <v>Chúng tôi không thể vượt biên.</v>
      </c>
      <c r="F114" s="119" t="s">
        <v>6069</v>
      </c>
      <c r="G114" s="36" t="b">
        <f t="shared" si="1"/>
        <v>1</v>
      </c>
      <c r="H114" s="35" t="b">
        <v>1</v>
      </c>
      <c r="I114" s="35" t="b">
        <v>0</v>
      </c>
      <c r="J114" s="35" t="b">
        <v>0</v>
      </c>
      <c r="K114" s="35" t="b">
        <v>0</v>
      </c>
      <c r="L114" s="35" t="b">
        <v>0</v>
      </c>
      <c r="M114" s="35" t="b">
        <v>0</v>
      </c>
      <c r="N114" s="35" t="b">
        <v>0</v>
      </c>
      <c r="O114" s="35" t="b">
        <v>0</v>
      </c>
      <c r="P114" s="35" t="b">
        <v>0</v>
      </c>
      <c r="Q114" s="35" t="b">
        <v>0</v>
      </c>
      <c r="R114" s="14"/>
      <c r="S114" s="14"/>
      <c r="T114" s="14"/>
      <c r="U114" s="14"/>
      <c r="V114" s="14"/>
      <c r="W114" s="14"/>
    </row>
    <row r="115" ht="31.5" customHeight="1">
      <c r="A115" s="109" t="s">
        <v>6075</v>
      </c>
      <c r="B115" s="110" t="s">
        <v>6077</v>
      </c>
      <c r="C115" s="111" t="s">
        <v>6079</v>
      </c>
      <c r="D115" s="28" t="s">
        <v>6081</v>
      </c>
      <c r="E115" s="28" t="str">
        <f>IFERROR(__xludf.DUMMYFUNCTION("GOOGLETRANSLATE(D115,""zh-CN"",""vi"")"),"Anh ta đứng trên mép vách đá.")</f>
        <v>Anh ta đứng trên mép vách đá.</v>
      </c>
      <c r="F115" s="119" t="s">
        <v>6075</v>
      </c>
      <c r="G115" s="36" t="b">
        <f t="shared" si="1"/>
        <v>1</v>
      </c>
      <c r="H115" s="35" t="b">
        <v>1</v>
      </c>
      <c r="I115" s="35" t="b">
        <v>0</v>
      </c>
      <c r="J115" s="35" t="b">
        <v>0</v>
      </c>
      <c r="K115" s="35" t="b">
        <v>0</v>
      </c>
      <c r="L115" s="35" t="b">
        <v>0</v>
      </c>
      <c r="M115" s="35" t="b">
        <v>0</v>
      </c>
      <c r="N115" s="35" t="b">
        <v>0</v>
      </c>
      <c r="O115" s="35" t="b">
        <v>0</v>
      </c>
      <c r="P115" s="35" t="b">
        <v>0</v>
      </c>
      <c r="Q115" s="35" t="b">
        <v>0</v>
      </c>
      <c r="R115" s="14"/>
      <c r="S115" s="14"/>
      <c r="T115" s="14"/>
      <c r="U115" s="14"/>
      <c r="V115" s="14"/>
      <c r="W115" s="14"/>
    </row>
    <row r="116" ht="31.5" customHeight="1">
      <c r="A116" s="109" t="s">
        <v>6083</v>
      </c>
      <c r="B116" s="110" t="s">
        <v>6085</v>
      </c>
      <c r="C116" s="111" t="s">
        <v>6086</v>
      </c>
      <c r="D116" s="28" t="s">
        <v>6088</v>
      </c>
      <c r="E116" s="28" t="str">
        <f>IFERROR(__xludf.DUMMYFUNCTION("GOOGLETRANSLATE(D116,""zh-CN"",""vi"")"),"Cô ấy thích đan áo len.")</f>
        <v>Cô ấy thích đan áo len.</v>
      </c>
      <c r="F116" s="119" t="s">
        <v>6083</v>
      </c>
      <c r="G116" s="36" t="b">
        <f t="shared" si="1"/>
        <v>1</v>
      </c>
      <c r="H116" s="35" t="b">
        <v>1</v>
      </c>
      <c r="I116" s="35" t="b">
        <v>0</v>
      </c>
      <c r="J116" s="35" t="b">
        <v>0</v>
      </c>
      <c r="K116" s="35" t="b">
        <v>0</v>
      </c>
      <c r="L116" s="35" t="b">
        <v>0</v>
      </c>
      <c r="M116" s="35" t="b">
        <v>0</v>
      </c>
      <c r="N116" s="35" t="b">
        <v>0</v>
      </c>
      <c r="O116" s="35" t="b">
        <v>0</v>
      </c>
      <c r="P116" s="35" t="b">
        <v>0</v>
      </c>
      <c r="Q116" s="35" t="b">
        <v>0</v>
      </c>
      <c r="R116" s="14"/>
      <c r="S116" s="14"/>
      <c r="T116" s="14"/>
      <c r="U116" s="14"/>
      <c r="V116" s="14"/>
      <c r="W116" s="14"/>
    </row>
    <row r="117" ht="31.5" customHeight="1">
      <c r="A117" s="109" t="s">
        <v>6090</v>
      </c>
      <c r="B117" s="110" t="s">
        <v>6091</v>
      </c>
      <c r="C117" s="111" t="s">
        <v>6092</v>
      </c>
      <c r="D117" s="28" t="s">
        <v>6093</v>
      </c>
      <c r="E117" s="28" t="str">
        <f>IFERROR(__xludf.DUMMYFUNCTION("GOOGLETRANSLATE(D117,""zh-CN"",""vi"")"),"Chiếc hộp này hơi dẹt.")</f>
        <v>Chiếc hộp này hơi dẹt.</v>
      </c>
      <c r="F117" s="119" t="s">
        <v>6090</v>
      </c>
      <c r="G117" s="36" t="b">
        <f t="shared" si="1"/>
        <v>1</v>
      </c>
      <c r="H117" s="35" t="b">
        <v>1</v>
      </c>
      <c r="I117" s="35" t="b">
        <v>0</v>
      </c>
      <c r="J117" s="35" t="b">
        <v>0</v>
      </c>
      <c r="K117" s="35" t="b">
        <v>0</v>
      </c>
      <c r="L117" s="35" t="b">
        <v>0</v>
      </c>
      <c r="M117" s="35" t="b">
        <v>0</v>
      </c>
      <c r="N117" s="35" t="b">
        <v>0</v>
      </c>
      <c r="O117" s="35" t="b">
        <v>0</v>
      </c>
      <c r="P117" s="35" t="b">
        <v>0</v>
      </c>
      <c r="Q117" s="35" t="b">
        <v>0</v>
      </c>
      <c r="R117" s="14"/>
      <c r="S117" s="14"/>
      <c r="T117" s="14"/>
      <c r="U117" s="14"/>
      <c r="V117" s="14"/>
      <c r="W117" s="14"/>
    </row>
    <row r="118" ht="31.5" customHeight="1">
      <c r="A118" s="109" t="s">
        <v>6098</v>
      </c>
      <c r="B118" s="110" t="s">
        <v>6099</v>
      </c>
      <c r="C118" s="111" t="s">
        <v>6100</v>
      </c>
      <c r="D118" s="28" t="s">
        <v>6101</v>
      </c>
      <c r="E118" s="28" t="str">
        <f>IFERROR(__xludf.DUMMYFUNCTION("GOOGLETRANSLATE(D118,""zh-CN"",""vi"")"),"Đừng xem nhẹ khả năng của chính mình.")</f>
        <v>Đừng xem nhẹ khả năng của chính mình.</v>
      </c>
      <c r="F118" s="119" t="s">
        <v>6098</v>
      </c>
      <c r="G118" s="36" t="b">
        <f t="shared" si="1"/>
        <v>1</v>
      </c>
      <c r="H118" s="35" t="b">
        <v>1</v>
      </c>
      <c r="I118" s="35" t="b">
        <v>0</v>
      </c>
      <c r="J118" s="35" t="b">
        <v>0</v>
      </c>
      <c r="K118" s="35" t="b">
        <v>0</v>
      </c>
      <c r="L118" s="35" t="b">
        <v>0</v>
      </c>
      <c r="M118" s="35" t="b">
        <v>0</v>
      </c>
      <c r="N118" s="35" t="b">
        <v>0</v>
      </c>
      <c r="O118" s="35" t="b">
        <v>0</v>
      </c>
      <c r="P118" s="35" t="b">
        <v>0</v>
      </c>
      <c r="Q118" s="35" t="b">
        <v>0</v>
      </c>
      <c r="R118" s="14"/>
      <c r="S118" s="14"/>
      <c r="T118" s="14"/>
      <c r="U118" s="14"/>
      <c r="V118" s="14"/>
      <c r="W118" s="14"/>
    </row>
    <row r="119" ht="31.5" customHeight="1">
      <c r="A119" s="109" t="s">
        <v>6106</v>
      </c>
      <c r="B119" s="110" t="s">
        <v>6107</v>
      </c>
      <c r="C119" s="111" t="s">
        <v>6108</v>
      </c>
      <c r="D119" s="28" t="s">
        <v>6109</v>
      </c>
      <c r="E119" s="28" t="str">
        <f>IFERROR(__xludf.DUMMYFUNCTION("GOOGLETRANSLATE(D119,""zh-CN"",""vi"")"),"Từ này mang hàm ý miệt thị.")</f>
        <v>Từ này mang hàm ý miệt thị.</v>
      </c>
      <c r="F119" s="119" t="s">
        <v>6106</v>
      </c>
      <c r="G119" s="36" t="b">
        <f t="shared" si="1"/>
        <v>1</v>
      </c>
      <c r="H119" s="35" t="b">
        <v>1</v>
      </c>
      <c r="I119" s="35" t="b">
        <v>0</v>
      </c>
      <c r="J119" s="35" t="b">
        <v>0</v>
      </c>
      <c r="K119" s="35" t="b">
        <v>0</v>
      </c>
      <c r="L119" s="35" t="b">
        <v>0</v>
      </c>
      <c r="M119" s="35" t="b">
        <v>0</v>
      </c>
      <c r="N119" s="35" t="b">
        <v>0</v>
      </c>
      <c r="O119" s="35" t="b">
        <v>0</v>
      </c>
      <c r="P119" s="35" t="b">
        <v>0</v>
      </c>
      <c r="Q119" s="35" t="b">
        <v>0</v>
      </c>
      <c r="R119" s="14"/>
      <c r="S119" s="14"/>
      <c r="T119" s="14"/>
      <c r="U119" s="14"/>
      <c r="V119" s="14"/>
      <c r="W119" s="14"/>
    </row>
    <row r="120" ht="31.5" customHeight="1">
      <c r="A120" s="109" t="s">
        <v>6114</v>
      </c>
      <c r="B120" s="110" t="s">
        <v>6115</v>
      </c>
      <c r="C120" s="111" t="s">
        <v>6116</v>
      </c>
      <c r="D120" s="28" t="s">
        <v>6117</v>
      </c>
      <c r="E120" s="28" t="str">
        <f>IFERROR(__xludf.DUMMYFUNCTION("GOOGLETRANSLATE(D120,""zh-CN"",""vi"")"),"Loại cây này được tìm thấy khắp vùng.")</f>
        <v>Loại cây này được tìm thấy khắp vùng.</v>
      </c>
      <c r="F120" s="119" t="s">
        <v>6114</v>
      </c>
      <c r="G120" s="36" t="b">
        <f t="shared" si="1"/>
        <v>1</v>
      </c>
      <c r="H120" s="35" t="b">
        <v>1</v>
      </c>
      <c r="I120" s="35" t="b">
        <v>0</v>
      </c>
      <c r="J120" s="35" t="b">
        <v>0</v>
      </c>
      <c r="K120" s="35" t="b">
        <v>0</v>
      </c>
      <c r="L120" s="35" t="b">
        <v>0</v>
      </c>
      <c r="M120" s="35" t="b">
        <v>0</v>
      </c>
      <c r="N120" s="35" t="b">
        <v>0</v>
      </c>
      <c r="O120" s="35" t="b">
        <v>0</v>
      </c>
      <c r="P120" s="35" t="b">
        <v>0</v>
      </c>
      <c r="Q120" s="35" t="b">
        <v>0</v>
      </c>
      <c r="R120" s="14"/>
      <c r="S120" s="14"/>
      <c r="T120" s="14"/>
      <c r="U120" s="14"/>
      <c r="V120" s="14"/>
      <c r="W120" s="14"/>
    </row>
    <row r="121" ht="31.5" customHeight="1">
      <c r="A121" s="109" t="s">
        <v>6122</v>
      </c>
      <c r="B121" s="110" t="s">
        <v>6123</v>
      </c>
      <c r="C121" s="111" t="s">
        <v>6124</v>
      </c>
      <c r="D121" s="28" t="s">
        <v>6125</v>
      </c>
      <c r="E121" s="28" t="str">
        <f>IFERROR(__xludf.DUMMYFUNCTION("GOOGLETRANSLATE(D121,""zh-CN"",""vi"")"),"Gia đình anh ấy đã trải qua một biến động lớn.")</f>
        <v>Gia đình anh ấy đã trải qua một biến động lớn.</v>
      </c>
      <c r="F121" s="119" t="s">
        <v>6122</v>
      </c>
      <c r="G121" s="36" t="b">
        <f t="shared" si="1"/>
        <v>1</v>
      </c>
      <c r="H121" s="35" t="b">
        <v>1</v>
      </c>
      <c r="I121" s="35" t="b">
        <v>0</v>
      </c>
      <c r="J121" s="35" t="b">
        <v>0</v>
      </c>
      <c r="K121" s="35" t="b">
        <v>0</v>
      </c>
      <c r="L121" s="35" t="b">
        <v>0</v>
      </c>
      <c r="M121" s="35" t="b">
        <v>0</v>
      </c>
      <c r="N121" s="35" t="b">
        <v>0</v>
      </c>
      <c r="O121" s="35" t="b">
        <v>0</v>
      </c>
      <c r="P121" s="35" t="b">
        <v>0</v>
      </c>
      <c r="Q121" s="35" t="b">
        <v>0</v>
      </c>
      <c r="R121" s="14"/>
      <c r="S121" s="14"/>
      <c r="T121" s="14"/>
      <c r="U121" s="14"/>
      <c r="V121" s="14"/>
      <c r="W121" s="14"/>
    </row>
    <row r="122" ht="31.5" customHeight="1">
      <c r="A122" s="109" t="s">
        <v>6127</v>
      </c>
      <c r="B122" s="110" t="s">
        <v>6129</v>
      </c>
      <c r="C122" s="111" t="s">
        <v>6131</v>
      </c>
      <c r="D122" s="28" t="s">
        <v>6133</v>
      </c>
      <c r="E122" s="28" t="str">
        <f>IFERROR(__xludf.DUMMYFUNCTION("GOOGLETRANSLATE(D122,""zh-CN"",""vi"")"),"Luật sư của anh ta đã bào chữa cho anh ta.")</f>
        <v>Luật sư của anh ta đã bào chữa cho anh ta.</v>
      </c>
      <c r="F122" s="119" t="s">
        <v>6127</v>
      </c>
      <c r="G122" s="36" t="b">
        <f t="shared" si="1"/>
        <v>1</v>
      </c>
      <c r="H122" s="35" t="b">
        <v>1</v>
      </c>
      <c r="I122" s="35" t="b">
        <v>0</v>
      </c>
      <c r="J122" s="35" t="b">
        <v>0</v>
      </c>
      <c r="K122" s="35" t="b">
        <v>0</v>
      </c>
      <c r="L122" s="35" t="b">
        <v>0</v>
      </c>
      <c r="M122" s="35" t="b">
        <v>0</v>
      </c>
      <c r="N122" s="35" t="b">
        <v>0</v>
      </c>
      <c r="O122" s="35" t="b">
        <v>0</v>
      </c>
      <c r="P122" s="35" t="b">
        <v>0</v>
      </c>
      <c r="Q122" s="35" t="b">
        <v>0</v>
      </c>
      <c r="R122" s="14"/>
      <c r="S122" s="14"/>
      <c r="T122" s="14"/>
      <c r="U122" s="14"/>
      <c r="V122" s="14"/>
      <c r="W122" s="14"/>
    </row>
    <row r="123" ht="31.5" customHeight="1">
      <c r="A123" s="109" t="s">
        <v>6134</v>
      </c>
      <c r="B123" s="110" t="s">
        <v>6135</v>
      </c>
      <c r="C123" s="111" t="s">
        <v>6136</v>
      </c>
      <c r="D123" s="28" t="s">
        <v>6137</v>
      </c>
      <c r="E123" s="28" t="str">
        <f>IFERROR(__xludf.DUMMYFUNCTION("GOOGLETRANSLATE(D123,""zh-CN"",""vi"")"),"Ông ta cố gắng biện minh cho sai lầm của mình.")</f>
        <v>Ông ta cố gắng biện minh cho sai lầm của mình.</v>
      </c>
      <c r="F123" s="119" t="s">
        <v>6134</v>
      </c>
      <c r="G123" s="36" t="b">
        <f t="shared" si="1"/>
        <v>1</v>
      </c>
      <c r="H123" s="35" t="b">
        <v>1</v>
      </c>
      <c r="I123" s="35" t="b">
        <v>0</v>
      </c>
      <c r="J123" s="35" t="b">
        <v>0</v>
      </c>
      <c r="K123" s="35" t="b">
        <v>0</v>
      </c>
      <c r="L123" s="35" t="b">
        <v>0</v>
      </c>
      <c r="M123" s="35" t="b">
        <v>0</v>
      </c>
      <c r="N123" s="35" t="b">
        <v>0</v>
      </c>
      <c r="O123" s="35" t="b">
        <v>0</v>
      </c>
      <c r="P123" s="35" t="b">
        <v>0</v>
      </c>
      <c r="Q123" s="35" t="b">
        <v>0</v>
      </c>
      <c r="R123" s="14"/>
      <c r="S123" s="14"/>
      <c r="T123" s="14"/>
      <c r="U123" s="14"/>
      <c r="V123" s="14"/>
      <c r="W123" s="14"/>
    </row>
    <row r="124" ht="31.5" customHeight="1">
      <c r="A124" s="109" t="s">
        <v>6142</v>
      </c>
      <c r="B124" s="110" t="s">
        <v>6143</v>
      </c>
      <c r="C124" s="111" t="s">
        <v>6144</v>
      </c>
      <c r="D124" s="28" t="s">
        <v>6146</v>
      </c>
      <c r="E124" s="28" t="str">
        <f>IFERROR(__xludf.DUMMYFUNCTION("GOOGLETRANSLATE(D124,""zh-CN"",""vi"")"),"Giao thông ở đây rất thuận tiện.")</f>
        <v>Giao thông ở đây rất thuận tiện.</v>
      </c>
      <c r="F124" s="119" t="s">
        <v>6142</v>
      </c>
      <c r="G124" s="36" t="b">
        <f t="shared" si="1"/>
        <v>1</v>
      </c>
      <c r="H124" s="35" t="b">
        <v>1</v>
      </c>
      <c r="I124" s="35" t="b">
        <v>0</v>
      </c>
      <c r="J124" s="35" t="b">
        <v>0</v>
      </c>
      <c r="K124" s="35" t="b">
        <v>0</v>
      </c>
      <c r="L124" s="35" t="b">
        <v>0</v>
      </c>
      <c r="M124" s="35" t="b">
        <v>0</v>
      </c>
      <c r="N124" s="35" t="b">
        <v>0</v>
      </c>
      <c r="O124" s="35" t="b">
        <v>0</v>
      </c>
      <c r="P124" s="35" t="b">
        <v>0</v>
      </c>
      <c r="Q124" s="35" t="b">
        <v>0</v>
      </c>
      <c r="R124" s="14"/>
      <c r="S124" s="14"/>
      <c r="T124" s="14"/>
      <c r="U124" s="14"/>
      <c r="V124" s="14"/>
      <c r="W124" s="14"/>
    </row>
    <row r="125" ht="31.5" customHeight="1">
      <c r="A125" s="109" t="s">
        <v>6149</v>
      </c>
      <c r="B125" s="110" t="s">
        <v>6150</v>
      </c>
      <c r="C125" s="111" t="s">
        <v>6151</v>
      </c>
      <c r="D125" s="28" t="s">
        <v>6152</v>
      </c>
      <c r="E125" s="28" t="str">
        <f>IFERROR(__xludf.DUMMYFUNCTION("GOOGLETRANSLATE(D125,""zh-CN"",""vi"")"),"Thành phố này đã trải qua những thay đổi to lớn.")</f>
        <v>Thành phố này đã trải qua những thay đổi to lớn.</v>
      </c>
      <c r="F125" s="119" t="s">
        <v>6149</v>
      </c>
      <c r="G125" s="36" t="b">
        <f t="shared" si="1"/>
        <v>1</v>
      </c>
      <c r="H125" s="35" t="b">
        <v>1</v>
      </c>
      <c r="I125" s="35" t="b">
        <v>0</v>
      </c>
      <c r="J125" s="35" t="b">
        <v>0</v>
      </c>
      <c r="K125" s="35" t="b">
        <v>0</v>
      </c>
      <c r="L125" s="35" t="b">
        <v>0</v>
      </c>
      <c r="M125" s="35" t="b">
        <v>0</v>
      </c>
      <c r="N125" s="35" t="b">
        <v>0</v>
      </c>
      <c r="O125" s="35" t="b">
        <v>0</v>
      </c>
      <c r="P125" s="35" t="b">
        <v>0</v>
      </c>
      <c r="Q125" s="35" t="b">
        <v>0</v>
      </c>
      <c r="R125" s="14"/>
      <c r="S125" s="14"/>
      <c r="T125" s="14"/>
      <c r="U125" s="14"/>
      <c r="V125" s="14"/>
      <c r="W125" s="14"/>
    </row>
    <row r="126" ht="31.5" customHeight="1">
      <c r="A126" s="109" t="s">
        <v>6153</v>
      </c>
      <c r="B126" s="110" t="s">
        <v>6154</v>
      </c>
      <c r="C126" s="111" t="s">
        <v>6155</v>
      </c>
      <c r="D126" s="28" t="s">
        <v>6156</v>
      </c>
      <c r="E126" s="28" t="str">
        <f>IFERROR(__xludf.DUMMYFUNCTION("GOOGLETRANSLATE(D126,""zh-CN"",""vi"")"),"Tôi nhận ra giọng nói của anh ấy.")</f>
        <v>Tôi nhận ra giọng nói của anh ấy.</v>
      </c>
      <c r="F126" s="119" t="s">
        <v>6153</v>
      </c>
      <c r="G126" s="36" t="b">
        <f t="shared" si="1"/>
        <v>1</v>
      </c>
      <c r="H126" s="35" t="b">
        <v>1</v>
      </c>
      <c r="I126" s="35" t="b">
        <v>0</v>
      </c>
      <c r="J126" s="35" t="b">
        <v>0</v>
      </c>
      <c r="K126" s="35" t="b">
        <v>0</v>
      </c>
      <c r="L126" s="35" t="b">
        <v>0</v>
      </c>
      <c r="M126" s="35" t="b">
        <v>0</v>
      </c>
      <c r="N126" s="35" t="b">
        <v>0</v>
      </c>
      <c r="O126" s="35" t="b">
        <v>0</v>
      </c>
      <c r="P126" s="35" t="b">
        <v>0</v>
      </c>
      <c r="Q126" s="35" t="b">
        <v>0</v>
      </c>
      <c r="R126" s="14"/>
      <c r="S126" s="14"/>
      <c r="T126" s="14"/>
      <c r="U126" s="14"/>
      <c r="V126" s="14"/>
      <c r="W126" s="14"/>
    </row>
    <row r="127" ht="31.5" customHeight="1">
      <c r="A127" s="109" t="s">
        <v>6157</v>
      </c>
      <c r="B127" s="110" t="s">
        <v>6158</v>
      </c>
      <c r="C127" s="111" t="s">
        <v>6159</v>
      </c>
      <c r="D127" s="28" t="s">
        <v>6160</v>
      </c>
      <c r="E127" s="28" t="str">
        <f>IFERROR(__xludf.DUMMYFUNCTION("GOOGLETRANSLATE(D127,""zh-CN"",""vi"")"),"Anh ấy để lại cho tôi một mẩu giấy nhắn.")</f>
        <v>Anh ấy để lại cho tôi một mẩu giấy nhắn.</v>
      </c>
      <c r="F127" s="119" t="s">
        <v>6157</v>
      </c>
      <c r="G127" s="36" t="b">
        <f t="shared" si="1"/>
        <v>1</v>
      </c>
      <c r="H127" s="35" t="b">
        <v>1</v>
      </c>
      <c r="I127" s="35" t="b">
        <v>0</v>
      </c>
      <c r="J127" s="35" t="b">
        <v>0</v>
      </c>
      <c r="K127" s="35" t="b">
        <v>0</v>
      </c>
      <c r="L127" s="35" t="b">
        <v>0</v>
      </c>
      <c r="M127" s="35" t="b">
        <v>0</v>
      </c>
      <c r="N127" s="35" t="b">
        <v>0</v>
      </c>
      <c r="O127" s="35" t="b">
        <v>0</v>
      </c>
      <c r="P127" s="35" t="b">
        <v>0</v>
      </c>
      <c r="Q127" s="35" t="b">
        <v>0</v>
      </c>
      <c r="R127" s="14"/>
      <c r="S127" s="14"/>
      <c r="T127" s="14"/>
      <c r="U127" s="14"/>
      <c r="V127" s="14"/>
      <c r="W127" s="14"/>
    </row>
    <row r="128" ht="31.5" customHeight="1">
      <c r="A128" s="109" t="s">
        <v>6165</v>
      </c>
      <c r="B128" s="110" t="s">
        <v>6166</v>
      </c>
      <c r="C128" s="111" t="s">
        <v>6167</v>
      </c>
      <c r="D128" s="28" t="s">
        <v>6168</v>
      </c>
      <c r="E128" s="28" t="str">
        <f>IFERROR(__xludf.DUMMYFUNCTION("GOOGLETRANSLATE(D128,""zh-CN"",""vi"")"),"Phương pháp này rất dễ thực hiện.")</f>
        <v>Phương pháp này rất dễ thực hiện.</v>
      </c>
      <c r="F128" s="119" t="s">
        <v>6165</v>
      </c>
      <c r="G128" s="36" t="b">
        <f t="shared" si="1"/>
        <v>1</v>
      </c>
      <c r="H128" s="35" t="b">
        <v>1</v>
      </c>
      <c r="I128" s="35" t="b">
        <v>0</v>
      </c>
      <c r="J128" s="35" t="b">
        <v>0</v>
      </c>
      <c r="K128" s="35" t="b">
        <v>0</v>
      </c>
      <c r="L128" s="35" t="b">
        <v>0</v>
      </c>
      <c r="M128" s="35" t="b">
        <v>0</v>
      </c>
      <c r="N128" s="35" t="b">
        <v>0</v>
      </c>
      <c r="O128" s="35" t="b">
        <v>0</v>
      </c>
      <c r="P128" s="35" t="b">
        <v>0</v>
      </c>
      <c r="Q128" s="35" t="b">
        <v>0</v>
      </c>
      <c r="R128" s="14"/>
      <c r="S128" s="14"/>
      <c r="T128" s="14"/>
      <c r="U128" s="14"/>
      <c r="V128" s="14"/>
      <c r="W128" s="14"/>
    </row>
    <row r="129" ht="31.5" customHeight="1">
      <c r="A129" s="109" t="s">
        <v>6173</v>
      </c>
      <c r="B129" s="110" t="s">
        <v>6174</v>
      </c>
      <c r="C129" s="111" t="s">
        <v>6175</v>
      </c>
      <c r="D129" s="28" t="s">
        <v>6176</v>
      </c>
      <c r="E129" s="28" t="str">
        <f>IFERROR(__xludf.DUMMYFUNCTION("GOOGLETRANSLATE(D129,""zh-CN"",""vi"")"),"Chúng ta cần nhìn nhận vấn đề này theo phương pháp biện chứng.")</f>
        <v>Chúng ta cần nhìn nhận vấn đề này theo phương pháp biện chứng.</v>
      </c>
      <c r="F129" s="128"/>
      <c r="G129" s="36" t="b">
        <f t="shared" si="1"/>
        <v>0</v>
      </c>
      <c r="H129" s="35" t="b">
        <v>1</v>
      </c>
      <c r="I129" s="35" t="b">
        <v>0</v>
      </c>
      <c r="J129" s="35" t="b">
        <v>0</v>
      </c>
      <c r="K129" s="35" t="b">
        <v>0</v>
      </c>
      <c r="L129" s="35" t="b">
        <v>0</v>
      </c>
      <c r="M129" s="35" t="b">
        <v>0</v>
      </c>
      <c r="N129" s="35" t="b">
        <v>0</v>
      </c>
      <c r="O129" s="35" t="b">
        <v>0</v>
      </c>
      <c r="P129" s="35" t="b">
        <v>0</v>
      </c>
      <c r="Q129" s="35" t="b">
        <v>0</v>
      </c>
      <c r="R129" s="14"/>
      <c r="S129" s="14"/>
      <c r="T129" s="14"/>
      <c r="U129" s="14"/>
      <c r="V129" s="14"/>
      <c r="W129" s="14"/>
    </row>
    <row r="130" ht="31.5" customHeight="1">
      <c r="A130" s="109" t="s">
        <v>6185</v>
      </c>
      <c r="B130" s="110" t="s">
        <v>6186</v>
      </c>
      <c r="C130" s="111" t="s">
        <v>6188</v>
      </c>
      <c r="D130" s="28" t="s">
        <v>6190</v>
      </c>
      <c r="E130" s="28" t="str">
        <f>IFERROR(__xludf.DUMMYFUNCTION("GOOGLETRANSLATE(D130,""zh-CN"",""vi"")"),"Sữa đã bị hỏng và không nên uống.")</f>
        <v>Sữa đã bị hỏng và không nên uống.</v>
      </c>
      <c r="F130" s="128"/>
      <c r="G130" s="36" t="b">
        <f t="shared" si="1"/>
        <v>0</v>
      </c>
      <c r="H130" s="35" t="b">
        <v>1</v>
      </c>
      <c r="I130" s="35" t="b">
        <v>0</v>
      </c>
      <c r="J130" s="35" t="b">
        <v>0</v>
      </c>
      <c r="K130" s="35" t="b">
        <v>0</v>
      </c>
      <c r="L130" s="35" t="b">
        <v>0</v>
      </c>
      <c r="M130" s="35" t="b">
        <v>0</v>
      </c>
      <c r="N130" s="35" t="b">
        <v>0</v>
      </c>
      <c r="O130" s="35" t="b">
        <v>0</v>
      </c>
      <c r="P130" s="35" t="b">
        <v>0</v>
      </c>
      <c r="Q130" s="35" t="b">
        <v>0</v>
      </c>
      <c r="R130" s="14"/>
      <c r="S130" s="14"/>
      <c r="T130" s="14"/>
      <c r="U130" s="14"/>
      <c r="V130" s="14"/>
      <c r="W130" s="14"/>
    </row>
    <row r="131" ht="31.5" customHeight="1">
      <c r="A131" s="109" t="s">
        <v>6193</v>
      </c>
      <c r="B131" s="110" t="s">
        <v>6194</v>
      </c>
      <c r="C131" s="111" t="s">
        <v>6195</v>
      </c>
      <c r="D131" s="28" t="s">
        <v>6196</v>
      </c>
      <c r="E131" s="28" t="str">
        <f>IFERROR(__xludf.DUMMYFUNCTION("GOOGLETRANSLATE(D131,""zh-CN"",""vi"")"),"Bím tóc của cô ấy rất dài.")</f>
        <v>Bím tóc của cô ấy rất dài.</v>
      </c>
      <c r="F131" s="128"/>
      <c r="G131" s="36" t="b">
        <f t="shared" si="1"/>
        <v>0</v>
      </c>
      <c r="H131" s="35" t="b">
        <v>1</v>
      </c>
      <c r="I131" s="35" t="b">
        <v>0</v>
      </c>
      <c r="J131" s="35" t="b">
        <v>0</v>
      </c>
      <c r="K131" s="35" t="b">
        <v>0</v>
      </c>
      <c r="L131" s="35" t="b">
        <v>0</v>
      </c>
      <c r="M131" s="35" t="b">
        <v>0</v>
      </c>
      <c r="N131" s="35" t="b">
        <v>0</v>
      </c>
      <c r="O131" s="35" t="b">
        <v>0</v>
      </c>
      <c r="P131" s="35" t="b">
        <v>0</v>
      </c>
      <c r="Q131" s="35" t="b">
        <v>0</v>
      </c>
      <c r="R131" s="14"/>
      <c r="S131" s="14"/>
      <c r="T131" s="14"/>
      <c r="U131" s="14"/>
      <c r="V131" s="14"/>
      <c r="W131" s="14"/>
    </row>
    <row r="132" ht="31.5" customHeight="1">
      <c r="A132" s="109" t="s">
        <v>6201</v>
      </c>
      <c r="B132" s="110" t="s">
        <v>6202</v>
      </c>
      <c r="C132" s="111" t="s">
        <v>6203</v>
      </c>
      <c r="D132" s="28" t="s">
        <v>6204</v>
      </c>
      <c r="E132" s="28" t="str">
        <f>IFERROR(__xludf.DUMMYFUNCTION("GOOGLETRANSLATE(D132,""zh-CN"",""vi"")"),"Ông ấy là một nhà sưu tập mẫu vật động vật.")</f>
        <v>Ông ấy là một nhà sưu tập mẫu vật động vật.</v>
      </c>
      <c r="F132" s="128"/>
      <c r="G132" s="36" t="b">
        <f t="shared" si="1"/>
        <v>0</v>
      </c>
      <c r="H132" s="35" t="b">
        <v>1</v>
      </c>
      <c r="I132" s="35" t="b">
        <v>0</v>
      </c>
      <c r="J132" s="35" t="b">
        <v>0</v>
      </c>
      <c r="K132" s="35" t="b">
        <v>0</v>
      </c>
      <c r="L132" s="35" t="b">
        <v>0</v>
      </c>
      <c r="M132" s="35" t="b">
        <v>0</v>
      </c>
      <c r="N132" s="35" t="b">
        <v>0</v>
      </c>
      <c r="O132" s="35" t="b">
        <v>0</v>
      </c>
      <c r="P132" s="35" t="b">
        <v>0</v>
      </c>
      <c r="Q132" s="35" t="b">
        <v>0</v>
      </c>
      <c r="R132" s="14"/>
      <c r="S132" s="14"/>
      <c r="T132" s="14"/>
      <c r="U132" s="14"/>
      <c r="V132" s="14"/>
      <c r="W132" s="14"/>
    </row>
    <row r="133" ht="31.5" customHeight="1">
      <c r="A133" s="109" t="s">
        <v>6206</v>
      </c>
      <c r="B133" s="110" t="s">
        <v>6208</v>
      </c>
      <c r="C133" s="111" t="s">
        <v>6210</v>
      </c>
      <c r="D133" s="28" t="s">
        <v>6212</v>
      </c>
      <c r="E133" s="28" t="str">
        <f>IFERROR(__xludf.DUMMYFUNCTION("GOOGLETRANSLATE(D133,""zh-CN"",""vi"")"),"Vui lòng đánh dấu vị trí trên bản đồ.")</f>
        <v>Vui lòng đánh dấu vị trí trên bản đồ.</v>
      </c>
      <c r="F133" s="128"/>
      <c r="G133" s="36" t="b">
        <f t="shared" si="1"/>
        <v>0</v>
      </c>
      <c r="H133" s="35" t="b">
        <v>1</v>
      </c>
      <c r="I133" s="35" t="b">
        <v>0</v>
      </c>
      <c r="J133" s="35" t="b">
        <v>0</v>
      </c>
      <c r="K133" s="35" t="b">
        <v>0</v>
      </c>
      <c r="L133" s="35" t="b">
        <v>0</v>
      </c>
      <c r="M133" s="35" t="b">
        <v>0</v>
      </c>
      <c r="N133" s="35" t="b">
        <v>0</v>
      </c>
      <c r="O133" s="35" t="b">
        <v>0</v>
      </c>
      <c r="P133" s="35" t="b">
        <v>0</v>
      </c>
      <c r="Q133" s="35" t="b">
        <v>0</v>
      </c>
      <c r="R133" s="14"/>
      <c r="S133" s="14"/>
      <c r="T133" s="14"/>
      <c r="U133" s="14"/>
      <c r="V133" s="14"/>
      <c r="W133" s="14"/>
    </row>
    <row r="134" ht="31.5" customHeight="1">
      <c r="A134" s="109" t="s">
        <v>6214</v>
      </c>
      <c r="B134" s="110" t="s">
        <v>6216</v>
      </c>
      <c r="C134" s="111" t="s">
        <v>6218</v>
      </c>
      <c r="D134" s="28" t="s">
        <v>6220</v>
      </c>
      <c r="E134" s="28" t="str">
        <f>IFERROR(__xludf.DUMMYFUNCTION("GOOGLETRANSLATE(D134,""zh-CN"",""vi"")"),"Giá nhà đất tăng vọt trong một thời gian ngắn.")</f>
        <v>Giá nhà đất tăng vọt trong một thời gian ngắn.</v>
      </c>
      <c r="F134" s="128"/>
      <c r="G134" s="36" t="b">
        <f t="shared" si="1"/>
        <v>0</v>
      </c>
      <c r="H134" s="35" t="b">
        <v>1</v>
      </c>
      <c r="I134" s="35" t="b">
        <v>0</v>
      </c>
      <c r="J134" s="35" t="b">
        <v>0</v>
      </c>
      <c r="K134" s="35" t="b">
        <v>0</v>
      </c>
      <c r="L134" s="35" t="b">
        <v>0</v>
      </c>
      <c r="M134" s="35" t="b">
        <v>0</v>
      </c>
      <c r="N134" s="35" t="b">
        <v>0</v>
      </c>
      <c r="O134" s="35" t="b">
        <v>0</v>
      </c>
      <c r="P134" s="35" t="b">
        <v>0</v>
      </c>
      <c r="Q134" s="35" t="b">
        <v>0</v>
      </c>
      <c r="R134" s="14"/>
      <c r="S134" s="14"/>
      <c r="T134" s="14"/>
      <c r="U134" s="14"/>
      <c r="V134" s="14"/>
      <c r="W134" s="14"/>
    </row>
    <row r="135" ht="31.5" customHeight="1">
      <c r="A135" s="109" t="s">
        <v>6221</v>
      </c>
      <c r="B135" s="110" t="s">
        <v>6222</v>
      </c>
      <c r="C135" s="111" t="s">
        <v>6223</v>
      </c>
      <c r="D135" s="28" t="s">
        <v>6224</v>
      </c>
      <c r="E135" s="28" t="str">
        <f>IFERROR(__xludf.DUMMYFUNCTION("GOOGLETRANSLATE(D135,""zh-CN"",""vi"")"),"Tiêu đề bài viết này rất hấp dẫn.")</f>
        <v>Tiêu đề bài viết này rất hấp dẫn.</v>
      </c>
      <c r="F135" s="128"/>
      <c r="G135" s="36" t="b">
        <f t="shared" si="1"/>
        <v>0</v>
      </c>
      <c r="H135" s="35" t="b">
        <v>1</v>
      </c>
      <c r="I135" s="35" t="b">
        <v>0</v>
      </c>
      <c r="J135" s="35" t="b">
        <v>0</v>
      </c>
      <c r="K135" s="35" t="b">
        <v>0</v>
      </c>
      <c r="L135" s="35" t="b">
        <v>0</v>
      </c>
      <c r="M135" s="35" t="b">
        <v>0</v>
      </c>
      <c r="N135" s="35" t="b">
        <v>0</v>
      </c>
      <c r="O135" s="35" t="b">
        <v>0</v>
      </c>
      <c r="P135" s="35" t="b">
        <v>0</v>
      </c>
      <c r="Q135" s="35" t="b">
        <v>0</v>
      </c>
      <c r="R135" s="14"/>
      <c r="S135" s="14"/>
      <c r="T135" s="14"/>
      <c r="U135" s="14"/>
      <c r="V135" s="14"/>
      <c r="W135" s="14"/>
    </row>
    <row r="136" ht="31.5" customHeight="1">
      <c r="A136" s="109" t="s">
        <v>6229</v>
      </c>
      <c r="B136" s="110" t="s">
        <v>6230</v>
      </c>
      <c r="C136" s="111" t="s">
        <v>6231</v>
      </c>
      <c r="D136" s="28" t="s">
        <v>6232</v>
      </c>
      <c r="E136" s="28" t="str">
        <f>IFERROR(__xludf.DUMMYFUNCTION("GOOGLETRANSLATE(D136,""zh-CN"",""vi"")"),"Họ đã bỏ phiếu về vấn đề này.")</f>
        <v>Họ đã bỏ phiếu về vấn đề này.</v>
      </c>
      <c r="F136" s="128"/>
      <c r="G136" s="36" t="b">
        <f t="shared" si="1"/>
        <v>0</v>
      </c>
      <c r="H136" s="35" t="b">
        <v>1</v>
      </c>
      <c r="I136" s="35" t="b">
        <v>0</v>
      </c>
      <c r="J136" s="35" t="b">
        <v>0</v>
      </c>
      <c r="K136" s="35" t="b">
        <v>0</v>
      </c>
      <c r="L136" s="35" t="b">
        <v>0</v>
      </c>
      <c r="M136" s="35" t="b">
        <v>0</v>
      </c>
      <c r="N136" s="35" t="b">
        <v>0</v>
      </c>
      <c r="O136" s="35" t="b">
        <v>0</v>
      </c>
      <c r="P136" s="35" t="b">
        <v>0</v>
      </c>
      <c r="Q136" s="35" t="b">
        <v>0</v>
      </c>
      <c r="R136" s="14"/>
      <c r="S136" s="14"/>
      <c r="T136" s="14"/>
      <c r="U136" s="14"/>
      <c r="V136" s="14"/>
      <c r="W136" s="14"/>
    </row>
    <row r="137" ht="31.5" customHeight="1">
      <c r="A137" s="109" t="s">
        <v>6237</v>
      </c>
      <c r="B137" s="110" t="s">
        <v>6238</v>
      </c>
      <c r="C137" s="111" t="s">
        <v>6239</v>
      </c>
      <c r="D137" s="28" t="s">
        <v>6240</v>
      </c>
      <c r="E137" s="28" t="str">
        <f>IFERROR(__xludf.DUMMYFUNCTION("GOOGLETRANSLATE(D137,""zh-CN"",""vi"")"),"Ông đã bày tỏ sự ủng hộ đối với kế hoạch này tại cuộc họp.")</f>
        <v>Ông đã bày tỏ sự ủng hộ đối với kế hoạch này tại cuộc họp.</v>
      </c>
      <c r="F137" s="128"/>
      <c r="G137" s="36" t="b">
        <f t="shared" si="1"/>
        <v>0</v>
      </c>
      <c r="H137" s="35" t="b">
        <v>1</v>
      </c>
      <c r="I137" s="35" t="b">
        <v>0</v>
      </c>
      <c r="J137" s="35" t="b">
        <v>0</v>
      </c>
      <c r="K137" s="35" t="b">
        <v>0</v>
      </c>
      <c r="L137" s="35" t="b">
        <v>0</v>
      </c>
      <c r="M137" s="35" t="b">
        <v>0</v>
      </c>
      <c r="N137" s="35" t="b">
        <v>0</v>
      </c>
      <c r="O137" s="35" t="b">
        <v>0</v>
      </c>
      <c r="P137" s="35" t="b">
        <v>0</v>
      </c>
      <c r="Q137" s="35" t="b">
        <v>0</v>
      </c>
      <c r="R137" s="14"/>
      <c r="S137" s="14"/>
      <c r="T137" s="14"/>
      <c r="U137" s="14"/>
      <c r="V137" s="14"/>
      <c r="W137" s="14"/>
    </row>
    <row r="138" ht="31.5" customHeight="1">
      <c r="A138" s="109" t="s">
        <v>6245</v>
      </c>
      <c r="B138" s="110" t="s">
        <v>6246</v>
      </c>
      <c r="C138" s="111" t="s">
        <v>6247</v>
      </c>
      <c r="D138" s="28" t="s">
        <v>6248</v>
      </c>
      <c r="E138" s="28" t="str">
        <f>IFERROR(__xludf.DUMMYFUNCTION("GOOGLETRANSLATE(D138,""zh-CN"",""vi"")"),"Những đóng góp của ông đã được ghi nhận.")</f>
        <v>Những đóng góp của ông đã được ghi nhận.</v>
      </c>
      <c r="F138" s="128"/>
      <c r="G138" s="36" t="b">
        <f t="shared" si="1"/>
        <v>0</v>
      </c>
      <c r="H138" s="35" t="b">
        <v>1</v>
      </c>
      <c r="I138" s="35" t="b">
        <v>0</v>
      </c>
      <c r="J138" s="35" t="b">
        <v>0</v>
      </c>
      <c r="K138" s="35" t="b">
        <v>0</v>
      </c>
      <c r="L138" s="35" t="b">
        <v>0</v>
      </c>
      <c r="M138" s="35" t="b">
        <v>0</v>
      </c>
      <c r="N138" s="35" t="b">
        <v>0</v>
      </c>
      <c r="O138" s="35" t="b">
        <v>0</v>
      </c>
      <c r="P138" s="35" t="b">
        <v>0</v>
      </c>
      <c r="Q138" s="35" t="b">
        <v>0</v>
      </c>
      <c r="R138" s="14"/>
      <c r="S138" s="14"/>
      <c r="T138" s="14"/>
      <c r="U138" s="14"/>
      <c r="V138" s="14"/>
      <c r="W138" s="14"/>
    </row>
    <row r="139" ht="31.5" customHeight="1">
      <c r="A139" s="109" t="s">
        <v>6257</v>
      </c>
      <c r="B139" s="110" t="s">
        <v>6258</v>
      </c>
      <c r="C139" s="111" t="s">
        <v>6259</v>
      </c>
      <c r="D139" s="28" t="s">
        <v>6260</v>
      </c>
      <c r="E139" s="28" t="str">
        <f>IFERROR(__xludf.DUMMYFUNCTION("GOOGLETRANSLATE(D139,""zh-CN"",""vi"")"),"Tôi có rất nhiều điều muốn nói nhưng không thể nói ra.")</f>
        <v>Tôi có rất nhiều điều muốn nói nhưng không thể nói ra.</v>
      </c>
      <c r="F139" s="128"/>
      <c r="G139" s="36" t="b">
        <f t="shared" si="1"/>
        <v>0</v>
      </c>
      <c r="H139" s="35" t="b">
        <v>1</v>
      </c>
      <c r="I139" s="35" t="b">
        <v>0</v>
      </c>
      <c r="J139" s="35" t="b">
        <v>0</v>
      </c>
      <c r="K139" s="35" t="b">
        <v>0</v>
      </c>
      <c r="L139" s="35" t="b">
        <v>0</v>
      </c>
      <c r="M139" s="35" t="b">
        <v>0</v>
      </c>
      <c r="N139" s="35" t="b">
        <v>0</v>
      </c>
      <c r="O139" s="35" t="b">
        <v>0</v>
      </c>
      <c r="P139" s="35" t="b">
        <v>0</v>
      </c>
      <c r="Q139" s="35" t="b">
        <v>0</v>
      </c>
      <c r="R139" s="14"/>
      <c r="S139" s="14"/>
      <c r="T139" s="14"/>
      <c r="U139" s="14"/>
      <c r="V139" s="14"/>
      <c r="W139" s="14"/>
    </row>
    <row r="140" ht="31.5" customHeight="1">
      <c r="A140" s="109" t="s">
        <v>271</v>
      </c>
      <c r="B140" s="110" t="s">
        <v>6265</v>
      </c>
      <c r="C140" s="111" t="s">
        <v>275</v>
      </c>
      <c r="D140" s="28" t="s">
        <v>6266</v>
      </c>
      <c r="E140" s="28" t="str">
        <f>IFERROR(__xludf.DUMMYFUNCTION("GOOGLETRANSLATE(D140,""zh-CN"",""vi"")"),"Cái này thuộc về người khác; đừng động vào.")</f>
        <v>Cái này thuộc về người khác; đừng động vào.</v>
      </c>
      <c r="F140" s="128"/>
      <c r="G140" s="36" t="b">
        <f t="shared" si="1"/>
        <v>0</v>
      </c>
      <c r="H140" s="35" t="b">
        <v>1</v>
      </c>
      <c r="I140" s="35" t="b">
        <v>0</v>
      </c>
      <c r="J140" s="35" t="b">
        <v>0</v>
      </c>
      <c r="K140" s="35" t="b">
        <v>0</v>
      </c>
      <c r="L140" s="35" t="b">
        <v>0</v>
      </c>
      <c r="M140" s="35" t="b">
        <v>0</v>
      </c>
      <c r="N140" s="35" t="b">
        <v>0</v>
      </c>
      <c r="O140" s="35" t="b">
        <v>0</v>
      </c>
      <c r="P140" s="35" t="b">
        <v>0</v>
      </c>
      <c r="Q140" s="35" t="b">
        <v>0</v>
      </c>
      <c r="R140" s="14"/>
      <c r="S140" s="14"/>
      <c r="T140" s="14"/>
      <c r="U140" s="14"/>
      <c r="V140" s="14"/>
      <c r="W140" s="14"/>
    </row>
    <row r="141" ht="31.5" customHeight="1">
      <c r="A141" s="109" t="s">
        <v>6271</v>
      </c>
      <c r="B141" s="110" t="s">
        <v>6272</v>
      </c>
      <c r="C141" s="111" t="s">
        <v>6273</v>
      </c>
      <c r="D141" s="28" t="s">
        <v>6274</v>
      </c>
      <c r="E141" s="28" t="str">
        <f>IFERROR(__xludf.DUMMYFUNCTION("GOOGLETRANSLATE(D141,""zh-CN"",""vi"")"),"Họ sống trong một biệt thự sang trọng.")</f>
        <v>Họ sống trong một biệt thự sang trọng.</v>
      </c>
      <c r="F141" s="128"/>
      <c r="G141" s="36" t="b">
        <f t="shared" si="1"/>
        <v>0</v>
      </c>
      <c r="H141" s="35" t="b">
        <v>1</v>
      </c>
      <c r="I141" s="35" t="b">
        <v>0</v>
      </c>
      <c r="J141" s="35" t="b">
        <v>0</v>
      </c>
      <c r="K141" s="35" t="b">
        <v>0</v>
      </c>
      <c r="L141" s="35" t="b">
        <v>0</v>
      </c>
      <c r="M141" s="35" t="b">
        <v>0</v>
      </c>
      <c r="N141" s="35" t="b">
        <v>0</v>
      </c>
      <c r="O141" s="35" t="b">
        <v>0</v>
      </c>
      <c r="P141" s="35" t="b">
        <v>0</v>
      </c>
      <c r="Q141" s="35" t="b">
        <v>0</v>
      </c>
      <c r="R141" s="14"/>
      <c r="S141" s="14"/>
      <c r="T141" s="14"/>
      <c r="U141" s="14"/>
      <c r="V141" s="14"/>
      <c r="W141" s="14"/>
    </row>
    <row r="142" ht="31.5" customHeight="1">
      <c r="A142" s="109" t="s">
        <v>6279</v>
      </c>
      <c r="B142" s="110" t="s">
        <v>6280</v>
      </c>
      <c r="C142" s="111" t="s">
        <v>5808</v>
      </c>
      <c r="D142" s="28" t="s">
        <v>6281</v>
      </c>
      <c r="E142" s="28" t="str">
        <f>IFERROR(__xludf.DUMMYFUNCTION("GOOGLETRANSLATE(D142,""zh-CN"",""vi"")"),"Trang phục của cô ấy rất độc đáo.")</f>
        <v>Trang phục của cô ấy rất độc đáo.</v>
      </c>
      <c r="F142" s="128"/>
      <c r="G142" s="36" t="b">
        <f t="shared" si="1"/>
        <v>0</v>
      </c>
      <c r="H142" s="35" t="b">
        <v>1</v>
      </c>
      <c r="I142" s="35" t="b">
        <v>0</v>
      </c>
      <c r="J142" s="35" t="b">
        <v>0</v>
      </c>
      <c r="K142" s="35" t="b">
        <v>0</v>
      </c>
      <c r="L142" s="35" t="b">
        <v>0</v>
      </c>
      <c r="M142" s="35" t="b">
        <v>0</v>
      </c>
      <c r="N142" s="35" t="b">
        <v>0</v>
      </c>
      <c r="O142" s="35" t="b">
        <v>0</v>
      </c>
      <c r="P142" s="35" t="b">
        <v>0</v>
      </c>
      <c r="Q142" s="35" t="b">
        <v>0</v>
      </c>
      <c r="R142" s="14"/>
      <c r="S142" s="14"/>
      <c r="T142" s="14"/>
      <c r="U142" s="14"/>
      <c r="V142" s="14"/>
      <c r="W142" s="14"/>
    </row>
    <row r="143" ht="31.5" customHeight="1">
      <c r="A143" s="109" t="s">
        <v>6286</v>
      </c>
      <c r="B143" s="110" t="s">
        <v>6287</v>
      </c>
      <c r="C143" s="111" t="s">
        <v>6288</v>
      </c>
      <c r="D143" s="28" t="s">
        <v>6289</v>
      </c>
      <c r="E143" s="28" t="str">
        <f>IFERROR(__xludf.DUMMYFUNCTION("GOOGLETRANSLATE(D143,""zh-CN"",""vi"")"),"Mối quan hệ của họ có phần gượng gạo.")</f>
        <v>Mối quan hệ của họ có phần gượng gạo.</v>
      </c>
      <c r="F143" s="128"/>
      <c r="G143" s="36" t="b">
        <f t="shared" si="1"/>
        <v>0</v>
      </c>
      <c r="H143" s="35" t="b">
        <v>1</v>
      </c>
      <c r="I143" s="35" t="b">
        <v>0</v>
      </c>
      <c r="J143" s="35" t="b">
        <v>0</v>
      </c>
      <c r="K143" s="35" t="b">
        <v>0</v>
      </c>
      <c r="L143" s="35" t="b">
        <v>0</v>
      </c>
      <c r="M143" s="35" t="b">
        <v>0</v>
      </c>
      <c r="N143" s="35" t="b">
        <v>0</v>
      </c>
      <c r="O143" s="35" t="b">
        <v>0</v>
      </c>
      <c r="P143" s="35" t="b">
        <v>0</v>
      </c>
      <c r="Q143" s="35" t="b">
        <v>0</v>
      </c>
      <c r="R143" s="14"/>
      <c r="S143" s="14"/>
      <c r="T143" s="14"/>
      <c r="U143" s="14"/>
      <c r="V143" s="14"/>
      <c r="W143" s="14"/>
    </row>
    <row r="144" ht="31.5" customHeight="1">
      <c r="A144" s="109" t="s">
        <v>6294</v>
      </c>
      <c r="B144" s="110" t="s">
        <v>6295</v>
      </c>
      <c r="C144" s="111" t="s">
        <v>6296</v>
      </c>
      <c r="D144" s="28" t="s">
        <v>6297</v>
      </c>
      <c r="E144" s="28" t="str">
        <f>IFERROR(__xludf.DUMMYFUNCTION("GOOGLETRANSLATE(D144,""zh-CN"",""vi"")"),"Anh ta gần như kiệt sức.")</f>
        <v>Anh ta gần như kiệt sức.</v>
      </c>
      <c r="F144" s="128"/>
      <c r="G144" s="36" t="b">
        <f t="shared" si="1"/>
        <v>0</v>
      </c>
      <c r="H144" s="35" t="b">
        <v>1</v>
      </c>
      <c r="I144" s="35" t="b">
        <v>0</v>
      </c>
      <c r="J144" s="35" t="b">
        <v>0</v>
      </c>
      <c r="K144" s="35" t="b">
        <v>0</v>
      </c>
      <c r="L144" s="35" t="b">
        <v>0</v>
      </c>
      <c r="M144" s="35" t="b">
        <v>0</v>
      </c>
      <c r="N144" s="35" t="b">
        <v>0</v>
      </c>
      <c r="O144" s="35" t="b">
        <v>0</v>
      </c>
      <c r="P144" s="35" t="b">
        <v>0</v>
      </c>
      <c r="Q144" s="35" t="b">
        <v>0</v>
      </c>
      <c r="R144" s="14"/>
      <c r="S144" s="14"/>
      <c r="T144" s="14"/>
      <c r="U144" s="14"/>
      <c r="V144" s="14"/>
      <c r="W144" s="14"/>
    </row>
    <row r="145" ht="31.5" customHeight="1">
      <c r="A145" s="109" t="s">
        <v>6300</v>
      </c>
      <c r="B145" s="110" t="s">
        <v>6302</v>
      </c>
      <c r="C145" s="111" t="s">
        <v>6304</v>
      </c>
      <c r="D145" s="28" t="s">
        <v>6305</v>
      </c>
      <c r="E145" s="28" t="str">
        <f>IFERROR(__xludf.DUMMYFUNCTION("GOOGLETRANSLATE(D145,""zh-CN"",""vi"")"),"Đột nhiên, trời bắt đầu mưa đá.")</f>
        <v>Đột nhiên, trời bắt đầu mưa đá.</v>
      </c>
      <c r="F145" s="128"/>
      <c r="G145" s="36" t="b">
        <f t="shared" si="1"/>
        <v>0</v>
      </c>
      <c r="H145" s="35" t="b">
        <v>1</v>
      </c>
      <c r="I145" s="35" t="b">
        <v>0</v>
      </c>
      <c r="J145" s="35" t="b">
        <v>0</v>
      </c>
      <c r="K145" s="35" t="b">
        <v>0</v>
      </c>
      <c r="L145" s="35" t="b">
        <v>0</v>
      </c>
      <c r="M145" s="35" t="b">
        <v>0</v>
      </c>
      <c r="N145" s="35" t="b">
        <v>0</v>
      </c>
      <c r="O145" s="35" t="b">
        <v>0</v>
      </c>
      <c r="P145" s="35" t="b">
        <v>0</v>
      </c>
      <c r="Q145" s="35" t="b">
        <v>0</v>
      </c>
      <c r="R145" s="14"/>
      <c r="S145" s="14"/>
      <c r="T145" s="14"/>
      <c r="U145" s="14"/>
      <c r="V145" s="14"/>
      <c r="W145" s="14"/>
    </row>
    <row r="146" ht="31.5" customHeight="1">
      <c r="A146" s="109" t="s">
        <v>6306</v>
      </c>
      <c r="B146" s="110" t="s">
        <v>6307</v>
      </c>
      <c r="C146" s="111" t="s">
        <v>6308</v>
      </c>
      <c r="D146" s="28" t="s">
        <v>6309</v>
      </c>
      <c r="E146" s="28" t="str">
        <f>IFERROR(__xludf.DUMMYFUNCTION("GOOGLETRANSLATE(D146,""zh-CN"",""vi"")"),"Họ cùng tồn tại hòa bình.")</f>
        <v>Họ cùng tồn tại hòa bình.</v>
      </c>
      <c r="F146" s="128"/>
      <c r="G146" s="36" t="b">
        <f t="shared" si="1"/>
        <v>0</v>
      </c>
      <c r="H146" s="35" t="b">
        <v>1</v>
      </c>
      <c r="I146" s="35" t="b">
        <v>0</v>
      </c>
      <c r="J146" s="35" t="b">
        <v>0</v>
      </c>
      <c r="K146" s="35" t="b">
        <v>0</v>
      </c>
      <c r="L146" s="35" t="b">
        <v>0</v>
      </c>
      <c r="M146" s="35" t="b">
        <v>0</v>
      </c>
      <c r="N146" s="35" t="b">
        <v>0</v>
      </c>
      <c r="O146" s="35" t="b">
        <v>0</v>
      </c>
      <c r="P146" s="35" t="b">
        <v>0</v>
      </c>
      <c r="Q146" s="35" t="b">
        <v>0</v>
      </c>
      <c r="R146" s="14"/>
      <c r="S146" s="14"/>
      <c r="T146" s="14"/>
      <c r="U146" s="14"/>
      <c r="V146" s="14"/>
      <c r="W146" s="14"/>
    </row>
    <row r="147" ht="31.5" customHeight="1">
      <c r="A147" s="109" t="s">
        <v>6314</v>
      </c>
      <c r="B147" s="110" t="s">
        <v>6315</v>
      </c>
      <c r="C147" s="111" t="s">
        <v>6316</v>
      </c>
      <c r="D147" s="28" t="s">
        <v>6317</v>
      </c>
      <c r="E147" s="28" t="str">
        <f>IFERROR(__xludf.DUMMYFUNCTION("GOOGLETRANSLATE(D147,""zh-CN"",""vi"")"),"Không phải là anh ấy không muốn, mà là anh ấy không có thời gian.")</f>
        <v>Không phải là anh ấy không muốn, mà là anh ấy không có thời gian.</v>
      </c>
      <c r="F147" s="128"/>
      <c r="G147" s="36" t="b">
        <f t="shared" si="1"/>
        <v>0</v>
      </c>
      <c r="H147" s="35" t="b">
        <v>1</v>
      </c>
      <c r="I147" s="35" t="b">
        <v>0</v>
      </c>
      <c r="J147" s="35" t="b">
        <v>0</v>
      </c>
      <c r="K147" s="35" t="b">
        <v>0</v>
      </c>
      <c r="L147" s="35" t="b">
        <v>0</v>
      </c>
      <c r="M147" s="35" t="b">
        <v>0</v>
      </c>
      <c r="N147" s="35" t="b">
        <v>0</v>
      </c>
      <c r="O147" s="35" t="b">
        <v>0</v>
      </c>
      <c r="P147" s="35" t="b">
        <v>0</v>
      </c>
      <c r="Q147" s="35" t="b">
        <v>0</v>
      </c>
      <c r="R147" s="14"/>
      <c r="S147" s="14"/>
      <c r="T147" s="14"/>
      <c r="U147" s="14"/>
      <c r="V147" s="14"/>
      <c r="W147" s="14"/>
    </row>
    <row r="148" ht="31.5" customHeight="1">
      <c r="A148" s="109" t="s">
        <v>6321</v>
      </c>
      <c r="B148" s="110" t="s">
        <v>6322</v>
      </c>
      <c r="C148" s="111" t="s">
        <v>6323</v>
      </c>
      <c r="D148" s="28" t="s">
        <v>6324</v>
      </c>
      <c r="E148" s="28" t="str">
        <f>IFERROR(__xludf.DUMMYFUNCTION("GOOGLETRANSLATE(D148,""zh-CN"",""vi"")"),"Hai giải thưởng này đều đồng hạng nhất.")</f>
        <v>Hai giải thưởng này đều đồng hạng nhất.</v>
      </c>
      <c r="F148" s="128"/>
      <c r="G148" s="36" t="b">
        <f t="shared" si="1"/>
        <v>0</v>
      </c>
      <c r="H148" s="35" t="b">
        <v>1</v>
      </c>
      <c r="I148" s="35" t="b">
        <v>0</v>
      </c>
      <c r="J148" s="35" t="b">
        <v>0</v>
      </c>
      <c r="K148" s="35" t="b">
        <v>0</v>
      </c>
      <c r="L148" s="35" t="b">
        <v>0</v>
      </c>
      <c r="M148" s="35" t="b">
        <v>0</v>
      </c>
      <c r="N148" s="35" t="b">
        <v>0</v>
      </c>
      <c r="O148" s="35" t="b">
        <v>0</v>
      </c>
      <c r="P148" s="35" t="b">
        <v>0</v>
      </c>
      <c r="Q148" s="35" t="b">
        <v>0</v>
      </c>
      <c r="R148" s="14"/>
      <c r="S148" s="14"/>
      <c r="T148" s="14"/>
      <c r="U148" s="14"/>
      <c r="V148" s="14"/>
      <c r="W148" s="14"/>
    </row>
    <row r="149" ht="31.5" customHeight="1">
      <c r="A149" s="109" t="s">
        <v>6329</v>
      </c>
      <c r="B149" s="110" t="s">
        <v>6330</v>
      </c>
      <c r="C149" s="111" t="s">
        <v>6331</v>
      </c>
      <c r="D149" s="28" t="s">
        <v>6332</v>
      </c>
      <c r="E149" s="28" t="str">
        <f>IFERROR(__xludf.DUMMYFUNCTION("GOOGLETRANSLATE(D149,""zh-CN"",""vi"")"),"Vui lòng gọi số này.")</f>
        <v>Vui lòng gọi số này.</v>
      </c>
      <c r="F149" s="128"/>
      <c r="G149" s="36" t="b">
        <f t="shared" si="1"/>
        <v>0</v>
      </c>
      <c r="H149" s="35" t="b">
        <v>1</v>
      </c>
      <c r="I149" s="35" t="b">
        <v>0</v>
      </c>
      <c r="J149" s="35" t="b">
        <v>0</v>
      </c>
      <c r="K149" s="35" t="b">
        <v>0</v>
      </c>
      <c r="L149" s="35" t="b">
        <v>0</v>
      </c>
      <c r="M149" s="35" t="b">
        <v>0</v>
      </c>
      <c r="N149" s="35" t="b">
        <v>0</v>
      </c>
      <c r="O149" s="35" t="b">
        <v>0</v>
      </c>
      <c r="P149" s="35" t="b">
        <v>0</v>
      </c>
      <c r="Q149" s="35" t="b">
        <v>0</v>
      </c>
      <c r="R149" s="14"/>
      <c r="S149" s="14"/>
      <c r="T149" s="14"/>
      <c r="U149" s="14"/>
      <c r="V149" s="14"/>
      <c r="W149" s="14"/>
    </row>
    <row r="150" ht="31.5" customHeight="1">
      <c r="A150" s="109" t="s">
        <v>4831</v>
      </c>
      <c r="B150" s="110" t="s">
        <v>4835</v>
      </c>
      <c r="C150" s="111" t="s">
        <v>6336</v>
      </c>
      <c r="D150" s="28" t="s">
        <v>6337</v>
      </c>
      <c r="E150" s="28" t="str">
        <f>IFERROR(__xludf.DUMMYFUNCTION("GOOGLETRANSLATE(D150,""zh-CN"",""vi"")"),"Họ đang chơi nhạc.")</f>
        <v>Họ đang chơi nhạc.</v>
      </c>
      <c r="F150" s="128"/>
      <c r="G150" s="36" t="b">
        <f t="shared" si="1"/>
        <v>0</v>
      </c>
      <c r="H150" s="35" t="b">
        <v>1</v>
      </c>
      <c r="I150" s="35" t="b">
        <v>0</v>
      </c>
      <c r="J150" s="35" t="b">
        <v>0</v>
      </c>
      <c r="K150" s="35" t="b">
        <v>0</v>
      </c>
      <c r="L150" s="35" t="b">
        <v>0</v>
      </c>
      <c r="M150" s="35" t="b">
        <v>0</v>
      </c>
      <c r="N150" s="35" t="b">
        <v>0</v>
      </c>
      <c r="O150" s="35" t="b">
        <v>0</v>
      </c>
      <c r="P150" s="35" t="b">
        <v>0</v>
      </c>
      <c r="Q150" s="35" t="b">
        <v>0</v>
      </c>
      <c r="R150" s="14"/>
      <c r="S150" s="14"/>
      <c r="T150" s="14"/>
      <c r="U150" s="14"/>
      <c r="V150" s="14"/>
      <c r="W150" s="14"/>
    </row>
    <row r="151" ht="31.5" customHeight="1">
      <c r="A151" s="109" t="s">
        <v>6342</v>
      </c>
      <c r="B151" s="110" t="s">
        <v>6343</v>
      </c>
      <c r="C151" s="111" t="s">
        <v>6344</v>
      </c>
      <c r="D151" s="28" t="s">
        <v>6345</v>
      </c>
      <c r="E151" s="28" t="str">
        <f>IFERROR(__xludf.DUMMYFUNCTION("GOOGLETRANSLATE(D151,""zh-CN"",""vi"")"),"Sóng biển rất lớn.")</f>
        <v>Sóng biển rất lớn.</v>
      </c>
      <c r="F151" s="128"/>
      <c r="G151" s="36" t="b">
        <f t="shared" si="1"/>
        <v>0</v>
      </c>
      <c r="H151" s="35" t="b">
        <v>0</v>
      </c>
      <c r="I151" s="35" t="b">
        <v>0</v>
      </c>
      <c r="J151" s="35" t="b">
        <v>0</v>
      </c>
      <c r="K151" s="35" t="b">
        <v>0</v>
      </c>
      <c r="L151" s="35" t="b">
        <v>0</v>
      </c>
      <c r="M151" s="35" t="b">
        <v>0</v>
      </c>
      <c r="N151" s="35" t="b">
        <v>0</v>
      </c>
      <c r="O151" s="35" t="b">
        <v>0</v>
      </c>
      <c r="P151" s="35" t="b">
        <v>0</v>
      </c>
      <c r="Q151" s="35" t="b">
        <v>0</v>
      </c>
      <c r="R151" s="14"/>
      <c r="S151" s="14"/>
      <c r="T151" s="14"/>
      <c r="U151" s="14"/>
      <c r="V151" s="14"/>
      <c r="W151" s="14"/>
    </row>
    <row r="152" ht="31.5" customHeight="1">
      <c r="A152" s="109" t="s">
        <v>6347</v>
      </c>
      <c r="B152" s="110" t="s">
        <v>6349</v>
      </c>
      <c r="C152" s="111" t="s">
        <v>6351</v>
      </c>
      <c r="D152" s="28" t="s">
        <v>6353</v>
      </c>
      <c r="E152" s="28" t="str">
        <f>IFERROR(__xludf.DUMMYFUNCTION("GOOGLETRANSLATE(D152,""zh-CN"",""vi"")"),"Biển động dữ dội.")</f>
        <v>Biển động dữ dội.</v>
      </c>
      <c r="F152" s="128"/>
      <c r="G152" s="36" t="b">
        <f t="shared" si="1"/>
        <v>0</v>
      </c>
      <c r="H152" s="35" t="b">
        <v>0</v>
      </c>
      <c r="I152" s="35" t="b">
        <v>0</v>
      </c>
      <c r="J152" s="35" t="b">
        <v>0</v>
      </c>
      <c r="K152" s="35" t="b">
        <v>0</v>
      </c>
      <c r="L152" s="35" t="b">
        <v>0</v>
      </c>
      <c r="M152" s="35" t="b">
        <v>0</v>
      </c>
      <c r="N152" s="35" t="b">
        <v>0</v>
      </c>
      <c r="O152" s="35" t="b">
        <v>0</v>
      </c>
      <c r="P152" s="35" t="b">
        <v>0</v>
      </c>
      <c r="Q152" s="35" t="b">
        <v>0</v>
      </c>
      <c r="R152" s="14"/>
      <c r="S152" s="14"/>
      <c r="T152" s="14"/>
      <c r="U152" s="14"/>
      <c r="V152" s="14"/>
      <c r="W152" s="14"/>
    </row>
    <row r="153" ht="31.5" customHeight="1">
      <c r="A153" s="109" t="s">
        <v>6354</v>
      </c>
      <c r="B153" s="110" t="s">
        <v>6355</v>
      </c>
      <c r="C153" s="111" t="s">
        <v>6356</v>
      </c>
      <c r="D153" s="28" t="s">
        <v>6358</v>
      </c>
      <c r="E153" s="28" t="str">
        <f>IFERROR(__xludf.DUMMYFUNCTION("GOOGLETRANSLATE(D153,""zh-CN"",""vi"")"),"Họ bóc lột sức lao động của công nhân.")</f>
        <v>Họ bóc lột sức lao động của công nhân.</v>
      </c>
      <c r="F153" s="128"/>
      <c r="G153" s="36" t="b">
        <f t="shared" si="1"/>
        <v>0</v>
      </c>
      <c r="H153" s="35" t="b">
        <v>0</v>
      </c>
      <c r="I153" s="35" t="b">
        <v>0</v>
      </c>
      <c r="J153" s="35" t="b">
        <v>0</v>
      </c>
      <c r="K153" s="35" t="b">
        <v>0</v>
      </c>
      <c r="L153" s="35" t="b">
        <v>0</v>
      </c>
      <c r="M153" s="35" t="b">
        <v>0</v>
      </c>
      <c r="N153" s="35" t="b">
        <v>0</v>
      </c>
      <c r="O153" s="35" t="b">
        <v>0</v>
      </c>
      <c r="P153" s="35" t="b">
        <v>0</v>
      </c>
      <c r="Q153" s="35" t="b">
        <v>0</v>
      </c>
      <c r="R153" s="14"/>
      <c r="S153" s="14"/>
      <c r="T153" s="14"/>
      <c r="U153" s="14"/>
      <c r="V153" s="14"/>
      <c r="W153" s="14"/>
    </row>
    <row r="154" ht="31.5" customHeight="1">
      <c r="A154" s="109" t="s">
        <v>6362</v>
      </c>
      <c r="B154" s="110" t="s">
        <v>6363</v>
      </c>
      <c r="C154" s="111" t="s">
        <v>6364</v>
      </c>
      <c r="D154" s="28" t="s">
        <v>6365</v>
      </c>
      <c r="E154" s="28" t="str">
        <f>IFERROR(__xludf.DUMMYFUNCTION("GOOGLETRANSLATE(D154,""zh-CN"",""vi"")"),"Nông dân đang gieo hạt trên đồng ruộng.")</f>
        <v>Nông dân đang gieo hạt trên đồng ruộng.</v>
      </c>
      <c r="F154" s="128"/>
      <c r="G154" s="36" t="b">
        <f t="shared" si="1"/>
        <v>0</v>
      </c>
      <c r="H154" s="35" t="b">
        <v>0</v>
      </c>
      <c r="I154" s="35" t="b">
        <v>0</v>
      </c>
      <c r="J154" s="35" t="b">
        <v>0</v>
      </c>
      <c r="K154" s="35" t="b">
        <v>0</v>
      </c>
      <c r="L154" s="35" t="b">
        <v>0</v>
      </c>
      <c r="M154" s="35" t="b">
        <v>0</v>
      </c>
      <c r="N154" s="35" t="b">
        <v>0</v>
      </c>
      <c r="O154" s="35" t="b">
        <v>0</v>
      </c>
      <c r="P154" s="35" t="b">
        <v>0</v>
      </c>
      <c r="Q154" s="35" t="b">
        <v>0</v>
      </c>
      <c r="R154" s="14"/>
      <c r="S154" s="14"/>
      <c r="T154" s="14"/>
      <c r="U154" s="14"/>
      <c r="V154" s="14"/>
      <c r="W154" s="14"/>
    </row>
    <row r="155" ht="31.5" customHeight="1">
      <c r="A155" s="109" t="s">
        <v>6370</v>
      </c>
      <c r="B155" s="110" t="s">
        <v>6371</v>
      </c>
      <c r="C155" s="111" t="s">
        <v>6372</v>
      </c>
      <c r="D155" s="28" t="s">
        <v>6373</v>
      </c>
      <c r="E155" s="28" t="str">
        <f>IFERROR(__xludf.DUMMYFUNCTION("GOOGLETRANSLATE(D155,""zh-CN"",""vi"")"),"Kiến thức của ông ấy rất rộng lớn và uyên thâm.")</f>
        <v>Kiến thức của ông ấy rất rộng lớn và uyên thâm.</v>
      </c>
      <c r="F155" s="128"/>
      <c r="G155" s="36" t="b">
        <f t="shared" si="1"/>
        <v>0</v>
      </c>
      <c r="H155" s="35" t="b">
        <v>0</v>
      </c>
      <c r="I155" s="35" t="b">
        <v>0</v>
      </c>
      <c r="J155" s="35" t="b">
        <v>0</v>
      </c>
      <c r="K155" s="35" t="b">
        <v>0</v>
      </c>
      <c r="L155" s="35" t="b">
        <v>0</v>
      </c>
      <c r="M155" s="35" t="b">
        <v>0</v>
      </c>
      <c r="N155" s="35" t="b">
        <v>0</v>
      </c>
      <c r="O155" s="35" t="b">
        <v>0</v>
      </c>
      <c r="P155" s="35" t="b">
        <v>0</v>
      </c>
      <c r="Q155" s="35" t="b">
        <v>0</v>
      </c>
      <c r="R155" s="14"/>
      <c r="S155" s="14"/>
      <c r="T155" s="14"/>
      <c r="U155" s="14"/>
      <c r="V155" s="14"/>
      <c r="W155" s="14"/>
    </row>
    <row r="156" ht="31.5" customHeight="1">
      <c r="A156" s="109" t="s">
        <v>6378</v>
      </c>
      <c r="B156" s="110" t="s">
        <v>6379</v>
      </c>
      <c r="C156" s="111" t="s">
        <v>6380</v>
      </c>
      <c r="D156" s="28" t="s">
        <v>6381</v>
      </c>
      <c r="E156" s="28" t="str">
        <f>IFERROR(__xludf.DUMMYFUNCTION("GOOGLETRANSLATE(D156,""zh-CN"",""vi"")"),"Ông ta đã chiến đấu với kẻ thù.")</f>
        <v>Ông ta đã chiến đấu với kẻ thù.</v>
      </c>
      <c r="F156" s="128"/>
      <c r="G156" s="36" t="b">
        <f t="shared" si="1"/>
        <v>0</v>
      </c>
      <c r="H156" s="35" t="b">
        <v>0</v>
      </c>
      <c r="I156" s="35" t="b">
        <v>0</v>
      </c>
      <c r="J156" s="35" t="b">
        <v>0</v>
      </c>
      <c r="K156" s="35" t="b">
        <v>0</v>
      </c>
      <c r="L156" s="35" t="b">
        <v>0</v>
      </c>
      <c r="M156" s="35" t="b">
        <v>0</v>
      </c>
      <c r="N156" s="35" t="b">
        <v>0</v>
      </c>
      <c r="O156" s="35" t="b">
        <v>0</v>
      </c>
      <c r="P156" s="35" t="b">
        <v>0</v>
      </c>
      <c r="Q156" s="35" t="b">
        <v>0</v>
      </c>
      <c r="R156" s="14"/>
      <c r="S156" s="14"/>
      <c r="T156" s="14"/>
      <c r="U156" s="14"/>
      <c r="V156" s="14"/>
      <c r="W156" s="14"/>
    </row>
    <row r="157" ht="31.5" customHeight="1">
      <c r="A157" s="109" t="s">
        <v>6386</v>
      </c>
      <c r="B157" s="110" t="s">
        <v>6387</v>
      </c>
      <c r="C157" s="111" t="s">
        <v>6388</v>
      </c>
      <c r="D157" s="28" t="s">
        <v>6389</v>
      </c>
      <c r="E157" s="28" t="str">
        <f>IFERROR(__xludf.DUMMYFUNCTION("GOOGLETRANSLATE(D157,""zh-CN"",""vi"")"),"Chúng tôi đã tham dự một hội chợ triển lãm.")</f>
        <v>Chúng tôi đã tham dự một hội chợ triển lãm.</v>
      </c>
      <c r="F157" s="128"/>
      <c r="G157" s="36" t="b">
        <f t="shared" si="1"/>
        <v>0</v>
      </c>
      <c r="H157" s="35" t="b">
        <v>0</v>
      </c>
      <c r="I157" s="35" t="b">
        <v>0</v>
      </c>
      <c r="J157" s="35" t="b">
        <v>0</v>
      </c>
      <c r="K157" s="35" t="b">
        <v>0</v>
      </c>
      <c r="L157" s="35" t="b">
        <v>0</v>
      </c>
      <c r="M157" s="35" t="b">
        <v>0</v>
      </c>
      <c r="N157" s="35" t="b">
        <v>0</v>
      </c>
      <c r="O157" s="35" t="b">
        <v>0</v>
      </c>
      <c r="P157" s="35" t="b">
        <v>0</v>
      </c>
      <c r="Q157" s="35" t="b">
        <v>0</v>
      </c>
      <c r="R157" s="14"/>
      <c r="S157" s="14"/>
      <c r="T157" s="14"/>
      <c r="U157" s="14"/>
      <c r="V157" s="14"/>
      <c r="W157" s="14"/>
    </row>
    <row r="158" ht="31.5" customHeight="1">
      <c r="A158" s="109" t="s">
        <v>6394</v>
      </c>
      <c r="B158" s="110" t="s">
        <v>6395</v>
      </c>
      <c r="C158" s="111" t="s">
        <v>6396</v>
      </c>
      <c r="D158" s="28" t="s">
        <v>6397</v>
      </c>
      <c r="E158" s="28" t="str">
        <f>IFERROR(__xludf.DUMMYFUNCTION("GOOGLETRANSLATE(D158,""zh-CN"",""vi"")"),"Anh ấy đến thăm dì của mình.")</f>
        <v>Anh ấy đến thăm dì của mình.</v>
      </c>
      <c r="F158" s="128"/>
      <c r="G158" s="36" t="b">
        <f t="shared" si="1"/>
        <v>0</v>
      </c>
      <c r="H158" s="35" t="b">
        <v>0</v>
      </c>
      <c r="I158" s="35" t="b">
        <v>0</v>
      </c>
      <c r="J158" s="35" t="b">
        <v>0</v>
      </c>
      <c r="K158" s="35" t="b">
        <v>0</v>
      </c>
      <c r="L158" s="35" t="b">
        <v>0</v>
      </c>
      <c r="M158" s="35" t="b">
        <v>0</v>
      </c>
      <c r="N158" s="35" t="b">
        <v>0</v>
      </c>
      <c r="O158" s="35" t="b">
        <v>0</v>
      </c>
      <c r="P158" s="35" t="b">
        <v>0</v>
      </c>
      <c r="Q158" s="35" t="b">
        <v>0</v>
      </c>
      <c r="R158" s="14"/>
      <c r="S158" s="14"/>
      <c r="T158" s="14"/>
      <c r="U158" s="14"/>
      <c r="V158" s="14"/>
      <c r="W158" s="14"/>
    </row>
    <row r="159" ht="31.5" customHeight="1">
      <c r="A159" s="109" t="s">
        <v>6401</v>
      </c>
      <c r="B159" s="110" t="s">
        <v>6403</v>
      </c>
      <c r="C159" s="111" t="s">
        <v>6404</v>
      </c>
      <c r="D159" s="28" t="s">
        <v>6405</v>
      </c>
      <c r="E159" s="28" t="str">
        <f>IFERROR(__xludf.DUMMYFUNCTION("GOOGLETRANSLATE(D159,""zh-CN"",""vi"")"),"Nền tảng của kế hoạch này rất yếu.")</f>
        <v>Nền tảng của kế hoạch này rất yếu.</v>
      </c>
      <c r="F159" s="128"/>
      <c r="G159" s="36" t="b">
        <f t="shared" si="1"/>
        <v>0</v>
      </c>
      <c r="H159" s="35" t="b">
        <v>0</v>
      </c>
      <c r="I159" s="35" t="b">
        <v>0</v>
      </c>
      <c r="J159" s="35" t="b">
        <v>0</v>
      </c>
      <c r="K159" s="35" t="b">
        <v>0</v>
      </c>
      <c r="L159" s="35" t="b">
        <v>0</v>
      </c>
      <c r="M159" s="35" t="b">
        <v>0</v>
      </c>
      <c r="N159" s="35" t="b">
        <v>0</v>
      </c>
      <c r="O159" s="35" t="b">
        <v>0</v>
      </c>
      <c r="P159" s="35" t="b">
        <v>0</v>
      </c>
      <c r="Q159" s="35" t="b">
        <v>0</v>
      </c>
      <c r="R159" s="14"/>
      <c r="S159" s="14"/>
      <c r="T159" s="14"/>
      <c r="U159" s="14"/>
      <c r="V159" s="14"/>
      <c r="W159" s="14"/>
    </row>
    <row r="160" ht="31.5" customHeight="1">
      <c r="A160" s="109" t="s">
        <v>6407</v>
      </c>
      <c r="B160" s="110" t="s">
        <v>6409</v>
      </c>
      <c r="C160" s="111" t="s">
        <v>6411</v>
      </c>
      <c r="D160" s="28" t="s">
        <v>6413</v>
      </c>
      <c r="E160" s="28" t="str">
        <f>IFERROR(__xludf.DUMMYFUNCTION("GOOGLETRANSLATE(D160,""zh-CN"",""vi"")"),"Họ đã bồi thường cho cô ấy những thiệt hại đã gánh chịu.")</f>
        <v>Họ đã bồi thường cho cô ấy những thiệt hại đã gánh chịu.</v>
      </c>
      <c r="F160" s="128"/>
      <c r="G160" s="36" t="b">
        <f t="shared" si="1"/>
        <v>0</v>
      </c>
      <c r="H160" s="35" t="b">
        <v>0</v>
      </c>
      <c r="I160" s="35" t="b">
        <v>0</v>
      </c>
      <c r="J160" s="35" t="b">
        <v>0</v>
      </c>
      <c r="K160" s="35" t="b">
        <v>0</v>
      </c>
      <c r="L160" s="35" t="b">
        <v>0</v>
      </c>
      <c r="M160" s="35" t="b">
        <v>0</v>
      </c>
      <c r="N160" s="35" t="b">
        <v>0</v>
      </c>
      <c r="O160" s="35" t="b">
        <v>0</v>
      </c>
      <c r="P160" s="35" t="b">
        <v>0</v>
      </c>
      <c r="Q160" s="35" t="b">
        <v>0</v>
      </c>
      <c r="R160" s="14"/>
      <c r="S160" s="14"/>
      <c r="T160" s="14"/>
      <c r="U160" s="14"/>
      <c r="V160" s="14"/>
      <c r="W160" s="14"/>
    </row>
    <row r="161" ht="31.5" customHeight="1">
      <c r="A161" s="109" t="s">
        <v>6415</v>
      </c>
      <c r="B161" s="110" t="s">
        <v>6417</v>
      </c>
      <c r="C161" s="111" t="s">
        <v>6419</v>
      </c>
      <c r="D161" s="28" t="s">
        <v>6420</v>
      </c>
      <c r="E161" s="28" t="str">
        <f>IFERROR(__xludf.DUMMYFUNCTION("GOOGLETRANSLATE(D161,""zh-CN"",""vi"")"),"Chúng ta phải tìm ra giải pháp.")</f>
        <v>Chúng ta phải tìm ra giải pháp.</v>
      </c>
      <c r="F161" s="128"/>
      <c r="G161" s="36" t="b">
        <f t="shared" si="1"/>
        <v>0</v>
      </c>
      <c r="H161" s="35" t="b">
        <v>0</v>
      </c>
      <c r="I161" s="35" t="b">
        <v>0</v>
      </c>
      <c r="J161" s="35" t="b">
        <v>0</v>
      </c>
      <c r="K161" s="35" t="b">
        <v>0</v>
      </c>
      <c r="L161" s="35" t="b">
        <v>0</v>
      </c>
      <c r="M161" s="35" t="b">
        <v>0</v>
      </c>
      <c r="N161" s="35" t="b">
        <v>0</v>
      </c>
      <c r="O161" s="35" t="b">
        <v>0</v>
      </c>
      <c r="P161" s="35" t="b">
        <v>0</v>
      </c>
      <c r="Q161" s="35" t="b">
        <v>0</v>
      </c>
      <c r="R161" s="14"/>
      <c r="S161" s="14"/>
      <c r="T161" s="14"/>
      <c r="U161" s="14"/>
      <c r="V161" s="14"/>
      <c r="W161" s="14"/>
    </row>
    <row r="162" ht="31.5" customHeight="1">
      <c r="A162" s="109" t="s">
        <v>6422</v>
      </c>
      <c r="B162" s="110" t="s">
        <v>6424</v>
      </c>
      <c r="C162" s="111" t="s">
        <v>6426</v>
      </c>
      <c r="D162" s="28" t="s">
        <v>6428</v>
      </c>
      <c r="E162" s="28" t="str">
        <f>IFERROR(__xludf.DUMMYFUNCTION("GOOGLETRANSLATE(D162,""zh-CN"",""vi"")"),"Động vật có vú là động vật máu nóng.")</f>
        <v>Động vật có vú là động vật máu nóng.</v>
      </c>
      <c r="F162" s="128"/>
      <c r="G162" s="36" t="b">
        <f t="shared" si="1"/>
        <v>0</v>
      </c>
      <c r="H162" s="35" t="b">
        <v>0</v>
      </c>
      <c r="I162" s="35" t="b">
        <v>0</v>
      </c>
      <c r="J162" s="35" t="b">
        <v>0</v>
      </c>
      <c r="K162" s="35" t="b">
        <v>0</v>
      </c>
      <c r="L162" s="35" t="b">
        <v>0</v>
      </c>
      <c r="M162" s="35" t="b">
        <v>0</v>
      </c>
      <c r="N162" s="35" t="b">
        <v>0</v>
      </c>
      <c r="O162" s="35" t="b">
        <v>0</v>
      </c>
      <c r="P162" s="35" t="b">
        <v>0</v>
      </c>
      <c r="Q162" s="35" t="b">
        <v>0</v>
      </c>
      <c r="R162" s="14"/>
      <c r="S162" s="14"/>
      <c r="T162" s="14"/>
      <c r="U162" s="14"/>
      <c r="V162" s="14"/>
      <c r="W162" s="14"/>
    </row>
    <row r="163" ht="31.5" customHeight="1">
      <c r="A163" s="109" t="s">
        <v>6430</v>
      </c>
      <c r="B163" s="110" t="s">
        <v>6431</v>
      </c>
      <c r="C163" s="111" t="s">
        <v>6435</v>
      </c>
      <c r="D163" s="28" t="s">
        <v>6440</v>
      </c>
      <c r="E163" s="28" t="str">
        <f>IFERROR(__xludf.DUMMYFUNCTION("GOOGLETRANSLATE(D163,""zh-CN"",""vi"")"),"Chính phủ trợ cấp cho nông nghiệp.")</f>
        <v>Chính phủ trợ cấp cho nông nghiệp.</v>
      </c>
      <c r="F163" s="128"/>
      <c r="G163" s="36" t="b">
        <f t="shared" si="1"/>
        <v>0</v>
      </c>
      <c r="H163" s="35" t="b">
        <v>0</v>
      </c>
      <c r="I163" s="35" t="b">
        <v>0</v>
      </c>
      <c r="J163" s="35" t="b">
        <v>0</v>
      </c>
      <c r="K163" s="35" t="b">
        <v>0</v>
      </c>
      <c r="L163" s="35" t="b">
        <v>0</v>
      </c>
      <c r="M163" s="35" t="b">
        <v>0</v>
      </c>
      <c r="N163" s="35" t="b">
        <v>0</v>
      </c>
      <c r="O163" s="35" t="b">
        <v>0</v>
      </c>
      <c r="P163" s="35" t="b">
        <v>0</v>
      </c>
      <c r="Q163" s="35" t="b">
        <v>0</v>
      </c>
      <c r="R163" s="14"/>
      <c r="S163" s="14"/>
      <c r="T163" s="14"/>
      <c r="U163" s="14"/>
      <c r="V163" s="14"/>
      <c r="W163" s="14"/>
    </row>
    <row r="164" ht="31.5" customHeight="1">
      <c r="A164" s="109" t="s">
        <v>6461</v>
      </c>
      <c r="B164" s="110" t="s">
        <v>6462</v>
      </c>
      <c r="C164" s="111" t="s">
        <v>6463</v>
      </c>
      <c r="D164" s="28" t="s">
        <v>6464</v>
      </c>
      <c r="E164" s="28" t="str">
        <f>IFERROR(__xludf.DUMMYFUNCTION("GOOGLETRANSLATE(D164,""zh-CN"",""vi"")"),"Chúng ta cần nắm bắt cơ hội này.")</f>
        <v>Chúng ta cần nắm bắt cơ hội này.</v>
      </c>
      <c r="F164" s="128"/>
      <c r="G164" s="36" t="b">
        <f t="shared" si="1"/>
        <v>0</v>
      </c>
      <c r="H164" s="35" t="b">
        <v>0</v>
      </c>
      <c r="I164" s="35" t="b">
        <v>0</v>
      </c>
      <c r="J164" s="35" t="b">
        <v>0</v>
      </c>
      <c r="K164" s="35" t="b">
        <v>0</v>
      </c>
      <c r="L164" s="35" t="b">
        <v>0</v>
      </c>
      <c r="M164" s="35" t="b">
        <v>0</v>
      </c>
      <c r="N164" s="35" t="b">
        <v>0</v>
      </c>
      <c r="O164" s="35" t="b">
        <v>0</v>
      </c>
      <c r="P164" s="35" t="b">
        <v>0</v>
      </c>
      <c r="Q164" s="35" t="b">
        <v>0</v>
      </c>
      <c r="R164" s="14"/>
      <c r="S164" s="14"/>
      <c r="T164" s="14"/>
      <c r="U164" s="14"/>
      <c r="V164" s="14"/>
      <c r="W164" s="14"/>
    </row>
    <row r="165" ht="31.5" customHeight="1">
      <c r="A165" s="109" t="s">
        <v>6472</v>
      </c>
      <c r="B165" s="110" t="s">
        <v>6473</v>
      </c>
      <c r="C165" s="111" t="s">
        <v>6474</v>
      </c>
      <c r="D165" s="28" t="s">
        <v>6475</v>
      </c>
      <c r="E165" s="28" t="str">
        <f>IFERROR(__xludf.DUMMYFUNCTION("GOOGLETRANSLATE(D165,""zh-CN"",""vi"")"),"Anh ta không còn lựa chọn nào khác ngoài việc rời đi.")</f>
        <v>Anh ta không còn lựa chọn nào khác ngoài việc rời đi.</v>
      </c>
      <c r="F165" s="128"/>
      <c r="G165" s="36" t="b">
        <f t="shared" si="1"/>
        <v>0</v>
      </c>
      <c r="H165" s="35" t="b">
        <v>0</v>
      </c>
      <c r="I165" s="35" t="b">
        <v>0</v>
      </c>
      <c r="J165" s="35" t="b">
        <v>0</v>
      </c>
      <c r="K165" s="35" t="b">
        <v>0</v>
      </c>
      <c r="L165" s="35" t="b">
        <v>0</v>
      </c>
      <c r="M165" s="35" t="b">
        <v>0</v>
      </c>
      <c r="N165" s="35" t="b">
        <v>0</v>
      </c>
      <c r="O165" s="35" t="b">
        <v>0</v>
      </c>
      <c r="P165" s="35" t="b">
        <v>0</v>
      </c>
      <c r="Q165" s="35" t="b">
        <v>0</v>
      </c>
      <c r="R165" s="14"/>
      <c r="S165" s="14"/>
      <c r="T165" s="14"/>
      <c r="U165" s="14"/>
      <c r="V165" s="14"/>
      <c r="W165" s="14"/>
    </row>
    <row r="166" ht="31.5" customHeight="1">
      <c r="A166" s="109" t="s">
        <v>6476</v>
      </c>
      <c r="B166" s="110" t="s">
        <v>6477</v>
      </c>
      <c r="C166" s="111" t="s">
        <v>6478</v>
      </c>
      <c r="D166" s="28" t="s">
        <v>6479</v>
      </c>
      <c r="E166" s="28" t="str">
        <f>IFERROR(__xludf.DUMMYFUNCTION("GOOGLETRANSLATE(D166,""zh-CN"",""vi"")"),"Anh ta bước đi dứt khoát.")</f>
        <v>Anh ta bước đi dứt khoát.</v>
      </c>
      <c r="F166" s="128"/>
      <c r="G166" s="36" t="b">
        <f t="shared" si="1"/>
        <v>0</v>
      </c>
      <c r="H166" s="35" t="b">
        <v>0</v>
      </c>
      <c r="I166" s="35" t="b">
        <v>0</v>
      </c>
      <c r="J166" s="35" t="b">
        <v>0</v>
      </c>
      <c r="K166" s="35" t="b">
        <v>0</v>
      </c>
      <c r="L166" s="35" t="b">
        <v>0</v>
      </c>
      <c r="M166" s="35" t="b">
        <v>0</v>
      </c>
      <c r="N166" s="35" t="b">
        <v>0</v>
      </c>
      <c r="O166" s="35" t="b">
        <v>0</v>
      </c>
      <c r="P166" s="35" t="b">
        <v>0</v>
      </c>
      <c r="Q166" s="35" t="b">
        <v>0</v>
      </c>
      <c r="R166" s="14"/>
      <c r="S166" s="14"/>
      <c r="T166" s="14"/>
      <c r="U166" s="14"/>
      <c r="V166" s="14"/>
      <c r="W166" s="14"/>
    </row>
    <row r="167" ht="31.5" customHeight="1">
      <c r="A167" s="109" t="s">
        <v>6484</v>
      </c>
      <c r="B167" s="110" t="s">
        <v>6485</v>
      </c>
      <c r="C167" s="111" t="s">
        <v>6486</v>
      </c>
      <c r="D167" s="28" t="s">
        <v>6487</v>
      </c>
      <c r="E167" s="28" t="str">
        <f>IFERROR(__xludf.DUMMYFUNCTION("GOOGLETRANSLATE(D167,""zh-CN"",""vi"")"),"Bạn có thể thử phương pháp này.")</f>
        <v>Bạn có thể thử phương pháp này.</v>
      </c>
      <c r="F167" s="128"/>
      <c r="G167" s="36" t="b">
        <f t="shared" si="1"/>
        <v>0</v>
      </c>
      <c r="H167" s="35" t="b">
        <v>0</v>
      </c>
      <c r="I167" s="35" t="b">
        <v>0</v>
      </c>
      <c r="J167" s="35" t="b">
        <v>0</v>
      </c>
      <c r="K167" s="35" t="b">
        <v>0</v>
      </c>
      <c r="L167" s="35" t="b">
        <v>0</v>
      </c>
      <c r="M167" s="35" t="b">
        <v>0</v>
      </c>
      <c r="N167" s="35" t="b">
        <v>0</v>
      </c>
      <c r="O167" s="35" t="b">
        <v>0</v>
      </c>
      <c r="P167" s="35" t="b">
        <v>0</v>
      </c>
      <c r="Q167" s="35" t="b">
        <v>0</v>
      </c>
      <c r="R167" s="14"/>
      <c r="S167" s="14"/>
      <c r="T167" s="14"/>
      <c r="U167" s="14"/>
      <c r="V167" s="14"/>
      <c r="W167" s="14"/>
    </row>
    <row r="168" ht="31.5" customHeight="1">
      <c r="A168" s="124" t="s">
        <v>6496</v>
      </c>
      <c r="B168" s="125" t="s">
        <v>6500</v>
      </c>
      <c r="C168" s="126" t="s">
        <v>6501</v>
      </c>
      <c r="D168" s="127" t="s">
        <v>6502</v>
      </c>
      <c r="E168" s="28" t="str">
        <f>IFERROR(__xludf.DUMMYFUNCTION("GOOGLETRANSLATE(D168,""zh-CN"",""vi"")"),"Tôi không xứng đáng nhận được lời khen ngợi của bạn.")</f>
        <v>Tôi không xứng đáng nhận được lời khen ngợi của bạn.</v>
      </c>
      <c r="F168" s="128"/>
      <c r="G168" s="36" t="b">
        <f t="shared" si="1"/>
        <v>0</v>
      </c>
      <c r="H168" s="35" t="b">
        <v>0</v>
      </c>
      <c r="I168" s="35" t="b">
        <v>0</v>
      </c>
      <c r="J168" s="35" t="b">
        <v>0</v>
      </c>
      <c r="K168" s="35" t="b">
        <v>0</v>
      </c>
      <c r="L168" s="35" t="b">
        <v>0</v>
      </c>
      <c r="M168" s="35" t="b">
        <v>0</v>
      </c>
      <c r="N168" s="35" t="b">
        <v>0</v>
      </c>
      <c r="O168" s="35" t="b">
        <v>0</v>
      </c>
      <c r="P168" s="35" t="b">
        <v>0</v>
      </c>
      <c r="Q168" s="35" t="b">
        <v>0</v>
      </c>
      <c r="R168" s="14"/>
      <c r="S168" s="14"/>
      <c r="T168" s="14"/>
      <c r="U168" s="14"/>
      <c r="V168" s="14"/>
      <c r="W168" s="14"/>
    </row>
    <row r="169" ht="31.5" customHeight="1">
      <c r="A169" s="109" t="s">
        <v>6507</v>
      </c>
      <c r="B169" s="110" t="s">
        <v>6508</v>
      </c>
      <c r="C169" s="111" t="s">
        <v>4024</v>
      </c>
      <c r="D169" s="28" t="s">
        <v>6509</v>
      </c>
      <c r="E169" s="28" t="str">
        <f>IFERROR(__xludf.DUMMYFUNCTION("GOOGLETRANSLATE(D169,""zh-CN"",""vi"")"),"Nhà trường đã phát đi thông báo.")</f>
        <v>Nhà trường đã phát đi thông báo.</v>
      </c>
      <c r="F169" s="128"/>
      <c r="G169" s="36" t="b">
        <f t="shared" si="1"/>
        <v>0</v>
      </c>
      <c r="H169" s="35" t="b">
        <v>0</v>
      </c>
      <c r="I169" s="35" t="b">
        <v>0</v>
      </c>
      <c r="J169" s="35" t="b">
        <v>0</v>
      </c>
      <c r="K169" s="35" t="b">
        <v>0</v>
      </c>
      <c r="L169" s="35" t="b">
        <v>0</v>
      </c>
      <c r="M169" s="35" t="b">
        <v>0</v>
      </c>
      <c r="N169" s="35" t="b">
        <v>0</v>
      </c>
      <c r="O169" s="35" t="b">
        <v>0</v>
      </c>
      <c r="P169" s="35" t="b">
        <v>0</v>
      </c>
      <c r="Q169" s="35" t="b">
        <v>0</v>
      </c>
      <c r="R169" s="14"/>
      <c r="S169" s="14"/>
      <c r="T169" s="14"/>
      <c r="U169" s="14"/>
      <c r="V169" s="14"/>
      <c r="W169" s="14"/>
    </row>
    <row r="170" ht="31.5" customHeight="1">
      <c r="A170" s="109" t="s">
        <v>6510</v>
      </c>
      <c r="B170" s="110" t="s">
        <v>6511</v>
      </c>
      <c r="C170" s="111" t="s">
        <v>6512</v>
      </c>
      <c r="D170" s="28" t="s">
        <v>6513</v>
      </c>
      <c r="E170" s="28" t="str">
        <f>IFERROR(__xludf.DUMMYFUNCTION("GOOGLETRANSLATE(D170,""zh-CN"",""vi"")"),"Anh ấy đã theo đuổi ước mơ của mình bằng mọi giá.")</f>
        <v>Anh ấy đã theo đuổi ước mơ của mình bằng mọi giá.</v>
      </c>
      <c r="F170" s="128"/>
      <c r="G170" s="36" t="b">
        <f t="shared" si="1"/>
        <v>0</v>
      </c>
      <c r="H170" s="35" t="b">
        <v>0</v>
      </c>
      <c r="I170" s="35" t="b">
        <v>0</v>
      </c>
      <c r="J170" s="35" t="b">
        <v>0</v>
      </c>
      <c r="K170" s="35" t="b">
        <v>0</v>
      </c>
      <c r="L170" s="35" t="b">
        <v>0</v>
      </c>
      <c r="M170" s="35" t="b">
        <v>0</v>
      </c>
      <c r="N170" s="35" t="b">
        <v>0</v>
      </c>
      <c r="O170" s="35" t="b">
        <v>0</v>
      </c>
      <c r="P170" s="35" t="b">
        <v>0</v>
      </c>
      <c r="Q170" s="35" t="b">
        <v>0</v>
      </c>
      <c r="R170" s="14"/>
      <c r="S170" s="14"/>
      <c r="T170" s="14"/>
      <c r="U170" s="14"/>
      <c r="V170" s="14"/>
      <c r="W170" s="14"/>
    </row>
    <row r="171" ht="31.5" customHeight="1">
      <c r="A171" s="109" t="s">
        <v>6518</v>
      </c>
      <c r="B171" s="110" t="s">
        <v>6519</v>
      </c>
      <c r="C171" s="111" t="s">
        <v>6520</v>
      </c>
      <c r="D171" s="28" t="s">
        <v>6521</v>
      </c>
      <c r="E171" s="28" t="str">
        <f>IFERROR(__xludf.DUMMYFUNCTION("GOOGLETRANSLATE(D171,""zh-CN"",""vi"")"),"Nghe tin này, cô ấy không kìm được nước mắt.")</f>
        <v>Nghe tin này, cô ấy không kìm được nước mắt.</v>
      </c>
      <c r="F171" s="128"/>
      <c r="G171" s="36" t="b">
        <f t="shared" si="1"/>
        <v>0</v>
      </c>
      <c r="H171" s="35" t="b">
        <v>0</v>
      </c>
      <c r="I171" s="35" t="b">
        <v>0</v>
      </c>
      <c r="J171" s="35" t="b">
        <v>0</v>
      </c>
      <c r="K171" s="35" t="b">
        <v>0</v>
      </c>
      <c r="L171" s="35" t="b">
        <v>0</v>
      </c>
      <c r="M171" s="35" t="b">
        <v>0</v>
      </c>
      <c r="N171" s="35" t="b">
        <v>0</v>
      </c>
      <c r="O171" s="35" t="b">
        <v>0</v>
      </c>
      <c r="P171" s="35" t="b">
        <v>0</v>
      </c>
      <c r="Q171" s="35" t="b">
        <v>0</v>
      </c>
      <c r="R171" s="14"/>
      <c r="S171" s="14"/>
      <c r="T171" s="14"/>
      <c r="U171" s="14"/>
      <c r="V171" s="14"/>
      <c r="W171" s="14"/>
    </row>
    <row r="172" ht="31.5" customHeight="1">
      <c r="A172" s="109" t="s">
        <v>6526</v>
      </c>
      <c r="B172" s="110" t="s">
        <v>6527</v>
      </c>
      <c r="C172" s="111" t="s">
        <v>6528</v>
      </c>
      <c r="D172" s="28" t="s">
        <v>6529</v>
      </c>
      <c r="E172" s="28" t="str">
        <f>IFERROR(__xludf.DUMMYFUNCTION("GOOGLETRANSLATE(D172,""zh-CN"",""vi"")"),"Chúng ta cần lập kế hoạch trước một cách hợp lý.")</f>
        <v>Chúng ta cần lập kế hoạch trước một cách hợp lý.</v>
      </c>
      <c r="F172" s="128"/>
      <c r="G172" s="36" t="b">
        <f t="shared" si="1"/>
        <v>0</v>
      </c>
      <c r="H172" s="35" t="b">
        <v>0</v>
      </c>
      <c r="I172" s="35" t="b">
        <v>0</v>
      </c>
      <c r="J172" s="35" t="b">
        <v>0</v>
      </c>
      <c r="K172" s="35" t="b">
        <v>0</v>
      </c>
      <c r="L172" s="35" t="b">
        <v>0</v>
      </c>
      <c r="M172" s="35" t="b">
        <v>0</v>
      </c>
      <c r="N172" s="35" t="b">
        <v>0</v>
      </c>
      <c r="O172" s="35" t="b">
        <v>0</v>
      </c>
      <c r="P172" s="35" t="b">
        <v>0</v>
      </c>
      <c r="Q172" s="35" t="b">
        <v>0</v>
      </c>
      <c r="R172" s="14"/>
      <c r="S172" s="14"/>
      <c r="T172" s="14"/>
      <c r="U172" s="14"/>
      <c r="V172" s="14"/>
      <c r="W172" s="14"/>
    </row>
    <row r="173" ht="31.5" customHeight="1">
      <c r="A173" s="109" t="s">
        <v>6533</v>
      </c>
      <c r="B173" s="110" t="s">
        <v>6535</v>
      </c>
      <c r="C173" s="111" t="s">
        <v>6537</v>
      </c>
      <c r="D173" s="28" t="s">
        <v>6539</v>
      </c>
      <c r="E173" s="28" t="str">
        <f>IFERROR(__xludf.DUMMYFUNCTION("GOOGLETRANSLATE(D173,""zh-CN"",""vi"")"),"Nơi này bẩn thỉu đến mức không thể nhận ra.")</f>
        <v>Nơi này bẩn thỉu đến mức không thể nhận ra.</v>
      </c>
      <c r="F173" s="128"/>
      <c r="G173" s="36" t="b">
        <f t="shared" si="1"/>
        <v>0</v>
      </c>
      <c r="H173" s="35" t="b">
        <v>0</v>
      </c>
      <c r="I173" s="35" t="b">
        <v>0</v>
      </c>
      <c r="J173" s="35" t="b">
        <v>0</v>
      </c>
      <c r="K173" s="35" t="b">
        <v>0</v>
      </c>
      <c r="L173" s="35" t="b">
        <v>0</v>
      </c>
      <c r="M173" s="35" t="b">
        <v>0</v>
      </c>
      <c r="N173" s="35" t="b">
        <v>0</v>
      </c>
      <c r="O173" s="35" t="b">
        <v>0</v>
      </c>
      <c r="P173" s="35" t="b">
        <v>0</v>
      </c>
      <c r="Q173" s="35" t="b">
        <v>0</v>
      </c>
      <c r="R173" s="14"/>
      <c r="S173" s="14"/>
      <c r="T173" s="14"/>
      <c r="U173" s="14"/>
      <c r="V173" s="14"/>
      <c r="W173" s="14"/>
    </row>
    <row r="174" ht="31.5" customHeight="1">
      <c r="A174" s="109" t="s">
        <v>6545</v>
      </c>
      <c r="B174" s="110" t="s">
        <v>6546</v>
      </c>
      <c r="C174" s="111" t="s">
        <v>6547</v>
      </c>
      <c r="D174" s="28" t="s">
        <v>6548</v>
      </c>
      <c r="E174" s="28" t="str">
        <f>IFERROR(__xludf.DUMMYFUNCTION("GOOGLETRANSLATE(D174,""zh-CN"",""vi"")"),"Kết quả này thật đáng kinh ngạc.")</f>
        <v>Kết quả này thật đáng kinh ngạc.</v>
      </c>
      <c r="F174" s="128"/>
      <c r="G174" s="36" t="b">
        <f t="shared" si="1"/>
        <v>0</v>
      </c>
      <c r="H174" s="35" t="b">
        <v>0</v>
      </c>
      <c r="I174" s="35" t="b">
        <v>0</v>
      </c>
      <c r="J174" s="35" t="b">
        <v>0</v>
      </c>
      <c r="K174" s="35" t="b">
        <v>0</v>
      </c>
      <c r="L174" s="35" t="b">
        <v>0</v>
      </c>
      <c r="M174" s="35" t="b">
        <v>0</v>
      </c>
      <c r="N174" s="35" t="b">
        <v>0</v>
      </c>
      <c r="O174" s="35" t="b">
        <v>0</v>
      </c>
      <c r="P174" s="35" t="b">
        <v>0</v>
      </c>
      <c r="Q174" s="35" t="b">
        <v>0</v>
      </c>
      <c r="R174" s="14"/>
      <c r="S174" s="14"/>
      <c r="T174" s="14"/>
      <c r="U174" s="14"/>
      <c r="V174" s="14"/>
      <c r="W174" s="14"/>
    </row>
    <row r="175" ht="31.5" customHeight="1">
      <c r="A175" s="109" t="s">
        <v>6553</v>
      </c>
      <c r="B175" s="110" t="s">
        <v>6554</v>
      </c>
      <c r="C175" s="111" t="s">
        <v>6555</v>
      </c>
      <c r="D175" s="28" t="s">
        <v>6556</v>
      </c>
      <c r="E175" s="28" t="str">
        <f>IFERROR(__xludf.DUMMYFUNCTION("GOOGLETRANSLATE(D175,""zh-CN"",""vi"")"),"Anh ấy thực sự xứng đáng là người hùng của chúng ta.")</f>
        <v>Anh ấy thực sự xứng đáng là người hùng của chúng ta.</v>
      </c>
      <c r="F175" s="128"/>
      <c r="G175" s="36" t="b">
        <f t="shared" si="1"/>
        <v>0</v>
      </c>
      <c r="H175" s="35" t="b">
        <v>0</v>
      </c>
      <c r="I175" s="35" t="b">
        <v>0</v>
      </c>
      <c r="J175" s="35" t="b">
        <v>0</v>
      </c>
      <c r="K175" s="35" t="b">
        <v>0</v>
      </c>
      <c r="L175" s="35" t="b">
        <v>0</v>
      </c>
      <c r="M175" s="35" t="b">
        <v>0</v>
      </c>
      <c r="N175" s="35" t="b">
        <v>0</v>
      </c>
      <c r="O175" s="35" t="b">
        <v>0</v>
      </c>
      <c r="P175" s="35" t="b">
        <v>0</v>
      </c>
      <c r="Q175" s="35" t="b">
        <v>0</v>
      </c>
      <c r="R175" s="14"/>
      <c r="S175" s="14"/>
      <c r="T175" s="14"/>
      <c r="U175" s="14"/>
      <c r="V175" s="14"/>
      <c r="W175" s="14"/>
    </row>
    <row r="176" ht="31.5" customHeight="1">
      <c r="A176" s="109" t="s">
        <v>6561</v>
      </c>
      <c r="B176" s="110" t="s">
        <v>6562</v>
      </c>
      <c r="C176" s="111" t="s">
        <v>6563</v>
      </c>
      <c r="D176" s="28" t="s">
        <v>6564</v>
      </c>
      <c r="E176" s="28" t="str">
        <f>IFERROR(__xludf.DUMMYFUNCTION("GOOGLETRANSLATE(D176,""zh-CN"",""vi"")"),"Ông ấy không ngờ mình lại gặp phải những khó khăn như vậy.")</f>
        <v>Ông ấy không ngờ mình lại gặp phải những khó khăn như vậy.</v>
      </c>
      <c r="F176" s="128"/>
      <c r="G176" s="36" t="b">
        <f t="shared" si="1"/>
        <v>0</v>
      </c>
      <c r="H176" s="35" t="b">
        <v>0</v>
      </c>
      <c r="I176" s="35" t="b">
        <v>0</v>
      </c>
      <c r="J176" s="35" t="b">
        <v>0</v>
      </c>
      <c r="K176" s="35" t="b">
        <v>0</v>
      </c>
      <c r="L176" s="35" t="b">
        <v>0</v>
      </c>
      <c r="M176" s="35" t="b">
        <v>0</v>
      </c>
      <c r="N176" s="35" t="b">
        <v>0</v>
      </c>
      <c r="O176" s="35" t="b">
        <v>0</v>
      </c>
      <c r="P176" s="35" t="b">
        <v>0</v>
      </c>
      <c r="Q176" s="35" t="b">
        <v>0</v>
      </c>
      <c r="R176" s="14"/>
      <c r="S176" s="14"/>
      <c r="T176" s="14"/>
      <c r="U176" s="14"/>
      <c r="V176" s="14"/>
      <c r="W176" s="14"/>
    </row>
    <row r="177" ht="31.5" customHeight="1">
      <c r="A177" s="109" t="s">
        <v>6569</v>
      </c>
      <c r="B177" s="110" t="s">
        <v>6570</v>
      </c>
      <c r="C177" s="111" t="s">
        <v>6571</v>
      </c>
      <c r="D177" s="28" t="s">
        <v>6572</v>
      </c>
      <c r="E177" s="28" t="str">
        <f>IFERROR(__xludf.DUMMYFUNCTION("GOOGLETRANSLATE(D177,""zh-CN"",""vi"")"),"Anh ta liên tục nhìn đồng hồ.")</f>
        <v>Anh ta liên tục nhìn đồng hồ.</v>
      </c>
      <c r="F177" s="128"/>
      <c r="G177" s="36" t="b">
        <f t="shared" si="1"/>
        <v>0</v>
      </c>
      <c r="H177" s="35" t="b">
        <v>0</v>
      </c>
      <c r="I177" s="35" t="b">
        <v>0</v>
      </c>
      <c r="J177" s="35" t="b">
        <v>0</v>
      </c>
      <c r="K177" s="35" t="b">
        <v>0</v>
      </c>
      <c r="L177" s="35" t="b">
        <v>0</v>
      </c>
      <c r="M177" s="35" t="b">
        <v>0</v>
      </c>
      <c r="N177" s="35" t="b">
        <v>0</v>
      </c>
      <c r="O177" s="35" t="b">
        <v>0</v>
      </c>
      <c r="P177" s="35" t="b">
        <v>0</v>
      </c>
      <c r="Q177" s="35" t="b">
        <v>0</v>
      </c>
      <c r="R177" s="14"/>
      <c r="S177" s="14"/>
      <c r="T177" s="14"/>
      <c r="U177" s="14"/>
      <c r="V177" s="14"/>
      <c r="W177" s="14"/>
    </row>
    <row r="178" ht="31.5" customHeight="1">
      <c r="A178" s="109" t="s">
        <v>6577</v>
      </c>
      <c r="B178" s="110" t="s">
        <v>6578</v>
      </c>
      <c r="C178" s="111" t="s">
        <v>6579</v>
      </c>
      <c r="D178" s="28" t="s">
        <v>6580</v>
      </c>
      <c r="E178" s="28" t="str">
        <f>IFERROR(__xludf.DUMMYFUNCTION("GOOGLETRANSLATE(D178,""zh-CN"",""vi"")"),"Chúng tôi hiện đang tiến hành triển khai chi tiết.")</f>
        <v>Chúng tôi hiện đang tiến hành triển khai chi tiết.</v>
      </c>
      <c r="F178" s="128"/>
      <c r="G178" s="36" t="b">
        <f t="shared" si="1"/>
        <v>0</v>
      </c>
      <c r="H178" s="35" t="b">
        <v>0</v>
      </c>
      <c r="I178" s="35" t="b">
        <v>0</v>
      </c>
      <c r="J178" s="35" t="b">
        <v>0</v>
      </c>
      <c r="K178" s="35" t="b">
        <v>0</v>
      </c>
      <c r="L178" s="35" t="b">
        <v>0</v>
      </c>
      <c r="M178" s="35" t="b">
        <v>0</v>
      </c>
      <c r="N178" s="35" t="b">
        <v>0</v>
      </c>
      <c r="O178" s="35" t="b">
        <v>0</v>
      </c>
      <c r="P178" s="35" t="b">
        <v>0</v>
      </c>
      <c r="Q178" s="35" t="b">
        <v>0</v>
      </c>
      <c r="R178" s="14"/>
      <c r="S178" s="14"/>
      <c r="T178" s="14"/>
      <c r="U178" s="14"/>
      <c r="V178" s="14"/>
      <c r="W178" s="14"/>
    </row>
    <row r="179" ht="31.5" customHeight="1">
      <c r="A179" s="109" t="s">
        <v>6581</v>
      </c>
      <c r="B179" s="110" t="s">
        <v>6582</v>
      </c>
      <c r="C179" s="111" t="s">
        <v>6583</v>
      </c>
      <c r="D179" s="28" t="s">
        <v>6584</v>
      </c>
      <c r="E179" s="28" t="str">
        <f>IFERROR(__xludf.DUMMYFUNCTION("GOOGLETRANSLATE(D179,""zh-CN"",""vi"")"),"Khu vực này cần được bảo vệ đặc biệt.")</f>
        <v>Khu vực này cần được bảo vệ đặc biệt.</v>
      </c>
      <c r="F179" s="128"/>
      <c r="G179" s="36" t="b">
        <f t="shared" si="1"/>
        <v>0</v>
      </c>
      <c r="H179" s="35" t="b">
        <v>0</v>
      </c>
      <c r="I179" s="35" t="b">
        <v>0</v>
      </c>
      <c r="J179" s="35" t="b">
        <v>0</v>
      </c>
      <c r="K179" s="35" t="b">
        <v>0</v>
      </c>
      <c r="L179" s="35" t="b">
        <v>0</v>
      </c>
      <c r="M179" s="35" t="b">
        <v>0</v>
      </c>
      <c r="N179" s="35" t="b">
        <v>0</v>
      </c>
      <c r="O179" s="35" t="b">
        <v>0</v>
      </c>
      <c r="P179" s="35" t="b">
        <v>0</v>
      </c>
      <c r="Q179" s="35" t="b">
        <v>0</v>
      </c>
      <c r="R179" s="14"/>
      <c r="S179" s="14"/>
      <c r="T179" s="14"/>
      <c r="U179" s="14"/>
      <c r="V179" s="14"/>
      <c r="W179" s="14"/>
    </row>
    <row r="180" ht="31.5" customHeight="1">
      <c r="A180" s="109" t="s">
        <v>6589</v>
      </c>
      <c r="B180" s="110" t="s">
        <v>6590</v>
      </c>
      <c r="C180" s="111" t="s">
        <v>6591</v>
      </c>
      <c r="D180" s="28" t="s">
        <v>6592</v>
      </c>
      <c r="E180" s="28" t="str">
        <f>IFERROR(__xludf.DUMMYFUNCTION("GOOGLETRANSLATE(D180,""zh-CN"",""vi"")"),"Chúng tôi sẽ hoàn thành nhiệm vụ bằng mọi giá.")</f>
        <v>Chúng tôi sẽ hoàn thành nhiệm vụ bằng mọi giá.</v>
      </c>
      <c r="F180" s="128"/>
      <c r="G180" s="36" t="b">
        <f t="shared" si="1"/>
        <v>0</v>
      </c>
      <c r="H180" s="35" t="b">
        <v>0</v>
      </c>
      <c r="I180" s="35" t="b">
        <v>0</v>
      </c>
      <c r="J180" s="35" t="b">
        <v>0</v>
      </c>
      <c r="K180" s="35" t="b">
        <v>0</v>
      </c>
      <c r="L180" s="35" t="b">
        <v>0</v>
      </c>
      <c r="M180" s="35" t="b">
        <v>0</v>
      </c>
      <c r="N180" s="35" t="b">
        <v>0</v>
      </c>
      <c r="O180" s="35" t="b">
        <v>0</v>
      </c>
      <c r="P180" s="35" t="b">
        <v>0</v>
      </c>
      <c r="Q180" s="35" t="b">
        <v>0</v>
      </c>
      <c r="R180" s="14"/>
      <c r="S180" s="14"/>
      <c r="T180" s="14"/>
      <c r="U180" s="14"/>
      <c r="V180" s="14"/>
      <c r="W180" s="14"/>
    </row>
    <row r="181" ht="31.5" customHeight="1">
      <c r="A181" s="109" t="s">
        <v>6597</v>
      </c>
      <c r="B181" s="110" t="s">
        <v>6602</v>
      </c>
      <c r="C181" s="111" t="s">
        <v>6603</v>
      </c>
      <c r="D181" s="28" t="s">
        <v>6604</v>
      </c>
      <c r="E181" s="28" t="str">
        <f>IFERROR(__xludf.DUMMYFUNCTION("GOOGLETRANSLATE(D181,""zh-CN"",""vi"")"),"Trình độ kỹ năng của họ tương đương nhau.")</f>
        <v>Trình độ kỹ năng của họ tương đương nhau.</v>
      </c>
      <c r="F181" s="128"/>
      <c r="G181" s="36" t="b">
        <f t="shared" si="1"/>
        <v>0</v>
      </c>
      <c r="H181" s="35" t="b">
        <v>0</v>
      </c>
      <c r="I181" s="35" t="b">
        <v>0</v>
      </c>
      <c r="J181" s="35" t="b">
        <v>0</v>
      </c>
      <c r="K181" s="35" t="b">
        <v>0</v>
      </c>
      <c r="L181" s="35" t="b">
        <v>0</v>
      </c>
      <c r="M181" s="35" t="b">
        <v>0</v>
      </c>
      <c r="N181" s="35" t="b">
        <v>0</v>
      </c>
      <c r="O181" s="35" t="b">
        <v>0</v>
      </c>
      <c r="P181" s="35" t="b">
        <v>0</v>
      </c>
      <c r="Q181" s="35" t="b">
        <v>0</v>
      </c>
      <c r="R181" s="14"/>
      <c r="S181" s="14"/>
      <c r="T181" s="14"/>
      <c r="U181" s="14"/>
      <c r="V181" s="14"/>
      <c r="W181" s="14"/>
    </row>
    <row r="182" ht="31.5" customHeight="1">
      <c r="A182" s="109" t="s">
        <v>6617</v>
      </c>
      <c r="B182" s="110" t="s">
        <v>6618</v>
      </c>
      <c r="C182" s="111" t="s">
        <v>6619</v>
      </c>
      <c r="D182" s="28" t="s">
        <v>6620</v>
      </c>
      <c r="E182" s="28" t="str">
        <f>IFERROR(__xludf.DUMMYFUNCTION("GOOGLETRANSLATE(D182,""zh-CN"",""vi"")"),"Hành vi của anh ta thật quá đáng.")</f>
        <v>Hành vi của anh ta thật quá đáng.</v>
      </c>
      <c r="F182" s="128"/>
      <c r="G182" s="36" t="b">
        <f t="shared" si="1"/>
        <v>0</v>
      </c>
      <c r="H182" s="35" t="b">
        <v>0</v>
      </c>
      <c r="I182" s="35" t="b">
        <v>0</v>
      </c>
      <c r="J182" s="35" t="b">
        <v>0</v>
      </c>
      <c r="K182" s="35" t="b">
        <v>0</v>
      </c>
      <c r="L182" s="35" t="b">
        <v>0</v>
      </c>
      <c r="M182" s="35" t="b">
        <v>0</v>
      </c>
      <c r="N182" s="35" t="b">
        <v>0</v>
      </c>
      <c r="O182" s="35" t="b">
        <v>0</v>
      </c>
      <c r="P182" s="35" t="b">
        <v>0</v>
      </c>
      <c r="Q182" s="35" t="b">
        <v>0</v>
      </c>
      <c r="R182" s="14"/>
      <c r="S182" s="14"/>
      <c r="T182" s="14"/>
      <c r="U182" s="14"/>
      <c r="V182" s="14"/>
      <c r="W182" s="14"/>
    </row>
    <row r="183" ht="31.5" customHeight="1">
      <c r="A183" s="109" t="s">
        <v>6625</v>
      </c>
      <c r="B183" s="110" t="s">
        <v>6626</v>
      </c>
      <c r="C183" s="111" t="s">
        <v>6627</v>
      </c>
      <c r="D183" s="28" t="s">
        <v>6628</v>
      </c>
      <c r="E183" s="28" t="str">
        <f>IFERROR(__xludf.DUMMYFUNCTION("GOOGLETRANSLATE(D183,""zh-CN"",""vi"")"),"Ông ta gạt bỏ những lời chỉ trích từ người khác.")</f>
        <v>Ông ta gạt bỏ những lời chỉ trích từ người khác.</v>
      </c>
      <c r="F183" s="128"/>
      <c r="G183" s="36" t="b">
        <f t="shared" si="1"/>
        <v>0</v>
      </c>
      <c r="H183" s="35" t="b">
        <v>0</v>
      </c>
      <c r="I183" s="35" t="b">
        <v>0</v>
      </c>
      <c r="J183" s="35" t="b">
        <v>0</v>
      </c>
      <c r="K183" s="35" t="b">
        <v>0</v>
      </c>
      <c r="L183" s="35" t="b">
        <v>0</v>
      </c>
      <c r="M183" s="35" t="b">
        <v>0</v>
      </c>
      <c r="N183" s="35" t="b">
        <v>0</v>
      </c>
      <c r="O183" s="35" t="b">
        <v>0</v>
      </c>
      <c r="P183" s="35" t="b">
        <v>0</v>
      </c>
      <c r="Q183" s="35" t="b">
        <v>0</v>
      </c>
      <c r="R183" s="14"/>
      <c r="S183" s="14"/>
      <c r="T183" s="14"/>
      <c r="U183" s="14"/>
      <c r="V183" s="14"/>
      <c r="W183" s="14"/>
    </row>
    <row r="184" ht="31.5" customHeight="1">
      <c r="A184" s="109" t="s">
        <v>6631</v>
      </c>
      <c r="B184" s="110" t="s">
        <v>6633</v>
      </c>
      <c r="C184" s="111" t="s">
        <v>6634</v>
      </c>
      <c r="D184" s="28" t="s">
        <v>6635</v>
      </c>
      <c r="E184" s="28" t="str">
        <f>IFERROR(__xludf.DUMMYFUNCTION("GOOGLETRANSLATE(D184,""zh-CN"",""vi"")"),"Câu trả lời cho câu hỏi này quá rõ ràng.")</f>
        <v>Câu trả lời cho câu hỏi này quá rõ ràng.</v>
      </c>
      <c r="F184" s="128"/>
      <c r="G184" s="36" t="b">
        <f t="shared" si="1"/>
        <v>0</v>
      </c>
      <c r="H184" s="35" t="b">
        <v>0</v>
      </c>
      <c r="I184" s="35" t="b">
        <v>0</v>
      </c>
      <c r="J184" s="35" t="b">
        <v>0</v>
      </c>
      <c r="K184" s="35" t="b">
        <v>0</v>
      </c>
      <c r="L184" s="35" t="b">
        <v>0</v>
      </c>
      <c r="M184" s="35" t="b">
        <v>0</v>
      </c>
      <c r="N184" s="35" t="b">
        <v>0</v>
      </c>
      <c r="O184" s="35" t="b">
        <v>0</v>
      </c>
      <c r="P184" s="35" t="b">
        <v>0</v>
      </c>
      <c r="Q184" s="35" t="b">
        <v>0</v>
      </c>
      <c r="R184" s="14"/>
      <c r="S184" s="14"/>
      <c r="T184" s="14"/>
      <c r="U184" s="14"/>
      <c r="V184" s="14"/>
      <c r="W184" s="14"/>
    </row>
    <row r="185" ht="31.5" customHeight="1">
      <c r="A185" s="109" t="s">
        <v>6636</v>
      </c>
      <c r="B185" s="110" t="s">
        <v>6637</v>
      </c>
      <c r="C185" s="111" t="s">
        <v>6638</v>
      </c>
      <c r="D185" s="28" t="s">
        <v>6639</v>
      </c>
      <c r="E185" s="28" t="str">
        <f>IFERROR(__xludf.DUMMYFUNCTION("GOOGLETRANSLATE(D185,""zh-CN"",""vi"")"),"Cô ấy không thể nhịn được cười.")</f>
        <v>Cô ấy không thể nhịn được cười.</v>
      </c>
      <c r="F185" s="128"/>
      <c r="G185" s="36" t="b">
        <f t="shared" si="1"/>
        <v>0</v>
      </c>
      <c r="H185" s="35" t="b">
        <v>0</v>
      </c>
      <c r="I185" s="35" t="b">
        <v>0</v>
      </c>
      <c r="J185" s="35" t="b">
        <v>0</v>
      </c>
      <c r="K185" s="35" t="b">
        <v>0</v>
      </c>
      <c r="L185" s="35" t="b">
        <v>0</v>
      </c>
      <c r="M185" s="35" t="b">
        <v>0</v>
      </c>
      <c r="N185" s="35" t="b">
        <v>0</v>
      </c>
      <c r="O185" s="35" t="b">
        <v>0</v>
      </c>
      <c r="P185" s="35" t="b">
        <v>0</v>
      </c>
      <c r="Q185" s="35" t="b">
        <v>0</v>
      </c>
      <c r="R185" s="14"/>
      <c r="S185" s="14"/>
      <c r="T185" s="14"/>
      <c r="U185" s="14"/>
      <c r="V185" s="14"/>
      <c r="W185" s="14"/>
    </row>
    <row r="186" ht="31.5" customHeight="1">
      <c r="A186" s="109" t="s">
        <v>6644</v>
      </c>
      <c r="B186" s="110" t="s">
        <v>6645</v>
      </c>
      <c r="C186" s="111" t="s">
        <v>6646</v>
      </c>
      <c r="D186" s="28" t="s">
        <v>6647</v>
      </c>
      <c r="E186" s="28" t="str">
        <f>IFERROR(__xludf.DUMMYFUNCTION("GOOGLETRANSLATE(D186,""zh-CN"",""vi"")"),"Anh ta sẽ không từ bất cứ thủ đoạn nào để thành công.")</f>
        <v>Anh ta sẽ không từ bất cứ thủ đoạn nào để thành công.</v>
      </c>
      <c r="F186" s="128"/>
      <c r="G186" s="36" t="b">
        <f t="shared" si="1"/>
        <v>0</v>
      </c>
      <c r="H186" s="35" t="b">
        <v>0</v>
      </c>
      <c r="I186" s="35" t="b">
        <v>0</v>
      </c>
      <c r="J186" s="35" t="b">
        <v>0</v>
      </c>
      <c r="K186" s="35" t="b">
        <v>0</v>
      </c>
      <c r="L186" s="35" t="b">
        <v>0</v>
      </c>
      <c r="M186" s="35" t="b">
        <v>0</v>
      </c>
      <c r="N186" s="35" t="b">
        <v>0</v>
      </c>
      <c r="O186" s="35" t="b">
        <v>0</v>
      </c>
      <c r="P186" s="35" t="b">
        <v>0</v>
      </c>
      <c r="Q186" s="35" t="b">
        <v>0</v>
      </c>
      <c r="R186" s="14"/>
      <c r="S186" s="14"/>
      <c r="T186" s="14"/>
      <c r="U186" s="14"/>
      <c r="V186" s="14"/>
      <c r="W186" s="14"/>
    </row>
    <row r="187" ht="31.5" customHeight="1">
      <c r="A187" s="124" t="s">
        <v>6652</v>
      </c>
      <c r="B187" s="125" t="s">
        <v>6653</v>
      </c>
      <c r="C187" s="126" t="s">
        <v>4866</v>
      </c>
      <c r="D187" s="127" t="s">
        <v>6654</v>
      </c>
      <c r="E187" s="28" t="str">
        <f>IFERROR(__xludf.DUMMYFUNCTION("GOOGLETRANSLATE(D187,""zh-CN"",""vi"")"),"Trời vẫn tiếp tục mưa, và đường phố bị ngập lụt.")</f>
        <v>Trời vẫn tiếp tục mưa, và đường phố bị ngập lụt.</v>
      </c>
      <c r="F187" s="128"/>
      <c r="G187" s="36" t="b">
        <f t="shared" si="1"/>
        <v>0</v>
      </c>
      <c r="H187" s="35" t="b">
        <v>0</v>
      </c>
      <c r="I187" s="35" t="b">
        <v>0</v>
      </c>
      <c r="J187" s="35" t="b">
        <v>0</v>
      </c>
      <c r="K187" s="35" t="b">
        <v>0</v>
      </c>
      <c r="L187" s="35" t="b">
        <v>0</v>
      </c>
      <c r="M187" s="35" t="b">
        <v>0</v>
      </c>
      <c r="N187" s="35" t="b">
        <v>0</v>
      </c>
      <c r="O187" s="35" t="b">
        <v>0</v>
      </c>
      <c r="P187" s="35" t="b">
        <v>0</v>
      </c>
      <c r="Q187" s="35" t="b">
        <v>0</v>
      </c>
      <c r="R187" s="14"/>
      <c r="S187" s="14"/>
      <c r="T187" s="14"/>
      <c r="U187" s="14"/>
      <c r="V187" s="14"/>
      <c r="W187" s="14"/>
    </row>
    <row r="188" ht="31.5" customHeight="1">
      <c r="A188" s="124" t="s">
        <v>6659</v>
      </c>
      <c r="B188" s="125" t="s">
        <v>6660</v>
      </c>
      <c r="C188" s="126" t="s">
        <v>6528</v>
      </c>
      <c r="D188" s="127" t="s">
        <v>6661</v>
      </c>
      <c r="E188" s="28" t="str">
        <f>IFERROR(__xludf.DUMMYFUNCTION("GOOGLETRANSLATE(D188,""zh-CN"",""vi"")"),"Vui lòng bố trí địa điểm theo hướng dẫn.")</f>
        <v>Vui lòng bố trí địa điểm theo hướng dẫn.</v>
      </c>
      <c r="F188" s="128"/>
      <c r="G188" s="36" t="b">
        <f t="shared" si="1"/>
        <v>0</v>
      </c>
      <c r="H188" s="35" t="b">
        <v>0</v>
      </c>
      <c r="I188" s="35" t="b">
        <v>0</v>
      </c>
      <c r="J188" s="35" t="b">
        <v>0</v>
      </c>
      <c r="K188" s="35" t="b">
        <v>0</v>
      </c>
      <c r="L188" s="35" t="b">
        <v>0</v>
      </c>
      <c r="M188" s="35" t="b">
        <v>0</v>
      </c>
      <c r="N188" s="35" t="b">
        <v>0</v>
      </c>
      <c r="O188" s="35" t="b">
        <v>0</v>
      </c>
      <c r="P188" s="35" t="b">
        <v>0</v>
      </c>
      <c r="Q188" s="35" t="b">
        <v>0</v>
      </c>
      <c r="R188" s="14"/>
      <c r="S188" s="14"/>
      <c r="T188" s="14"/>
      <c r="U188" s="14"/>
      <c r="V188" s="14"/>
      <c r="W188" s="14"/>
    </row>
    <row r="189" ht="31.5" customHeight="1">
      <c r="A189" s="124" t="s">
        <v>6666</v>
      </c>
      <c r="B189" s="125" t="s">
        <v>6667</v>
      </c>
      <c r="C189" s="126" t="s">
        <v>6668</v>
      </c>
      <c r="D189" s="127" t="s">
        <v>6669</v>
      </c>
      <c r="E189" s="28" t="str">
        <f>IFERROR(__xludf.DUMMYFUNCTION("GOOGLETRANSLATE(D189,""zh-CN"",""vi"")"),"Cô ấy là một thợ may xuất sắc.")</f>
        <v>Cô ấy là một thợ may xuất sắc.</v>
      </c>
      <c r="F189" s="128"/>
      <c r="G189" s="36" t="b">
        <f t="shared" si="1"/>
        <v>0</v>
      </c>
      <c r="H189" s="35" t="b">
        <v>0</v>
      </c>
      <c r="I189" s="35" t="b">
        <v>0</v>
      </c>
      <c r="J189" s="35" t="b">
        <v>0</v>
      </c>
      <c r="K189" s="35" t="b">
        <v>0</v>
      </c>
      <c r="L189" s="35" t="b">
        <v>0</v>
      </c>
      <c r="M189" s="35" t="b">
        <v>0</v>
      </c>
      <c r="N189" s="35" t="b">
        <v>0</v>
      </c>
      <c r="O189" s="35" t="b">
        <v>0</v>
      </c>
      <c r="P189" s="35" t="b">
        <v>0</v>
      </c>
      <c r="Q189" s="35" t="b">
        <v>0</v>
      </c>
      <c r="R189" s="14"/>
      <c r="S189" s="14"/>
      <c r="T189" s="14"/>
      <c r="U189" s="14"/>
      <c r="V189" s="14"/>
      <c r="W189" s="14"/>
    </row>
    <row r="190" ht="31.5" customHeight="1">
      <c r="A190" s="124" t="s">
        <v>6674</v>
      </c>
      <c r="B190" s="125" t="s">
        <v>6675</v>
      </c>
      <c r="C190" s="126" t="s">
        <v>4904</v>
      </c>
      <c r="D190" s="127" t="s">
        <v>6676</v>
      </c>
      <c r="E190" s="28" t="str">
        <f>IFERROR(__xludf.DUMMYFUNCTION("GOOGLETRANSLATE(D190,""zh-CN"",""vi"")"),"Kiến thức là của cải vô giá.")</f>
        <v>Kiến thức là của cải vô giá.</v>
      </c>
      <c r="F190" s="128"/>
      <c r="G190" s="36" t="b">
        <f t="shared" si="1"/>
        <v>0</v>
      </c>
      <c r="H190" s="35" t="b">
        <v>0</v>
      </c>
      <c r="I190" s="35" t="b">
        <v>0</v>
      </c>
      <c r="J190" s="35" t="b">
        <v>0</v>
      </c>
      <c r="K190" s="35" t="b">
        <v>0</v>
      </c>
      <c r="L190" s="35" t="b">
        <v>0</v>
      </c>
      <c r="M190" s="35" t="b">
        <v>0</v>
      </c>
      <c r="N190" s="35" t="b">
        <v>0</v>
      </c>
      <c r="O190" s="35" t="b">
        <v>0</v>
      </c>
      <c r="P190" s="35" t="b">
        <v>0</v>
      </c>
      <c r="Q190" s="35" t="b">
        <v>0</v>
      </c>
      <c r="R190" s="14"/>
      <c r="S190" s="14"/>
      <c r="T190" s="14"/>
      <c r="U190" s="14"/>
      <c r="V190" s="14"/>
      <c r="W190" s="14"/>
    </row>
    <row r="191" ht="31.5" customHeight="1">
      <c r="A191" s="124" t="s">
        <v>6680</v>
      </c>
      <c r="B191" s="125" t="s">
        <v>6682</v>
      </c>
      <c r="C191" s="126" t="s">
        <v>6683</v>
      </c>
      <c r="D191" s="127" t="s">
        <v>6684</v>
      </c>
      <c r="E191" s="28" t="str">
        <f>IFERROR(__xludf.DUMMYFUNCTION("GOOGLETRANSLATE(D191,""zh-CN"",""vi"")"),"Anh ấy rất tài năng.")</f>
        <v>Anh ấy rất tài năng.</v>
      </c>
      <c r="F191" s="128"/>
      <c r="G191" s="36" t="b">
        <f t="shared" si="1"/>
        <v>0</v>
      </c>
      <c r="H191" s="35" t="b">
        <v>0</v>
      </c>
      <c r="I191" s="35" t="b">
        <v>0</v>
      </c>
      <c r="J191" s="35" t="b">
        <v>0</v>
      </c>
      <c r="K191" s="35" t="b">
        <v>0</v>
      </c>
      <c r="L191" s="35" t="b">
        <v>0</v>
      </c>
      <c r="M191" s="35" t="b">
        <v>0</v>
      </c>
      <c r="N191" s="35" t="b">
        <v>0</v>
      </c>
      <c r="O191" s="35" t="b">
        <v>0</v>
      </c>
      <c r="P191" s="35" t="b">
        <v>0</v>
      </c>
      <c r="Q191" s="35" t="b">
        <v>0</v>
      </c>
      <c r="R191" s="14"/>
      <c r="S191" s="14"/>
      <c r="T191" s="14"/>
      <c r="U191" s="14"/>
      <c r="V191" s="14"/>
      <c r="W191" s="14"/>
    </row>
    <row r="192" ht="31.5" customHeight="1">
      <c r="A192" s="124" t="s">
        <v>6685</v>
      </c>
      <c r="B192" s="125" t="s">
        <v>6687</v>
      </c>
      <c r="C192" s="126" t="s">
        <v>6689</v>
      </c>
      <c r="D192" s="127" t="s">
        <v>6691</v>
      </c>
      <c r="E192" s="28" t="str">
        <f>IFERROR(__xludf.DUMMYFUNCTION("GOOGLETRANSLATE(D192,""zh-CN"",""vi"")"),"Trọng tài công bố kết quả trận đấu.")</f>
        <v>Trọng tài công bố kết quả trận đấu.</v>
      </c>
      <c r="F192" s="128"/>
      <c r="G192" s="36" t="b">
        <f t="shared" si="1"/>
        <v>0</v>
      </c>
      <c r="H192" s="35" t="b">
        <v>0</v>
      </c>
      <c r="I192" s="35" t="b">
        <v>0</v>
      </c>
      <c r="J192" s="35" t="b">
        <v>0</v>
      </c>
      <c r="K192" s="35" t="b">
        <v>0</v>
      </c>
      <c r="L192" s="35" t="b">
        <v>0</v>
      </c>
      <c r="M192" s="35" t="b">
        <v>0</v>
      </c>
      <c r="N192" s="35" t="b">
        <v>0</v>
      </c>
      <c r="O192" s="35" t="b">
        <v>0</v>
      </c>
      <c r="P192" s="35" t="b">
        <v>0</v>
      </c>
      <c r="Q192" s="35" t="b">
        <v>0</v>
      </c>
      <c r="R192" s="14"/>
      <c r="S192" s="14"/>
      <c r="T192" s="14"/>
      <c r="U192" s="14"/>
      <c r="V192" s="14"/>
      <c r="W192" s="14"/>
    </row>
    <row r="193" ht="31.5" customHeight="1">
      <c r="A193" s="124" t="s">
        <v>6693</v>
      </c>
      <c r="B193" s="125" t="s">
        <v>6694</v>
      </c>
      <c r="C193" s="126" t="s">
        <v>6695</v>
      </c>
      <c r="D193" s="127" t="s">
        <v>6696</v>
      </c>
      <c r="E193" s="28" t="str">
        <f>IFERROR(__xludf.DUMMYFUNCTION("GOOGLETRANSLATE(D193,""zh-CN"",""vi"")"),"Công ty đang gặp khó khăn về tài chính.")</f>
        <v>Công ty đang gặp khó khăn về tài chính.</v>
      </c>
      <c r="F193" s="128"/>
      <c r="G193" s="36" t="b">
        <f t="shared" si="1"/>
        <v>0</v>
      </c>
      <c r="H193" s="35" t="b">
        <v>0</v>
      </c>
      <c r="I193" s="35" t="b">
        <v>0</v>
      </c>
      <c r="J193" s="35" t="b">
        <v>0</v>
      </c>
      <c r="K193" s="35" t="b">
        <v>0</v>
      </c>
      <c r="L193" s="35" t="b">
        <v>0</v>
      </c>
      <c r="M193" s="35" t="b">
        <v>0</v>
      </c>
      <c r="N193" s="35" t="b">
        <v>0</v>
      </c>
      <c r="O193" s="35" t="b">
        <v>0</v>
      </c>
      <c r="P193" s="35" t="b">
        <v>0</v>
      </c>
      <c r="Q193" s="35" t="b">
        <v>0</v>
      </c>
      <c r="R193" s="14"/>
      <c r="S193" s="14"/>
      <c r="T193" s="14"/>
      <c r="U193" s="14"/>
      <c r="V193" s="14"/>
      <c r="W193" s="14"/>
    </row>
    <row r="194" ht="31.5" customHeight="1">
      <c r="A194" s="124" t="s">
        <v>6701</v>
      </c>
      <c r="B194" s="125" t="s">
        <v>6702</v>
      </c>
      <c r="C194" s="126" t="s">
        <v>6703</v>
      </c>
      <c r="D194" s="127" t="s">
        <v>6704</v>
      </c>
      <c r="E194" s="28" t="str">
        <f>IFERROR(__xludf.DUMMYFUNCTION("GOOGLETRANSLATE(D194,""zh-CN"",""vi"")"),"Công ty đã quyết định sa thải nhân viên.")</f>
        <v>Công ty đã quyết định sa thải nhân viên.</v>
      </c>
      <c r="F194" s="128"/>
      <c r="G194" s="36" t="b">
        <f t="shared" si="1"/>
        <v>0</v>
      </c>
      <c r="H194" s="35" t="b">
        <v>0</v>
      </c>
      <c r="I194" s="35" t="b">
        <v>0</v>
      </c>
      <c r="J194" s="35" t="b">
        <v>0</v>
      </c>
      <c r="K194" s="35" t="b">
        <v>0</v>
      </c>
      <c r="L194" s="35" t="b">
        <v>0</v>
      </c>
      <c r="M194" s="35" t="b">
        <v>0</v>
      </c>
      <c r="N194" s="35" t="b">
        <v>0</v>
      </c>
      <c r="O194" s="35" t="b">
        <v>0</v>
      </c>
      <c r="P194" s="35" t="b">
        <v>0</v>
      </c>
      <c r="Q194" s="35" t="b">
        <v>0</v>
      </c>
      <c r="R194" s="14"/>
      <c r="S194" s="14"/>
      <c r="T194" s="14"/>
      <c r="U194" s="14"/>
      <c r="V194" s="14"/>
      <c r="W194" s="14"/>
    </row>
    <row r="195" ht="31.5" customHeight="1">
      <c r="A195" s="124" t="s">
        <v>6709</v>
      </c>
      <c r="B195" s="125" t="s">
        <v>6710</v>
      </c>
      <c r="C195" s="126" t="s">
        <v>6695</v>
      </c>
      <c r="D195" s="127" t="s">
        <v>6711</v>
      </c>
      <c r="E195" s="28" t="str">
        <f>IFERROR(__xludf.DUMMYFUNCTION("GOOGLETRANSLATE(D195,""zh-CN"",""vi"")"),"Chính phủ quản lý các vấn đề tài chính.")</f>
        <v>Chính phủ quản lý các vấn đề tài chính.</v>
      </c>
      <c r="F195" s="128"/>
      <c r="G195" s="36" t="b">
        <f t="shared" si="1"/>
        <v>0</v>
      </c>
      <c r="H195" s="35" t="b">
        <v>1</v>
      </c>
      <c r="I195" s="35" t="b">
        <v>0</v>
      </c>
      <c r="J195" s="35" t="b">
        <v>0</v>
      </c>
      <c r="K195" s="35" t="b">
        <v>0</v>
      </c>
      <c r="L195" s="35" t="b">
        <v>0</v>
      </c>
      <c r="M195" s="35" t="b">
        <v>0</v>
      </c>
      <c r="N195" s="35" t="b">
        <v>0</v>
      </c>
      <c r="O195" s="35" t="b">
        <v>0</v>
      </c>
      <c r="P195" s="35" t="b">
        <v>0</v>
      </c>
      <c r="Q195" s="35" t="b">
        <v>0</v>
      </c>
      <c r="R195" s="14"/>
      <c r="S195" s="14"/>
      <c r="T195" s="14"/>
      <c r="U195" s="14"/>
      <c r="V195" s="14"/>
      <c r="W195" s="14"/>
    </row>
    <row r="196" ht="31.5" customHeight="1">
      <c r="A196" s="124" t="s">
        <v>6715</v>
      </c>
      <c r="B196" s="125" t="s">
        <v>6716</v>
      </c>
      <c r="C196" s="126" t="s">
        <v>1764</v>
      </c>
      <c r="D196" s="127" t="s">
        <v>6717</v>
      </c>
      <c r="E196" s="28" t="str">
        <f>IFERROR(__xludf.DUMMYFUNCTION("GOOGLETRANSLATE(D196,""zh-CN"",""vi"")"),"Chúng ta cần mua thiết bị mới.")</f>
        <v>Chúng ta cần mua thiết bị mới.</v>
      </c>
      <c r="F196" s="128"/>
      <c r="G196" s="36" t="b">
        <f t="shared" si="1"/>
        <v>0</v>
      </c>
      <c r="H196" s="35" t="b">
        <v>1</v>
      </c>
      <c r="I196" s="35" t="b">
        <v>0</v>
      </c>
      <c r="J196" s="35" t="b">
        <v>0</v>
      </c>
      <c r="K196" s="35" t="b">
        <v>0</v>
      </c>
      <c r="L196" s="35" t="b">
        <v>0</v>
      </c>
      <c r="M196" s="35" t="b">
        <v>0</v>
      </c>
      <c r="N196" s="35" t="b">
        <v>0</v>
      </c>
      <c r="O196" s="35" t="b">
        <v>0</v>
      </c>
      <c r="P196" s="35" t="b">
        <v>0</v>
      </c>
      <c r="Q196" s="35" t="b">
        <v>0</v>
      </c>
      <c r="R196" s="14"/>
      <c r="S196" s="14"/>
      <c r="T196" s="14"/>
      <c r="U196" s="14"/>
      <c r="V196" s="14"/>
      <c r="W196" s="14"/>
    </row>
    <row r="197" ht="31.5" customHeight="1">
      <c r="A197" s="124" t="s">
        <v>6721</v>
      </c>
      <c r="B197" s="125" t="s">
        <v>6723</v>
      </c>
      <c r="C197" s="126" t="s">
        <v>6724</v>
      </c>
      <c r="D197" s="127" t="s">
        <v>6725</v>
      </c>
      <c r="E197" s="28" t="str">
        <f>IFERROR(__xludf.DUMMYFUNCTION("GOOGLETRANSLATE(D197,""zh-CN"",""vi"")"),"Các nhà nghiên cứu đang thu thập dữ liệu.")</f>
        <v>Các nhà nghiên cứu đang thu thập dữ liệu.</v>
      </c>
      <c r="F197" s="128"/>
      <c r="G197" s="36" t="b">
        <f t="shared" si="1"/>
        <v>0</v>
      </c>
      <c r="H197" s="35" t="b">
        <v>1</v>
      </c>
      <c r="I197" s="35" t="b">
        <v>0</v>
      </c>
      <c r="J197" s="35" t="b">
        <v>0</v>
      </c>
      <c r="K197" s="35" t="b">
        <v>0</v>
      </c>
      <c r="L197" s="35" t="b">
        <v>0</v>
      </c>
      <c r="M197" s="35" t="b">
        <v>0</v>
      </c>
      <c r="N197" s="35" t="b">
        <v>0</v>
      </c>
      <c r="O197" s="35" t="b">
        <v>0</v>
      </c>
      <c r="P197" s="35" t="b">
        <v>0</v>
      </c>
      <c r="Q197" s="35" t="b">
        <v>0</v>
      </c>
      <c r="R197" s="14"/>
      <c r="S197" s="14"/>
      <c r="T197" s="14"/>
      <c r="U197" s="14"/>
      <c r="V197" s="14"/>
      <c r="W197" s="14"/>
    </row>
    <row r="198" ht="31.5" customHeight="1">
      <c r="A198" s="124" t="s">
        <v>6728</v>
      </c>
      <c r="B198" s="125" t="s">
        <v>6730</v>
      </c>
      <c r="C198" s="126" t="s">
        <v>6732</v>
      </c>
      <c r="D198" s="127" t="s">
        <v>6733</v>
      </c>
      <c r="E198" s="28" t="str">
        <f>IFERROR(__xludf.DUMMYFUNCTION("GOOGLETRANSLATE(D198,""zh-CN"",""vi"")"),"Chúng tôi đã chấp nhận đề xuất của ông ấy.")</f>
        <v>Chúng tôi đã chấp nhận đề xuất của ông ấy.</v>
      </c>
      <c r="F198" s="128"/>
      <c r="G198" s="36" t="b">
        <f t="shared" si="1"/>
        <v>0</v>
      </c>
      <c r="H198" s="35" t="b">
        <v>1</v>
      </c>
      <c r="I198" s="35" t="b">
        <v>0</v>
      </c>
      <c r="J198" s="35" t="b">
        <v>0</v>
      </c>
      <c r="K198" s="35" t="b">
        <v>0</v>
      </c>
      <c r="L198" s="35" t="b">
        <v>0</v>
      </c>
      <c r="M198" s="35" t="b">
        <v>0</v>
      </c>
      <c r="N198" s="35" t="b">
        <v>0</v>
      </c>
      <c r="O198" s="35" t="b">
        <v>0</v>
      </c>
      <c r="P198" s="35" t="b">
        <v>0</v>
      </c>
      <c r="Q198" s="35" t="b">
        <v>0</v>
      </c>
      <c r="R198" s="14"/>
      <c r="S198" s="14"/>
      <c r="T198" s="14"/>
      <c r="U198" s="14"/>
      <c r="V198" s="14"/>
      <c r="W198" s="14"/>
    </row>
    <row r="199" ht="31.5" customHeight="1">
      <c r="A199" s="124" t="s">
        <v>6737</v>
      </c>
      <c r="B199" s="125" t="s">
        <v>6739</v>
      </c>
      <c r="C199" s="126" t="s">
        <v>6740</v>
      </c>
      <c r="D199" s="127" t="s">
        <v>6741</v>
      </c>
      <c r="E199" s="28" t="str">
        <f>IFERROR(__xludf.DUMMYFUNCTION("GOOGLETRANSLATE(D199,""zh-CN"",""vi"")"),"Anh ấy trúng xổ số và giành được một giải thưởng lớn.")</f>
        <v>Anh ấy trúng xổ số và giành được một giải thưởng lớn.</v>
      </c>
      <c r="F199" s="128"/>
      <c r="G199" s="36" t="b">
        <f t="shared" si="1"/>
        <v>0</v>
      </c>
      <c r="H199" s="35" t="b">
        <v>1</v>
      </c>
      <c r="I199" s="35" t="b">
        <v>0</v>
      </c>
      <c r="J199" s="35" t="b">
        <v>0</v>
      </c>
      <c r="K199" s="35" t="b">
        <v>0</v>
      </c>
      <c r="L199" s="35" t="b">
        <v>0</v>
      </c>
      <c r="M199" s="35" t="b">
        <v>0</v>
      </c>
      <c r="N199" s="35" t="b">
        <v>0</v>
      </c>
      <c r="O199" s="35" t="b">
        <v>0</v>
      </c>
      <c r="P199" s="35" t="b">
        <v>0</v>
      </c>
      <c r="Q199" s="35" t="b">
        <v>0</v>
      </c>
      <c r="R199" s="14"/>
      <c r="S199" s="14"/>
      <c r="T199" s="14"/>
      <c r="U199" s="14"/>
      <c r="V199" s="14"/>
      <c r="W199" s="14"/>
    </row>
    <row r="200" ht="31.5" customHeight="1">
      <c r="A200" s="124" t="s">
        <v>6744</v>
      </c>
      <c r="B200" s="125" t="s">
        <v>6745</v>
      </c>
      <c r="C200" s="126" t="s">
        <v>6747</v>
      </c>
      <c r="D200" s="127" t="s">
        <v>6749</v>
      </c>
      <c r="E200" s="28" t="str">
        <f>IFERROR(__xludf.DUMMYFUNCTION("GOOGLETRANSLATE(D200,""zh-CN"",""vi"")"),"Ông ấy là chánh văn phòng của chúng tôi.")</f>
        <v>Ông ấy là chánh văn phòng của chúng tôi.</v>
      </c>
      <c r="F200" s="128"/>
      <c r="G200" s="36" t="b">
        <f t="shared" si="1"/>
        <v>0</v>
      </c>
      <c r="H200" s="35" t="b">
        <v>1</v>
      </c>
      <c r="I200" s="35" t="b">
        <v>0</v>
      </c>
      <c r="J200" s="35" t="b">
        <v>0</v>
      </c>
      <c r="K200" s="35" t="b">
        <v>0</v>
      </c>
      <c r="L200" s="35" t="b">
        <v>0</v>
      </c>
      <c r="M200" s="35" t="b">
        <v>0</v>
      </c>
      <c r="N200" s="35" t="b">
        <v>0</v>
      </c>
      <c r="O200" s="35" t="b">
        <v>0</v>
      </c>
      <c r="P200" s="35" t="b">
        <v>0</v>
      </c>
      <c r="Q200" s="35" t="b">
        <v>0</v>
      </c>
      <c r="R200" s="14"/>
      <c r="S200" s="14"/>
      <c r="T200" s="14"/>
      <c r="U200" s="14"/>
      <c r="V200" s="14"/>
      <c r="W200" s="14"/>
    </row>
    <row r="201" ht="31.5" customHeight="1">
      <c r="A201" s="124" t="s">
        <v>6750</v>
      </c>
      <c r="B201" s="125" t="s">
        <v>6752</v>
      </c>
      <c r="C201" s="126" t="s">
        <v>4924</v>
      </c>
      <c r="D201" s="127" t="s">
        <v>6755</v>
      </c>
      <c r="E201" s="28" t="str">
        <f>IFERROR(__xludf.DUMMYFUNCTION("GOOGLETRANSLATE(D201,""zh-CN"",""vi"")"),"Vui lòng tham khảo hướng dẫn này.")</f>
        <v>Vui lòng tham khảo hướng dẫn này.</v>
      </c>
      <c r="F201" s="128"/>
      <c r="G201" s="36" t="b">
        <f t="shared" si="1"/>
        <v>0</v>
      </c>
      <c r="H201" s="35" t="b">
        <v>1</v>
      </c>
      <c r="I201" s="35" t="b">
        <v>0</v>
      </c>
      <c r="J201" s="35" t="b">
        <v>0</v>
      </c>
      <c r="K201" s="35" t="b">
        <v>0</v>
      </c>
      <c r="L201" s="35" t="b">
        <v>0</v>
      </c>
      <c r="M201" s="35" t="b">
        <v>0</v>
      </c>
      <c r="N201" s="35" t="b">
        <v>0</v>
      </c>
      <c r="O201" s="35" t="b">
        <v>0</v>
      </c>
      <c r="P201" s="35" t="b">
        <v>0</v>
      </c>
      <c r="Q201" s="35" t="b">
        <v>0</v>
      </c>
      <c r="R201" s="14"/>
      <c r="S201" s="14"/>
      <c r="T201" s="14"/>
      <c r="U201" s="14"/>
      <c r="V201" s="14"/>
      <c r="W201" s="14"/>
    </row>
    <row r="202" ht="31.5" customHeight="1">
      <c r="A202" s="124" t="s">
        <v>6757</v>
      </c>
      <c r="B202" s="125" t="s">
        <v>6758</v>
      </c>
      <c r="C202" s="126" t="s">
        <v>6760</v>
      </c>
      <c r="D202" s="127" t="s">
        <v>6762</v>
      </c>
      <c r="E202" s="28" t="str">
        <f>IFERROR(__xludf.DUMMYFUNCTION("GOOGLETRANSLATE(D202,""zh-CN"",""vi"")"),"Trận đấu này vô cùng tàn bạo.")</f>
        <v>Trận đấu này vô cùng tàn bạo.</v>
      </c>
      <c r="F202" s="128"/>
      <c r="G202" s="36" t="b">
        <f t="shared" si="1"/>
        <v>0</v>
      </c>
      <c r="H202" s="35" t="b">
        <v>1</v>
      </c>
      <c r="I202" s="35" t="b">
        <v>0</v>
      </c>
      <c r="J202" s="35" t="b">
        <v>0</v>
      </c>
      <c r="K202" s="35" t="b">
        <v>0</v>
      </c>
      <c r="L202" s="35" t="b">
        <v>0</v>
      </c>
      <c r="M202" s="35" t="b">
        <v>0</v>
      </c>
      <c r="N202" s="35" t="b">
        <v>0</v>
      </c>
      <c r="O202" s="35" t="b">
        <v>0</v>
      </c>
      <c r="P202" s="35" t="b">
        <v>0</v>
      </c>
      <c r="Q202" s="35" t="b">
        <v>0</v>
      </c>
      <c r="R202" s="14"/>
      <c r="S202" s="14"/>
      <c r="T202" s="14"/>
      <c r="U202" s="14"/>
      <c r="V202" s="14"/>
      <c r="W202" s="14"/>
    </row>
    <row r="203" ht="31.5" customHeight="1">
      <c r="A203" s="124" t="s">
        <v>6769</v>
      </c>
      <c r="B203" s="125" t="s">
        <v>6770</v>
      </c>
      <c r="C203" s="126" t="s">
        <v>6771</v>
      </c>
      <c r="D203" s="127" t="s">
        <v>6772</v>
      </c>
      <c r="E203" s="28" t="str">
        <f>IFERROR(__xludf.DUMMYFUNCTION("GOOGLETRANSLATE(D203,""zh-CN"",""vi"")"),"Mùi khó chịu vẫn còn vương vấn ở đây.")</f>
        <v>Mùi khó chịu vẫn còn vương vấn ở đây.</v>
      </c>
      <c r="F203" s="128"/>
      <c r="G203" s="36" t="b">
        <f t="shared" si="1"/>
        <v>0</v>
      </c>
      <c r="H203" s="35" t="b">
        <v>1</v>
      </c>
      <c r="I203" s="35" t="b">
        <v>0</v>
      </c>
      <c r="J203" s="35" t="b">
        <v>0</v>
      </c>
      <c r="K203" s="35" t="b">
        <v>0</v>
      </c>
      <c r="L203" s="35" t="b">
        <v>0</v>
      </c>
      <c r="M203" s="35" t="b">
        <v>0</v>
      </c>
      <c r="N203" s="35" t="b">
        <v>0</v>
      </c>
      <c r="O203" s="35" t="b">
        <v>0</v>
      </c>
      <c r="P203" s="35" t="b">
        <v>0</v>
      </c>
      <c r="Q203" s="35" t="b">
        <v>0</v>
      </c>
      <c r="R203" s="14"/>
      <c r="S203" s="14"/>
      <c r="T203" s="14"/>
      <c r="U203" s="14"/>
      <c r="V203" s="14"/>
      <c r="W203" s="14"/>
    </row>
    <row r="204" ht="31.5" customHeight="1">
      <c r="A204" s="124" t="s">
        <v>6777</v>
      </c>
      <c r="B204" s="125" t="s">
        <v>6778</v>
      </c>
      <c r="C204" s="126" t="s">
        <v>6779</v>
      </c>
      <c r="D204" s="127" t="s">
        <v>6780</v>
      </c>
      <c r="E204" s="28" t="str">
        <f>IFERROR(__xludf.DUMMYFUNCTION("GOOGLETRANSLATE(D204,""zh-CN"",""vi"")"),"Hành vi của hắn vô cùng tàn nhẫn.")</f>
        <v>Hành vi của hắn vô cùng tàn nhẫn.</v>
      </c>
      <c r="F204" s="128"/>
      <c r="G204" s="36" t="b">
        <f t="shared" si="1"/>
        <v>0</v>
      </c>
      <c r="H204" s="35" t="b">
        <v>1</v>
      </c>
      <c r="I204" s="35" t="b">
        <v>0</v>
      </c>
      <c r="J204" s="35" t="b">
        <v>0</v>
      </c>
      <c r="K204" s="35" t="b">
        <v>0</v>
      </c>
      <c r="L204" s="35" t="b">
        <v>0</v>
      </c>
      <c r="M204" s="35" t="b">
        <v>0</v>
      </c>
      <c r="N204" s="35" t="b">
        <v>0</v>
      </c>
      <c r="O204" s="35" t="b">
        <v>0</v>
      </c>
      <c r="P204" s="35" t="b">
        <v>0</v>
      </c>
      <c r="Q204" s="35" t="b">
        <v>0</v>
      </c>
      <c r="R204" s="14"/>
      <c r="S204" s="14"/>
      <c r="T204" s="14"/>
      <c r="U204" s="14"/>
      <c r="V204" s="14"/>
      <c r="W204" s="14"/>
    </row>
    <row r="205" ht="31.5" customHeight="1">
      <c r="A205" s="124" t="s">
        <v>6781</v>
      </c>
      <c r="B205" s="125" t="s">
        <v>6782</v>
      </c>
      <c r="C205" s="126" t="s">
        <v>6783</v>
      </c>
      <c r="D205" s="127" t="s">
        <v>6784</v>
      </c>
      <c r="E205" s="28" t="str">
        <f>IFERROR(__xludf.DUMMYFUNCTION("GOOGLETRANSLATE(D205,""zh-CN"",""vi"")"),"Những vì sao trên bầu trời đêm thật rực rỡ.")</f>
        <v>Những vì sao trên bầu trời đêm thật rực rỡ.</v>
      </c>
      <c r="F205" s="128"/>
      <c r="G205" s="36" t="b">
        <f t="shared" si="1"/>
        <v>0</v>
      </c>
      <c r="H205" s="35" t="b">
        <v>1</v>
      </c>
      <c r="I205" s="35" t="b">
        <v>0</v>
      </c>
      <c r="J205" s="35" t="b">
        <v>0</v>
      </c>
      <c r="K205" s="35" t="b">
        <v>0</v>
      </c>
      <c r="L205" s="35" t="b">
        <v>0</v>
      </c>
      <c r="M205" s="35" t="b">
        <v>0</v>
      </c>
      <c r="N205" s="35" t="b">
        <v>0</v>
      </c>
      <c r="O205" s="35" t="b">
        <v>0</v>
      </c>
      <c r="P205" s="35" t="b">
        <v>0</v>
      </c>
      <c r="Q205" s="35" t="b">
        <v>0</v>
      </c>
      <c r="R205" s="14"/>
      <c r="S205" s="14"/>
      <c r="T205" s="14"/>
      <c r="U205" s="14"/>
      <c r="V205" s="14"/>
      <c r="W205" s="14"/>
    </row>
    <row r="206" ht="31.5" customHeight="1">
      <c r="A206" s="124" t="s">
        <v>6785</v>
      </c>
      <c r="B206" s="125" t="s">
        <v>6786</v>
      </c>
      <c r="C206" s="126" t="s">
        <v>6787</v>
      </c>
      <c r="D206" s="127" t="s">
        <v>6788</v>
      </c>
      <c r="E206" s="28" t="str">
        <f>IFERROR(__xludf.DUMMYFUNCTION("GOOGLETRANSLATE(D206,""zh-CN"",""vi"")"),"Căn nhà gỗ rất rộng rãi.")</f>
        <v>Căn nhà gỗ rất rộng rãi.</v>
      </c>
      <c r="F206" s="128"/>
      <c r="G206" s="36" t="b">
        <f t="shared" si="1"/>
        <v>0</v>
      </c>
      <c r="H206" s="35" t="b">
        <v>1</v>
      </c>
      <c r="I206" s="35" t="b">
        <v>0</v>
      </c>
      <c r="J206" s="35" t="b">
        <v>0</v>
      </c>
      <c r="K206" s="35" t="b">
        <v>0</v>
      </c>
      <c r="L206" s="35" t="b">
        <v>0</v>
      </c>
      <c r="M206" s="35" t="b">
        <v>0</v>
      </c>
      <c r="N206" s="35" t="b">
        <v>0</v>
      </c>
      <c r="O206" s="35" t="b">
        <v>0</v>
      </c>
      <c r="P206" s="35" t="b">
        <v>0</v>
      </c>
      <c r="Q206" s="35" t="b">
        <v>0</v>
      </c>
      <c r="R206" s="14"/>
      <c r="S206" s="14"/>
      <c r="T206" s="14"/>
      <c r="U206" s="14"/>
      <c r="V206" s="14"/>
      <c r="W206" s="14"/>
    </row>
    <row r="207" ht="31.5" customHeight="1">
      <c r="A207" s="124" t="s">
        <v>6791</v>
      </c>
      <c r="B207" s="125" t="s">
        <v>6792</v>
      </c>
      <c r="C207" s="126" t="s">
        <v>6793</v>
      </c>
      <c r="D207" s="127" t="s">
        <v>6795</v>
      </c>
      <c r="E207" s="28" t="str">
        <f>IFERROR(__xludf.DUMMYFUNCTION("GOOGLETRANSLATE(D207,""zh-CN"",""vi"")"),"Mặt anh ta tái nhợt.")</f>
        <v>Mặt anh ta tái nhợt.</v>
      </c>
      <c r="F207" s="128"/>
      <c r="G207" s="36" t="b">
        <f t="shared" si="1"/>
        <v>0</v>
      </c>
      <c r="H207" s="35" t="b">
        <v>1</v>
      </c>
      <c r="I207" s="35" t="b">
        <v>0</v>
      </c>
      <c r="J207" s="35" t="b">
        <v>0</v>
      </c>
      <c r="K207" s="35" t="b">
        <v>0</v>
      </c>
      <c r="L207" s="35" t="b">
        <v>0</v>
      </c>
      <c r="M207" s="35" t="b">
        <v>0</v>
      </c>
      <c r="N207" s="35" t="b">
        <v>0</v>
      </c>
      <c r="O207" s="35" t="b">
        <v>0</v>
      </c>
      <c r="P207" s="35" t="b">
        <v>0</v>
      </c>
      <c r="Q207" s="35" t="b">
        <v>0</v>
      </c>
      <c r="R207" s="14"/>
      <c r="S207" s="14"/>
      <c r="T207" s="14"/>
      <c r="U207" s="14"/>
      <c r="V207" s="14"/>
      <c r="W207" s="14"/>
    </row>
    <row r="208" ht="31.5" customHeight="1">
      <c r="A208" s="124" t="s">
        <v>6796</v>
      </c>
      <c r="B208" s="125" t="s">
        <v>6797</v>
      </c>
      <c r="C208" s="126" t="s">
        <v>6798</v>
      </c>
      <c r="D208" s="127" t="s">
        <v>6799</v>
      </c>
      <c r="E208" s="28" t="str">
        <f>IFERROR(__xludf.DUMMYFUNCTION("GOOGLETRANSLATE(D208,""zh-CN"",""vi"")"),"Họ vội vàng quyết định theo kế hoạch này.")</f>
        <v>Họ vội vàng quyết định theo kế hoạch này.</v>
      </c>
      <c r="F208" s="128"/>
      <c r="G208" s="36" t="b">
        <f t="shared" si="1"/>
        <v>0</v>
      </c>
      <c r="H208" s="35" t="b">
        <v>1</v>
      </c>
      <c r="I208" s="35" t="b">
        <v>0</v>
      </c>
      <c r="J208" s="35" t="b">
        <v>0</v>
      </c>
      <c r="K208" s="35" t="b">
        <v>0</v>
      </c>
      <c r="L208" s="35" t="b">
        <v>0</v>
      </c>
      <c r="M208" s="35" t="b">
        <v>0</v>
      </c>
      <c r="N208" s="35" t="b">
        <v>0</v>
      </c>
      <c r="O208" s="35" t="b">
        <v>0</v>
      </c>
      <c r="P208" s="35" t="b">
        <v>0</v>
      </c>
      <c r="Q208" s="35" t="b">
        <v>0</v>
      </c>
      <c r="R208" s="14"/>
      <c r="S208" s="14"/>
      <c r="T208" s="14"/>
      <c r="U208" s="14"/>
      <c r="V208" s="14"/>
      <c r="W208" s="14"/>
    </row>
    <row r="209" ht="31.5" customHeight="1">
      <c r="A209" s="124" t="s">
        <v>6804</v>
      </c>
      <c r="B209" s="125" t="s">
        <v>6805</v>
      </c>
      <c r="C209" s="126" t="s">
        <v>6806</v>
      </c>
      <c r="D209" s="127" t="s">
        <v>6807</v>
      </c>
      <c r="E209" s="28" t="str">
        <f>IFERROR(__xludf.DUMMYFUNCTION("GOOGLETRANSLATE(D209,""zh-CN"",""vi"")"),"Hàng hóa được lưu trữ trong kho.")</f>
        <v>Hàng hóa được lưu trữ trong kho.</v>
      </c>
      <c r="F209" s="128"/>
      <c r="G209" s="36" t="b">
        <f t="shared" si="1"/>
        <v>0</v>
      </c>
      <c r="H209" s="35" t="b">
        <v>1</v>
      </c>
      <c r="I209" s="35" t="b">
        <v>0</v>
      </c>
      <c r="J209" s="35" t="b">
        <v>0</v>
      </c>
      <c r="K209" s="35" t="b">
        <v>0</v>
      </c>
      <c r="L209" s="35" t="b">
        <v>0</v>
      </c>
      <c r="M209" s="35" t="b">
        <v>0</v>
      </c>
      <c r="N209" s="35" t="b">
        <v>0</v>
      </c>
      <c r="O209" s="35" t="b">
        <v>0</v>
      </c>
      <c r="P209" s="35" t="b">
        <v>0</v>
      </c>
      <c r="Q209" s="35" t="b">
        <v>0</v>
      </c>
      <c r="R209" s="14"/>
      <c r="S209" s="14"/>
      <c r="T209" s="14"/>
      <c r="U209" s="14"/>
      <c r="V209" s="14"/>
      <c r="W209" s="14"/>
    </row>
    <row r="210" ht="31.5" customHeight="1">
      <c r="A210" s="124" t="s">
        <v>6811</v>
      </c>
      <c r="B210" s="125" t="s">
        <v>6812</v>
      </c>
      <c r="C210" s="126" t="s">
        <v>6813</v>
      </c>
      <c r="D210" s="127" t="s">
        <v>6814</v>
      </c>
      <c r="E210" s="28" t="str">
        <f>IFERROR(__xludf.DUMMYFUNCTION("GOOGLETRANSLATE(D210,""zh-CN"",""vi"")"),"Ông đã làm việc không mệt mỏi vì gia đình mình.")</f>
        <v>Ông đã làm việc không mệt mỏi vì gia đình mình.</v>
      </c>
      <c r="F210" s="128"/>
      <c r="G210" s="36" t="b">
        <f t="shared" si="1"/>
        <v>0</v>
      </c>
      <c r="H210" s="35" t="b">
        <v>1</v>
      </c>
      <c r="I210" s="35" t="b">
        <v>0</v>
      </c>
      <c r="J210" s="35" t="b">
        <v>0</v>
      </c>
      <c r="K210" s="35" t="b">
        <v>0</v>
      </c>
      <c r="L210" s="35" t="b">
        <v>0</v>
      </c>
      <c r="M210" s="35" t="b">
        <v>0</v>
      </c>
      <c r="N210" s="35" t="b">
        <v>0</v>
      </c>
      <c r="O210" s="35" t="b">
        <v>0</v>
      </c>
      <c r="P210" s="35" t="b">
        <v>0</v>
      </c>
      <c r="Q210" s="35" t="b">
        <v>0</v>
      </c>
      <c r="R210" s="14"/>
      <c r="S210" s="14"/>
      <c r="T210" s="14"/>
      <c r="U210" s="14"/>
      <c r="V210" s="14"/>
      <c r="W210" s="14"/>
    </row>
    <row r="211" ht="31.5" customHeight="1">
      <c r="A211" s="124" t="s">
        <v>6819</v>
      </c>
      <c r="B211" s="125" t="s">
        <v>6820</v>
      </c>
      <c r="C211" s="126" t="s">
        <v>6821</v>
      </c>
      <c r="D211" s="127" t="s">
        <v>6822</v>
      </c>
      <c r="E211" s="28" t="str">
        <f>IFERROR(__xludf.DUMMYFUNCTION("GOOGLETRANSLATE(D211,""zh-CN"",""vi"")"),"Họ luyện tập mỗi ngày.")</f>
        <v>Họ luyện tập mỗi ngày.</v>
      </c>
      <c r="F211" s="128"/>
      <c r="G211" s="36" t="b">
        <f t="shared" si="1"/>
        <v>0</v>
      </c>
      <c r="H211" s="35" t="b">
        <v>1</v>
      </c>
      <c r="I211" s="35" t="b">
        <v>0</v>
      </c>
      <c r="J211" s="35" t="b">
        <v>0</v>
      </c>
      <c r="K211" s="35" t="b">
        <v>0</v>
      </c>
      <c r="L211" s="35" t="b">
        <v>0</v>
      </c>
      <c r="M211" s="35" t="b">
        <v>0</v>
      </c>
      <c r="N211" s="35" t="b">
        <v>0</v>
      </c>
      <c r="O211" s="35" t="b">
        <v>0</v>
      </c>
      <c r="P211" s="35" t="b">
        <v>0</v>
      </c>
      <c r="Q211" s="35" t="b">
        <v>0</v>
      </c>
      <c r="R211" s="14"/>
      <c r="S211" s="14"/>
      <c r="T211" s="14"/>
      <c r="U211" s="14"/>
      <c r="V211" s="14"/>
      <c r="W211" s="14"/>
    </row>
    <row r="212" ht="31.5" customHeight="1">
      <c r="A212" s="124" t="s">
        <v>6823</v>
      </c>
      <c r="B212" s="125" t="s">
        <v>6824</v>
      </c>
      <c r="C212" s="126" t="s">
        <v>6825</v>
      </c>
      <c r="D212" s="127" t="s">
        <v>6826</v>
      </c>
      <c r="E212" s="28" t="str">
        <f>IFERROR(__xludf.DUMMYFUNCTION("GOOGLETRANSLATE(D212,""zh-CN"",""vi"")"),"Anh ấy rất giỏi vận hành máy móc.")</f>
        <v>Anh ấy rất giỏi vận hành máy móc.</v>
      </c>
      <c r="F212" s="128"/>
      <c r="G212" s="36" t="b">
        <f t="shared" si="1"/>
        <v>0</v>
      </c>
      <c r="H212" s="35" t="b">
        <v>1</v>
      </c>
      <c r="I212" s="35" t="b">
        <v>0</v>
      </c>
      <c r="J212" s="35" t="b">
        <v>0</v>
      </c>
      <c r="K212" s="35" t="b">
        <v>0</v>
      </c>
      <c r="L212" s="35" t="b">
        <v>0</v>
      </c>
      <c r="M212" s="35" t="b">
        <v>0</v>
      </c>
      <c r="N212" s="35" t="b">
        <v>0</v>
      </c>
      <c r="O212" s="35" t="b">
        <v>0</v>
      </c>
      <c r="P212" s="35" t="b">
        <v>0</v>
      </c>
      <c r="Q212" s="35" t="b">
        <v>0</v>
      </c>
      <c r="R212" s="14"/>
      <c r="S212" s="14"/>
      <c r="T212" s="14"/>
      <c r="U212" s="14"/>
      <c r="V212" s="14"/>
      <c r="W212" s="14"/>
    </row>
    <row r="213" ht="31.5" customHeight="1">
      <c r="A213" s="124" t="s">
        <v>6831</v>
      </c>
      <c r="B213" s="125" t="s">
        <v>6832</v>
      </c>
      <c r="C213" s="126" t="s">
        <v>6833</v>
      </c>
      <c r="D213" s="127" t="s">
        <v>6834</v>
      </c>
      <c r="E213" s="28" t="str">
        <f>IFERROR(__xludf.DUMMYFUNCTION("GOOGLETRANSLATE(D213,""zh-CN"",""vi"")"),"Thiết bị này đòi hỏi vận hành cẩn thận.")</f>
        <v>Thiết bị này đòi hỏi vận hành cẩn thận.</v>
      </c>
      <c r="F213" s="128"/>
      <c r="G213" s="36" t="b">
        <f t="shared" si="1"/>
        <v>0</v>
      </c>
      <c r="H213" s="35" t="b">
        <v>1</v>
      </c>
      <c r="I213" s="35" t="b">
        <v>0</v>
      </c>
      <c r="J213" s="35" t="b">
        <v>0</v>
      </c>
      <c r="K213" s="35" t="b">
        <v>0</v>
      </c>
      <c r="L213" s="35" t="b">
        <v>0</v>
      </c>
      <c r="M213" s="35" t="b">
        <v>0</v>
      </c>
      <c r="N213" s="35" t="b">
        <v>0</v>
      </c>
      <c r="O213" s="35" t="b">
        <v>0</v>
      </c>
      <c r="P213" s="35" t="b">
        <v>0</v>
      </c>
      <c r="Q213" s="35" t="b">
        <v>0</v>
      </c>
      <c r="R213" s="14"/>
      <c r="S213" s="14"/>
      <c r="T213" s="14"/>
      <c r="U213" s="14"/>
      <c r="V213" s="14"/>
      <c r="W213" s="14"/>
    </row>
    <row r="214" ht="31.5" customHeight="1">
      <c r="A214" s="124" t="s">
        <v>6836</v>
      </c>
      <c r="B214" s="125" t="s">
        <v>6838</v>
      </c>
      <c r="C214" s="126" t="s">
        <v>6839</v>
      </c>
      <c r="D214" s="127" t="s">
        <v>6841</v>
      </c>
      <c r="E214" s="28" t="str">
        <f>IFERROR(__xludf.DUMMYFUNCTION("GOOGLETRANSLATE(D214,""zh-CN"",""vi"")"),"Đường phố rất ồn ào.")</f>
        <v>Đường phố rất ồn ào.</v>
      </c>
      <c r="F214" s="128"/>
      <c r="G214" s="36" t="b">
        <f t="shared" si="1"/>
        <v>0</v>
      </c>
      <c r="H214" s="35" t="b">
        <v>1</v>
      </c>
      <c r="I214" s="35" t="b">
        <v>0</v>
      </c>
      <c r="J214" s="35" t="b">
        <v>0</v>
      </c>
      <c r="K214" s="35" t="b">
        <v>0</v>
      </c>
      <c r="L214" s="35" t="b">
        <v>0</v>
      </c>
      <c r="M214" s="35" t="b">
        <v>0</v>
      </c>
      <c r="N214" s="35" t="b">
        <v>0</v>
      </c>
      <c r="O214" s="35" t="b">
        <v>0</v>
      </c>
      <c r="P214" s="35" t="b">
        <v>0</v>
      </c>
      <c r="Q214" s="35" t="b">
        <v>0</v>
      </c>
      <c r="R214" s="14"/>
      <c r="S214" s="14"/>
      <c r="T214" s="14"/>
      <c r="U214" s="14"/>
      <c r="V214" s="14"/>
      <c r="W214" s="14"/>
    </row>
    <row r="215" ht="31.5" customHeight="1">
      <c r="A215" s="124" t="s">
        <v>6844</v>
      </c>
      <c r="B215" s="125" t="s">
        <v>6846</v>
      </c>
      <c r="C215" s="126" t="s">
        <v>6848</v>
      </c>
      <c r="D215" s="127" t="s">
        <v>6850</v>
      </c>
      <c r="E215" s="28" t="str">
        <f>IFERROR(__xludf.DUMMYFUNCTION("GOOGLETRANSLATE(D215,""zh-CN"",""vi"")"),"Đây chỉ là bản dự thảo sơ bộ.")</f>
        <v>Đây chỉ là bản dự thảo sơ bộ.</v>
      </c>
      <c r="F215" s="128"/>
      <c r="G215" s="36" t="b">
        <f t="shared" si="1"/>
        <v>0</v>
      </c>
      <c r="H215" s="35" t="b">
        <v>1</v>
      </c>
      <c r="I215" s="35" t="b">
        <v>0</v>
      </c>
      <c r="J215" s="35" t="b">
        <v>0</v>
      </c>
      <c r="K215" s="35" t="b">
        <v>0</v>
      </c>
      <c r="L215" s="35" t="b">
        <v>0</v>
      </c>
      <c r="M215" s="35" t="b">
        <v>0</v>
      </c>
      <c r="N215" s="35" t="b">
        <v>0</v>
      </c>
      <c r="O215" s="35" t="b">
        <v>0</v>
      </c>
      <c r="P215" s="35" t="b">
        <v>0</v>
      </c>
      <c r="Q215" s="35" t="b">
        <v>0</v>
      </c>
      <c r="R215" s="14"/>
      <c r="S215" s="14"/>
      <c r="T215" s="14"/>
      <c r="U215" s="14"/>
      <c r="V215" s="14"/>
      <c r="W215" s="14"/>
    </row>
    <row r="216" ht="31.5" customHeight="1">
      <c r="A216" s="124" t="s">
        <v>6852</v>
      </c>
      <c r="B216" s="125" t="s">
        <v>6854</v>
      </c>
      <c r="C216" s="126" t="s">
        <v>6855</v>
      </c>
      <c r="D216" s="127" t="s">
        <v>6857</v>
      </c>
      <c r="E216" s="28" t="str">
        <f>IFERROR(__xludf.DUMMYFUNCTION("GOOGLETRANSLATE(D216,""zh-CN"",""vi"")"),"Quyết định của anh ta quá vội vàng.")</f>
        <v>Quyết định của anh ta quá vội vàng.</v>
      </c>
      <c r="F216" s="128"/>
      <c r="G216" s="36" t="b">
        <f t="shared" si="1"/>
        <v>0</v>
      </c>
      <c r="H216" s="35" t="b">
        <v>1</v>
      </c>
      <c r="I216" s="35" t="b">
        <v>0</v>
      </c>
      <c r="J216" s="35" t="b">
        <v>0</v>
      </c>
      <c r="K216" s="35" t="b">
        <v>0</v>
      </c>
      <c r="L216" s="35" t="b">
        <v>0</v>
      </c>
      <c r="M216" s="35" t="b">
        <v>0</v>
      </c>
      <c r="N216" s="35" t="b">
        <v>0</v>
      </c>
      <c r="O216" s="35" t="b">
        <v>0</v>
      </c>
      <c r="P216" s="35" t="b">
        <v>0</v>
      </c>
      <c r="Q216" s="35" t="b">
        <v>0</v>
      </c>
      <c r="R216" s="14"/>
      <c r="S216" s="14"/>
      <c r="T216" s="14"/>
      <c r="U216" s="14"/>
      <c r="V216" s="14"/>
      <c r="W216" s="14"/>
    </row>
    <row r="217" ht="31.5" customHeight="1">
      <c r="A217" s="124" t="s">
        <v>6859</v>
      </c>
      <c r="B217" s="125" t="s">
        <v>6860</v>
      </c>
      <c r="C217" s="126" t="s">
        <v>6862</v>
      </c>
      <c r="D217" s="127" t="s">
        <v>6864</v>
      </c>
      <c r="E217" s="28" t="str">
        <f>IFERROR(__xludf.DUMMYFUNCTION("GOOGLETRANSLATE(D217,""zh-CN"",""vi"")"),"Chúng tôi đang lên kế hoạch cho một dự án mới.")</f>
        <v>Chúng tôi đang lên kế hoạch cho một dự án mới.</v>
      </c>
      <c r="F217" s="128"/>
      <c r="G217" s="36" t="b">
        <f t="shared" si="1"/>
        <v>0</v>
      </c>
      <c r="H217" s="35" t="b">
        <v>1</v>
      </c>
      <c r="I217" s="35" t="b">
        <v>0</v>
      </c>
      <c r="J217" s="35" t="b">
        <v>0</v>
      </c>
      <c r="K217" s="35" t="b">
        <v>0</v>
      </c>
      <c r="L217" s="35" t="b">
        <v>0</v>
      </c>
      <c r="M217" s="35" t="b">
        <v>0</v>
      </c>
      <c r="N217" s="35" t="b">
        <v>0</v>
      </c>
      <c r="O217" s="35" t="b">
        <v>0</v>
      </c>
      <c r="P217" s="35" t="b">
        <v>0</v>
      </c>
      <c r="Q217" s="35" t="b">
        <v>0</v>
      </c>
      <c r="R217" s="14"/>
      <c r="S217" s="14"/>
      <c r="T217" s="14"/>
      <c r="U217" s="14"/>
      <c r="V217" s="14"/>
      <c r="W217" s="14"/>
    </row>
    <row r="218" ht="31.5" customHeight="1">
      <c r="A218" s="124" t="s">
        <v>6867</v>
      </c>
      <c r="B218" s="125" t="s">
        <v>6868</v>
      </c>
      <c r="C218" s="126" t="s">
        <v>6869</v>
      </c>
      <c r="D218" s="127" t="s">
        <v>6870</v>
      </c>
      <c r="E218" s="28" t="str">
        <f>IFERROR(__xludf.DUMMYFUNCTION("GOOGLETRANSLATE(D218,""zh-CN"",""vi"")"),"Các kỹ sư đang đo đạc một tòa nhà.")</f>
        <v>Các kỹ sư đang đo đạc một tòa nhà.</v>
      </c>
      <c r="F218" s="128"/>
      <c r="G218" s="36" t="b">
        <f t="shared" si="1"/>
        <v>0</v>
      </c>
      <c r="H218" s="35" t="b">
        <v>1</v>
      </c>
      <c r="I218" s="35" t="b">
        <v>0</v>
      </c>
      <c r="J218" s="35" t="b">
        <v>0</v>
      </c>
      <c r="K218" s="35" t="b">
        <v>0</v>
      </c>
      <c r="L218" s="35" t="b">
        <v>0</v>
      </c>
      <c r="M218" s="35" t="b">
        <v>0</v>
      </c>
      <c r="N218" s="35" t="b">
        <v>0</v>
      </c>
      <c r="O218" s="35" t="b">
        <v>0</v>
      </c>
      <c r="P218" s="35" t="b">
        <v>0</v>
      </c>
      <c r="Q218" s="35" t="b">
        <v>0</v>
      </c>
      <c r="R218" s="14"/>
      <c r="S218" s="14"/>
      <c r="T218" s="14"/>
      <c r="U218" s="14"/>
      <c r="V218" s="14"/>
      <c r="W218" s="14"/>
    </row>
    <row r="219" ht="31.5" customHeight="1">
      <c r="A219" s="124" t="s">
        <v>6875</v>
      </c>
      <c r="B219" s="125" t="s">
        <v>6876</v>
      </c>
      <c r="C219" s="126" t="s">
        <v>6877</v>
      </c>
      <c r="D219" s="127" t="s">
        <v>6878</v>
      </c>
      <c r="E219" s="28" t="str">
        <f>IFERROR(__xludf.DUMMYFUNCTION("GOOGLETRANSLATE(D219,""zh-CN"",""vi"")"),"Chúng ta cần xây dựng một chiến lược.")</f>
        <v>Chúng ta cần xây dựng một chiến lược.</v>
      </c>
      <c r="F219" s="128"/>
      <c r="G219" s="36" t="b">
        <f t="shared" si="1"/>
        <v>0</v>
      </c>
      <c r="H219" s="35" t="b">
        <v>1</v>
      </c>
      <c r="I219" s="35" t="b">
        <v>0</v>
      </c>
      <c r="J219" s="35" t="b">
        <v>0</v>
      </c>
      <c r="K219" s="35" t="b">
        <v>0</v>
      </c>
      <c r="L219" s="35" t="b">
        <v>0</v>
      </c>
      <c r="M219" s="35" t="b">
        <v>0</v>
      </c>
      <c r="N219" s="35" t="b">
        <v>0</v>
      </c>
      <c r="O219" s="35" t="b">
        <v>0</v>
      </c>
      <c r="P219" s="35" t="b">
        <v>0</v>
      </c>
      <c r="Q219" s="35" t="b">
        <v>0</v>
      </c>
      <c r="R219" s="14"/>
      <c r="S219" s="14"/>
      <c r="T219" s="14"/>
      <c r="U219" s="14"/>
      <c r="V219" s="14"/>
      <c r="W219" s="14"/>
    </row>
    <row r="220" ht="31.5" customHeight="1">
      <c r="A220" s="124" t="s">
        <v>6880</v>
      </c>
      <c r="B220" s="125" t="s">
        <v>6882</v>
      </c>
      <c r="C220" s="126" t="s">
        <v>6884</v>
      </c>
      <c r="D220" s="127" t="s">
        <v>6886</v>
      </c>
      <c r="E220" s="28" t="str">
        <f>IFERROR(__xludf.DUMMYFUNCTION("GOOGLETRANSLATE(D220,""zh-CN"",""vi"")"),"Chúng tôi đã nhìn nhận vấn đề này từ một góc độ khác.")</f>
        <v>Chúng tôi đã nhìn nhận vấn đề này từ một góc độ khác.</v>
      </c>
      <c r="F220" s="128"/>
      <c r="G220" s="36" t="b">
        <f t="shared" si="1"/>
        <v>0</v>
      </c>
      <c r="H220" s="35" t="b">
        <v>1</v>
      </c>
      <c r="I220" s="35" t="b">
        <v>0</v>
      </c>
      <c r="J220" s="35" t="b">
        <v>0</v>
      </c>
      <c r="K220" s="35" t="b">
        <v>0</v>
      </c>
      <c r="L220" s="35" t="b">
        <v>0</v>
      </c>
      <c r="M220" s="35" t="b">
        <v>0</v>
      </c>
      <c r="N220" s="35" t="b">
        <v>0</v>
      </c>
      <c r="O220" s="35" t="b">
        <v>0</v>
      </c>
      <c r="P220" s="35" t="b">
        <v>0</v>
      </c>
      <c r="Q220" s="35" t="b">
        <v>0</v>
      </c>
      <c r="R220" s="14"/>
      <c r="S220" s="14"/>
      <c r="T220" s="14"/>
      <c r="U220" s="14"/>
      <c r="V220" s="14"/>
      <c r="W220" s="14"/>
    </row>
    <row r="221" ht="31.5" customHeight="1">
      <c r="A221" s="124" t="s">
        <v>6889</v>
      </c>
      <c r="B221" s="125" t="s">
        <v>6891</v>
      </c>
      <c r="C221" s="126" t="s">
        <v>6893</v>
      </c>
      <c r="D221" s="127" t="s">
        <v>6894</v>
      </c>
      <c r="E221" s="28" t="str">
        <f>IFERROR(__xludf.DUMMYFUNCTION("GOOGLETRANSLATE(D221,""zh-CN"",""vi"")"),"Vấn đề này cứ liên tục xảy ra.")</f>
        <v>Vấn đề này cứ liên tục xảy ra.</v>
      </c>
      <c r="F221" s="128"/>
      <c r="G221" s="36" t="b">
        <f t="shared" si="1"/>
        <v>0</v>
      </c>
      <c r="H221" s="35" t="b">
        <v>1</v>
      </c>
      <c r="I221" s="35" t="b">
        <v>0</v>
      </c>
      <c r="J221" s="35" t="b">
        <v>0</v>
      </c>
      <c r="K221" s="35" t="b">
        <v>0</v>
      </c>
      <c r="L221" s="35" t="b">
        <v>0</v>
      </c>
      <c r="M221" s="35" t="b">
        <v>0</v>
      </c>
      <c r="N221" s="35" t="b">
        <v>0</v>
      </c>
      <c r="O221" s="35" t="b">
        <v>0</v>
      </c>
      <c r="P221" s="35" t="b">
        <v>0</v>
      </c>
      <c r="Q221" s="35" t="b">
        <v>0</v>
      </c>
      <c r="R221" s="14"/>
      <c r="S221" s="14"/>
      <c r="T221" s="14"/>
      <c r="U221" s="14"/>
      <c r="V221" s="14"/>
      <c r="W221" s="14"/>
    </row>
    <row r="222" ht="31.5" customHeight="1">
      <c r="A222" s="124" t="s">
        <v>6896</v>
      </c>
      <c r="B222" s="125" t="s">
        <v>6898</v>
      </c>
      <c r="C222" s="126" t="s">
        <v>6900</v>
      </c>
      <c r="D222" s="127" t="s">
        <v>6902</v>
      </c>
      <c r="E222" s="28" t="str">
        <f>IFERROR(__xludf.DUMMYFUNCTION("GOOGLETRANSLATE(D222,""zh-CN"",""vi"")"),"Bức tranh thiếu sự chuyển đổi sắc độ cần thiết.")</f>
        <v>Bức tranh thiếu sự chuyển đổi sắc độ cần thiết.</v>
      </c>
      <c r="F222" s="128"/>
      <c r="G222" s="36" t="b">
        <f t="shared" si="1"/>
        <v>0</v>
      </c>
      <c r="H222" s="35" t="b">
        <v>1</v>
      </c>
      <c r="I222" s="35" t="b">
        <v>0</v>
      </c>
      <c r="J222" s="35" t="b">
        <v>0</v>
      </c>
      <c r="K222" s="35" t="b">
        <v>0</v>
      </c>
      <c r="L222" s="35" t="b">
        <v>0</v>
      </c>
      <c r="M222" s="35" t="b">
        <v>0</v>
      </c>
      <c r="N222" s="35" t="b">
        <v>0</v>
      </c>
      <c r="O222" s="35" t="b">
        <v>0</v>
      </c>
      <c r="P222" s="35" t="b">
        <v>0</v>
      </c>
      <c r="Q222" s="35" t="b">
        <v>0</v>
      </c>
      <c r="R222" s="14"/>
      <c r="S222" s="14"/>
      <c r="T222" s="14"/>
      <c r="U222" s="14"/>
      <c r="V222" s="14"/>
      <c r="W222" s="14"/>
    </row>
    <row r="223" ht="31.5" customHeight="1">
      <c r="A223" s="124" t="s">
        <v>4956</v>
      </c>
      <c r="B223" s="125" t="s">
        <v>4957</v>
      </c>
      <c r="C223" s="126" t="s">
        <v>6906</v>
      </c>
      <c r="D223" s="127" t="s">
        <v>6908</v>
      </c>
      <c r="E223" s="28" t="str">
        <f>IFERROR(__xludf.DUMMYFUNCTION("GOOGLETRANSLATE(D223,""zh-CN"",""vi"")"),"Giữa họ có một khoảng cách rất lớn.")</f>
        <v>Giữa họ có một khoảng cách rất lớn.</v>
      </c>
      <c r="F223" s="128"/>
      <c r="G223" s="36" t="b">
        <f t="shared" si="1"/>
        <v>0</v>
      </c>
      <c r="H223" s="35" t="b">
        <v>1</v>
      </c>
      <c r="I223" s="35" t="b">
        <v>0</v>
      </c>
      <c r="J223" s="35" t="b">
        <v>0</v>
      </c>
      <c r="K223" s="35" t="b">
        <v>0</v>
      </c>
      <c r="L223" s="35" t="b">
        <v>0</v>
      </c>
      <c r="M223" s="35" t="b">
        <v>0</v>
      </c>
      <c r="N223" s="35" t="b">
        <v>0</v>
      </c>
      <c r="O223" s="35" t="b">
        <v>0</v>
      </c>
      <c r="P223" s="35" t="b">
        <v>0</v>
      </c>
      <c r="Q223" s="35" t="b">
        <v>0</v>
      </c>
      <c r="R223" s="14"/>
      <c r="S223" s="14"/>
      <c r="T223" s="14"/>
      <c r="U223" s="14"/>
      <c r="V223" s="14"/>
      <c r="W223" s="14"/>
    </row>
    <row r="224" ht="31.5" customHeight="1">
      <c r="A224" s="124" t="s">
        <v>6909</v>
      </c>
      <c r="B224" s="125" t="s">
        <v>6910</v>
      </c>
      <c r="C224" s="126" t="s">
        <v>6911</v>
      </c>
      <c r="D224" s="127" t="s">
        <v>6912</v>
      </c>
      <c r="E224" s="28" t="str">
        <f>IFERROR(__xludf.DUMMYFUNCTION("GOOGLETRANSLATE(D224,""zh-CN"",""vi"")"),"Cảnh sát đã thu giữ một lượng lớn ma túy.")</f>
        <v>Cảnh sát đã thu giữ một lượng lớn ma túy.</v>
      </c>
      <c r="F224" s="128"/>
      <c r="G224" s="36" t="b">
        <f t="shared" si="1"/>
        <v>0</v>
      </c>
      <c r="H224" s="35" t="b">
        <v>1</v>
      </c>
      <c r="I224" s="35" t="b">
        <v>0</v>
      </c>
      <c r="J224" s="35" t="b">
        <v>0</v>
      </c>
      <c r="K224" s="35" t="b">
        <v>0</v>
      </c>
      <c r="L224" s="35" t="b">
        <v>0</v>
      </c>
      <c r="M224" s="35" t="b">
        <v>0</v>
      </c>
      <c r="N224" s="35" t="b">
        <v>0</v>
      </c>
      <c r="O224" s="35" t="b">
        <v>0</v>
      </c>
      <c r="P224" s="35" t="b">
        <v>0</v>
      </c>
      <c r="Q224" s="35" t="b">
        <v>0</v>
      </c>
      <c r="R224" s="14"/>
      <c r="S224" s="14"/>
      <c r="T224" s="14"/>
      <c r="U224" s="14"/>
      <c r="V224" s="14"/>
      <c r="W224" s="14"/>
    </row>
    <row r="225" ht="31.5" customHeight="1">
      <c r="A225" s="124" t="s">
        <v>6917</v>
      </c>
      <c r="B225" s="125" t="s">
        <v>431</v>
      </c>
      <c r="C225" s="126" t="s">
        <v>6918</v>
      </c>
      <c r="D225" s="127" t="s">
        <v>6919</v>
      </c>
      <c r="E225" s="28" t="str">
        <f>IFERROR(__xludf.DUMMYFUNCTION("GOOGLETRANSLATE(D225,""zh-CN"",""vi"")"),"Con đường chia làm hai nhánh, nhánh bên trái dẫn đến công viên và nhánh bên phải dẫn đến các cửa hàng.")</f>
        <v>Con đường chia làm hai nhánh, nhánh bên trái dẫn đến công viên và nhánh bên phải dẫn đến các cửa hàng.</v>
      </c>
      <c r="F225" s="128"/>
      <c r="G225" s="36" t="b">
        <f t="shared" si="1"/>
        <v>0</v>
      </c>
      <c r="H225" s="35" t="b">
        <v>1</v>
      </c>
      <c r="I225" s="35" t="b">
        <v>0</v>
      </c>
      <c r="J225" s="35" t="b">
        <v>0</v>
      </c>
      <c r="K225" s="35" t="b">
        <v>0</v>
      </c>
      <c r="L225" s="35" t="b">
        <v>0</v>
      </c>
      <c r="M225" s="35" t="b">
        <v>0</v>
      </c>
      <c r="N225" s="35" t="b">
        <v>0</v>
      </c>
      <c r="O225" s="35" t="b">
        <v>0</v>
      </c>
      <c r="P225" s="35" t="b">
        <v>0</v>
      </c>
      <c r="Q225" s="35" t="b">
        <v>0</v>
      </c>
      <c r="R225" s="14"/>
      <c r="S225" s="14"/>
      <c r="T225" s="14"/>
      <c r="U225" s="14"/>
      <c r="V225" s="14"/>
      <c r="W225" s="14"/>
    </row>
    <row r="226" ht="31.5" customHeight="1">
      <c r="A226" s="109" t="s">
        <v>6924</v>
      </c>
      <c r="B226" s="110" t="s">
        <v>6925</v>
      </c>
      <c r="C226" s="111" t="s">
        <v>6926</v>
      </c>
      <c r="D226" s="28" t="s">
        <v>6927</v>
      </c>
      <c r="E226" s="28" t="str">
        <f>IFERROR(__xludf.DUMMYFUNCTION("GOOGLETRANSLATE(D226,""zh-CN"",""vi"")"),"Chỉ trong chớp mắt, mọi thứ đã thay đổi.")</f>
        <v>Chỉ trong chớp mắt, mọi thứ đã thay đổi.</v>
      </c>
      <c r="F226" s="128"/>
      <c r="G226" s="36" t="b">
        <f t="shared" si="1"/>
        <v>0</v>
      </c>
      <c r="H226" s="35" t="b">
        <v>1</v>
      </c>
      <c r="I226" s="35" t="b">
        <v>0</v>
      </c>
      <c r="J226" s="35" t="b">
        <v>0</v>
      </c>
      <c r="K226" s="35" t="b">
        <v>0</v>
      </c>
      <c r="L226" s="35" t="b">
        <v>0</v>
      </c>
      <c r="M226" s="35" t="b">
        <v>0</v>
      </c>
      <c r="N226" s="35" t="b">
        <v>0</v>
      </c>
      <c r="O226" s="35" t="b">
        <v>0</v>
      </c>
      <c r="P226" s="35" t="b">
        <v>0</v>
      </c>
      <c r="Q226" s="35" t="b">
        <v>0</v>
      </c>
      <c r="R226" s="14"/>
      <c r="S226" s="14"/>
      <c r="T226" s="14"/>
      <c r="U226" s="14"/>
      <c r="V226" s="14"/>
      <c r="W226" s="14"/>
    </row>
    <row r="227" ht="31.5" customHeight="1">
      <c r="A227" s="109" t="s">
        <v>6932</v>
      </c>
      <c r="B227" s="110" t="s">
        <v>6933</v>
      </c>
      <c r="C227" s="111" t="s">
        <v>780</v>
      </c>
      <c r="D227" s="28" t="s">
        <v>6934</v>
      </c>
      <c r="E227" s="28" t="str">
        <f>IFERROR(__xludf.DUMMYFUNCTION("GOOGLETRANSLATE(D227,""zh-CN"",""vi"")"),"Màn trình diễn của cô ấy thật bất ngờ.")</f>
        <v>Màn trình diễn của cô ấy thật bất ngờ.</v>
      </c>
      <c r="F227" s="128"/>
      <c r="G227" s="36" t="b">
        <f t="shared" si="1"/>
        <v>0</v>
      </c>
      <c r="H227" s="35" t="b">
        <v>1</v>
      </c>
      <c r="I227" s="35" t="b">
        <v>0</v>
      </c>
      <c r="J227" s="35" t="b">
        <v>0</v>
      </c>
      <c r="K227" s="35" t="b">
        <v>0</v>
      </c>
      <c r="L227" s="35" t="b">
        <v>0</v>
      </c>
      <c r="M227" s="35" t="b">
        <v>0</v>
      </c>
      <c r="N227" s="35" t="b">
        <v>0</v>
      </c>
      <c r="O227" s="35" t="b">
        <v>0</v>
      </c>
      <c r="P227" s="35" t="b">
        <v>0</v>
      </c>
      <c r="Q227" s="35" t="b">
        <v>0</v>
      </c>
      <c r="R227" s="14"/>
      <c r="S227" s="14"/>
      <c r="T227" s="14"/>
      <c r="U227" s="14"/>
      <c r="V227" s="14"/>
      <c r="W227" s="14"/>
    </row>
    <row r="228" ht="31.5" customHeight="1">
      <c r="A228" s="109" t="s">
        <v>6937</v>
      </c>
      <c r="B228" s="110" t="s">
        <v>6939</v>
      </c>
      <c r="C228" s="111" t="s">
        <v>6941</v>
      </c>
      <c r="D228" s="28" t="s">
        <v>6942</v>
      </c>
      <c r="E228" s="28" t="str">
        <f>IFERROR(__xludf.DUMMYFUNCTION("GOOGLETRANSLATE(D228,""zh-CN"",""vi"")"),"Ông ta khởi động máy bằng nhiên liệu diesel.")</f>
        <v>Ông ta khởi động máy bằng nhiên liệu diesel.</v>
      </c>
      <c r="F228" s="128"/>
      <c r="G228" s="36" t="b">
        <f t="shared" si="1"/>
        <v>0</v>
      </c>
      <c r="H228" s="35" t="b">
        <v>1</v>
      </c>
      <c r="I228" s="35" t="b">
        <v>0</v>
      </c>
      <c r="J228" s="35" t="b">
        <v>0</v>
      </c>
      <c r="K228" s="35" t="b">
        <v>0</v>
      </c>
      <c r="L228" s="35" t="b">
        <v>0</v>
      </c>
      <c r="M228" s="35" t="b">
        <v>0</v>
      </c>
      <c r="N228" s="35" t="b">
        <v>0</v>
      </c>
      <c r="O228" s="35" t="b">
        <v>0</v>
      </c>
      <c r="P228" s="35" t="b">
        <v>0</v>
      </c>
      <c r="Q228" s="35" t="b">
        <v>0</v>
      </c>
      <c r="R228" s="14"/>
      <c r="S228" s="14"/>
      <c r="T228" s="14"/>
      <c r="U228" s="14"/>
      <c r="V228" s="14"/>
      <c r="W228" s="14"/>
    </row>
    <row r="229" ht="31.5" customHeight="1">
      <c r="A229" s="109" t="s">
        <v>6943</v>
      </c>
      <c r="B229" s="110" t="s">
        <v>6945</v>
      </c>
      <c r="C229" s="111" t="s">
        <v>6947</v>
      </c>
      <c r="D229" s="28" t="s">
        <v>6949</v>
      </c>
      <c r="E229" s="28" t="str">
        <f>IFERROR(__xludf.DUMMYFUNCTION("GOOGLETRANSLATE(D229,""zh-CN"",""vi"")"),"Anh ấy đã giúp người đàn ông lớn tuổi qua đường.")</f>
        <v>Anh ấy đã giúp người đàn ông lớn tuổi qua đường.</v>
      </c>
      <c r="F229" s="128"/>
      <c r="G229" s="36" t="b">
        <f t="shared" si="1"/>
        <v>0</v>
      </c>
      <c r="H229" s="35" t="b">
        <v>1</v>
      </c>
      <c r="I229" s="35" t="b">
        <v>0</v>
      </c>
      <c r="J229" s="35" t="b">
        <v>0</v>
      </c>
      <c r="K229" s="35" t="b">
        <v>0</v>
      </c>
      <c r="L229" s="35" t="b">
        <v>0</v>
      </c>
      <c r="M229" s="35" t="b">
        <v>0</v>
      </c>
      <c r="N229" s="35" t="b">
        <v>0</v>
      </c>
      <c r="O229" s="35" t="b">
        <v>0</v>
      </c>
      <c r="P229" s="35" t="b">
        <v>0</v>
      </c>
      <c r="Q229" s="35" t="b">
        <v>0</v>
      </c>
      <c r="R229" s="14"/>
      <c r="S229" s="14"/>
      <c r="T229" s="14"/>
      <c r="U229" s="14"/>
      <c r="V229" s="14"/>
      <c r="W229" s="14"/>
    </row>
    <row r="230" ht="31.5" customHeight="1">
      <c r="A230" s="109" t="s">
        <v>6951</v>
      </c>
      <c r="B230" s="110" t="s">
        <v>6952</v>
      </c>
      <c r="C230" s="111" t="s">
        <v>6953</v>
      </c>
      <c r="D230" s="28" t="s">
        <v>6955</v>
      </c>
      <c r="E230" s="28" t="str">
        <f>IFERROR(__xludf.DUMMYFUNCTION("GOOGLETRANSLATE(D230,""zh-CN"",""vi"")"),"Mỗi khi nhìn thấy đồ ăn ngon, anh ấy lại thấy đói bụng ngay lập tức.")</f>
        <v>Mỗi khi nhìn thấy đồ ăn ngon, anh ấy lại thấy đói bụng ngay lập tức.</v>
      </c>
      <c r="F230" s="128"/>
      <c r="G230" s="36" t="b">
        <f t="shared" si="1"/>
        <v>0</v>
      </c>
      <c r="H230" s="35" t="b">
        <v>1</v>
      </c>
      <c r="I230" s="35" t="b">
        <v>0</v>
      </c>
      <c r="J230" s="35" t="b">
        <v>0</v>
      </c>
      <c r="K230" s="35" t="b">
        <v>0</v>
      </c>
      <c r="L230" s="35" t="b">
        <v>0</v>
      </c>
      <c r="M230" s="35" t="b">
        <v>0</v>
      </c>
      <c r="N230" s="35" t="b">
        <v>0</v>
      </c>
      <c r="O230" s="35" t="b">
        <v>0</v>
      </c>
      <c r="P230" s="35" t="b">
        <v>0</v>
      </c>
      <c r="Q230" s="35" t="b">
        <v>0</v>
      </c>
      <c r="R230" s="14"/>
      <c r="S230" s="14"/>
      <c r="T230" s="14"/>
      <c r="U230" s="14"/>
      <c r="V230" s="14"/>
      <c r="W230" s="14"/>
    </row>
    <row r="231" ht="31.5" customHeight="1">
      <c r="A231" s="109" t="s">
        <v>6959</v>
      </c>
      <c r="B231" s="110" t="s">
        <v>6960</v>
      </c>
      <c r="C231" s="111" t="s">
        <v>6961</v>
      </c>
      <c r="D231" s="28" t="s">
        <v>6962</v>
      </c>
      <c r="E231" s="28" t="str">
        <f>IFERROR(__xludf.DUMMYFUNCTION("GOOGLETRANSLATE(D231,""zh-CN"",""vi"")"),"Dây chuyền bị rối vào nhau.")</f>
        <v>Dây chuyền bị rối vào nhau.</v>
      </c>
      <c r="F231" s="128"/>
      <c r="G231" s="36" t="b">
        <f t="shared" si="1"/>
        <v>0</v>
      </c>
      <c r="H231" s="35" t="b">
        <v>1</v>
      </c>
      <c r="I231" s="35" t="b">
        <v>0</v>
      </c>
      <c r="J231" s="35" t="b">
        <v>0</v>
      </c>
      <c r="K231" s="35" t="b">
        <v>0</v>
      </c>
      <c r="L231" s="35" t="b">
        <v>0</v>
      </c>
      <c r="M231" s="35" t="b">
        <v>0</v>
      </c>
      <c r="N231" s="35" t="b">
        <v>0</v>
      </c>
      <c r="O231" s="35" t="b">
        <v>0</v>
      </c>
      <c r="P231" s="35" t="b">
        <v>0</v>
      </c>
      <c r="Q231" s="35" t="b">
        <v>0</v>
      </c>
      <c r="R231" s="14"/>
      <c r="S231" s="14"/>
      <c r="T231" s="14"/>
      <c r="U231" s="14"/>
      <c r="V231" s="14"/>
      <c r="W231" s="14"/>
    </row>
    <row r="232" ht="31.5" customHeight="1">
      <c r="A232" s="109" t="s">
        <v>6967</v>
      </c>
      <c r="B232" s="110" t="s">
        <v>6968</v>
      </c>
      <c r="C232" s="111" t="s">
        <v>6969</v>
      </c>
      <c r="D232" s="28" t="s">
        <v>6970</v>
      </c>
      <c r="E232" s="28" t="str">
        <f>IFERROR(__xludf.DUMMYFUNCTION("GOOGLETRANSLATE(D232,""zh-CN"",""vi"")"),"Ông đã trình bày chi tiết hơn về quan điểm của mình.")</f>
        <v>Ông đã trình bày chi tiết hơn về quan điểm của mình.</v>
      </c>
      <c r="F232" s="128"/>
      <c r="G232" s="36" t="b">
        <f t="shared" si="1"/>
        <v>0</v>
      </c>
      <c r="H232" s="35" t="b">
        <v>1</v>
      </c>
      <c r="I232" s="35" t="b">
        <v>0</v>
      </c>
      <c r="J232" s="35" t="b">
        <v>0</v>
      </c>
      <c r="K232" s="35" t="b">
        <v>0</v>
      </c>
      <c r="L232" s="35" t="b">
        <v>0</v>
      </c>
      <c r="M232" s="35" t="b">
        <v>0</v>
      </c>
      <c r="N232" s="35" t="b">
        <v>0</v>
      </c>
      <c r="O232" s="35" t="b">
        <v>0</v>
      </c>
      <c r="P232" s="35" t="b">
        <v>0</v>
      </c>
      <c r="Q232" s="35" t="b">
        <v>0</v>
      </c>
      <c r="R232" s="14"/>
      <c r="S232" s="14"/>
      <c r="T232" s="14"/>
      <c r="U232" s="14"/>
      <c r="V232" s="14"/>
      <c r="W232" s="14"/>
    </row>
    <row r="233" ht="31.5" customHeight="1">
      <c r="A233" s="109" t="s">
        <v>6971</v>
      </c>
      <c r="B233" s="110" t="s">
        <v>6972</v>
      </c>
      <c r="C233" s="111" t="s">
        <v>6974</v>
      </c>
      <c r="D233" s="28" t="s">
        <v>6976</v>
      </c>
      <c r="E233" s="28" t="str">
        <f>IFERROR(__xludf.DUMMYFUNCTION("GOOGLETRANSLATE(D233,""zh-CN"",""vi"")"),"Đây là một ngành công nghiệp quan trọng.")</f>
        <v>Đây là một ngành công nghiệp quan trọng.</v>
      </c>
      <c r="F233" s="128"/>
      <c r="G233" s="36" t="b">
        <f t="shared" si="1"/>
        <v>0</v>
      </c>
      <c r="H233" s="35" t="b">
        <v>1</v>
      </c>
      <c r="I233" s="35" t="b">
        <v>0</v>
      </c>
      <c r="J233" s="35" t="b">
        <v>0</v>
      </c>
      <c r="K233" s="35" t="b">
        <v>0</v>
      </c>
      <c r="L233" s="35" t="b">
        <v>0</v>
      </c>
      <c r="M233" s="35" t="b">
        <v>0</v>
      </c>
      <c r="N233" s="35" t="b">
        <v>0</v>
      </c>
      <c r="O233" s="35" t="b">
        <v>0</v>
      </c>
      <c r="P233" s="35" t="b">
        <v>0</v>
      </c>
      <c r="Q233" s="35" t="b">
        <v>0</v>
      </c>
      <c r="R233" s="14"/>
      <c r="S233" s="14"/>
      <c r="T233" s="14"/>
      <c r="U233" s="14"/>
      <c r="V233" s="14"/>
      <c r="W233" s="14"/>
    </row>
    <row r="234" ht="31.5" customHeight="1">
      <c r="A234" s="109" t="s">
        <v>6979</v>
      </c>
      <c r="B234" s="110" t="s">
        <v>6980</v>
      </c>
      <c r="C234" s="111" t="s">
        <v>5993</v>
      </c>
      <c r="D234" s="28" t="s">
        <v>6981</v>
      </c>
      <c r="E234" s="28" t="str">
        <f>IFERROR(__xludf.DUMMYFUNCTION("GOOGLETRANSLATE(D234,""zh-CN"",""vi"")"),"Nghe tin này, toàn thân ông ta run lên.")</f>
        <v>Nghe tin này, toàn thân ông ta run lên.</v>
      </c>
      <c r="F234" s="128"/>
      <c r="G234" s="36" t="b">
        <f t="shared" si="1"/>
        <v>0</v>
      </c>
      <c r="H234" s="35" t="b">
        <v>1</v>
      </c>
      <c r="I234" s="35" t="b">
        <v>0</v>
      </c>
      <c r="J234" s="35" t="b">
        <v>0</v>
      </c>
      <c r="K234" s="35" t="b">
        <v>0</v>
      </c>
      <c r="L234" s="35" t="b">
        <v>0</v>
      </c>
      <c r="M234" s="35" t="b">
        <v>0</v>
      </c>
      <c r="N234" s="35" t="b">
        <v>0</v>
      </c>
      <c r="O234" s="35" t="b">
        <v>0</v>
      </c>
      <c r="P234" s="35" t="b">
        <v>0</v>
      </c>
      <c r="Q234" s="35" t="b">
        <v>0</v>
      </c>
      <c r="R234" s="14"/>
      <c r="S234" s="14"/>
      <c r="T234" s="14"/>
      <c r="U234" s="14"/>
      <c r="V234" s="14"/>
      <c r="W234" s="14"/>
    </row>
    <row r="235" ht="31.5" customHeight="1">
      <c r="A235" s="109" t="s">
        <v>6986</v>
      </c>
      <c r="B235" s="110" t="s">
        <v>6987</v>
      </c>
      <c r="C235" s="111" t="s">
        <v>6988</v>
      </c>
      <c r="D235" s="28" t="s">
        <v>6989</v>
      </c>
      <c r="E235" s="28" t="str">
        <f>IFERROR(__xludf.DUMMYFUNCTION("GOOGLETRANSLATE(D235,""zh-CN"",""vi"")"),"Hành vi của họ vô cùng tồi tệ.")</f>
        <v>Hành vi của họ vô cùng tồi tệ.</v>
      </c>
      <c r="F235" s="128"/>
      <c r="G235" s="36" t="b">
        <f t="shared" si="1"/>
        <v>0</v>
      </c>
      <c r="H235" s="35" t="b">
        <v>1</v>
      </c>
      <c r="I235" s="35" t="b">
        <v>0</v>
      </c>
      <c r="J235" s="35" t="b">
        <v>0</v>
      </c>
      <c r="K235" s="35" t="b">
        <v>0</v>
      </c>
      <c r="L235" s="35" t="b">
        <v>0</v>
      </c>
      <c r="M235" s="35" t="b">
        <v>0</v>
      </c>
      <c r="N235" s="35" t="b">
        <v>0</v>
      </c>
      <c r="O235" s="35" t="b">
        <v>0</v>
      </c>
      <c r="P235" s="35" t="b">
        <v>0</v>
      </c>
      <c r="Q235" s="35" t="b">
        <v>0</v>
      </c>
      <c r="R235" s="14"/>
      <c r="S235" s="14"/>
      <c r="T235" s="14"/>
      <c r="U235" s="14"/>
      <c r="V235" s="14"/>
      <c r="W235" s="14"/>
    </row>
    <row r="236" ht="31.5" customHeight="1">
      <c r="A236" s="109" t="s">
        <v>6994</v>
      </c>
      <c r="B236" s="110" t="s">
        <v>6995</v>
      </c>
      <c r="C236" s="111" t="s">
        <v>6996</v>
      </c>
      <c r="D236" s="28" t="s">
        <v>6997</v>
      </c>
      <c r="E236" s="28" t="str">
        <f>IFERROR(__xludf.DUMMYFUNCTION("GOOGLETRANSLATE(D236,""zh-CN"",""vi"")"),"Đất nước này đang thịnh vượng.")</f>
        <v>Đất nước này đang thịnh vượng.</v>
      </c>
      <c r="F236" s="128"/>
      <c r="G236" s="36" t="b">
        <f t="shared" si="1"/>
        <v>0</v>
      </c>
      <c r="H236" s="35" t="b">
        <v>1</v>
      </c>
      <c r="I236" s="35" t="b">
        <v>0</v>
      </c>
      <c r="J236" s="35" t="b">
        <v>0</v>
      </c>
      <c r="K236" s="35" t="b">
        <v>0</v>
      </c>
      <c r="L236" s="35" t="b">
        <v>0</v>
      </c>
      <c r="M236" s="35" t="b">
        <v>0</v>
      </c>
      <c r="N236" s="35" t="b">
        <v>0</v>
      </c>
      <c r="O236" s="35" t="b">
        <v>0</v>
      </c>
      <c r="P236" s="35" t="b">
        <v>0</v>
      </c>
      <c r="Q236" s="35" t="b">
        <v>0</v>
      </c>
      <c r="R236" s="14"/>
      <c r="S236" s="14"/>
      <c r="T236" s="14"/>
      <c r="U236" s="14"/>
      <c r="V236" s="14"/>
      <c r="W236" s="14"/>
    </row>
    <row r="237" ht="31.5" customHeight="1">
      <c r="A237" s="109" t="s">
        <v>7002</v>
      </c>
      <c r="B237" s="110" t="s">
        <v>7003</v>
      </c>
      <c r="C237" s="111" t="s">
        <v>7004</v>
      </c>
      <c r="D237" s="28" t="s">
        <v>7005</v>
      </c>
      <c r="E237" s="28" t="str">
        <f>IFERROR(__xludf.DUMMYFUNCTION("GOOGLETRANSLATE(D237,""zh-CN"",""vi"")"),"Ông ấy đã trả hết nợ.")</f>
        <v>Ông ấy đã trả hết nợ.</v>
      </c>
      <c r="F237" s="128"/>
      <c r="G237" s="36" t="b">
        <f t="shared" si="1"/>
        <v>0</v>
      </c>
      <c r="H237" s="35" t="b">
        <v>1</v>
      </c>
      <c r="I237" s="35" t="b">
        <v>0</v>
      </c>
      <c r="J237" s="35" t="b">
        <v>0</v>
      </c>
      <c r="K237" s="35" t="b">
        <v>0</v>
      </c>
      <c r="L237" s="35" t="b">
        <v>0</v>
      </c>
      <c r="M237" s="35" t="b">
        <v>0</v>
      </c>
      <c r="N237" s="35" t="b">
        <v>0</v>
      </c>
      <c r="O237" s="35" t="b">
        <v>0</v>
      </c>
      <c r="P237" s="35" t="b">
        <v>0</v>
      </c>
      <c r="Q237" s="35" t="b">
        <v>0</v>
      </c>
      <c r="R237" s="14"/>
      <c r="S237" s="14"/>
      <c r="T237" s="14"/>
      <c r="U237" s="14"/>
      <c r="V237" s="14"/>
      <c r="W237" s="14"/>
    </row>
    <row r="238" ht="31.5" customHeight="1">
      <c r="A238" s="109" t="s">
        <v>7010</v>
      </c>
      <c r="B238" s="110" t="s">
        <v>7011</v>
      </c>
      <c r="C238" s="111" t="s">
        <v>7012</v>
      </c>
      <c r="D238" s="28" t="s">
        <v>7013</v>
      </c>
      <c r="E238" s="28" t="str">
        <f>IFERROR(__xludf.DUMMYFUNCTION("GOOGLETRANSLATE(D238,""zh-CN"",""vi"")"),"Công ty này có lãi năm này qua năm khác.")</f>
        <v>Công ty này có lãi năm này qua năm khác.</v>
      </c>
      <c r="F238" s="128"/>
      <c r="G238" s="36" t="b">
        <f t="shared" si="1"/>
        <v>0</v>
      </c>
      <c r="H238" s="35" t="b">
        <v>1</v>
      </c>
      <c r="I238" s="35" t="b">
        <v>0</v>
      </c>
      <c r="J238" s="35" t="b">
        <v>0</v>
      </c>
      <c r="K238" s="35" t="b">
        <v>0</v>
      </c>
      <c r="L238" s="35" t="b">
        <v>0</v>
      </c>
      <c r="M238" s="35" t="b">
        <v>0</v>
      </c>
      <c r="N238" s="35" t="b">
        <v>0</v>
      </c>
      <c r="O238" s="35" t="b">
        <v>0</v>
      </c>
      <c r="P238" s="35" t="b">
        <v>0</v>
      </c>
      <c r="Q238" s="35" t="b">
        <v>0</v>
      </c>
      <c r="R238" s="14"/>
      <c r="S238" s="14"/>
      <c r="T238" s="14"/>
      <c r="U238" s="14"/>
      <c r="V238" s="14"/>
      <c r="W238" s="14"/>
    </row>
    <row r="239" ht="31.5" customHeight="1">
      <c r="A239" s="109" t="s">
        <v>7014</v>
      </c>
      <c r="B239" s="110" t="s">
        <v>7015</v>
      </c>
      <c r="C239" s="111" t="s">
        <v>7016</v>
      </c>
      <c r="D239" s="28" t="s">
        <v>7017</v>
      </c>
      <c r="E239" s="28" t="str">
        <f>IFERROR(__xludf.DUMMYFUNCTION("GOOGLETRANSLATE(D239,""zh-CN"",""vi"")"),"Chúng ta nên thử những phương pháp mới.")</f>
        <v>Chúng ta nên thử những phương pháp mới.</v>
      </c>
      <c r="F239" s="128"/>
      <c r="G239" s="36" t="b">
        <f t="shared" si="1"/>
        <v>0</v>
      </c>
      <c r="H239" s="35" t="b">
        <v>1</v>
      </c>
      <c r="I239" s="35" t="b">
        <v>0</v>
      </c>
      <c r="J239" s="35" t="b">
        <v>0</v>
      </c>
      <c r="K239" s="35" t="b">
        <v>0</v>
      </c>
      <c r="L239" s="35" t="b">
        <v>0</v>
      </c>
      <c r="M239" s="35" t="b">
        <v>0</v>
      </c>
      <c r="N239" s="35" t="b">
        <v>0</v>
      </c>
      <c r="O239" s="35" t="b">
        <v>0</v>
      </c>
      <c r="P239" s="35" t="b">
        <v>0</v>
      </c>
      <c r="Q239" s="35" t="b">
        <v>0</v>
      </c>
      <c r="R239" s="14"/>
      <c r="S239" s="14"/>
      <c r="T239" s="14"/>
      <c r="U239" s="14"/>
      <c r="V239" s="14"/>
      <c r="W239" s="14"/>
    </row>
    <row r="240" ht="31.5" customHeight="1">
      <c r="A240" s="109" t="s">
        <v>7018</v>
      </c>
      <c r="B240" s="110" t="s">
        <v>7019</v>
      </c>
      <c r="C240" s="111" t="s">
        <v>7020</v>
      </c>
      <c r="D240" s="28" t="s">
        <v>7021</v>
      </c>
      <c r="E240" s="28" t="str">
        <f>IFERROR(__xludf.DUMMYFUNCTION("GOOGLETRANSLATE(D240,""zh-CN"",""vi"")"),"Ông ấy là giám đốc điều hành của công ty.")</f>
        <v>Ông ấy là giám đốc điều hành của công ty.</v>
      </c>
      <c r="F240" s="128"/>
      <c r="G240" s="36" t="b">
        <f t="shared" si="1"/>
        <v>0</v>
      </c>
      <c r="H240" s="35" t="b">
        <v>1</v>
      </c>
      <c r="I240" s="35" t="b">
        <v>0</v>
      </c>
      <c r="J240" s="35" t="b">
        <v>0</v>
      </c>
      <c r="K240" s="35" t="b">
        <v>0</v>
      </c>
      <c r="L240" s="35" t="b">
        <v>0</v>
      </c>
      <c r="M240" s="35" t="b">
        <v>0</v>
      </c>
      <c r="N240" s="35" t="b">
        <v>0</v>
      </c>
      <c r="O240" s="35" t="b">
        <v>0</v>
      </c>
      <c r="P240" s="35" t="b">
        <v>0</v>
      </c>
      <c r="Q240" s="35" t="b">
        <v>0</v>
      </c>
      <c r="R240" s="14"/>
      <c r="S240" s="14"/>
      <c r="T240" s="14"/>
      <c r="U240" s="14"/>
      <c r="V240" s="14"/>
      <c r="W240" s="14"/>
    </row>
    <row r="241" ht="31.5" customHeight="1">
      <c r="A241" s="124" t="s">
        <v>734</v>
      </c>
      <c r="B241" s="125" t="s">
        <v>735</v>
      </c>
      <c r="C241" s="126" t="s">
        <v>7026</v>
      </c>
      <c r="D241" s="127" t="s">
        <v>7027</v>
      </c>
      <c r="E241" s="28" t="str">
        <f>IFERROR(__xludf.DUMMYFUNCTION("GOOGLETRANSLATE(D241,""zh-CN"",""vi"")"),"Anh ấy đến sân thể thao mỗi ngày.")</f>
        <v>Anh ấy đến sân thể thao mỗi ngày.</v>
      </c>
      <c r="F241" s="128"/>
      <c r="G241" s="36" t="b">
        <f t="shared" si="1"/>
        <v>0</v>
      </c>
      <c r="H241" s="35" t="b">
        <v>1</v>
      </c>
      <c r="I241" s="35" t="b">
        <v>0</v>
      </c>
      <c r="J241" s="35" t="b">
        <v>0</v>
      </c>
      <c r="K241" s="35" t="b">
        <v>0</v>
      </c>
      <c r="L241" s="35" t="b">
        <v>0</v>
      </c>
      <c r="M241" s="35" t="b">
        <v>0</v>
      </c>
      <c r="N241" s="35" t="b">
        <v>0</v>
      </c>
      <c r="O241" s="35" t="b">
        <v>0</v>
      </c>
      <c r="P241" s="35" t="b">
        <v>0</v>
      </c>
      <c r="Q241" s="35" t="b">
        <v>0</v>
      </c>
      <c r="R241" s="14"/>
      <c r="S241" s="14"/>
      <c r="T241" s="14"/>
      <c r="U241" s="14"/>
      <c r="V241" s="14"/>
      <c r="W241" s="14"/>
    </row>
    <row r="242" ht="31.5" customHeight="1">
      <c r="A242" s="109" t="s">
        <v>7028</v>
      </c>
      <c r="B242" s="110" t="s">
        <v>7029</v>
      </c>
      <c r="C242" s="111" t="s">
        <v>7031</v>
      </c>
      <c r="D242" s="28" t="s">
        <v>7033</v>
      </c>
      <c r="E242" s="28" t="str">
        <f>IFERROR(__xludf.DUMMYFUNCTION("GOOGLETRANSLATE(D242,""zh-CN"",""vi"")"),"Cuộc họp được tổ chức trong một khuôn khổ trang trọng.")</f>
        <v>Cuộc họp được tổ chức trong một khuôn khổ trang trọng.</v>
      </c>
      <c r="F242" s="128"/>
      <c r="G242" s="36" t="b">
        <f t="shared" si="1"/>
        <v>0</v>
      </c>
      <c r="H242" s="35" t="b">
        <v>1</v>
      </c>
      <c r="I242" s="35" t="b">
        <v>0</v>
      </c>
      <c r="J242" s="35" t="b">
        <v>0</v>
      </c>
      <c r="K242" s="35" t="b">
        <v>0</v>
      </c>
      <c r="L242" s="35" t="b">
        <v>0</v>
      </c>
      <c r="M242" s="35" t="b">
        <v>0</v>
      </c>
      <c r="N242" s="35" t="b">
        <v>0</v>
      </c>
      <c r="O242" s="35" t="b">
        <v>0</v>
      </c>
      <c r="P242" s="35" t="b">
        <v>0</v>
      </c>
      <c r="Q242" s="35" t="b">
        <v>0</v>
      </c>
      <c r="R242" s="14"/>
      <c r="S242" s="14"/>
      <c r="T242" s="14"/>
      <c r="U242" s="14"/>
      <c r="V242" s="14"/>
      <c r="W242" s="14"/>
    </row>
    <row r="243" ht="31.5" customHeight="1">
      <c r="A243" s="109" t="s">
        <v>7036</v>
      </c>
      <c r="B243" s="110" t="s">
        <v>7038</v>
      </c>
      <c r="C243" s="111" t="s">
        <v>7040</v>
      </c>
      <c r="D243" s="28" t="s">
        <v>7042</v>
      </c>
      <c r="E243" s="28" t="str">
        <f>IFERROR(__xludf.DUMMYFUNCTION("GOOGLETRANSLATE(D243,""zh-CN"",""vi"")"),"Cánh cửa đã mở sẵn.")</f>
        <v>Cánh cửa đã mở sẵn.</v>
      </c>
      <c r="F243" s="128"/>
      <c r="G243" s="36" t="b">
        <f t="shared" si="1"/>
        <v>0</v>
      </c>
      <c r="H243" s="35" t="b">
        <v>1</v>
      </c>
      <c r="I243" s="35" t="b">
        <v>0</v>
      </c>
      <c r="J243" s="35" t="b">
        <v>0</v>
      </c>
      <c r="K243" s="35" t="b">
        <v>0</v>
      </c>
      <c r="L243" s="35" t="b">
        <v>0</v>
      </c>
      <c r="M243" s="35" t="b">
        <v>0</v>
      </c>
      <c r="N243" s="35" t="b">
        <v>0</v>
      </c>
      <c r="O243" s="35" t="b">
        <v>0</v>
      </c>
      <c r="P243" s="35" t="b">
        <v>0</v>
      </c>
      <c r="Q243" s="35" t="b">
        <v>0</v>
      </c>
      <c r="R243" s="14"/>
      <c r="S243" s="14"/>
      <c r="T243" s="14"/>
      <c r="U243" s="14"/>
      <c r="V243" s="14"/>
      <c r="W243" s="14"/>
    </row>
    <row r="244" ht="31.5" customHeight="1">
      <c r="A244" s="109" t="s">
        <v>7044</v>
      </c>
      <c r="B244" s="110" t="s">
        <v>7045</v>
      </c>
      <c r="C244" s="111" t="s">
        <v>7046</v>
      </c>
      <c r="D244" s="28" t="s">
        <v>7048</v>
      </c>
      <c r="E244" s="28" t="str">
        <f>IFERROR(__xludf.DUMMYFUNCTION("GOOGLETRANSLATE(D244,""zh-CN"",""vi"")"),"Các cảnh phim thật ngoạn mục.")</f>
        <v>Các cảnh phim thật ngoạn mục.</v>
      </c>
      <c r="F244" s="128"/>
      <c r="G244" s="36" t="b">
        <f t="shared" si="1"/>
        <v>0</v>
      </c>
      <c r="H244" s="35" t="b">
        <v>1</v>
      </c>
      <c r="I244" s="35" t="b">
        <v>0</v>
      </c>
      <c r="J244" s="35" t="b">
        <v>0</v>
      </c>
      <c r="K244" s="35" t="b">
        <v>0</v>
      </c>
      <c r="L244" s="35" t="b">
        <v>0</v>
      </c>
      <c r="M244" s="35" t="b">
        <v>0</v>
      </c>
      <c r="N244" s="35" t="b">
        <v>0</v>
      </c>
      <c r="O244" s="35" t="b">
        <v>0</v>
      </c>
      <c r="P244" s="35" t="b">
        <v>0</v>
      </c>
      <c r="Q244" s="35" t="b">
        <v>0</v>
      </c>
      <c r="R244" s="14"/>
      <c r="S244" s="14"/>
      <c r="T244" s="14"/>
      <c r="U244" s="14"/>
      <c r="V244" s="14"/>
      <c r="W244" s="14"/>
    </row>
    <row r="245" ht="31.5" customHeight="1">
      <c r="A245" s="109" t="s">
        <v>7052</v>
      </c>
      <c r="B245" s="110" t="s">
        <v>7053</v>
      </c>
      <c r="C245" s="111" t="s">
        <v>759</v>
      </c>
      <c r="D245" s="28" t="s">
        <v>7054</v>
      </c>
      <c r="E245" s="28" t="str">
        <f>IFERROR(__xludf.DUMMYFUNCTION("GOOGLETRANSLATE(D245,""zh-CN"",""vi"")"),"Chúng tôi gặp nhau ở nơi này.")</f>
        <v>Chúng tôi gặp nhau ở nơi này.</v>
      </c>
      <c r="F245" s="128"/>
      <c r="G245" s="36" t="b">
        <f t="shared" si="1"/>
        <v>0</v>
      </c>
      <c r="H245" s="35" t="b">
        <v>1</v>
      </c>
      <c r="I245" s="35" t="b">
        <v>0</v>
      </c>
      <c r="J245" s="35" t="b">
        <v>0</v>
      </c>
      <c r="K245" s="35" t="b">
        <v>0</v>
      </c>
      <c r="L245" s="35" t="b">
        <v>0</v>
      </c>
      <c r="M245" s="35" t="b">
        <v>0</v>
      </c>
      <c r="N245" s="35" t="b">
        <v>0</v>
      </c>
      <c r="O245" s="35" t="b">
        <v>0</v>
      </c>
      <c r="P245" s="35" t="b">
        <v>0</v>
      </c>
      <c r="Q245" s="35" t="b">
        <v>0</v>
      </c>
      <c r="R245" s="14"/>
      <c r="S245" s="14"/>
      <c r="T245" s="14"/>
      <c r="U245" s="14"/>
      <c r="V245" s="14"/>
      <c r="W245" s="14"/>
    </row>
    <row r="246" ht="31.5" customHeight="1">
      <c r="A246" s="109" t="s">
        <v>7059</v>
      </c>
      <c r="B246" s="110" t="s">
        <v>7060</v>
      </c>
      <c r="C246" s="111" t="s">
        <v>7061</v>
      </c>
      <c r="D246" s="28" t="s">
        <v>7062</v>
      </c>
      <c r="E246" s="28" t="str">
        <f>IFERROR(__xludf.DUMMYFUNCTION("GOOGLETRANSLATE(D246,""zh-CN"",""vi"")"),"Ông là người ủng hộ phong trào bảo vệ môi trường.")</f>
        <v>Ông là người ủng hộ phong trào bảo vệ môi trường.</v>
      </c>
      <c r="F246" s="128"/>
      <c r="G246" s="36" t="b">
        <f t="shared" si="1"/>
        <v>0</v>
      </c>
      <c r="H246" s="35" t="b">
        <v>1</v>
      </c>
      <c r="I246" s="35" t="b">
        <v>0</v>
      </c>
      <c r="J246" s="35" t="b">
        <v>0</v>
      </c>
      <c r="K246" s="35" t="b">
        <v>0</v>
      </c>
      <c r="L246" s="35" t="b">
        <v>0</v>
      </c>
      <c r="M246" s="35" t="b">
        <v>0</v>
      </c>
      <c r="N246" s="35" t="b">
        <v>0</v>
      </c>
      <c r="O246" s="35" t="b">
        <v>0</v>
      </c>
      <c r="P246" s="35" t="b">
        <v>0</v>
      </c>
      <c r="Q246" s="35" t="b">
        <v>0</v>
      </c>
      <c r="R246" s="14"/>
      <c r="S246" s="14"/>
      <c r="T246" s="14"/>
      <c r="U246" s="14"/>
      <c r="V246" s="14"/>
      <c r="W246" s="14"/>
    </row>
    <row r="247" ht="31.5" customHeight="1">
      <c r="A247" s="109" t="s">
        <v>7067</v>
      </c>
      <c r="B247" s="110" t="s">
        <v>7068</v>
      </c>
      <c r="C247" s="111" t="s">
        <v>7069</v>
      </c>
      <c r="D247" s="28" t="s">
        <v>7070</v>
      </c>
      <c r="E247" s="28" t="str">
        <f>IFERROR(__xludf.DUMMYFUNCTION("GOOGLETRANSLATE(D247,""zh-CN"",""vi"")"),"Con đường này không bị cản trở.")</f>
        <v>Con đường này không bị cản trở.</v>
      </c>
      <c r="F247" s="128"/>
      <c r="G247" s="36" t="b">
        <f t="shared" si="1"/>
        <v>0</v>
      </c>
      <c r="H247" s="35" t="b">
        <v>1</v>
      </c>
      <c r="I247" s="35" t="b">
        <v>0</v>
      </c>
      <c r="J247" s="35" t="b">
        <v>0</v>
      </c>
      <c r="K247" s="35" t="b">
        <v>0</v>
      </c>
      <c r="L247" s="35" t="b">
        <v>0</v>
      </c>
      <c r="M247" s="35" t="b">
        <v>0</v>
      </c>
      <c r="N247" s="35" t="b">
        <v>0</v>
      </c>
      <c r="O247" s="35" t="b">
        <v>0</v>
      </c>
      <c r="P247" s="35" t="b">
        <v>0</v>
      </c>
      <c r="Q247" s="35" t="b">
        <v>0</v>
      </c>
      <c r="R247" s="14"/>
      <c r="S247" s="14"/>
      <c r="T247" s="14"/>
      <c r="U247" s="14"/>
      <c r="V247" s="14"/>
      <c r="W247" s="14"/>
    </row>
    <row r="248" ht="31.5" customHeight="1">
      <c r="A248" s="109" t="s">
        <v>7075</v>
      </c>
      <c r="B248" s="110" t="s">
        <v>7076</v>
      </c>
      <c r="C248" s="111" t="s">
        <v>7077</v>
      </c>
      <c r="D248" s="28" t="s">
        <v>7078</v>
      </c>
      <c r="E248" s="28" t="str">
        <f>IFERROR(__xludf.DUMMYFUNCTION("GOOGLETRANSLATE(D248,""zh-CN"",""vi"")"),"Cuốn sách này là sách bán chạy nhất trên toàn quốc.")</f>
        <v>Cuốn sách này là sách bán chạy nhất trên toàn quốc.</v>
      </c>
      <c r="F248" s="128"/>
      <c r="G248" s="36" t="b">
        <f t="shared" si="1"/>
        <v>0</v>
      </c>
      <c r="H248" s="35" t="b">
        <v>1</v>
      </c>
      <c r="I248" s="35" t="b">
        <v>0</v>
      </c>
      <c r="J248" s="35" t="b">
        <v>0</v>
      </c>
      <c r="K248" s="35" t="b">
        <v>0</v>
      </c>
      <c r="L248" s="35" t="b">
        <v>0</v>
      </c>
      <c r="M248" s="35" t="b">
        <v>0</v>
      </c>
      <c r="N248" s="35" t="b">
        <v>0</v>
      </c>
      <c r="O248" s="35" t="b">
        <v>0</v>
      </c>
      <c r="P248" s="35" t="b">
        <v>0</v>
      </c>
      <c r="Q248" s="35" t="b">
        <v>0</v>
      </c>
      <c r="R248" s="14"/>
      <c r="S248" s="14"/>
      <c r="T248" s="14"/>
      <c r="U248" s="14"/>
      <c r="V248" s="14"/>
      <c r="W248" s="14"/>
    </row>
    <row r="249" ht="31.5" customHeight="1">
      <c r="A249" s="109" t="s">
        <v>7083</v>
      </c>
      <c r="B249" s="110" t="s">
        <v>7084</v>
      </c>
      <c r="C249" s="111" t="s">
        <v>7085</v>
      </c>
      <c r="D249" s="28" t="s">
        <v>7086</v>
      </c>
      <c r="E249" s="28" t="str">
        <f>IFERROR(__xludf.DUMMYFUNCTION("GOOGLETRANSLATE(D249,""zh-CN"",""vi"")"),"Ông ấy đã đưa ra một sáng kiến ​​mới.")</f>
        <v>Ông ấy đã đưa ra một sáng kiến ​​mới.</v>
      </c>
      <c r="F249" s="128"/>
      <c r="G249" s="36" t="b">
        <f t="shared" si="1"/>
        <v>0</v>
      </c>
      <c r="H249" s="35" t="b">
        <v>1</v>
      </c>
      <c r="I249" s="35" t="b">
        <v>0</v>
      </c>
      <c r="J249" s="35" t="b">
        <v>0</v>
      </c>
      <c r="K249" s="35" t="b">
        <v>0</v>
      </c>
      <c r="L249" s="35" t="b">
        <v>0</v>
      </c>
      <c r="M249" s="35" t="b">
        <v>0</v>
      </c>
      <c r="N249" s="35" t="b">
        <v>0</v>
      </c>
      <c r="O249" s="35" t="b">
        <v>0</v>
      </c>
      <c r="P249" s="35" t="b">
        <v>0</v>
      </c>
      <c r="Q249" s="35" t="b">
        <v>0</v>
      </c>
      <c r="R249" s="14"/>
      <c r="S249" s="14"/>
      <c r="T249" s="14"/>
      <c r="U249" s="14"/>
      <c r="V249" s="14"/>
      <c r="W249" s="14"/>
    </row>
    <row r="250" ht="31.5" customHeight="1">
      <c r="A250" s="109" t="s">
        <v>4988</v>
      </c>
      <c r="B250" s="110" t="s">
        <v>4989</v>
      </c>
      <c r="C250" s="111" t="s">
        <v>7091</v>
      </c>
      <c r="D250" s="28" t="s">
        <v>7092</v>
      </c>
      <c r="E250" s="28" t="str">
        <f>IFERROR(__xludf.DUMMYFUNCTION("GOOGLETRANSLATE(D250,""zh-CN"",""vi"")"),"Đây là một dự án quy mô lớn.")</f>
        <v>Đây là một dự án quy mô lớn.</v>
      </c>
      <c r="F250" s="128"/>
      <c r="G250" s="36" t="b">
        <f t="shared" si="1"/>
        <v>0</v>
      </c>
      <c r="H250" s="35" t="b">
        <v>1</v>
      </c>
      <c r="I250" s="35" t="b">
        <v>0</v>
      </c>
      <c r="J250" s="35" t="b">
        <v>0</v>
      </c>
      <c r="K250" s="35" t="b">
        <v>0</v>
      </c>
      <c r="L250" s="35" t="b">
        <v>0</v>
      </c>
      <c r="M250" s="35" t="b">
        <v>0</v>
      </c>
      <c r="N250" s="35" t="b">
        <v>0</v>
      </c>
      <c r="O250" s="35" t="b">
        <v>0</v>
      </c>
      <c r="P250" s="35" t="b">
        <v>0</v>
      </c>
      <c r="Q250" s="35" t="b">
        <v>0</v>
      </c>
      <c r="R250" s="14"/>
      <c r="S250" s="14"/>
      <c r="T250" s="14"/>
      <c r="U250" s="14"/>
      <c r="V250" s="14"/>
      <c r="W250" s="14"/>
    </row>
    <row r="251" ht="31.5" customHeight="1">
      <c r="A251" s="109" t="s">
        <v>7097</v>
      </c>
      <c r="B251" s="110" t="s">
        <v>7098</v>
      </c>
      <c r="C251" s="111" t="s">
        <v>7099</v>
      </c>
      <c r="D251" s="28" t="s">
        <v>7100</v>
      </c>
      <c r="E251" s="28" t="str">
        <f>IFERROR(__xludf.DUMMYFUNCTION("GOOGLETRANSLATE(D251,""zh-CN"",""vi"")"),"Ví của anh ta đầy tiền mặt.")</f>
        <v>Ví của anh ta đầy tiền mặt.</v>
      </c>
      <c r="F251" s="128"/>
      <c r="G251" s="36" t="b">
        <f t="shared" si="1"/>
        <v>0</v>
      </c>
      <c r="H251" s="35" t="b">
        <v>1</v>
      </c>
      <c r="I251" s="35" t="b">
        <v>0</v>
      </c>
      <c r="J251" s="35" t="b">
        <v>0</v>
      </c>
      <c r="K251" s="35" t="b">
        <v>0</v>
      </c>
      <c r="L251" s="35" t="b">
        <v>0</v>
      </c>
      <c r="M251" s="35" t="b">
        <v>0</v>
      </c>
      <c r="N251" s="35" t="b">
        <v>0</v>
      </c>
      <c r="O251" s="35" t="b">
        <v>0</v>
      </c>
      <c r="P251" s="35" t="b">
        <v>0</v>
      </c>
      <c r="Q251" s="35" t="b">
        <v>0</v>
      </c>
      <c r="R251" s="14"/>
      <c r="S251" s="14"/>
      <c r="T251" s="14"/>
      <c r="U251" s="14"/>
      <c r="V251" s="14"/>
      <c r="W251" s="14"/>
    </row>
    <row r="252" ht="31.5" customHeight="1">
      <c r="A252" s="109" t="s">
        <v>7105</v>
      </c>
      <c r="B252" s="110" t="s">
        <v>7106</v>
      </c>
      <c r="C252" s="111" t="s">
        <v>7107</v>
      </c>
      <c r="D252" s="28" t="s">
        <v>7108</v>
      </c>
      <c r="E252" s="28" t="str">
        <f>IFERROR(__xludf.DUMMYFUNCTION("GOOGLETRANSLATE(D252,""zh-CN"",""vi"")"),"Chúng ta cần vượt qua chính mình.")</f>
        <v>Chúng ta cần vượt qua chính mình.</v>
      </c>
      <c r="F252" s="128"/>
      <c r="G252" s="36" t="b">
        <f t="shared" si="1"/>
        <v>0</v>
      </c>
      <c r="H252" s="35" t="b">
        <v>1</v>
      </c>
      <c r="I252" s="35" t="b">
        <v>0</v>
      </c>
      <c r="J252" s="35" t="b">
        <v>0</v>
      </c>
      <c r="K252" s="35" t="b">
        <v>0</v>
      </c>
      <c r="L252" s="35" t="b">
        <v>0</v>
      </c>
      <c r="M252" s="35" t="b">
        <v>0</v>
      </c>
      <c r="N252" s="35" t="b">
        <v>0</v>
      </c>
      <c r="O252" s="35" t="b">
        <v>0</v>
      </c>
      <c r="P252" s="35" t="b">
        <v>0</v>
      </c>
      <c r="Q252" s="35" t="b">
        <v>0</v>
      </c>
      <c r="R252" s="14"/>
      <c r="S252" s="14"/>
      <c r="T252" s="14"/>
      <c r="U252" s="14"/>
      <c r="V252" s="14"/>
      <c r="W252" s="14"/>
    </row>
    <row r="253" ht="31.5" customHeight="1">
      <c r="A253" s="109" t="s">
        <v>7113</v>
      </c>
      <c r="B253" s="110" t="s">
        <v>7114</v>
      </c>
      <c r="C253" s="111" t="s">
        <v>7115</v>
      </c>
      <c r="D253" s="28" t="s">
        <v>7116</v>
      </c>
      <c r="E253" s="28" t="str">
        <f>IFERROR(__xludf.DUMMYFUNCTION("GOOGLETRANSLATE(D253,""zh-CN"",""vi"")"),"Tôi thích theo dõi các xu hướng.")</f>
        <v>Tôi thích theo dõi các xu hướng.</v>
      </c>
      <c r="F253" s="128"/>
      <c r="G253" s="36" t="b">
        <f t="shared" si="1"/>
        <v>0</v>
      </c>
      <c r="H253" s="35" t="b">
        <v>1</v>
      </c>
      <c r="I253" s="35" t="b">
        <v>0</v>
      </c>
      <c r="J253" s="35" t="b">
        <v>0</v>
      </c>
      <c r="K253" s="35" t="b">
        <v>0</v>
      </c>
      <c r="L253" s="35" t="b">
        <v>0</v>
      </c>
      <c r="M253" s="35" t="b">
        <v>0</v>
      </c>
      <c r="N253" s="35" t="b">
        <v>0</v>
      </c>
      <c r="O253" s="35" t="b">
        <v>0</v>
      </c>
      <c r="P253" s="35" t="b">
        <v>0</v>
      </c>
      <c r="Q253" s="35" t="b">
        <v>0</v>
      </c>
      <c r="R253" s="14"/>
      <c r="S253" s="14"/>
      <c r="T253" s="14"/>
      <c r="U253" s="14"/>
      <c r="V253" s="14"/>
      <c r="W253" s="14"/>
    </row>
    <row r="254" ht="31.5" customHeight="1">
      <c r="A254" s="109" t="s">
        <v>4996</v>
      </c>
      <c r="B254" s="110" t="s">
        <v>4997</v>
      </c>
      <c r="C254" s="111" t="s">
        <v>4998</v>
      </c>
      <c r="D254" s="28" t="s">
        <v>7121</v>
      </c>
      <c r="E254" s="28" t="str">
        <f>IFERROR(__xludf.DUMMYFUNCTION("GOOGLETRANSLATE(D254,""zh-CN"",""vi"")"),"Thời tiết ẩm ướt thật khó chịu.")</f>
        <v>Thời tiết ẩm ướt thật khó chịu.</v>
      </c>
      <c r="F254" s="128"/>
      <c r="G254" s="36" t="b">
        <f t="shared" si="1"/>
        <v>0</v>
      </c>
      <c r="H254" s="35" t="b">
        <v>1</v>
      </c>
      <c r="I254" s="35" t="b">
        <v>0</v>
      </c>
      <c r="J254" s="35" t="b">
        <v>0</v>
      </c>
      <c r="K254" s="35" t="b">
        <v>0</v>
      </c>
      <c r="L254" s="35" t="b">
        <v>0</v>
      </c>
      <c r="M254" s="35" t="b">
        <v>0</v>
      </c>
      <c r="N254" s="35" t="b">
        <v>0</v>
      </c>
      <c r="O254" s="35" t="b">
        <v>0</v>
      </c>
      <c r="P254" s="35" t="b">
        <v>0</v>
      </c>
      <c r="Q254" s="35" t="b">
        <v>0</v>
      </c>
      <c r="R254" s="14"/>
      <c r="S254" s="14"/>
      <c r="T254" s="14"/>
      <c r="U254" s="14"/>
      <c r="V254" s="14"/>
      <c r="W254" s="14"/>
    </row>
    <row r="255" ht="31.5" customHeight="1">
      <c r="A255" s="109" t="s">
        <v>7126</v>
      </c>
      <c r="B255" s="110" t="s">
        <v>7127</v>
      </c>
      <c r="C255" s="111" t="s">
        <v>7128</v>
      </c>
      <c r="D255" s="28" t="s">
        <v>7129</v>
      </c>
      <c r="E255" s="28" t="str">
        <f>IFERROR(__xludf.DUMMYFUNCTION("GOOGLETRANSLATE(D255,""zh-CN"",""vi"")"),"Họ cười nhạo những sai lầm của anh ta.")</f>
        <v>Họ cười nhạo những sai lầm của anh ta.</v>
      </c>
      <c r="F255" s="128"/>
      <c r="G255" s="36" t="b">
        <f t="shared" si="1"/>
        <v>0</v>
      </c>
      <c r="H255" s="35" t="b">
        <v>1</v>
      </c>
      <c r="I255" s="35" t="b">
        <v>0</v>
      </c>
      <c r="J255" s="35" t="b">
        <v>0</v>
      </c>
      <c r="K255" s="35" t="b">
        <v>0</v>
      </c>
      <c r="L255" s="35" t="b">
        <v>0</v>
      </c>
      <c r="M255" s="35" t="b">
        <v>0</v>
      </c>
      <c r="N255" s="35" t="b">
        <v>0</v>
      </c>
      <c r="O255" s="35" t="b">
        <v>0</v>
      </c>
      <c r="P255" s="35" t="b">
        <v>0</v>
      </c>
      <c r="Q255" s="35" t="b">
        <v>0</v>
      </c>
      <c r="R255" s="14"/>
      <c r="S255" s="14"/>
      <c r="T255" s="14"/>
      <c r="U255" s="14"/>
      <c r="V255" s="14"/>
      <c r="W255" s="14"/>
    </row>
    <row r="256" ht="31.5" customHeight="1">
      <c r="A256" s="109" t="s">
        <v>7134</v>
      </c>
      <c r="B256" s="110" t="s">
        <v>7135</v>
      </c>
      <c r="C256" s="111" t="s">
        <v>7136</v>
      </c>
      <c r="D256" s="28" t="s">
        <v>7137</v>
      </c>
      <c r="E256" s="28" t="str">
        <f>IFERROR(__xludf.DUMMYFUNCTION("GOOGLETRANSLATE(D256,""zh-CN"",""vi"")"),"Quân đội buộc phải rút lui.")</f>
        <v>Quân đội buộc phải rút lui.</v>
      </c>
      <c r="F256" s="128"/>
      <c r="G256" s="36" t="b">
        <f t="shared" si="1"/>
        <v>0</v>
      </c>
      <c r="H256" s="35" t="b">
        <v>1</v>
      </c>
      <c r="I256" s="35" t="b">
        <v>0</v>
      </c>
      <c r="J256" s="35" t="b">
        <v>0</v>
      </c>
      <c r="K256" s="35" t="b">
        <v>0</v>
      </c>
      <c r="L256" s="35" t="b">
        <v>0</v>
      </c>
      <c r="M256" s="35" t="b">
        <v>0</v>
      </c>
      <c r="N256" s="35" t="b">
        <v>0</v>
      </c>
      <c r="O256" s="35" t="b">
        <v>0</v>
      </c>
      <c r="P256" s="35" t="b">
        <v>0</v>
      </c>
      <c r="Q256" s="35" t="b">
        <v>0</v>
      </c>
      <c r="R256" s="14"/>
      <c r="S256" s="14"/>
      <c r="T256" s="14"/>
      <c r="U256" s="14"/>
      <c r="V256" s="14"/>
      <c r="W256" s="14"/>
    </row>
    <row r="257" ht="31.5" customHeight="1">
      <c r="A257" s="109" t="s">
        <v>7142</v>
      </c>
      <c r="B257" s="110" t="s">
        <v>7143</v>
      </c>
      <c r="C257" s="111" t="s">
        <v>7144</v>
      </c>
      <c r="D257" s="28" t="s">
        <v>7145</v>
      </c>
      <c r="E257" s="28" t="str">
        <f>IFERROR(__xludf.DUMMYFUNCTION("GOOGLETRANSLATE(D257,""zh-CN"",""vi"")"),"Quyết định đã bị thu hồi.")</f>
        <v>Quyết định đã bị thu hồi.</v>
      </c>
      <c r="F257" s="128"/>
      <c r="G257" s="36" t="b">
        <f t="shared" si="1"/>
        <v>0</v>
      </c>
      <c r="H257" s="35" t="b">
        <v>1</v>
      </c>
      <c r="I257" s="35" t="b">
        <v>0</v>
      </c>
      <c r="J257" s="35" t="b">
        <v>0</v>
      </c>
      <c r="K257" s="35" t="b">
        <v>0</v>
      </c>
      <c r="L257" s="35" t="b">
        <v>0</v>
      </c>
      <c r="M257" s="35" t="b">
        <v>0</v>
      </c>
      <c r="N257" s="35" t="b">
        <v>0</v>
      </c>
      <c r="O257" s="35" t="b">
        <v>0</v>
      </c>
      <c r="P257" s="35" t="b">
        <v>0</v>
      </c>
      <c r="Q257" s="35" t="b">
        <v>0</v>
      </c>
      <c r="R257" s="14"/>
      <c r="S257" s="14"/>
      <c r="T257" s="14"/>
      <c r="U257" s="14"/>
      <c r="V257" s="14"/>
      <c r="W257" s="14"/>
    </row>
    <row r="258" ht="31.5" customHeight="1">
      <c r="A258" s="109" t="s">
        <v>7150</v>
      </c>
      <c r="B258" s="110" t="s">
        <v>7151</v>
      </c>
      <c r="C258" s="111" t="s">
        <v>7152</v>
      </c>
      <c r="D258" s="28" t="s">
        <v>7153</v>
      </c>
      <c r="E258" s="28" t="str">
        <f>IFERROR(__xludf.DUMMYFUNCTION("GOOGLETRANSLATE(D258,""zh-CN"",""vi"")"),"Đây là một quá trình lắng đọng tự nhiên.")</f>
        <v>Đây là một quá trình lắng đọng tự nhiên.</v>
      </c>
      <c r="F258" s="128"/>
      <c r="G258" s="36" t="b">
        <f t="shared" si="1"/>
        <v>0</v>
      </c>
      <c r="H258" s="35" t="b">
        <v>1</v>
      </c>
      <c r="I258" s="35" t="b">
        <v>0</v>
      </c>
      <c r="J258" s="35" t="b">
        <v>0</v>
      </c>
      <c r="K258" s="35" t="b">
        <v>0</v>
      </c>
      <c r="L258" s="35" t="b">
        <v>0</v>
      </c>
      <c r="M258" s="35" t="b">
        <v>0</v>
      </c>
      <c r="N258" s="35" t="b">
        <v>0</v>
      </c>
      <c r="O258" s="35" t="b">
        <v>0</v>
      </c>
      <c r="P258" s="35" t="b">
        <v>0</v>
      </c>
      <c r="Q258" s="35" t="b">
        <v>0</v>
      </c>
      <c r="R258" s="14"/>
      <c r="S258" s="14"/>
      <c r="T258" s="14"/>
      <c r="U258" s="14"/>
      <c r="V258" s="14"/>
      <c r="W258" s="14"/>
    </row>
    <row r="259" ht="31.5" customHeight="1">
      <c r="A259" s="109" t="s">
        <v>7154</v>
      </c>
      <c r="B259" s="110" t="s">
        <v>7155</v>
      </c>
      <c r="C259" s="111" t="s">
        <v>7156</v>
      </c>
      <c r="D259" s="28" t="s">
        <v>7157</v>
      </c>
      <c r="E259" s="28" t="str">
        <f>IFERROR(__xludf.DUMMYFUNCTION("GOOGLETRANSLATE(D259,""zh-CN"",""vi"")"),"Những thiết bị này khá lỗi thời.")</f>
        <v>Những thiết bị này khá lỗi thời.</v>
      </c>
      <c r="F259" s="128"/>
      <c r="G259" s="36" t="b">
        <f t="shared" si="1"/>
        <v>0</v>
      </c>
      <c r="H259" s="35" t="b">
        <v>1</v>
      </c>
      <c r="I259" s="35" t="b">
        <v>0</v>
      </c>
      <c r="J259" s="35" t="b">
        <v>0</v>
      </c>
      <c r="K259" s="35" t="b">
        <v>0</v>
      </c>
      <c r="L259" s="35" t="b">
        <v>0</v>
      </c>
      <c r="M259" s="35" t="b">
        <v>0</v>
      </c>
      <c r="N259" s="35" t="b">
        <v>0</v>
      </c>
      <c r="O259" s="35" t="b">
        <v>0</v>
      </c>
      <c r="P259" s="35" t="b">
        <v>0</v>
      </c>
      <c r="Q259" s="35" t="b">
        <v>0</v>
      </c>
      <c r="R259" s="14"/>
      <c r="S259" s="14"/>
      <c r="T259" s="14"/>
      <c r="U259" s="14"/>
      <c r="V259" s="14"/>
      <c r="W259" s="14"/>
    </row>
    <row r="260" ht="31.5" customHeight="1">
      <c r="A260" s="109" t="s">
        <v>7162</v>
      </c>
      <c r="B260" s="110" t="s">
        <v>7163</v>
      </c>
      <c r="C260" s="111" t="s">
        <v>7164</v>
      </c>
      <c r="D260" s="28" t="s">
        <v>7165</v>
      </c>
      <c r="E260" s="28" t="str">
        <f>IFERROR(__xludf.DUMMYFUNCTION("GOOGLETRANSLATE(D260,""zh-CN"",""vi"")"),"Cửa hàng trưng bày nhiều loại hàng hóa khác nhau.")</f>
        <v>Cửa hàng trưng bày nhiều loại hàng hóa khác nhau.</v>
      </c>
      <c r="F260" s="128"/>
      <c r="G260" s="36" t="b">
        <f t="shared" si="1"/>
        <v>0</v>
      </c>
      <c r="H260" s="35" t="b">
        <v>1</v>
      </c>
      <c r="I260" s="35" t="b">
        <v>0</v>
      </c>
      <c r="J260" s="35" t="b">
        <v>0</v>
      </c>
      <c r="K260" s="35" t="b">
        <v>0</v>
      </c>
      <c r="L260" s="35" t="b">
        <v>0</v>
      </c>
      <c r="M260" s="35" t="b">
        <v>0</v>
      </c>
      <c r="N260" s="35" t="b">
        <v>0</v>
      </c>
      <c r="O260" s="35" t="b">
        <v>0</v>
      </c>
      <c r="P260" s="35" t="b">
        <v>0</v>
      </c>
      <c r="Q260" s="35" t="b">
        <v>0</v>
      </c>
      <c r="R260" s="14"/>
      <c r="S260" s="14"/>
      <c r="T260" s="14"/>
      <c r="U260" s="14"/>
      <c r="V260" s="14"/>
      <c r="W260" s="14"/>
    </row>
    <row r="261" ht="31.5" customHeight="1">
      <c r="A261" s="109" t="s">
        <v>7169</v>
      </c>
      <c r="B261" s="110" t="s">
        <v>7171</v>
      </c>
      <c r="C261" s="111" t="s">
        <v>7172</v>
      </c>
      <c r="D261" s="28" t="s">
        <v>7173</v>
      </c>
      <c r="E261" s="28" t="str">
        <f>IFERROR(__xludf.DUMMYFUNCTION("GOOGLETRANSLATE(D261,""zh-CN"",""vi"")"),"Nơi này buồn tẻ quá.")</f>
        <v>Nơi này buồn tẻ quá.</v>
      </c>
      <c r="F261" s="128"/>
      <c r="G261" s="36" t="b">
        <f t="shared" si="1"/>
        <v>0</v>
      </c>
      <c r="H261" s="35" t="b">
        <v>1</v>
      </c>
      <c r="I261" s="35" t="b">
        <v>0</v>
      </c>
      <c r="J261" s="35" t="b">
        <v>0</v>
      </c>
      <c r="K261" s="35" t="b">
        <v>0</v>
      </c>
      <c r="L261" s="35" t="b">
        <v>0</v>
      </c>
      <c r="M261" s="35" t="b">
        <v>0</v>
      </c>
      <c r="N261" s="35" t="b">
        <v>0</v>
      </c>
      <c r="O261" s="35" t="b">
        <v>0</v>
      </c>
      <c r="P261" s="35" t="b">
        <v>0</v>
      </c>
      <c r="Q261" s="35" t="b">
        <v>0</v>
      </c>
      <c r="R261" s="14"/>
      <c r="S261" s="14"/>
      <c r="T261" s="14"/>
      <c r="U261" s="14"/>
      <c r="V261" s="14"/>
      <c r="W261" s="14"/>
    </row>
    <row r="262" ht="31.5" customHeight="1">
      <c r="A262" s="109" t="s">
        <v>7174</v>
      </c>
      <c r="B262" s="110" t="s">
        <v>7175</v>
      </c>
      <c r="C262" s="111" t="s">
        <v>7176</v>
      </c>
      <c r="D262" s="28" t="s">
        <v>7178</v>
      </c>
      <c r="E262" s="28" t="str">
        <f>IFERROR(__xludf.DUMMYFUNCTION("GOOGLETRANSLATE(D262,""zh-CN"",""vi"")"),"Ông ấy thuật lại những sự kiện đã xảy ra.")</f>
        <v>Ông ấy thuật lại những sự kiện đã xảy ra.</v>
      </c>
      <c r="F262" s="128"/>
      <c r="G262" s="36" t="b">
        <f t="shared" si="1"/>
        <v>0</v>
      </c>
      <c r="H262" s="35" t="b">
        <v>1</v>
      </c>
      <c r="I262" s="35" t="b">
        <v>0</v>
      </c>
      <c r="J262" s="35" t="b">
        <v>0</v>
      </c>
      <c r="K262" s="35" t="b">
        <v>0</v>
      </c>
      <c r="L262" s="35" t="b">
        <v>0</v>
      </c>
      <c r="M262" s="35" t="b">
        <v>0</v>
      </c>
      <c r="N262" s="35" t="b">
        <v>0</v>
      </c>
      <c r="O262" s="35" t="b">
        <v>0</v>
      </c>
      <c r="P262" s="35" t="b">
        <v>0</v>
      </c>
      <c r="Q262" s="35" t="b">
        <v>0</v>
      </c>
      <c r="R262" s="14"/>
      <c r="S262" s="14"/>
      <c r="T262" s="14"/>
      <c r="U262" s="14"/>
      <c r="V262" s="14"/>
      <c r="W262" s="14"/>
    </row>
    <row r="263" ht="31.5" customHeight="1">
      <c r="A263" s="109" t="s">
        <v>7182</v>
      </c>
      <c r="B263" s="110" t="s">
        <v>7183</v>
      </c>
      <c r="C263" s="111" t="s">
        <v>7184</v>
      </c>
      <c r="D263" s="28" t="s">
        <v>7186</v>
      </c>
      <c r="E263" s="28" t="str">
        <f>IFERROR(__xludf.DUMMYFUNCTION("GOOGLETRANSLATE(D263,""zh-CN"",""vi"")"),"Anh ấy thường suy nghĩ về tương lai của mình.")</f>
        <v>Anh ấy thường suy nghĩ về tương lai của mình.</v>
      </c>
      <c r="F263" s="128"/>
      <c r="G263" s="36" t="b">
        <f t="shared" si="1"/>
        <v>0</v>
      </c>
      <c r="H263" s="35" t="b">
        <v>1</v>
      </c>
      <c r="I263" s="35" t="b">
        <v>0</v>
      </c>
      <c r="J263" s="35" t="b">
        <v>0</v>
      </c>
      <c r="K263" s="35" t="b">
        <v>0</v>
      </c>
      <c r="L263" s="35" t="b">
        <v>0</v>
      </c>
      <c r="M263" s="35" t="b">
        <v>0</v>
      </c>
      <c r="N263" s="35" t="b">
        <v>0</v>
      </c>
      <c r="O263" s="35" t="b">
        <v>0</v>
      </c>
      <c r="P263" s="35" t="b">
        <v>0</v>
      </c>
      <c r="Q263" s="35" t="b">
        <v>0</v>
      </c>
      <c r="R263" s="14"/>
      <c r="S263" s="14"/>
      <c r="T263" s="14"/>
      <c r="U263" s="14"/>
      <c r="V263" s="14"/>
      <c r="W263" s="14"/>
    </row>
    <row r="264" ht="31.5" customHeight="1">
      <c r="A264" s="109" t="s">
        <v>7189</v>
      </c>
      <c r="B264" s="110" t="s">
        <v>7191</v>
      </c>
      <c r="C264" s="111" t="s">
        <v>7192</v>
      </c>
      <c r="D264" s="28" t="s">
        <v>7194</v>
      </c>
      <c r="E264" s="28" t="str">
        <f>IFERROR(__xludf.DUMMYFUNCTION("GOOGLETRANSLATE(D264,""zh-CN"",""vi"")"),"Ông ấy rất buồn lòng khi nghe tin đó.")</f>
        <v>Ông ấy rất buồn lòng khi nghe tin đó.</v>
      </c>
      <c r="F264" s="128"/>
      <c r="G264" s="36" t="b">
        <f t="shared" si="1"/>
        <v>0</v>
      </c>
      <c r="H264" s="35" t="b">
        <v>1</v>
      </c>
      <c r="I264" s="35" t="b">
        <v>0</v>
      </c>
      <c r="J264" s="35" t="b">
        <v>0</v>
      </c>
      <c r="K264" s="35" t="b">
        <v>0</v>
      </c>
      <c r="L264" s="35" t="b">
        <v>0</v>
      </c>
      <c r="M264" s="35" t="b">
        <v>0</v>
      </c>
      <c r="N264" s="35" t="b">
        <v>0</v>
      </c>
      <c r="O264" s="35" t="b">
        <v>0</v>
      </c>
      <c r="P264" s="35" t="b">
        <v>0</v>
      </c>
      <c r="Q264" s="35" t="b">
        <v>0</v>
      </c>
      <c r="R264" s="14"/>
      <c r="S264" s="14"/>
      <c r="T264" s="14"/>
      <c r="U264" s="14"/>
      <c r="V264" s="14"/>
      <c r="W264" s="14"/>
    </row>
    <row r="265" ht="31.5" customHeight="1">
      <c r="A265" s="109" t="s">
        <v>7197</v>
      </c>
      <c r="B265" s="110" t="s">
        <v>7198</v>
      </c>
      <c r="C265" s="111" t="s">
        <v>7199</v>
      </c>
      <c r="D265" s="28" t="s">
        <v>7200</v>
      </c>
      <c r="E265" s="28" t="str">
        <f>IFERROR(__xludf.DUMMYFUNCTION("GOOGLETRANSLATE(D265,""zh-CN"",""vi"")"),"Ông ấy vẫn giữ được bình tĩnh trong suốt cuộc khủng hoảng.")</f>
        <v>Ông ấy vẫn giữ được bình tĩnh trong suốt cuộc khủng hoảng.</v>
      </c>
      <c r="F265" s="128"/>
      <c r="G265" s="36" t="b">
        <f t="shared" si="1"/>
        <v>0</v>
      </c>
      <c r="H265" s="35" t="b">
        <v>1</v>
      </c>
      <c r="I265" s="35" t="b">
        <v>0</v>
      </c>
      <c r="J265" s="35" t="b">
        <v>0</v>
      </c>
      <c r="K265" s="35" t="b">
        <v>0</v>
      </c>
      <c r="L265" s="35" t="b">
        <v>0</v>
      </c>
      <c r="M265" s="35" t="b">
        <v>0</v>
      </c>
      <c r="N265" s="35" t="b">
        <v>0</v>
      </c>
      <c r="O265" s="35" t="b">
        <v>0</v>
      </c>
      <c r="P265" s="35" t="b">
        <v>0</v>
      </c>
      <c r="Q265" s="35" t="b">
        <v>0</v>
      </c>
      <c r="R265" s="14"/>
      <c r="S265" s="14"/>
      <c r="T265" s="14"/>
      <c r="U265" s="14"/>
      <c r="V265" s="14"/>
      <c r="W265" s="14"/>
    </row>
    <row r="266" ht="31.5" customHeight="1">
      <c r="A266" s="109" t="s">
        <v>7205</v>
      </c>
      <c r="B266" s="110" t="s">
        <v>7206</v>
      </c>
      <c r="C266" s="111" t="s">
        <v>7207</v>
      </c>
      <c r="D266" s="28" t="s">
        <v>7208</v>
      </c>
      <c r="E266" s="28" t="str">
        <f>IFERROR(__xludf.DUMMYFUNCTION("GOOGLETRANSLATE(D266,""zh-CN"",""vi"")"),"Ông ấy hài lòng với cuộc sống của mình.")</f>
        <v>Ông ấy hài lòng với cuộc sống của mình.</v>
      </c>
      <c r="F266" s="128"/>
      <c r="G266" s="36" t="b">
        <f t="shared" si="1"/>
        <v>0</v>
      </c>
      <c r="H266" s="35" t="b">
        <v>1</v>
      </c>
      <c r="I266" s="35" t="b">
        <v>0</v>
      </c>
      <c r="J266" s="35" t="b">
        <v>0</v>
      </c>
      <c r="K266" s="35" t="b">
        <v>0</v>
      </c>
      <c r="L266" s="35" t="b">
        <v>0</v>
      </c>
      <c r="M266" s="35" t="b">
        <v>0</v>
      </c>
      <c r="N266" s="35" t="b">
        <v>0</v>
      </c>
      <c r="O266" s="35" t="b">
        <v>0</v>
      </c>
      <c r="P266" s="35" t="b">
        <v>0</v>
      </c>
      <c r="Q266" s="35" t="b">
        <v>0</v>
      </c>
      <c r="R266" s="14"/>
      <c r="S266" s="14"/>
      <c r="T266" s="14"/>
      <c r="U266" s="14"/>
      <c r="V266" s="14"/>
      <c r="W266" s="14"/>
    </row>
    <row r="267" ht="31.5" customHeight="1">
      <c r="A267" s="109" t="s">
        <v>7213</v>
      </c>
      <c r="B267" s="110" t="s">
        <v>7214</v>
      </c>
      <c r="C267" s="111" t="s">
        <v>7215</v>
      </c>
      <c r="D267" s="28" t="s">
        <v>7216</v>
      </c>
      <c r="E267" s="28" t="str">
        <f>IFERROR(__xludf.DUMMYFUNCTION("GOOGLETRANSLATE(D267,""zh-CN"",""vi"")"),"Ông được phong tặng danh hiệu danh dự.")</f>
        <v>Ông được phong tặng danh hiệu danh dự.</v>
      </c>
      <c r="F267" s="128"/>
      <c r="G267" s="36" t="b">
        <f t="shared" si="1"/>
        <v>0</v>
      </c>
      <c r="H267" s="35" t="b">
        <v>1</v>
      </c>
      <c r="I267" s="35" t="b">
        <v>0</v>
      </c>
      <c r="J267" s="35" t="b">
        <v>0</v>
      </c>
      <c r="K267" s="35" t="b">
        <v>0</v>
      </c>
      <c r="L267" s="35" t="b">
        <v>0</v>
      </c>
      <c r="M267" s="35" t="b">
        <v>0</v>
      </c>
      <c r="N267" s="35" t="b">
        <v>0</v>
      </c>
      <c r="O267" s="35" t="b">
        <v>0</v>
      </c>
      <c r="P267" s="35" t="b">
        <v>0</v>
      </c>
      <c r="Q267" s="35" t="b">
        <v>0</v>
      </c>
      <c r="R267" s="14"/>
      <c r="S267" s="14"/>
      <c r="T267" s="14"/>
      <c r="U267" s="14"/>
      <c r="V267" s="14"/>
      <c r="W267" s="14"/>
    </row>
    <row r="268" ht="31.5" customHeight="1">
      <c r="A268" s="109" t="s">
        <v>7221</v>
      </c>
      <c r="B268" s="110" t="s">
        <v>7222</v>
      </c>
      <c r="C268" s="111" t="s">
        <v>7223</v>
      </c>
      <c r="D268" s="28" t="s">
        <v>7224</v>
      </c>
      <c r="E268" s="28" t="str">
        <f>IFERROR(__xludf.DUMMYFUNCTION("GOOGLETRANSLATE(D268,""zh-CN"",""vi"")"),"Cô ấy mặc một chiếc váy màu cam.")</f>
        <v>Cô ấy mặc một chiếc váy màu cam.</v>
      </c>
      <c r="F268" s="128"/>
      <c r="G268" s="36" t="b">
        <f t="shared" si="1"/>
        <v>0</v>
      </c>
      <c r="H268" s="35" t="b">
        <v>1</v>
      </c>
      <c r="I268" s="35" t="b">
        <v>0</v>
      </c>
      <c r="J268" s="35" t="b">
        <v>0</v>
      </c>
      <c r="K268" s="35" t="b">
        <v>0</v>
      </c>
      <c r="L268" s="35" t="b">
        <v>0</v>
      </c>
      <c r="M268" s="35" t="b">
        <v>0</v>
      </c>
      <c r="N268" s="35" t="b">
        <v>0</v>
      </c>
      <c r="O268" s="35" t="b">
        <v>0</v>
      </c>
      <c r="P268" s="35" t="b">
        <v>0</v>
      </c>
      <c r="Q268" s="35" t="b">
        <v>0</v>
      </c>
      <c r="R268" s="14"/>
      <c r="S268" s="14"/>
      <c r="T268" s="14"/>
      <c r="U268" s="14"/>
      <c r="V268" s="14"/>
      <c r="W268" s="14"/>
    </row>
    <row r="269" ht="31.5" customHeight="1">
      <c r="A269" s="109" t="s">
        <v>7229</v>
      </c>
      <c r="B269" s="110" t="s">
        <v>7222</v>
      </c>
      <c r="C269" s="111" t="s">
        <v>7230</v>
      </c>
      <c r="D269" s="28" t="s">
        <v>7231</v>
      </c>
      <c r="E269" s="28" t="str">
        <f>IFERROR(__xludf.DUMMYFUNCTION("GOOGLETRANSLATE(D269,""zh-CN"",""vi"")"),"Cái bát này không đựng nổi hết chỗ súp này.")</f>
        <v>Cái bát này không đựng nổi hết chỗ súp này.</v>
      </c>
      <c r="F269" s="128"/>
      <c r="G269" s="36" t="b">
        <f t="shared" si="1"/>
        <v>0</v>
      </c>
      <c r="H269" s="35" t="b">
        <v>1</v>
      </c>
      <c r="I269" s="35" t="b">
        <v>0</v>
      </c>
      <c r="J269" s="35" t="b">
        <v>0</v>
      </c>
      <c r="K269" s="35" t="b">
        <v>0</v>
      </c>
      <c r="L269" s="35" t="b">
        <v>0</v>
      </c>
      <c r="M269" s="35" t="b">
        <v>0</v>
      </c>
      <c r="N269" s="35" t="b">
        <v>0</v>
      </c>
      <c r="O269" s="35" t="b">
        <v>0</v>
      </c>
      <c r="P269" s="35" t="b">
        <v>0</v>
      </c>
      <c r="Q269" s="35" t="b">
        <v>0</v>
      </c>
      <c r="R269" s="14"/>
      <c r="S269" s="14"/>
      <c r="T269" s="14"/>
      <c r="U269" s="14"/>
      <c r="V269" s="14"/>
      <c r="W269" s="14"/>
    </row>
    <row r="270" ht="31.5" customHeight="1">
      <c r="A270" s="109" t="s">
        <v>7236</v>
      </c>
      <c r="B270" s="110" t="s">
        <v>7237</v>
      </c>
      <c r="C270" s="111" t="s">
        <v>7238</v>
      </c>
      <c r="D270" s="28" t="s">
        <v>7239</v>
      </c>
      <c r="E270" s="28" t="str">
        <f>IFERROR(__xludf.DUMMYFUNCTION("GOOGLETRANSLATE(D270,""zh-CN"",""vi"")"),"Công ty đã tổ chức sự kiện này.")</f>
        <v>Công ty đã tổ chức sự kiện này.</v>
      </c>
      <c r="F270" s="128"/>
      <c r="G270" s="36" t="b">
        <f t="shared" si="1"/>
        <v>0</v>
      </c>
      <c r="H270" s="35" t="b">
        <v>1</v>
      </c>
      <c r="I270" s="35" t="b">
        <v>0</v>
      </c>
      <c r="J270" s="35" t="b">
        <v>0</v>
      </c>
      <c r="K270" s="35" t="b">
        <v>0</v>
      </c>
      <c r="L270" s="35" t="b">
        <v>0</v>
      </c>
      <c r="M270" s="35" t="b">
        <v>0</v>
      </c>
      <c r="N270" s="35" t="b">
        <v>0</v>
      </c>
      <c r="O270" s="35" t="b">
        <v>0</v>
      </c>
      <c r="P270" s="35" t="b">
        <v>0</v>
      </c>
      <c r="Q270" s="35" t="b">
        <v>0</v>
      </c>
      <c r="R270" s="14"/>
      <c r="S270" s="14"/>
      <c r="T270" s="14"/>
      <c r="U270" s="14"/>
      <c r="V270" s="14"/>
      <c r="W270" s="14"/>
    </row>
    <row r="271" ht="31.5" customHeight="1">
      <c r="A271" s="109" t="s">
        <v>7244</v>
      </c>
      <c r="B271" s="110" t="s">
        <v>7245</v>
      </c>
      <c r="C271" s="111" t="s">
        <v>7246</v>
      </c>
      <c r="D271" s="28" t="s">
        <v>7247</v>
      </c>
      <c r="E271" s="28" t="str">
        <f>IFERROR(__xludf.DUMMYFUNCTION("GOOGLETRANSLATE(D271,""zh-CN"",""vi"")"),"Họ đã ký hợp đồng cho dự án này.")</f>
        <v>Họ đã ký hợp đồng cho dự án này.</v>
      </c>
      <c r="F271" s="128"/>
      <c r="G271" s="36" t="b">
        <f t="shared" si="1"/>
        <v>0</v>
      </c>
      <c r="H271" s="35" t="b">
        <v>1</v>
      </c>
      <c r="I271" s="35" t="b">
        <v>0</v>
      </c>
      <c r="J271" s="35" t="b">
        <v>0</v>
      </c>
      <c r="K271" s="35" t="b">
        <v>0</v>
      </c>
      <c r="L271" s="35" t="b">
        <v>0</v>
      </c>
      <c r="M271" s="35" t="b">
        <v>0</v>
      </c>
      <c r="N271" s="35" t="b">
        <v>0</v>
      </c>
      <c r="O271" s="35" t="b">
        <v>0</v>
      </c>
      <c r="P271" s="35" t="b">
        <v>0</v>
      </c>
      <c r="Q271" s="35" t="b">
        <v>0</v>
      </c>
      <c r="R271" s="14"/>
      <c r="S271" s="14"/>
      <c r="T271" s="14"/>
      <c r="U271" s="14"/>
      <c r="V271" s="14"/>
      <c r="W271" s="14"/>
    </row>
    <row r="272" ht="31.5" customHeight="1">
      <c r="A272" s="109" t="s">
        <v>7252</v>
      </c>
      <c r="B272" s="110" t="s">
        <v>7253</v>
      </c>
      <c r="C272" s="111" t="s">
        <v>7254</v>
      </c>
      <c r="D272" s="28" t="s">
        <v>7255</v>
      </c>
      <c r="E272" s="28" t="str">
        <f>IFERROR(__xludf.DUMMYFUNCTION("GOOGLETRANSLATE(D272,""zh-CN"",""vi"")"),"Lâu đài là một cảnh tượng tráng lệ.")</f>
        <v>Lâu đài là một cảnh tượng tráng lệ.</v>
      </c>
      <c r="F272" s="128"/>
      <c r="G272" s="36" t="b">
        <f t="shared" si="1"/>
        <v>0</v>
      </c>
      <c r="H272" s="35" t="b">
        <v>1</v>
      </c>
      <c r="I272" s="35" t="b">
        <v>0</v>
      </c>
      <c r="J272" s="35" t="b">
        <v>0</v>
      </c>
      <c r="K272" s="35" t="b">
        <v>0</v>
      </c>
      <c r="L272" s="35" t="b">
        <v>0</v>
      </c>
      <c r="M272" s="35" t="b">
        <v>0</v>
      </c>
      <c r="N272" s="35" t="b">
        <v>0</v>
      </c>
      <c r="O272" s="35" t="b">
        <v>0</v>
      </c>
      <c r="P272" s="35" t="b">
        <v>0</v>
      </c>
      <c r="Q272" s="35" t="b">
        <v>0</v>
      </c>
      <c r="R272" s="14"/>
      <c r="S272" s="14"/>
      <c r="T272" s="14"/>
      <c r="U272" s="14"/>
      <c r="V272" s="14"/>
      <c r="W272" s="14"/>
    </row>
    <row r="273" ht="31.5" customHeight="1">
      <c r="A273" s="109" t="s">
        <v>7260</v>
      </c>
      <c r="B273" s="110" t="s">
        <v>7261</v>
      </c>
      <c r="C273" s="111" t="s">
        <v>7262</v>
      </c>
      <c r="D273" s="28" t="s">
        <v>7263</v>
      </c>
      <c r="E273" s="28" t="str">
        <f>IFERROR(__xludf.DUMMYFUNCTION("GOOGLETRANSLATE(D273,""zh-CN"",""vi"")"),"Cần phải giảm chi phí sản xuất.")</f>
        <v>Cần phải giảm chi phí sản xuất.</v>
      </c>
      <c r="F273" s="128"/>
      <c r="G273" s="36" t="b">
        <f t="shared" si="1"/>
        <v>0</v>
      </c>
      <c r="H273" s="35" t="b">
        <v>1</v>
      </c>
      <c r="I273" s="35" t="b">
        <v>0</v>
      </c>
      <c r="J273" s="35" t="b">
        <v>0</v>
      </c>
      <c r="K273" s="35" t="b">
        <v>0</v>
      </c>
      <c r="L273" s="35" t="b">
        <v>0</v>
      </c>
      <c r="M273" s="35" t="b">
        <v>0</v>
      </c>
      <c r="N273" s="35" t="b">
        <v>0</v>
      </c>
      <c r="O273" s="35" t="b">
        <v>0</v>
      </c>
      <c r="P273" s="35" t="b">
        <v>0</v>
      </c>
      <c r="Q273" s="35" t="b">
        <v>0</v>
      </c>
      <c r="R273" s="14"/>
      <c r="S273" s="14"/>
      <c r="T273" s="14"/>
      <c r="U273" s="14"/>
      <c r="V273" s="14"/>
      <c r="W273" s="14"/>
    </row>
    <row r="274" ht="31.5" customHeight="1">
      <c r="A274" s="109" t="s">
        <v>7264</v>
      </c>
      <c r="B274" s="110" t="s">
        <v>7265</v>
      </c>
      <c r="C274" s="111" t="s">
        <v>7267</v>
      </c>
      <c r="D274" s="28" t="s">
        <v>7269</v>
      </c>
      <c r="E274" s="28" t="str">
        <f>IFERROR(__xludf.DUMMYFUNCTION("GOOGLETRANSLATE(D274,""zh-CN"",""vi"")"),"Những tên tội phạm đã bị trừng phạt.")</f>
        <v>Những tên tội phạm đã bị trừng phạt.</v>
      </c>
      <c r="F274" s="128"/>
      <c r="G274" s="36" t="b">
        <f t="shared" si="1"/>
        <v>0</v>
      </c>
      <c r="H274" s="35" t="b">
        <v>1</v>
      </c>
      <c r="I274" s="35" t="b">
        <v>0</v>
      </c>
      <c r="J274" s="35" t="b">
        <v>0</v>
      </c>
      <c r="K274" s="35" t="b">
        <v>0</v>
      </c>
      <c r="L274" s="35" t="b">
        <v>0</v>
      </c>
      <c r="M274" s="35" t="b">
        <v>0</v>
      </c>
      <c r="N274" s="35" t="b">
        <v>0</v>
      </c>
      <c r="O274" s="35" t="b">
        <v>0</v>
      </c>
      <c r="P274" s="35" t="b">
        <v>0</v>
      </c>
      <c r="Q274" s="35" t="b">
        <v>0</v>
      </c>
      <c r="R274" s="14"/>
      <c r="S274" s="14"/>
      <c r="T274" s="14"/>
      <c r="U274" s="14"/>
      <c r="V274" s="14"/>
      <c r="W274" s="14"/>
    </row>
    <row r="275" ht="31.5" customHeight="1">
      <c r="A275" s="109" t="s">
        <v>7272</v>
      </c>
      <c r="B275" s="110" t="s">
        <v>7273</v>
      </c>
      <c r="C275" s="111" t="s">
        <v>7274</v>
      </c>
      <c r="D275" s="28" t="s">
        <v>7275</v>
      </c>
      <c r="E275" s="28" t="str">
        <f>IFERROR(__xludf.DUMMYFUNCTION("GOOGLETRANSLATE(D275,""zh-CN"",""vi"")"),"Giao dịch đã được hoàn tất thành công.")</f>
        <v>Giao dịch đã được hoàn tất thành công.</v>
      </c>
      <c r="F275" s="128"/>
      <c r="G275" s="36" t="b">
        <f t="shared" si="1"/>
        <v>0</v>
      </c>
      <c r="H275" s="35" t="b">
        <v>1</v>
      </c>
      <c r="I275" s="35" t="b">
        <v>0</v>
      </c>
      <c r="J275" s="35" t="b">
        <v>0</v>
      </c>
      <c r="K275" s="35" t="b">
        <v>0</v>
      </c>
      <c r="L275" s="35" t="b">
        <v>0</v>
      </c>
      <c r="M275" s="35" t="b">
        <v>0</v>
      </c>
      <c r="N275" s="35" t="b">
        <v>0</v>
      </c>
      <c r="O275" s="35" t="b">
        <v>0</v>
      </c>
      <c r="P275" s="35" t="b">
        <v>0</v>
      </c>
      <c r="Q275" s="35" t="b">
        <v>0</v>
      </c>
      <c r="R275" s="14"/>
      <c r="S275" s="14"/>
      <c r="T275" s="14"/>
      <c r="U275" s="14"/>
      <c r="V275" s="14"/>
      <c r="W275" s="14"/>
    </row>
    <row r="276" ht="31.5" customHeight="1">
      <c r="A276" s="109" t="s">
        <v>7280</v>
      </c>
      <c r="B276" s="110" t="s">
        <v>7281</v>
      </c>
      <c r="C276" s="111" t="s">
        <v>7282</v>
      </c>
      <c r="D276" s="28" t="s">
        <v>7283</v>
      </c>
      <c r="E276" s="28" t="str">
        <f>IFERROR(__xludf.DUMMYFUNCTION("GOOGLETRANSLATE(D276,""zh-CN"",""vi"")"),"Chúng tôi cam kết hoàn thành đúng thời hạn.")</f>
        <v>Chúng tôi cam kết hoàn thành đúng thời hạn.</v>
      </c>
      <c r="F276" s="128"/>
      <c r="G276" s="36" t="b">
        <f t="shared" si="1"/>
        <v>0</v>
      </c>
      <c r="H276" s="35" t="b">
        <v>1</v>
      </c>
      <c r="I276" s="35" t="b">
        <v>0</v>
      </c>
      <c r="J276" s="35" t="b">
        <v>0</v>
      </c>
      <c r="K276" s="35" t="b">
        <v>0</v>
      </c>
      <c r="L276" s="35" t="b">
        <v>0</v>
      </c>
      <c r="M276" s="35" t="b">
        <v>0</v>
      </c>
      <c r="N276" s="35" t="b">
        <v>0</v>
      </c>
      <c r="O276" s="35" t="b">
        <v>0</v>
      </c>
      <c r="P276" s="35" t="b">
        <v>0</v>
      </c>
      <c r="Q276" s="35" t="b">
        <v>0</v>
      </c>
      <c r="R276" s="14"/>
      <c r="S276" s="14"/>
      <c r="T276" s="14"/>
      <c r="U276" s="14"/>
      <c r="V276" s="14"/>
      <c r="W276" s="14"/>
    </row>
    <row r="277" ht="31.5" customHeight="1">
      <c r="A277" s="109" t="s">
        <v>7288</v>
      </c>
      <c r="B277" s="110" t="s">
        <v>7289</v>
      </c>
      <c r="C277" s="111" t="s">
        <v>7290</v>
      </c>
      <c r="D277" s="28" t="s">
        <v>7291</v>
      </c>
      <c r="E277" s="28" t="str">
        <f>IFERROR(__xludf.DUMMYFUNCTION("GOOGLETRANSLATE(D277,""zh-CN"",""vi"")"),"Anh ấy đã làm sáng tỏ sự hiểu lầm.")</f>
        <v>Anh ấy đã làm sáng tỏ sự hiểu lầm.</v>
      </c>
      <c r="F277" s="128"/>
      <c r="G277" s="36" t="b">
        <f t="shared" si="1"/>
        <v>0</v>
      </c>
      <c r="H277" s="35" t="b">
        <v>1</v>
      </c>
      <c r="I277" s="35" t="b">
        <v>0</v>
      </c>
      <c r="J277" s="35" t="b">
        <v>0</v>
      </c>
      <c r="K277" s="35" t="b">
        <v>0</v>
      </c>
      <c r="L277" s="35" t="b">
        <v>0</v>
      </c>
      <c r="M277" s="35" t="b">
        <v>0</v>
      </c>
      <c r="N277" s="35" t="b">
        <v>0</v>
      </c>
      <c r="O277" s="35" t="b">
        <v>0</v>
      </c>
      <c r="P277" s="35" t="b">
        <v>0</v>
      </c>
      <c r="Q277" s="35" t="b">
        <v>0</v>
      </c>
      <c r="R277" s="14"/>
      <c r="S277" s="14"/>
      <c r="T277" s="14"/>
      <c r="U277" s="14"/>
      <c r="V277" s="14"/>
      <c r="W277" s="14"/>
    </row>
    <row r="278" ht="31.5" customHeight="1">
      <c r="A278" s="109" t="s">
        <v>7295</v>
      </c>
      <c r="B278" s="110" t="s">
        <v>7296</v>
      </c>
      <c r="C278" s="111" t="s">
        <v>7297</v>
      </c>
      <c r="D278" s="28" t="s">
        <v>7298</v>
      </c>
      <c r="E278" s="28" t="str">
        <f>IFERROR(__xludf.DUMMYFUNCTION("GOOGLETRANSLATE(D278,""zh-CN"",""vi"")"),"Anh ấy lúc nào cũng bận rộn với công việc.")</f>
        <v>Anh ấy lúc nào cũng bận rộn với công việc.</v>
      </c>
      <c r="F278" s="128"/>
      <c r="G278" s="36" t="b">
        <f t="shared" si="1"/>
        <v>0</v>
      </c>
      <c r="H278" s="35" t="b">
        <v>1</v>
      </c>
      <c r="I278" s="35" t="b">
        <v>0</v>
      </c>
      <c r="J278" s="35" t="b">
        <v>0</v>
      </c>
      <c r="K278" s="35" t="b">
        <v>0</v>
      </c>
      <c r="L278" s="35" t="b">
        <v>0</v>
      </c>
      <c r="M278" s="35" t="b">
        <v>0</v>
      </c>
      <c r="N278" s="35" t="b">
        <v>0</v>
      </c>
      <c r="O278" s="35" t="b">
        <v>0</v>
      </c>
      <c r="P278" s="35" t="b">
        <v>0</v>
      </c>
      <c r="Q278" s="35" t="b">
        <v>0</v>
      </c>
      <c r="R278" s="14"/>
      <c r="S278" s="14"/>
      <c r="T278" s="14"/>
      <c r="U278" s="14"/>
      <c r="V278" s="14"/>
      <c r="W278" s="14"/>
    </row>
    <row r="279" ht="31.5" customHeight="1">
      <c r="A279" s="109" t="s">
        <v>7303</v>
      </c>
      <c r="B279" s="110" t="s">
        <v>7304</v>
      </c>
      <c r="C279" s="111" t="s">
        <v>7305</v>
      </c>
      <c r="D279" s="28" t="s">
        <v>7306</v>
      </c>
      <c r="E279" s="28" t="str">
        <f>IFERROR(__xludf.DUMMYFUNCTION("GOOGLETRANSLATE(D279,""zh-CN"",""vi"")"),"Tiếp viên hàng không cung cấp dịch vụ cho hành khách.")</f>
        <v>Tiếp viên hàng không cung cấp dịch vụ cho hành khách.</v>
      </c>
      <c r="F279" s="128"/>
      <c r="G279" s="36" t="b">
        <f t="shared" si="1"/>
        <v>0</v>
      </c>
      <c r="H279" s="35" t="b">
        <v>1</v>
      </c>
      <c r="I279" s="35" t="b">
        <v>0</v>
      </c>
      <c r="J279" s="35" t="b">
        <v>0</v>
      </c>
      <c r="K279" s="35" t="b">
        <v>0</v>
      </c>
      <c r="L279" s="35" t="b">
        <v>0</v>
      </c>
      <c r="M279" s="35" t="b">
        <v>0</v>
      </c>
      <c r="N279" s="35" t="b">
        <v>0</v>
      </c>
      <c r="O279" s="35" t="b">
        <v>0</v>
      </c>
      <c r="P279" s="35" t="b">
        <v>0</v>
      </c>
      <c r="Q279" s="35" t="b">
        <v>0</v>
      </c>
      <c r="R279" s="14"/>
      <c r="S279" s="14"/>
      <c r="T279" s="14"/>
      <c r="U279" s="14"/>
      <c r="V279" s="14"/>
      <c r="W279" s="14"/>
    </row>
    <row r="280" ht="31.5" customHeight="1">
      <c r="A280" s="109" t="s">
        <v>7315</v>
      </c>
      <c r="B280" s="110" t="s">
        <v>7316</v>
      </c>
      <c r="C280" s="111" t="s">
        <v>7317</v>
      </c>
      <c r="D280" s="28" t="s">
        <v>7318</v>
      </c>
      <c r="E280" s="28" t="str">
        <f>IFERROR(__xludf.DUMMYFUNCTION("GOOGLETRANSLATE(D280,""zh-CN"",""vi"")"),"Các tác phẩm của ông truyền tải một lượng cảm xúc phong phú.")</f>
        <v>Các tác phẩm của ông truyền tải một lượng cảm xúc phong phú.</v>
      </c>
      <c r="F280" s="128"/>
      <c r="G280" s="36" t="b">
        <f t="shared" si="1"/>
        <v>0</v>
      </c>
      <c r="H280" s="35" t="b">
        <v>1</v>
      </c>
      <c r="I280" s="35" t="b">
        <v>0</v>
      </c>
      <c r="J280" s="35" t="b">
        <v>0</v>
      </c>
      <c r="K280" s="35" t="b">
        <v>0</v>
      </c>
      <c r="L280" s="35" t="b">
        <v>0</v>
      </c>
      <c r="M280" s="35" t="b">
        <v>0</v>
      </c>
      <c r="N280" s="35" t="b">
        <v>0</v>
      </c>
      <c r="O280" s="35" t="b">
        <v>0</v>
      </c>
      <c r="P280" s="35" t="b">
        <v>0</v>
      </c>
      <c r="Q280" s="35" t="b">
        <v>0</v>
      </c>
      <c r="R280" s="14"/>
      <c r="S280" s="14"/>
      <c r="T280" s="14"/>
      <c r="U280" s="14"/>
      <c r="V280" s="14"/>
      <c r="W280" s="14"/>
    </row>
    <row r="281" ht="31.5" customHeight="1">
      <c r="A281" s="109" t="s">
        <v>7323</v>
      </c>
      <c r="B281" s="110" t="s">
        <v>7324</v>
      </c>
      <c r="C281" s="111" t="s">
        <v>7325</v>
      </c>
      <c r="D281" s="28" t="s">
        <v>7326</v>
      </c>
      <c r="E281" s="28" t="str">
        <f>IFERROR(__xludf.DUMMYFUNCTION("GOOGLETRANSLATE(D281,""zh-CN"",""vi"")"),"Kế hoạch này đã cho thấy những kết quả đáng kể.")</f>
        <v>Kế hoạch này đã cho thấy những kết quả đáng kể.</v>
      </c>
      <c r="F281" s="128"/>
      <c r="G281" s="36" t="b">
        <f t="shared" si="1"/>
        <v>0</v>
      </c>
      <c r="H281" s="35" t="b">
        <v>1</v>
      </c>
      <c r="I281" s="35" t="b">
        <v>0</v>
      </c>
      <c r="J281" s="35" t="b">
        <v>0</v>
      </c>
      <c r="K281" s="35" t="b">
        <v>0</v>
      </c>
      <c r="L281" s="35" t="b">
        <v>0</v>
      </c>
      <c r="M281" s="35" t="b">
        <v>0</v>
      </c>
      <c r="N281" s="35" t="b">
        <v>0</v>
      </c>
      <c r="O281" s="35" t="b">
        <v>0</v>
      </c>
      <c r="P281" s="35" t="b">
        <v>0</v>
      </c>
      <c r="Q281" s="35" t="b">
        <v>0</v>
      </c>
      <c r="R281" s="14"/>
      <c r="S281" s="14"/>
      <c r="T281" s="14"/>
      <c r="U281" s="14"/>
      <c r="V281" s="14"/>
      <c r="W281" s="14"/>
    </row>
    <row r="282" ht="31.5" customHeight="1">
      <c r="A282" s="109" t="s">
        <v>7331</v>
      </c>
      <c r="B282" s="110" t="s">
        <v>7332</v>
      </c>
      <c r="C282" s="111" t="s">
        <v>7333</v>
      </c>
      <c r="D282" s="28" t="s">
        <v>7334</v>
      </c>
      <c r="E282" s="28" t="str">
        <f>IFERROR(__xludf.DUMMYFUNCTION("GOOGLETRANSLATE(D282,""zh-CN"",""vi"")"),"Anh ấy thực sự muốn giúp bạn.")</f>
        <v>Anh ấy thực sự muốn giúp bạn.</v>
      </c>
      <c r="F282" s="128"/>
      <c r="G282" s="36" t="b">
        <f t="shared" si="1"/>
        <v>0</v>
      </c>
      <c r="H282" s="35" t="b">
        <v>1</v>
      </c>
      <c r="I282" s="35" t="b">
        <v>0</v>
      </c>
      <c r="J282" s="35" t="b">
        <v>0</v>
      </c>
      <c r="K282" s="35" t="b">
        <v>0</v>
      </c>
      <c r="L282" s="35" t="b">
        <v>0</v>
      </c>
      <c r="M282" s="35" t="b">
        <v>0</v>
      </c>
      <c r="N282" s="35" t="b">
        <v>0</v>
      </c>
      <c r="O282" s="35" t="b">
        <v>0</v>
      </c>
      <c r="P282" s="35" t="b">
        <v>0</v>
      </c>
      <c r="Q282" s="35" t="b">
        <v>0</v>
      </c>
      <c r="R282" s="14"/>
      <c r="S282" s="14"/>
      <c r="T282" s="14"/>
      <c r="U282" s="14"/>
      <c r="V282" s="14"/>
      <c r="W282" s="14"/>
    </row>
    <row r="283" ht="31.5" customHeight="1">
      <c r="A283" s="109" t="s">
        <v>7339</v>
      </c>
      <c r="B283" s="110" t="s">
        <v>7340</v>
      </c>
      <c r="C283" s="111" t="s">
        <v>7341</v>
      </c>
      <c r="D283" s="28" t="s">
        <v>7342</v>
      </c>
      <c r="E283" s="28" t="str">
        <f>IFERROR(__xludf.DUMMYFUNCTION("GOOGLETRANSLATE(D283,""zh-CN"",""vi"")"),"Anh ấy là một thành viên của đội.")</f>
        <v>Anh ấy là một thành viên của đội.</v>
      </c>
      <c r="F283" s="128"/>
      <c r="G283" s="36" t="b">
        <f t="shared" si="1"/>
        <v>0</v>
      </c>
      <c r="H283" s="35" t="b">
        <v>1</v>
      </c>
      <c r="I283" s="35" t="b">
        <v>0</v>
      </c>
      <c r="J283" s="35" t="b">
        <v>0</v>
      </c>
      <c r="K283" s="35" t="b">
        <v>0</v>
      </c>
      <c r="L283" s="35" t="b">
        <v>0</v>
      </c>
      <c r="M283" s="35" t="b">
        <v>0</v>
      </c>
      <c r="N283" s="35" t="b">
        <v>0</v>
      </c>
      <c r="O283" s="35" t="b">
        <v>0</v>
      </c>
      <c r="P283" s="35" t="b">
        <v>0</v>
      </c>
      <c r="Q283" s="35" t="b">
        <v>0</v>
      </c>
      <c r="R283" s="14"/>
      <c r="S283" s="14"/>
      <c r="T283" s="14"/>
      <c r="U283" s="14"/>
      <c r="V283" s="14"/>
      <c r="W283" s="14"/>
    </row>
    <row r="284" ht="31.5" customHeight="1">
      <c r="A284" s="109" t="s">
        <v>7343</v>
      </c>
      <c r="B284" s="110" t="s">
        <v>7344</v>
      </c>
      <c r="C284" s="111" t="s">
        <v>7345</v>
      </c>
      <c r="D284" s="28" t="s">
        <v>7346</v>
      </c>
      <c r="E284" s="28" t="str">
        <f>IFERROR(__xludf.DUMMYFUNCTION("GOOGLETRANSLATE(D284,""zh-CN"",""vi"")"),"Ông ấy đã thành tâm xin lỗi.")</f>
        <v>Ông ấy đã thành tâm xin lỗi.</v>
      </c>
      <c r="F284" s="128"/>
      <c r="G284" s="36" t="b">
        <f t="shared" si="1"/>
        <v>0</v>
      </c>
      <c r="H284" s="35" t="b">
        <v>1</v>
      </c>
      <c r="I284" s="35" t="b">
        <v>0</v>
      </c>
      <c r="J284" s="35" t="b">
        <v>0</v>
      </c>
      <c r="K284" s="35" t="b">
        <v>0</v>
      </c>
      <c r="L284" s="35" t="b">
        <v>0</v>
      </c>
      <c r="M284" s="35" t="b">
        <v>0</v>
      </c>
      <c r="N284" s="35" t="b">
        <v>0</v>
      </c>
      <c r="O284" s="35" t="b">
        <v>0</v>
      </c>
      <c r="P284" s="35" t="b">
        <v>0</v>
      </c>
      <c r="Q284" s="35" t="b">
        <v>0</v>
      </c>
      <c r="R284" s="14"/>
      <c r="S284" s="14"/>
      <c r="T284" s="14"/>
      <c r="U284" s="14"/>
      <c r="V284" s="14"/>
      <c r="W284" s="14"/>
    </row>
    <row r="285" ht="31.5" customHeight="1">
      <c r="A285" s="109" t="s">
        <v>7351</v>
      </c>
      <c r="B285" s="110" t="s">
        <v>7352</v>
      </c>
      <c r="C285" s="111" t="s">
        <v>7353</v>
      </c>
      <c r="D285" s="28" t="s">
        <v>7355</v>
      </c>
      <c r="E285" s="28" t="str">
        <f>IFERROR(__xludf.DUMMYFUNCTION("GOOGLETRANSLATE(D285,""zh-CN"",""vi"")"),"Họ đang cân nó trên một cái cân.")</f>
        <v>Họ đang cân nó trên một cái cân.</v>
      </c>
      <c r="F285" s="128"/>
      <c r="G285" s="36" t="b">
        <f t="shared" si="1"/>
        <v>0</v>
      </c>
      <c r="H285" s="35" t="b">
        <v>1</v>
      </c>
      <c r="I285" s="35" t="b">
        <v>0</v>
      </c>
      <c r="J285" s="35" t="b">
        <v>0</v>
      </c>
      <c r="K285" s="35" t="b">
        <v>0</v>
      </c>
      <c r="L285" s="35" t="b">
        <v>0</v>
      </c>
      <c r="M285" s="35" t="b">
        <v>0</v>
      </c>
      <c r="N285" s="35" t="b">
        <v>0</v>
      </c>
      <c r="O285" s="35" t="b">
        <v>0</v>
      </c>
      <c r="P285" s="35" t="b">
        <v>0</v>
      </c>
      <c r="Q285" s="35" t="b">
        <v>0</v>
      </c>
      <c r="R285" s="14"/>
      <c r="S285" s="14"/>
      <c r="T285" s="14"/>
      <c r="U285" s="14"/>
      <c r="V285" s="14"/>
      <c r="W285" s="14"/>
    </row>
    <row r="286" ht="31.5" customHeight="1">
      <c r="A286" s="109" t="s">
        <v>7359</v>
      </c>
      <c r="B286" s="110" t="s">
        <v>7361</v>
      </c>
      <c r="C286" s="111" t="s">
        <v>7363</v>
      </c>
      <c r="D286" s="28" t="s">
        <v>7365</v>
      </c>
      <c r="E286" s="28" t="str">
        <f>IFERROR(__xludf.DUMMYFUNCTION("GOOGLETRANSLATE(D286,""zh-CN"",""vi"")"),"Anh ấy làm việc rất chăm chỉ.")</f>
        <v>Anh ấy làm việc rất chăm chỉ.</v>
      </c>
      <c r="F286" s="128"/>
      <c r="G286" s="36" t="b">
        <f t="shared" si="1"/>
        <v>0</v>
      </c>
      <c r="H286" s="35" t="b">
        <v>1</v>
      </c>
      <c r="I286" s="35" t="b">
        <v>0</v>
      </c>
      <c r="J286" s="35" t="b">
        <v>0</v>
      </c>
      <c r="K286" s="35" t="b">
        <v>0</v>
      </c>
      <c r="L286" s="35" t="b">
        <v>0</v>
      </c>
      <c r="M286" s="35" t="b">
        <v>0</v>
      </c>
      <c r="N286" s="35" t="b">
        <v>0</v>
      </c>
      <c r="O286" s="35" t="b">
        <v>0</v>
      </c>
      <c r="P286" s="35" t="b">
        <v>0</v>
      </c>
      <c r="Q286" s="35" t="b">
        <v>0</v>
      </c>
      <c r="R286" s="14"/>
      <c r="S286" s="14"/>
      <c r="T286" s="14"/>
      <c r="U286" s="14"/>
      <c r="V286" s="14"/>
      <c r="W286" s="14"/>
    </row>
    <row r="287" ht="31.5" customHeight="1">
      <c r="A287" s="109" t="s">
        <v>7367</v>
      </c>
      <c r="B287" s="110" t="s">
        <v>7368</v>
      </c>
      <c r="C287" s="111" t="s">
        <v>7369</v>
      </c>
      <c r="D287" s="28" t="s">
        <v>7371</v>
      </c>
      <c r="E287" s="28" t="str">
        <f>IFERROR(__xludf.DUMMYFUNCTION("GOOGLETRANSLATE(D287,""zh-CN"",""vi"")"),"Anh ấy đã rất vất vả khi mang những thứ này.")</f>
        <v>Anh ấy đã rất vất vả khi mang những thứ này.</v>
      </c>
      <c r="F287" s="128"/>
      <c r="G287" s="36" t="b">
        <f t="shared" si="1"/>
        <v>0</v>
      </c>
      <c r="H287" s="35" t="b">
        <v>1</v>
      </c>
      <c r="I287" s="35" t="b">
        <v>0</v>
      </c>
      <c r="J287" s="35" t="b">
        <v>0</v>
      </c>
      <c r="K287" s="35" t="b">
        <v>0</v>
      </c>
      <c r="L287" s="35" t="b">
        <v>0</v>
      </c>
      <c r="M287" s="35" t="b">
        <v>0</v>
      </c>
      <c r="N287" s="35" t="b">
        <v>0</v>
      </c>
      <c r="O287" s="35" t="b">
        <v>0</v>
      </c>
      <c r="P287" s="35" t="b">
        <v>0</v>
      </c>
      <c r="Q287" s="35" t="b">
        <v>0</v>
      </c>
      <c r="R287" s="14"/>
      <c r="S287" s="14"/>
      <c r="T287" s="14"/>
      <c r="U287" s="14"/>
      <c r="V287" s="14"/>
      <c r="W287" s="14"/>
    </row>
    <row r="288" ht="31.5" customHeight="1">
      <c r="A288" s="109" t="s">
        <v>7378</v>
      </c>
      <c r="B288" s="110" t="s">
        <v>7380</v>
      </c>
      <c r="C288" s="111" t="s">
        <v>7381</v>
      </c>
      <c r="D288" s="28" t="s">
        <v>7382</v>
      </c>
      <c r="E288" s="28" t="str">
        <f>IFERROR(__xludf.DUMMYFUNCTION("GOOGLETRANSLATE(D288,""zh-CN"",""vi"")"),"Phản ứng của anh ta khá chậm.")</f>
        <v>Phản ứng của anh ta khá chậm.</v>
      </c>
      <c r="F288" s="128"/>
      <c r="G288" s="36" t="b">
        <f t="shared" si="1"/>
        <v>0</v>
      </c>
      <c r="H288" s="35" t="b">
        <v>1</v>
      </c>
      <c r="I288" s="35" t="b">
        <v>0</v>
      </c>
      <c r="J288" s="35" t="b">
        <v>0</v>
      </c>
      <c r="K288" s="35" t="b">
        <v>0</v>
      </c>
      <c r="L288" s="35" t="b">
        <v>0</v>
      </c>
      <c r="M288" s="35" t="b">
        <v>0</v>
      </c>
      <c r="N288" s="35" t="b">
        <v>0</v>
      </c>
      <c r="O288" s="35" t="b">
        <v>0</v>
      </c>
      <c r="P288" s="35" t="b">
        <v>0</v>
      </c>
      <c r="Q288" s="35" t="b">
        <v>0</v>
      </c>
      <c r="R288" s="14"/>
      <c r="S288" s="14"/>
      <c r="T288" s="14"/>
      <c r="U288" s="14"/>
      <c r="V288" s="14"/>
      <c r="W288" s="14"/>
    </row>
    <row r="289" ht="31.5" customHeight="1">
      <c r="A289" s="109" t="s">
        <v>7383</v>
      </c>
      <c r="B289" s="110" t="s">
        <v>7384</v>
      </c>
      <c r="C289" s="111" t="s">
        <v>7385</v>
      </c>
      <c r="D289" s="28" t="s">
        <v>7386</v>
      </c>
      <c r="E289" s="28" t="str">
        <f>IFERROR(__xludf.DUMMYFUNCTION("GOOGLETRANSLATE(D289,""zh-CN"",""vi"")"),"Chất liệu này rất bền.")</f>
        <v>Chất liệu này rất bền.</v>
      </c>
      <c r="F289" s="128"/>
      <c r="G289" s="36" t="b">
        <f t="shared" si="1"/>
        <v>0</v>
      </c>
      <c r="H289" s="35" t="b">
        <v>1</v>
      </c>
      <c r="I289" s="35" t="b">
        <v>0</v>
      </c>
      <c r="J289" s="35" t="b">
        <v>0</v>
      </c>
      <c r="K289" s="35" t="b">
        <v>0</v>
      </c>
      <c r="L289" s="35" t="b">
        <v>0</v>
      </c>
      <c r="M289" s="35" t="b">
        <v>0</v>
      </c>
      <c r="N289" s="35" t="b">
        <v>0</v>
      </c>
      <c r="O289" s="35" t="b">
        <v>0</v>
      </c>
      <c r="P289" s="35" t="b">
        <v>0</v>
      </c>
      <c r="Q289" s="35" t="b">
        <v>0</v>
      </c>
      <c r="R289" s="14"/>
      <c r="S289" s="14"/>
      <c r="T289" s="14"/>
      <c r="U289" s="14"/>
      <c r="V289" s="14"/>
      <c r="W289" s="14"/>
    </row>
    <row r="290" ht="31.5" customHeight="1">
      <c r="A290" s="109" t="s">
        <v>5143</v>
      </c>
      <c r="B290" s="110" t="s">
        <v>5144</v>
      </c>
      <c r="C290" s="111" t="s">
        <v>7389</v>
      </c>
      <c r="D290" s="28" t="s">
        <v>7391</v>
      </c>
      <c r="E290" s="28" t="str">
        <f>IFERROR(__xludf.DUMMYFUNCTION("GOOGLETRANSLATE(D290,""zh-CN"",""vi"")"),"Các em nhỏ đang chơi đùa bên ao.")</f>
        <v>Các em nhỏ đang chơi đùa bên ao.</v>
      </c>
      <c r="F290" s="128"/>
      <c r="G290" s="36" t="b">
        <f t="shared" si="1"/>
        <v>0</v>
      </c>
      <c r="H290" s="35" t="b">
        <v>1</v>
      </c>
      <c r="I290" s="35" t="b">
        <v>0</v>
      </c>
      <c r="J290" s="35" t="b">
        <v>0</v>
      </c>
      <c r="K290" s="35" t="b">
        <v>0</v>
      </c>
      <c r="L290" s="35" t="b">
        <v>0</v>
      </c>
      <c r="M290" s="35" t="b">
        <v>0</v>
      </c>
      <c r="N290" s="35" t="b">
        <v>0</v>
      </c>
      <c r="O290" s="35" t="b">
        <v>0</v>
      </c>
      <c r="P290" s="35" t="b">
        <v>0</v>
      </c>
      <c r="Q290" s="35" t="b">
        <v>0</v>
      </c>
      <c r="R290" s="14"/>
      <c r="S290" s="14"/>
      <c r="T290" s="14"/>
      <c r="U290" s="14"/>
      <c r="V290" s="14"/>
      <c r="W290" s="14"/>
    </row>
    <row r="291" ht="31.5" customHeight="1">
      <c r="A291" s="109" t="s">
        <v>7392</v>
      </c>
      <c r="B291" s="110" t="s">
        <v>7393</v>
      </c>
      <c r="C291" s="111" t="s">
        <v>7395</v>
      </c>
      <c r="D291" s="28" t="s">
        <v>7397</v>
      </c>
      <c r="E291" s="28" t="str">
        <f>IFERROR(__xludf.DUMMYFUNCTION("GOOGLETRANSLATE(D291,""zh-CN"",""vi"")"),"Anh ấy có phần do dự về quyết định đó.")</f>
        <v>Anh ấy có phần do dự về quyết định đó.</v>
      </c>
      <c r="F291" s="128"/>
      <c r="G291" s="36" t="b">
        <f t="shared" si="1"/>
        <v>0</v>
      </c>
      <c r="H291" s="35" t="b">
        <v>1</v>
      </c>
      <c r="I291" s="35" t="b">
        <v>0</v>
      </c>
      <c r="J291" s="35" t="b">
        <v>0</v>
      </c>
      <c r="K291" s="35" t="b">
        <v>0</v>
      </c>
      <c r="L291" s="35" t="b">
        <v>0</v>
      </c>
      <c r="M291" s="35" t="b">
        <v>0</v>
      </c>
      <c r="N291" s="35" t="b">
        <v>0</v>
      </c>
      <c r="O291" s="35" t="b">
        <v>0</v>
      </c>
      <c r="P291" s="35" t="b">
        <v>0</v>
      </c>
      <c r="Q291" s="35" t="b">
        <v>0</v>
      </c>
      <c r="R291" s="14"/>
      <c r="S291" s="14"/>
      <c r="T291" s="14"/>
      <c r="U291" s="14"/>
      <c r="V291" s="14"/>
      <c r="W291" s="14"/>
    </row>
    <row r="292" ht="31.5" customHeight="1">
      <c r="A292" s="109" t="s">
        <v>7400</v>
      </c>
      <c r="B292" s="110" t="s">
        <v>7401</v>
      </c>
      <c r="C292" s="111" t="s">
        <v>7403</v>
      </c>
      <c r="D292" s="28" t="s">
        <v>7405</v>
      </c>
      <c r="E292" s="28" t="str">
        <f>IFERROR(__xludf.DUMMYFUNCTION("GOOGLETRANSLATE(D292,""zh-CN"",""vi"")"),"Đường xích đạo cắt ngang Trái Đất.")</f>
        <v>Đường xích đạo cắt ngang Trái Đất.</v>
      </c>
      <c r="F292" s="128"/>
      <c r="G292" s="36" t="b">
        <f t="shared" si="1"/>
        <v>0</v>
      </c>
      <c r="H292" s="35" t="b">
        <v>1</v>
      </c>
      <c r="I292" s="35" t="b">
        <v>0</v>
      </c>
      <c r="J292" s="35" t="b">
        <v>0</v>
      </c>
      <c r="K292" s="35" t="b">
        <v>0</v>
      </c>
      <c r="L292" s="35" t="b">
        <v>0</v>
      </c>
      <c r="M292" s="35" t="b">
        <v>0</v>
      </c>
      <c r="N292" s="35" t="b">
        <v>0</v>
      </c>
      <c r="O292" s="35" t="b">
        <v>0</v>
      </c>
      <c r="P292" s="35" t="b">
        <v>0</v>
      </c>
      <c r="Q292" s="35" t="b">
        <v>0</v>
      </c>
      <c r="R292" s="14"/>
      <c r="S292" s="14"/>
      <c r="T292" s="14"/>
      <c r="U292" s="14"/>
      <c r="V292" s="14"/>
      <c r="W292" s="14"/>
    </row>
    <row r="293" ht="31.5" customHeight="1">
      <c r="A293" s="109" t="s">
        <v>7408</v>
      </c>
      <c r="B293" s="110" t="s">
        <v>7409</v>
      </c>
      <c r="C293" s="111" t="s">
        <v>7410</v>
      </c>
      <c r="D293" s="28" t="s">
        <v>7411</v>
      </c>
      <c r="E293" s="28" t="str">
        <f>IFERROR(__xludf.DUMMYFUNCTION("GOOGLETRANSLATE(D293,""zh-CN"",""vi"")"),"Công ty đã phải chịu một khoản thâm hụt nghiêm trọng.")</f>
        <v>Công ty đã phải chịu một khoản thâm hụt nghiêm trọng.</v>
      </c>
      <c r="F293" s="128"/>
      <c r="G293" s="36" t="b">
        <f t="shared" si="1"/>
        <v>0</v>
      </c>
      <c r="H293" s="35" t="b">
        <v>1</v>
      </c>
      <c r="I293" s="35" t="b">
        <v>0</v>
      </c>
      <c r="J293" s="35" t="b">
        <v>0</v>
      </c>
      <c r="K293" s="35" t="b">
        <v>0</v>
      </c>
      <c r="L293" s="35" t="b">
        <v>0</v>
      </c>
      <c r="M293" s="35" t="b">
        <v>0</v>
      </c>
      <c r="N293" s="35" t="b">
        <v>0</v>
      </c>
      <c r="O293" s="35" t="b">
        <v>0</v>
      </c>
      <c r="P293" s="35" t="b">
        <v>0</v>
      </c>
      <c r="Q293" s="35" t="b">
        <v>0</v>
      </c>
      <c r="R293" s="14"/>
      <c r="S293" s="14"/>
      <c r="T293" s="14"/>
      <c r="U293" s="14"/>
      <c r="V293" s="14"/>
      <c r="W293" s="14"/>
    </row>
    <row r="294" ht="31.5" customHeight="1">
      <c r="A294" s="109" t="s">
        <v>7416</v>
      </c>
      <c r="B294" s="110" t="s">
        <v>7417</v>
      </c>
      <c r="C294" s="111" t="s">
        <v>7418</v>
      </c>
      <c r="D294" s="28" t="s">
        <v>7419</v>
      </c>
      <c r="E294" s="28" t="str">
        <f>IFERROR(__xludf.DUMMYFUNCTION("GOOGLETRANSLATE(D294,""zh-CN"",""vi"")"),"Ông ấy đóng vai trò trung gian hòa giải.")</f>
        <v>Ông ấy đóng vai trò trung gian hòa giải.</v>
      </c>
      <c r="F294" s="128"/>
      <c r="G294" s="36" t="b">
        <f t="shared" si="1"/>
        <v>0</v>
      </c>
      <c r="H294" s="35" t="b">
        <v>1</v>
      </c>
      <c r="I294" s="35" t="b">
        <v>0</v>
      </c>
      <c r="J294" s="35" t="b">
        <v>0</v>
      </c>
      <c r="K294" s="35" t="b">
        <v>0</v>
      </c>
      <c r="L294" s="35" t="b">
        <v>0</v>
      </c>
      <c r="M294" s="35" t="b">
        <v>0</v>
      </c>
      <c r="N294" s="35" t="b">
        <v>0</v>
      </c>
      <c r="O294" s="35" t="b">
        <v>0</v>
      </c>
      <c r="P294" s="35" t="b">
        <v>0</v>
      </c>
      <c r="Q294" s="35" t="b">
        <v>0</v>
      </c>
      <c r="R294" s="14"/>
      <c r="S294" s="14"/>
      <c r="T294" s="14"/>
      <c r="U294" s="14"/>
      <c r="V294" s="14"/>
      <c r="W294" s="14"/>
    </row>
    <row r="295" ht="31.5" customHeight="1">
      <c r="A295" s="109" t="s">
        <v>7424</v>
      </c>
      <c r="B295" s="110" t="s">
        <v>7425</v>
      </c>
      <c r="C295" s="111" t="s">
        <v>7426</v>
      </c>
      <c r="D295" s="28" t="s">
        <v>7427</v>
      </c>
      <c r="E295" s="28" t="str">
        <f>IFERROR(__xludf.DUMMYFUNCTION("GOOGLETRANSLATE(D295,""zh-CN"",""vi"")"),"Anh ta luôn hành động bốc đồng.")</f>
        <v>Anh ta luôn hành động bốc đồng.</v>
      </c>
      <c r="F295" s="128"/>
      <c r="G295" s="36" t="b">
        <f t="shared" si="1"/>
        <v>0</v>
      </c>
      <c r="H295" s="35" t="b">
        <v>1</v>
      </c>
      <c r="I295" s="35" t="b">
        <v>0</v>
      </c>
      <c r="J295" s="35" t="b">
        <v>0</v>
      </c>
      <c r="K295" s="35" t="b">
        <v>0</v>
      </c>
      <c r="L295" s="35" t="b">
        <v>0</v>
      </c>
      <c r="M295" s="35" t="b">
        <v>0</v>
      </c>
      <c r="N295" s="35" t="b">
        <v>0</v>
      </c>
      <c r="O295" s="35" t="b">
        <v>0</v>
      </c>
      <c r="P295" s="35" t="b">
        <v>0</v>
      </c>
      <c r="Q295" s="35" t="b">
        <v>0</v>
      </c>
      <c r="R295" s="14"/>
      <c r="S295" s="14"/>
      <c r="T295" s="14"/>
      <c r="U295" s="14"/>
      <c r="V295" s="14"/>
      <c r="W295" s="14"/>
    </row>
    <row r="296" ht="31.5" customHeight="1">
      <c r="A296" s="109" t="s">
        <v>7432</v>
      </c>
      <c r="B296" s="110" t="s">
        <v>7433</v>
      </c>
      <c r="C296" s="111" t="s">
        <v>7434</v>
      </c>
      <c r="D296" s="28" t="s">
        <v>7435</v>
      </c>
      <c r="E296" s="28" t="str">
        <f>IFERROR(__xludf.DUMMYFUNCTION("GOOGLETRANSLATE(D296,""zh-CN"",""vi"")"),"Nước lũ đã tàn phá ngôi làng.")</f>
        <v>Nước lũ đã tàn phá ngôi làng.</v>
      </c>
      <c r="F296" s="128"/>
      <c r="G296" s="36" t="b">
        <f t="shared" si="1"/>
        <v>0</v>
      </c>
      <c r="H296" s="35" t="b">
        <v>1</v>
      </c>
      <c r="I296" s="35" t="b">
        <v>0</v>
      </c>
      <c r="J296" s="35" t="b">
        <v>0</v>
      </c>
      <c r="K296" s="35" t="b">
        <v>0</v>
      </c>
      <c r="L296" s="35" t="b">
        <v>0</v>
      </c>
      <c r="M296" s="35" t="b">
        <v>0</v>
      </c>
      <c r="N296" s="35" t="b">
        <v>0</v>
      </c>
      <c r="O296" s="35" t="b">
        <v>0</v>
      </c>
      <c r="P296" s="35" t="b">
        <v>0</v>
      </c>
      <c r="Q296" s="35" t="b">
        <v>0</v>
      </c>
      <c r="R296" s="14"/>
      <c r="S296" s="14"/>
      <c r="T296" s="14"/>
      <c r="U296" s="14"/>
      <c r="V296" s="14"/>
      <c r="W296" s="14"/>
    </row>
    <row r="297" ht="31.5" customHeight="1">
      <c r="A297" s="109" t="s">
        <v>7440</v>
      </c>
      <c r="B297" s="110" t="s">
        <v>7441</v>
      </c>
      <c r="C297" s="111" t="s">
        <v>7442</v>
      </c>
      <c r="D297" s="28" t="s">
        <v>7443</v>
      </c>
      <c r="E297" s="28" t="str">
        <f>IFERROR(__xludf.DUMMYFUNCTION("GOOGLETRANSLATE(D297,""zh-CN"",""vi"")"),"Nguồn năng lượng dồi dào của anh ấy thật đáng ngưỡng mộ.")</f>
        <v>Nguồn năng lượng dồi dào của anh ấy thật đáng ngưỡng mộ.</v>
      </c>
      <c r="F297" s="128"/>
      <c r="G297" s="36" t="b">
        <f t="shared" si="1"/>
        <v>0</v>
      </c>
      <c r="H297" s="35" t="b">
        <v>1</v>
      </c>
      <c r="I297" s="35" t="b">
        <v>0</v>
      </c>
      <c r="J297" s="35" t="b">
        <v>0</v>
      </c>
      <c r="K297" s="35" t="b">
        <v>0</v>
      </c>
      <c r="L297" s="35" t="b">
        <v>0</v>
      </c>
      <c r="M297" s="35" t="b">
        <v>0</v>
      </c>
      <c r="N297" s="35" t="b">
        <v>0</v>
      </c>
      <c r="O297" s="35" t="b">
        <v>0</v>
      </c>
      <c r="P297" s="35" t="b">
        <v>0</v>
      </c>
      <c r="Q297" s="35" t="b">
        <v>0</v>
      </c>
      <c r="R297" s="14"/>
      <c r="S297" s="14"/>
      <c r="T297" s="14"/>
      <c r="U297" s="14"/>
      <c r="V297" s="14"/>
      <c r="W297" s="14"/>
    </row>
    <row r="298" ht="31.5" customHeight="1">
      <c r="A298" s="109" t="s">
        <v>7444</v>
      </c>
      <c r="B298" s="110" t="s">
        <v>7445</v>
      </c>
      <c r="C298" s="111" t="s">
        <v>7446</v>
      </c>
      <c r="D298" s="28" t="s">
        <v>7447</v>
      </c>
      <c r="E298" s="28" t="str">
        <f>IFERROR(__xludf.DUMMYFUNCTION("GOOGLETRANSLATE(D298,""zh-CN"",""vi"")"),"Chúng ta cần trau dồi thêm kiến ​​thức.")</f>
        <v>Chúng ta cần trau dồi thêm kiến ​​thức.</v>
      </c>
      <c r="F298" s="128"/>
      <c r="G298" s="36" t="b">
        <f t="shared" si="1"/>
        <v>0</v>
      </c>
      <c r="H298" s="35" t="b">
        <v>1</v>
      </c>
      <c r="I298" s="35" t="b">
        <v>0</v>
      </c>
      <c r="J298" s="35" t="b">
        <v>0</v>
      </c>
      <c r="K298" s="35" t="b">
        <v>0</v>
      </c>
      <c r="L298" s="35" t="b">
        <v>0</v>
      </c>
      <c r="M298" s="35" t="b">
        <v>0</v>
      </c>
      <c r="N298" s="35" t="b">
        <v>0</v>
      </c>
      <c r="O298" s="35" t="b">
        <v>0</v>
      </c>
      <c r="P298" s="35" t="b">
        <v>0</v>
      </c>
      <c r="Q298" s="35" t="b">
        <v>0</v>
      </c>
      <c r="R298" s="14"/>
      <c r="S298" s="14"/>
      <c r="T298" s="14"/>
      <c r="U298" s="14"/>
      <c r="V298" s="14"/>
      <c r="W298" s="14"/>
    </row>
    <row r="299" ht="31.5" customHeight="1">
      <c r="A299" s="109" t="s">
        <v>7451</v>
      </c>
      <c r="B299" s="110" t="s">
        <v>7453</v>
      </c>
      <c r="C299" s="111" t="s">
        <v>7454</v>
      </c>
      <c r="D299" s="28" t="s">
        <v>7455</v>
      </c>
      <c r="E299" s="28" t="str">
        <f>IFERROR(__xludf.DUMMYFUNCTION("GOOGLETRANSLATE(D299,""zh-CN"",""vi"")"),"Một cuộc xung đột đã nổ ra giữa họ.")</f>
        <v>Một cuộc xung đột đã nổ ra giữa họ.</v>
      </c>
      <c r="F299" s="128"/>
      <c r="G299" s="36" t="b">
        <f t="shared" si="1"/>
        <v>0</v>
      </c>
      <c r="H299" s="35" t="b">
        <v>1</v>
      </c>
      <c r="I299" s="35" t="b">
        <v>0</v>
      </c>
      <c r="J299" s="35" t="b">
        <v>0</v>
      </c>
      <c r="K299" s="35" t="b">
        <v>0</v>
      </c>
      <c r="L299" s="35" t="b">
        <v>0</v>
      </c>
      <c r="M299" s="35" t="b">
        <v>0</v>
      </c>
      <c r="N299" s="35" t="b">
        <v>0</v>
      </c>
      <c r="O299" s="35" t="b">
        <v>0</v>
      </c>
      <c r="P299" s="35" t="b">
        <v>0</v>
      </c>
      <c r="Q299" s="35" t="b">
        <v>0</v>
      </c>
      <c r="R299" s="14"/>
      <c r="S299" s="14"/>
      <c r="T299" s="14"/>
      <c r="U299" s="14"/>
      <c r="V299" s="14"/>
      <c r="W299" s="14"/>
    </row>
    <row r="300" ht="31.5" customHeight="1">
      <c r="A300" s="109" t="s">
        <v>7460</v>
      </c>
      <c r="B300" s="110" t="s">
        <v>7461</v>
      </c>
      <c r="C300" s="111" t="s">
        <v>7462</v>
      </c>
      <c r="D300" s="28" t="s">
        <v>7463</v>
      </c>
      <c r="E300" s="28" t="str">
        <f>IFERROR(__xludf.DUMMYFUNCTION("GOOGLETRANSLATE(D300,""zh-CN"",""vi"")"),"Chúng ta có thừa thời gian để hoàn thành nhiệm vụ.")</f>
        <v>Chúng ta có thừa thời gian để hoàn thành nhiệm vụ.</v>
      </c>
      <c r="F300" s="128"/>
      <c r="G300" s="36" t="b">
        <f t="shared" si="1"/>
        <v>0</v>
      </c>
      <c r="H300" s="35" t="b">
        <v>1</v>
      </c>
      <c r="I300" s="35" t="b">
        <v>0</v>
      </c>
      <c r="J300" s="35" t="b">
        <v>0</v>
      </c>
      <c r="K300" s="35" t="b">
        <v>0</v>
      </c>
      <c r="L300" s="35" t="b">
        <v>0</v>
      </c>
      <c r="M300" s="35" t="b">
        <v>0</v>
      </c>
      <c r="N300" s="35" t="b">
        <v>0</v>
      </c>
      <c r="O300" s="35" t="b">
        <v>0</v>
      </c>
      <c r="P300" s="35" t="b">
        <v>0</v>
      </c>
      <c r="Q300" s="35" t="b">
        <v>0</v>
      </c>
      <c r="R300" s="14"/>
      <c r="S300" s="14"/>
      <c r="T300" s="14"/>
      <c r="U300" s="14"/>
      <c r="V300" s="14"/>
      <c r="W300" s="14"/>
    </row>
    <row r="301" ht="31.5" customHeight="1">
      <c r="A301" s="109" t="s">
        <v>7468</v>
      </c>
      <c r="B301" s="110" t="s">
        <v>7470</v>
      </c>
      <c r="C301" s="111" t="s">
        <v>7472</v>
      </c>
      <c r="D301" s="28" t="s">
        <v>7474</v>
      </c>
      <c r="E301" s="28" t="str">
        <f>IFERROR(__xludf.DUMMYFUNCTION("GOOGLETRANSLATE(D301,""zh-CN"",""vi"")"),"Tôi rất ngưỡng mộ anh ấy.")</f>
        <v>Tôi rất ngưỡng mộ anh ấy.</v>
      </c>
      <c r="F301" s="128"/>
      <c r="G301" s="36" t="b">
        <f t="shared" si="1"/>
        <v>0</v>
      </c>
      <c r="H301" s="35" t="b">
        <v>0</v>
      </c>
      <c r="I301" s="35" t="b">
        <v>0</v>
      </c>
      <c r="J301" s="35" t="b">
        <v>0</v>
      </c>
      <c r="K301" s="35" t="b">
        <v>0</v>
      </c>
      <c r="L301" s="35" t="b">
        <v>0</v>
      </c>
      <c r="M301" s="35" t="b">
        <v>0</v>
      </c>
      <c r="N301" s="35" t="b">
        <v>0</v>
      </c>
      <c r="O301" s="35" t="b">
        <v>0</v>
      </c>
      <c r="P301" s="35" t="b">
        <v>0</v>
      </c>
      <c r="Q301" s="35" t="b">
        <v>0</v>
      </c>
      <c r="R301" s="14"/>
      <c r="S301" s="14"/>
      <c r="T301" s="14"/>
      <c r="U301" s="14"/>
      <c r="V301" s="14"/>
      <c r="W301" s="14"/>
    </row>
    <row r="302" ht="31.5" customHeight="1">
      <c r="A302" s="109" t="s">
        <v>7479</v>
      </c>
      <c r="B302" s="110" t="s">
        <v>7481</v>
      </c>
      <c r="C302" s="111" t="s">
        <v>7482</v>
      </c>
      <c r="D302" s="28" t="s">
        <v>7483</v>
      </c>
      <c r="E302" s="28" t="str">
        <f>IFERROR(__xludf.DUMMYFUNCTION("GOOGLETRANSLATE(D302,""zh-CN"",""vi"")"),"Hai kiểu mẫu này chồng chéo lên nhau.")</f>
        <v>Hai kiểu mẫu này chồng chéo lên nhau.</v>
      </c>
      <c r="F302" s="128"/>
      <c r="G302" s="36" t="b">
        <f t="shared" si="1"/>
        <v>0</v>
      </c>
      <c r="H302" s="35" t="b">
        <v>0</v>
      </c>
      <c r="I302" s="35" t="b">
        <v>0</v>
      </c>
      <c r="J302" s="35" t="b">
        <v>0</v>
      </c>
      <c r="K302" s="35" t="b">
        <v>0</v>
      </c>
      <c r="L302" s="35" t="b">
        <v>0</v>
      </c>
      <c r="M302" s="35" t="b">
        <v>0</v>
      </c>
      <c r="N302" s="35" t="b">
        <v>0</v>
      </c>
      <c r="O302" s="35" t="b">
        <v>0</v>
      </c>
      <c r="P302" s="35" t="b">
        <v>0</v>
      </c>
      <c r="Q302" s="35" t="b">
        <v>0</v>
      </c>
      <c r="R302" s="14"/>
      <c r="S302" s="14"/>
      <c r="T302" s="14"/>
      <c r="U302" s="14"/>
      <c r="V302" s="14"/>
      <c r="W302" s="14"/>
    </row>
    <row r="303" ht="31.5" customHeight="1">
      <c r="A303" s="109" t="s">
        <v>7488</v>
      </c>
      <c r="B303" s="110" t="s">
        <v>7489</v>
      </c>
      <c r="C303" s="111" t="s">
        <v>7490</v>
      </c>
      <c r="D303" s="28" t="s">
        <v>7491</v>
      </c>
      <c r="E303" s="28" t="str">
        <f>IFERROR(__xludf.DUMMYFUNCTION("GOOGLETRANSLATE(D303,""zh-CN"",""vi"")"),"Ông ấy có những lý tưởng cao cả.")</f>
        <v>Ông ấy có những lý tưởng cao cả.</v>
      </c>
      <c r="F303" s="128"/>
      <c r="G303" s="36" t="b">
        <f t="shared" si="1"/>
        <v>0</v>
      </c>
      <c r="H303" s="35" t="b">
        <v>0</v>
      </c>
      <c r="I303" s="35" t="b">
        <v>0</v>
      </c>
      <c r="J303" s="35" t="b">
        <v>0</v>
      </c>
      <c r="K303" s="35" t="b">
        <v>0</v>
      </c>
      <c r="L303" s="35" t="b">
        <v>0</v>
      </c>
      <c r="M303" s="35" t="b">
        <v>0</v>
      </c>
      <c r="N303" s="35" t="b">
        <v>0</v>
      </c>
      <c r="O303" s="35" t="b">
        <v>0</v>
      </c>
      <c r="P303" s="35" t="b">
        <v>0</v>
      </c>
      <c r="Q303" s="35" t="b">
        <v>0</v>
      </c>
      <c r="R303" s="14"/>
      <c r="S303" s="14"/>
      <c r="T303" s="14"/>
      <c r="U303" s="14"/>
      <c r="V303" s="14"/>
      <c r="W303" s="14"/>
    </row>
    <row r="304" ht="31.5" customHeight="1">
      <c r="A304" s="109" t="s">
        <v>7496</v>
      </c>
      <c r="B304" s="110" t="s">
        <v>7497</v>
      </c>
      <c r="C304" s="111" t="s">
        <v>7498</v>
      </c>
      <c r="D304" s="28" t="s">
        <v>7499</v>
      </c>
      <c r="E304" s="28" t="str">
        <f>IFERROR(__xludf.DUMMYFUNCTION("GOOGLETRANSLATE(D304,""zh-CN"",""vi"")"),"Chúng tôi đều ngưỡng mộ anh ấy.")</f>
        <v>Chúng tôi đều ngưỡng mộ anh ấy.</v>
      </c>
      <c r="F304" s="128"/>
      <c r="G304" s="36" t="b">
        <f t="shared" si="1"/>
        <v>0</v>
      </c>
      <c r="H304" s="35" t="b">
        <v>0</v>
      </c>
      <c r="I304" s="35" t="b">
        <v>0</v>
      </c>
      <c r="J304" s="35" t="b">
        <v>0</v>
      </c>
      <c r="K304" s="35" t="b">
        <v>0</v>
      </c>
      <c r="L304" s="35" t="b">
        <v>0</v>
      </c>
      <c r="M304" s="35" t="b">
        <v>0</v>
      </c>
      <c r="N304" s="35" t="b">
        <v>0</v>
      </c>
      <c r="O304" s="35" t="b">
        <v>0</v>
      </c>
      <c r="P304" s="35" t="b">
        <v>0</v>
      </c>
      <c r="Q304" s="35" t="b">
        <v>0</v>
      </c>
      <c r="R304" s="14"/>
      <c r="S304" s="14"/>
      <c r="T304" s="14"/>
      <c r="U304" s="14"/>
      <c r="V304" s="14"/>
      <c r="W304" s="14"/>
    </row>
    <row r="305" ht="31.5" customHeight="1">
      <c r="A305" s="109" t="s">
        <v>7504</v>
      </c>
      <c r="B305" s="110" t="s">
        <v>7505</v>
      </c>
      <c r="C305" s="111" t="s">
        <v>7506</v>
      </c>
      <c r="D305" s="28" t="s">
        <v>7507</v>
      </c>
      <c r="E305" s="28" t="str">
        <f>IFERROR(__xludf.DUMMYFUNCTION("GOOGLETRANSLATE(D305,""zh-CN"",""vi"")"),"Lễ hội Trùng Cửu là một lễ hội truyền thống của Trung Quốc.")</f>
        <v>Lễ hội Trùng Cửu là một lễ hội truyền thống của Trung Quốc.</v>
      </c>
      <c r="F305" s="128"/>
      <c r="G305" s="36" t="b">
        <f t="shared" si="1"/>
        <v>0</v>
      </c>
      <c r="H305" s="35" t="b">
        <v>0</v>
      </c>
      <c r="I305" s="35" t="b">
        <v>0</v>
      </c>
      <c r="J305" s="35" t="b">
        <v>0</v>
      </c>
      <c r="K305" s="35" t="b">
        <v>0</v>
      </c>
      <c r="L305" s="35" t="b">
        <v>0</v>
      </c>
      <c r="M305" s="35" t="b">
        <v>0</v>
      </c>
      <c r="N305" s="35" t="b">
        <v>0</v>
      </c>
      <c r="O305" s="35" t="b">
        <v>0</v>
      </c>
      <c r="P305" s="35" t="b">
        <v>0</v>
      </c>
      <c r="Q305" s="35" t="b">
        <v>0</v>
      </c>
      <c r="R305" s="14"/>
      <c r="S305" s="14"/>
      <c r="T305" s="14"/>
      <c r="U305" s="14"/>
      <c r="V305" s="14"/>
      <c r="W305" s="14"/>
    </row>
    <row r="306" ht="31.5" customHeight="1">
      <c r="A306" s="109" t="s">
        <v>7511</v>
      </c>
      <c r="B306" s="110" t="s">
        <v>7512</v>
      </c>
      <c r="C306" s="111" t="s">
        <v>7513</v>
      </c>
      <c r="D306" s="28" t="s">
        <v>7514</v>
      </c>
      <c r="E306" s="28" t="str">
        <f>IFERROR(__xludf.DUMMYFUNCTION("GOOGLETRANSLATE(D306,""zh-CN"",""vi"")"),"Tôi sẽ đến thăm bạn khi nào có thời gian.")</f>
        <v>Tôi sẽ đến thăm bạn khi nào có thời gian.</v>
      </c>
      <c r="F306" s="128"/>
      <c r="G306" s="36" t="b">
        <f t="shared" si="1"/>
        <v>0</v>
      </c>
      <c r="H306" s="35" t="b">
        <v>0</v>
      </c>
      <c r="I306" s="35" t="b">
        <v>0</v>
      </c>
      <c r="J306" s="35" t="b">
        <v>0</v>
      </c>
      <c r="K306" s="35" t="b">
        <v>0</v>
      </c>
      <c r="L306" s="35" t="b">
        <v>0</v>
      </c>
      <c r="M306" s="35" t="b">
        <v>0</v>
      </c>
      <c r="N306" s="35" t="b">
        <v>0</v>
      </c>
      <c r="O306" s="35" t="b">
        <v>0</v>
      </c>
      <c r="P306" s="35" t="b">
        <v>0</v>
      </c>
      <c r="Q306" s="35" t="b">
        <v>0</v>
      </c>
      <c r="R306" s="14"/>
      <c r="S306" s="14"/>
      <c r="T306" s="14"/>
      <c r="U306" s="14"/>
      <c r="V306" s="14"/>
      <c r="W306" s="14"/>
    </row>
    <row r="307" ht="31.5" customHeight="1">
      <c r="A307" s="109" t="s">
        <v>7519</v>
      </c>
      <c r="B307" s="110" t="s">
        <v>7520</v>
      </c>
      <c r="C307" s="111" t="s">
        <v>7521</v>
      </c>
      <c r="D307" s="28" t="s">
        <v>7522</v>
      </c>
      <c r="E307" s="28" t="str">
        <f>IFERROR(__xludf.DUMMYFUNCTION("GOOGLETRANSLATE(D307,""zh-CN"",""vi"")"),"Họ đang chuẩn bị cho đám cưới của mình.")</f>
        <v>Họ đang chuẩn bị cho đám cưới của mình.</v>
      </c>
      <c r="F307" s="128"/>
      <c r="G307" s="36" t="b">
        <f t="shared" si="1"/>
        <v>0</v>
      </c>
      <c r="H307" s="35" t="b">
        <v>0</v>
      </c>
      <c r="I307" s="35" t="b">
        <v>0</v>
      </c>
      <c r="J307" s="35" t="b">
        <v>0</v>
      </c>
      <c r="K307" s="35" t="b">
        <v>0</v>
      </c>
      <c r="L307" s="35" t="b">
        <v>0</v>
      </c>
      <c r="M307" s="35" t="b">
        <v>0</v>
      </c>
      <c r="N307" s="35" t="b">
        <v>0</v>
      </c>
      <c r="O307" s="35" t="b">
        <v>0</v>
      </c>
      <c r="P307" s="35" t="b">
        <v>0</v>
      </c>
      <c r="Q307" s="35" t="b">
        <v>0</v>
      </c>
      <c r="R307" s="14"/>
      <c r="S307" s="14"/>
      <c r="T307" s="14"/>
      <c r="U307" s="14"/>
      <c r="V307" s="14"/>
      <c r="W307" s="14"/>
    </row>
    <row r="308" ht="31.5" customHeight="1">
      <c r="A308" s="109" t="s">
        <v>7527</v>
      </c>
      <c r="B308" s="110" t="s">
        <v>7528</v>
      </c>
      <c r="C308" s="111" t="s">
        <v>7395</v>
      </c>
      <c r="D308" s="28" t="s">
        <v>7529</v>
      </c>
      <c r="E308" s="28" t="str">
        <f>IFERROR(__xludf.DUMMYFUNCTION("GOOGLETRANSLATE(D308,""zh-CN"",""vi"")"),"Anh ta do dự rất lâu trước khi đưa ra quyết định.")</f>
        <v>Anh ta do dự rất lâu trước khi đưa ra quyết định.</v>
      </c>
      <c r="F308" s="128"/>
      <c r="G308" s="36" t="b">
        <f t="shared" si="1"/>
        <v>0</v>
      </c>
      <c r="H308" s="35" t="b">
        <v>0</v>
      </c>
      <c r="I308" s="35" t="b">
        <v>0</v>
      </c>
      <c r="J308" s="35" t="b">
        <v>0</v>
      </c>
      <c r="K308" s="35" t="b">
        <v>0</v>
      </c>
      <c r="L308" s="35" t="b">
        <v>0</v>
      </c>
      <c r="M308" s="35" t="b">
        <v>0</v>
      </c>
      <c r="N308" s="35" t="b">
        <v>0</v>
      </c>
      <c r="O308" s="35" t="b">
        <v>0</v>
      </c>
      <c r="P308" s="35" t="b">
        <v>0</v>
      </c>
      <c r="Q308" s="35" t="b">
        <v>0</v>
      </c>
      <c r="R308" s="14"/>
      <c r="S308" s="14"/>
      <c r="T308" s="14"/>
      <c r="U308" s="14"/>
      <c r="V308" s="14"/>
      <c r="W308" s="14"/>
    </row>
    <row r="309" ht="31.5" customHeight="1">
      <c r="A309" s="109" t="s">
        <v>7534</v>
      </c>
      <c r="B309" s="110" t="s">
        <v>7535</v>
      </c>
      <c r="C309" s="111" t="s">
        <v>7536</v>
      </c>
      <c r="D309" s="28" t="s">
        <v>7537</v>
      </c>
      <c r="E309" s="28" t="str">
        <f>IFERROR(__xludf.DUMMYFUNCTION("GOOGLETRANSLATE(D309,""zh-CN"",""vi"")"),"Khu vực này có mật độ dân cư rất cao.")</f>
        <v>Khu vực này có mật độ dân cư rất cao.</v>
      </c>
      <c r="F309" s="128"/>
      <c r="G309" s="36" t="b">
        <f t="shared" si="1"/>
        <v>0</v>
      </c>
      <c r="H309" s="35" t="b">
        <v>0</v>
      </c>
      <c r="I309" s="35" t="b">
        <v>0</v>
      </c>
      <c r="J309" s="35" t="b">
        <v>0</v>
      </c>
      <c r="K309" s="35" t="b">
        <v>0</v>
      </c>
      <c r="L309" s="35" t="b">
        <v>0</v>
      </c>
      <c r="M309" s="35" t="b">
        <v>0</v>
      </c>
      <c r="N309" s="35" t="b">
        <v>0</v>
      </c>
      <c r="O309" s="35" t="b">
        <v>0</v>
      </c>
      <c r="P309" s="35" t="b">
        <v>0</v>
      </c>
      <c r="Q309" s="35" t="b">
        <v>0</v>
      </c>
      <c r="R309" s="14"/>
      <c r="S309" s="14"/>
      <c r="T309" s="14"/>
      <c r="U309" s="14"/>
      <c r="V309" s="14"/>
      <c r="W309" s="14"/>
    </row>
    <row r="310" ht="31.5" customHeight="1">
      <c r="A310" s="109" t="s">
        <v>7542</v>
      </c>
      <c r="B310" s="110" t="s">
        <v>7543</v>
      </c>
      <c r="C310" s="111" t="s">
        <v>7544</v>
      </c>
      <c r="D310" s="28" t="s">
        <v>7545</v>
      </c>
      <c r="E310" s="28" t="str">
        <f>IFERROR(__xludf.DUMMYFUNCTION("GOOGLETRANSLATE(D310,""zh-CN"",""vi"")"),"Hành vi của hắn vô cùng đáng khinh.")</f>
        <v>Hành vi của hắn vô cùng đáng khinh.</v>
      </c>
      <c r="F310" s="128"/>
      <c r="G310" s="36" t="b">
        <f t="shared" si="1"/>
        <v>0</v>
      </c>
      <c r="H310" s="35" t="b">
        <v>0</v>
      </c>
      <c r="I310" s="35" t="b">
        <v>0</v>
      </c>
      <c r="J310" s="35" t="b">
        <v>0</v>
      </c>
      <c r="K310" s="35" t="b">
        <v>0</v>
      </c>
      <c r="L310" s="35" t="b">
        <v>0</v>
      </c>
      <c r="M310" s="35" t="b">
        <v>0</v>
      </c>
      <c r="N310" s="35" t="b">
        <v>0</v>
      </c>
      <c r="O310" s="35" t="b">
        <v>0</v>
      </c>
      <c r="P310" s="35" t="b">
        <v>0</v>
      </c>
      <c r="Q310" s="35" t="b">
        <v>0</v>
      </c>
      <c r="R310" s="14"/>
      <c r="S310" s="14"/>
      <c r="T310" s="14"/>
      <c r="U310" s="14"/>
      <c r="V310" s="14"/>
      <c r="W310" s="14"/>
    </row>
    <row r="311" ht="31.5" customHeight="1">
      <c r="A311" s="109" t="s">
        <v>7550</v>
      </c>
      <c r="B311" s="110" t="s">
        <v>7551</v>
      </c>
      <c r="C311" s="111" t="s">
        <v>7552</v>
      </c>
      <c r="D311" s="28" t="s">
        <v>7553</v>
      </c>
      <c r="E311" s="28" t="str">
        <f>IFERROR(__xludf.DUMMYFUNCTION("GOOGLETRANSLATE(D311,""zh-CN"",""vi"")"),"Đây là kế hoạch sơ bộ.")</f>
        <v>Đây là kế hoạch sơ bộ.</v>
      </c>
      <c r="F311" s="128"/>
      <c r="G311" s="36" t="b">
        <f t="shared" si="1"/>
        <v>0</v>
      </c>
      <c r="H311" s="35" t="b">
        <v>0</v>
      </c>
      <c r="I311" s="35" t="b">
        <v>0</v>
      </c>
      <c r="J311" s="35" t="b">
        <v>0</v>
      </c>
      <c r="K311" s="35" t="b">
        <v>0</v>
      </c>
      <c r="L311" s="35" t="b">
        <v>0</v>
      </c>
      <c r="M311" s="35" t="b">
        <v>0</v>
      </c>
      <c r="N311" s="35" t="b">
        <v>0</v>
      </c>
      <c r="O311" s="35" t="b">
        <v>0</v>
      </c>
      <c r="P311" s="35" t="b">
        <v>0</v>
      </c>
      <c r="Q311" s="35" t="b">
        <v>0</v>
      </c>
      <c r="R311" s="14"/>
      <c r="S311" s="14"/>
      <c r="T311" s="14"/>
      <c r="U311" s="14"/>
      <c r="V311" s="14"/>
      <c r="W311" s="14"/>
    </row>
    <row r="312" ht="31.5" customHeight="1">
      <c r="A312" s="109" t="s">
        <v>7554</v>
      </c>
      <c r="B312" s="110" t="s">
        <v>7555</v>
      </c>
      <c r="C312" s="111" t="s">
        <v>7557</v>
      </c>
      <c r="D312" s="28" t="s">
        <v>7559</v>
      </c>
      <c r="E312" s="28" t="str">
        <f>IFERROR(__xludf.DUMMYFUNCTION("GOOGLETRANSLATE(D312,""zh-CN"",""vi"")"),"Chúng ta phải tìm cách thoát ra.")</f>
        <v>Chúng ta phải tìm cách thoát ra.</v>
      </c>
      <c r="F312" s="128"/>
      <c r="G312" s="36" t="b">
        <f t="shared" si="1"/>
        <v>0</v>
      </c>
      <c r="H312" s="35" t="b">
        <v>0</v>
      </c>
      <c r="I312" s="35" t="b">
        <v>0</v>
      </c>
      <c r="J312" s="35" t="b">
        <v>0</v>
      </c>
      <c r="K312" s="35" t="b">
        <v>0</v>
      </c>
      <c r="L312" s="35" t="b">
        <v>0</v>
      </c>
      <c r="M312" s="35" t="b">
        <v>0</v>
      </c>
      <c r="N312" s="35" t="b">
        <v>0</v>
      </c>
      <c r="O312" s="35" t="b">
        <v>0</v>
      </c>
      <c r="P312" s="35" t="b">
        <v>0</v>
      </c>
      <c r="Q312" s="35" t="b">
        <v>0</v>
      </c>
      <c r="R312" s="14"/>
      <c r="S312" s="14"/>
      <c r="T312" s="14"/>
      <c r="U312" s="14"/>
      <c r="V312" s="14"/>
      <c r="W312" s="14"/>
    </row>
    <row r="313" ht="31.5" customHeight="1">
      <c r="A313" s="109" t="s">
        <v>7562</v>
      </c>
      <c r="B313" s="110" t="s">
        <v>7563</v>
      </c>
      <c r="C313" s="111" t="s">
        <v>7564</v>
      </c>
      <c r="D313" s="28" t="s">
        <v>7565</v>
      </c>
      <c r="E313" s="28" t="str">
        <f>IFERROR(__xludf.DUMMYFUNCTION("GOOGLETRANSLATE(D313,""zh-CN"",""vi"")"),"Anh ta đã phản bội bạn mình.")</f>
        <v>Anh ta đã phản bội bạn mình.</v>
      </c>
      <c r="F313" s="128"/>
      <c r="G313" s="36" t="b">
        <f t="shared" si="1"/>
        <v>0</v>
      </c>
      <c r="H313" s="35" t="b">
        <v>0</v>
      </c>
      <c r="I313" s="35" t="b">
        <v>0</v>
      </c>
      <c r="J313" s="35" t="b">
        <v>0</v>
      </c>
      <c r="K313" s="35" t="b">
        <v>0</v>
      </c>
      <c r="L313" s="35" t="b">
        <v>0</v>
      </c>
      <c r="M313" s="35" t="b">
        <v>0</v>
      </c>
      <c r="N313" s="35" t="b">
        <v>0</v>
      </c>
      <c r="O313" s="35" t="b">
        <v>0</v>
      </c>
      <c r="P313" s="35" t="b">
        <v>0</v>
      </c>
      <c r="Q313" s="35" t="b">
        <v>0</v>
      </c>
      <c r="R313" s="14"/>
      <c r="S313" s="14"/>
      <c r="T313" s="14"/>
      <c r="U313" s="14"/>
      <c r="V313" s="14"/>
      <c r="W313" s="14"/>
    </row>
    <row r="314" ht="31.5" customHeight="1">
      <c r="A314" s="109" t="s">
        <v>7570</v>
      </c>
      <c r="B314" s="110" t="s">
        <v>7571</v>
      </c>
      <c r="C314" s="111" t="s">
        <v>7572</v>
      </c>
      <c r="D314" s="28" t="s">
        <v>7573</v>
      </c>
      <c r="E314" s="28" t="str">
        <f>IFERROR(__xludf.DUMMYFUNCTION("GOOGLETRANSLATE(D314,""zh-CN"",""vi"")"),"Anh ấy xuất thân từ một gia đình nghèo.")</f>
        <v>Anh ấy xuất thân từ một gia đình nghèo.</v>
      </c>
      <c r="F314" s="128"/>
      <c r="G314" s="36" t="b">
        <f t="shared" si="1"/>
        <v>0</v>
      </c>
      <c r="H314" s="35" t="b">
        <v>0</v>
      </c>
      <c r="I314" s="35" t="b">
        <v>0</v>
      </c>
      <c r="J314" s="35" t="b">
        <v>0</v>
      </c>
      <c r="K314" s="35" t="b">
        <v>0</v>
      </c>
      <c r="L314" s="35" t="b">
        <v>0</v>
      </c>
      <c r="M314" s="35" t="b">
        <v>0</v>
      </c>
      <c r="N314" s="35" t="b">
        <v>0</v>
      </c>
      <c r="O314" s="35" t="b">
        <v>0</v>
      </c>
      <c r="P314" s="35" t="b">
        <v>0</v>
      </c>
      <c r="Q314" s="35" t="b">
        <v>0</v>
      </c>
      <c r="R314" s="14"/>
      <c r="S314" s="14"/>
      <c r="T314" s="14"/>
      <c r="U314" s="14"/>
      <c r="V314" s="14"/>
      <c r="W314" s="14"/>
    </row>
    <row r="315" ht="31.5" customHeight="1">
      <c r="A315" s="109" t="s">
        <v>7577</v>
      </c>
      <c r="B315" s="110" t="s">
        <v>7578</v>
      </c>
      <c r="C315" s="111" t="s">
        <v>7579</v>
      </c>
      <c r="D315" s="28" t="s">
        <v>7580</v>
      </c>
      <c r="E315" s="28" t="str">
        <f>IFERROR(__xludf.DUMMYFUNCTION("GOOGLETRANSLATE(D315,""zh-CN"",""vi"")"),"Anh ấy mải mê suy nghĩ trong khi xem phim.")</f>
        <v>Anh ấy mải mê suy nghĩ trong khi xem phim.</v>
      </c>
      <c r="F315" s="128"/>
      <c r="G315" s="36" t="b">
        <f t="shared" si="1"/>
        <v>0</v>
      </c>
      <c r="H315" s="35" t="b">
        <v>0</v>
      </c>
      <c r="I315" s="35" t="b">
        <v>0</v>
      </c>
      <c r="J315" s="35" t="b">
        <v>0</v>
      </c>
      <c r="K315" s="35" t="b">
        <v>0</v>
      </c>
      <c r="L315" s="35" t="b">
        <v>0</v>
      </c>
      <c r="M315" s="35" t="b">
        <v>0</v>
      </c>
      <c r="N315" s="35" t="b">
        <v>0</v>
      </c>
      <c r="O315" s="35" t="b">
        <v>0</v>
      </c>
      <c r="P315" s="35" t="b">
        <v>0</v>
      </c>
      <c r="Q315" s="35" t="b">
        <v>0</v>
      </c>
      <c r="R315" s="14"/>
      <c r="S315" s="14"/>
      <c r="T315" s="14"/>
      <c r="U315" s="14"/>
      <c r="V315" s="14"/>
      <c r="W315" s="14"/>
    </row>
    <row r="316" ht="31.5" customHeight="1">
      <c r="A316" s="109" t="s">
        <v>7585</v>
      </c>
      <c r="B316" s="110" t="s">
        <v>7586</v>
      </c>
      <c r="C316" s="111" t="s">
        <v>7587</v>
      </c>
      <c r="D316" s="28" t="s">
        <v>7589</v>
      </c>
      <c r="E316" s="28" t="str">
        <f>IFERROR(__xludf.DUMMYFUNCTION("GOOGLETRANSLATE(D316,""zh-CN"",""vi"")"),"Anh ấy có tiềm năng rất lớn.")</f>
        <v>Anh ấy có tiềm năng rất lớn.</v>
      </c>
      <c r="F316" s="128"/>
      <c r="G316" s="36" t="b">
        <f t="shared" si="1"/>
        <v>0</v>
      </c>
      <c r="H316" s="35" t="b">
        <v>0</v>
      </c>
      <c r="I316" s="35" t="b">
        <v>0</v>
      </c>
      <c r="J316" s="35" t="b">
        <v>0</v>
      </c>
      <c r="K316" s="35" t="b">
        <v>0</v>
      </c>
      <c r="L316" s="35" t="b">
        <v>0</v>
      </c>
      <c r="M316" s="35" t="b">
        <v>0</v>
      </c>
      <c r="N316" s="35" t="b">
        <v>0</v>
      </c>
      <c r="O316" s="35" t="b">
        <v>0</v>
      </c>
      <c r="P316" s="35" t="b">
        <v>0</v>
      </c>
      <c r="Q316" s="35" t="b">
        <v>0</v>
      </c>
      <c r="R316" s="14"/>
      <c r="S316" s="14"/>
      <c r="T316" s="14"/>
      <c r="U316" s="14"/>
      <c r="V316" s="14"/>
      <c r="W316" s="14"/>
    </row>
    <row r="317" ht="31.5" customHeight="1">
      <c r="A317" s="109" t="s">
        <v>7593</v>
      </c>
      <c r="B317" s="110" t="s">
        <v>7595</v>
      </c>
      <c r="C317" s="111" t="s">
        <v>7597</v>
      </c>
      <c r="D317" s="28" t="s">
        <v>7599</v>
      </c>
      <c r="E317" s="28" t="str">
        <f>IFERROR(__xludf.DUMMYFUNCTION("GOOGLETRANSLATE(D317,""zh-CN"",""vi"")"),"Ông ta đã tự biến mình thành trò cười trong cuộc họp.")</f>
        <v>Ông ta đã tự biến mình thành trò cười trong cuộc họp.</v>
      </c>
      <c r="F317" s="128"/>
      <c r="G317" s="36" t="b">
        <f t="shared" si="1"/>
        <v>0</v>
      </c>
      <c r="H317" s="35" t="b">
        <v>0</v>
      </c>
      <c r="I317" s="35" t="b">
        <v>0</v>
      </c>
      <c r="J317" s="35" t="b">
        <v>0</v>
      </c>
      <c r="K317" s="35" t="b">
        <v>0</v>
      </c>
      <c r="L317" s="35" t="b">
        <v>0</v>
      </c>
      <c r="M317" s="35" t="b">
        <v>0</v>
      </c>
      <c r="N317" s="35" t="b">
        <v>0</v>
      </c>
      <c r="O317" s="35" t="b">
        <v>0</v>
      </c>
      <c r="P317" s="35" t="b">
        <v>0</v>
      </c>
      <c r="Q317" s="35" t="b">
        <v>0</v>
      </c>
      <c r="R317" s="14"/>
      <c r="S317" s="14"/>
      <c r="T317" s="14"/>
      <c r="U317" s="14"/>
      <c r="V317" s="14"/>
      <c r="W317" s="14"/>
    </row>
    <row r="318" ht="31.5" customHeight="1">
      <c r="A318" s="109" t="s">
        <v>7602</v>
      </c>
      <c r="B318" s="110" t="s">
        <v>7604</v>
      </c>
      <c r="C318" s="111" t="s">
        <v>7606</v>
      </c>
      <c r="D318" s="28" t="s">
        <v>7608</v>
      </c>
      <c r="E318" s="28" t="str">
        <f>IFERROR(__xludf.DUMMYFUNCTION("GOOGLETRANSLATE(D318,""zh-CN"",""vi"")"),"Chúng ta cần tích trữ đủ nhu yếu phẩm.")</f>
        <v>Chúng ta cần tích trữ đủ nhu yếu phẩm.</v>
      </c>
      <c r="F318" s="128"/>
      <c r="G318" s="36" t="b">
        <f t="shared" si="1"/>
        <v>0</v>
      </c>
      <c r="H318" s="35" t="b">
        <v>0</v>
      </c>
      <c r="I318" s="35" t="b">
        <v>0</v>
      </c>
      <c r="J318" s="35" t="b">
        <v>0</v>
      </c>
      <c r="K318" s="35" t="b">
        <v>0</v>
      </c>
      <c r="L318" s="35" t="b">
        <v>0</v>
      </c>
      <c r="M318" s="35" t="b">
        <v>0</v>
      </c>
      <c r="N318" s="35" t="b">
        <v>0</v>
      </c>
      <c r="O318" s="35" t="b">
        <v>0</v>
      </c>
      <c r="P318" s="35" t="b">
        <v>0</v>
      </c>
      <c r="Q318" s="35" t="b">
        <v>0</v>
      </c>
      <c r="R318" s="14"/>
      <c r="S318" s="14"/>
      <c r="T318" s="14"/>
      <c r="U318" s="14"/>
      <c r="V318" s="14"/>
      <c r="W318" s="14"/>
    </row>
    <row r="319" ht="31.5" customHeight="1">
      <c r="A319" s="109" t="s">
        <v>7613</v>
      </c>
      <c r="B319" s="110" t="s">
        <v>7614</v>
      </c>
      <c r="C319" s="111" t="s">
        <v>7616</v>
      </c>
      <c r="D319" s="28" t="s">
        <v>7618</v>
      </c>
      <c r="E319" s="28" t="str">
        <f>IFERROR(__xludf.DUMMYFUNCTION("GOOGLETRANSLATE(D319,""zh-CN"",""vi"")"),"Dữ liệu này cần được lưu trữ.")</f>
        <v>Dữ liệu này cần được lưu trữ.</v>
      </c>
      <c r="F319" s="128"/>
      <c r="G319" s="36" t="b">
        <f t="shared" si="1"/>
        <v>0</v>
      </c>
      <c r="H319" s="35" t="b">
        <v>0</v>
      </c>
      <c r="I319" s="35" t="b">
        <v>0</v>
      </c>
      <c r="J319" s="35" t="b">
        <v>0</v>
      </c>
      <c r="K319" s="35" t="b">
        <v>0</v>
      </c>
      <c r="L319" s="35" t="b">
        <v>0</v>
      </c>
      <c r="M319" s="35" t="b">
        <v>0</v>
      </c>
      <c r="N319" s="35" t="b">
        <v>0</v>
      </c>
      <c r="O319" s="35" t="b">
        <v>0</v>
      </c>
      <c r="P319" s="35" t="b">
        <v>0</v>
      </c>
      <c r="Q319" s="35" t="b">
        <v>0</v>
      </c>
      <c r="R319" s="14"/>
      <c r="S319" s="14"/>
      <c r="T319" s="14"/>
      <c r="U319" s="14"/>
      <c r="V319" s="14"/>
      <c r="W319" s="14"/>
    </row>
    <row r="320" ht="31.5" customHeight="1">
      <c r="A320" s="109" t="s">
        <v>7622</v>
      </c>
      <c r="B320" s="110" t="s">
        <v>7624</v>
      </c>
      <c r="C320" s="111" t="s">
        <v>7626</v>
      </c>
      <c r="D320" s="28" t="s">
        <v>7628</v>
      </c>
      <c r="E320" s="28" t="str">
        <f>IFERROR(__xludf.DUMMYFUNCTION("GOOGLETRANSLATE(D320,""zh-CN"",""vi"")"),"Anh ta là người có kỷ luật.")</f>
        <v>Anh ta là người có kỷ luật.</v>
      </c>
      <c r="F320" s="128"/>
      <c r="G320" s="36" t="b">
        <f t="shared" si="1"/>
        <v>0</v>
      </c>
      <c r="H320" s="35" t="b">
        <v>0</v>
      </c>
      <c r="I320" s="35" t="b">
        <v>0</v>
      </c>
      <c r="J320" s="35" t="b">
        <v>0</v>
      </c>
      <c r="K320" s="35" t="b">
        <v>0</v>
      </c>
      <c r="L320" s="35" t="b">
        <v>0</v>
      </c>
      <c r="M320" s="35" t="b">
        <v>0</v>
      </c>
      <c r="N320" s="35" t="b">
        <v>0</v>
      </c>
      <c r="O320" s="35" t="b">
        <v>0</v>
      </c>
      <c r="P320" s="35" t="b">
        <v>0</v>
      </c>
      <c r="Q320" s="35" t="b">
        <v>0</v>
      </c>
      <c r="R320" s="14"/>
      <c r="S320" s="14"/>
      <c r="T320" s="14"/>
      <c r="U320" s="14"/>
      <c r="V320" s="14"/>
      <c r="W320" s="14"/>
    </row>
    <row r="321" ht="31.5" customHeight="1">
      <c r="A321" s="109" t="s">
        <v>7631</v>
      </c>
      <c r="B321" s="110" t="s">
        <v>7633</v>
      </c>
      <c r="C321" s="111" t="s">
        <v>7635</v>
      </c>
      <c r="D321" s="28" t="s">
        <v>7636</v>
      </c>
      <c r="E321" s="28" t="str">
        <f>IFERROR(__xludf.DUMMYFUNCTION("GOOGLETRANSLATE(D321,""zh-CN"",""vi"")"),"Tình cảnh của anh ấy rất khó khăn.")</f>
        <v>Tình cảnh của anh ấy rất khó khăn.</v>
      </c>
      <c r="F321" s="128"/>
      <c r="G321" s="36" t="b">
        <f t="shared" si="1"/>
        <v>0</v>
      </c>
      <c r="H321" s="35" t="b">
        <v>0</v>
      </c>
      <c r="I321" s="35" t="b">
        <v>0</v>
      </c>
      <c r="J321" s="35" t="b">
        <v>0</v>
      </c>
      <c r="K321" s="35" t="b">
        <v>0</v>
      </c>
      <c r="L321" s="35" t="b">
        <v>0</v>
      </c>
      <c r="M321" s="35" t="b">
        <v>0</v>
      </c>
      <c r="N321" s="35" t="b">
        <v>0</v>
      </c>
      <c r="O321" s="35" t="b">
        <v>0</v>
      </c>
      <c r="P321" s="35" t="b">
        <v>0</v>
      </c>
      <c r="Q321" s="35" t="b">
        <v>0</v>
      </c>
      <c r="R321" s="14"/>
      <c r="S321" s="14"/>
      <c r="T321" s="14"/>
      <c r="U321" s="14"/>
      <c r="V321" s="14"/>
      <c r="W321" s="14"/>
    </row>
    <row r="322" ht="31.5" customHeight="1">
      <c r="A322" s="109" t="s">
        <v>7640</v>
      </c>
      <c r="B322" s="110" t="s">
        <v>7642</v>
      </c>
      <c r="C322" s="111" t="s">
        <v>7643</v>
      </c>
      <c r="D322" s="28" t="s">
        <v>7644</v>
      </c>
      <c r="E322" s="28" t="str">
        <f>IFERROR(__xludf.DUMMYFUNCTION("GOOGLETRANSLATE(D322,""zh-CN"",""vi"")"),"Chúng ta cần mở một tài khoản tiết kiệm.")</f>
        <v>Chúng ta cần mở một tài khoản tiết kiệm.</v>
      </c>
      <c r="F322" s="128"/>
      <c r="G322" s="36" t="b">
        <f t="shared" si="1"/>
        <v>0</v>
      </c>
      <c r="H322" s="35" t="b">
        <v>0</v>
      </c>
      <c r="I322" s="35" t="b">
        <v>0</v>
      </c>
      <c r="J322" s="35" t="b">
        <v>0</v>
      </c>
      <c r="K322" s="35" t="b">
        <v>0</v>
      </c>
      <c r="L322" s="35" t="b">
        <v>0</v>
      </c>
      <c r="M322" s="35" t="b">
        <v>0</v>
      </c>
      <c r="N322" s="35" t="b">
        <v>0</v>
      </c>
      <c r="O322" s="35" t="b">
        <v>0</v>
      </c>
      <c r="P322" s="35" t="b">
        <v>0</v>
      </c>
      <c r="Q322" s="35" t="b">
        <v>0</v>
      </c>
      <c r="R322" s="14"/>
      <c r="S322" s="14"/>
      <c r="T322" s="14"/>
      <c r="U322" s="14"/>
      <c r="V322" s="14"/>
      <c r="W322" s="14"/>
    </row>
    <row r="323" ht="31.5" customHeight="1">
      <c r="A323" s="109" t="s">
        <v>7646</v>
      </c>
      <c r="B323" s="110" t="s">
        <v>7648</v>
      </c>
      <c r="C323" s="111" t="s">
        <v>7650</v>
      </c>
      <c r="D323" s="28" t="s">
        <v>7651</v>
      </c>
      <c r="E323" s="28" t="str">
        <f>IFERROR(__xludf.DUMMYFUNCTION("GOOGLETRANSLATE(D323,""zh-CN"",""vi"")"),"Cảnh sát đã nhanh chóng có mặt tại hiện trường vụ việc.")</f>
        <v>Cảnh sát đã nhanh chóng có mặt tại hiện trường vụ việc.</v>
      </c>
      <c r="F323" s="128"/>
      <c r="G323" s="36" t="b">
        <f t="shared" si="1"/>
        <v>0</v>
      </c>
      <c r="H323" s="35" t="b">
        <v>0</v>
      </c>
      <c r="I323" s="35" t="b">
        <v>0</v>
      </c>
      <c r="J323" s="35" t="b">
        <v>0</v>
      </c>
      <c r="K323" s="35" t="b">
        <v>0</v>
      </c>
      <c r="L323" s="35" t="b">
        <v>0</v>
      </c>
      <c r="M323" s="35" t="b">
        <v>0</v>
      </c>
      <c r="N323" s="35" t="b">
        <v>0</v>
      </c>
      <c r="O323" s="35" t="b">
        <v>0</v>
      </c>
      <c r="P323" s="35" t="b">
        <v>0</v>
      </c>
      <c r="Q323" s="35" t="b">
        <v>0</v>
      </c>
      <c r="R323" s="14"/>
      <c r="S323" s="14"/>
      <c r="T323" s="14"/>
      <c r="U323" s="14"/>
      <c r="V323" s="14"/>
      <c r="W323" s="14"/>
    </row>
    <row r="324" ht="31.5" customHeight="1">
      <c r="A324" s="109" t="s">
        <v>7656</v>
      </c>
      <c r="B324" s="110" t="s">
        <v>7657</v>
      </c>
      <c r="C324" s="111" t="s">
        <v>7658</v>
      </c>
      <c r="D324" s="28" t="s">
        <v>7659</v>
      </c>
      <c r="E324" s="28" t="str">
        <f>IFERROR(__xludf.DUMMYFUNCTION("GOOGLETRANSLATE(D324,""zh-CN"",""vi"")"),"Anh ta đã vi phạm pháp luật.")</f>
        <v>Anh ta đã vi phạm pháp luật.</v>
      </c>
      <c r="F324" s="128"/>
      <c r="G324" s="36" t="b">
        <f t="shared" si="1"/>
        <v>0</v>
      </c>
      <c r="H324" s="35" t="b">
        <v>0</v>
      </c>
      <c r="I324" s="35" t="b">
        <v>0</v>
      </c>
      <c r="J324" s="35" t="b">
        <v>0</v>
      </c>
      <c r="K324" s="35" t="b">
        <v>0</v>
      </c>
      <c r="L324" s="35" t="b">
        <v>0</v>
      </c>
      <c r="M324" s="35" t="b">
        <v>0</v>
      </c>
      <c r="N324" s="35" t="b">
        <v>0</v>
      </c>
      <c r="O324" s="35" t="b">
        <v>0</v>
      </c>
      <c r="P324" s="35" t="b">
        <v>0</v>
      </c>
      <c r="Q324" s="35" t="b">
        <v>0</v>
      </c>
      <c r="R324" s="14"/>
      <c r="S324" s="14"/>
      <c r="T324" s="14"/>
      <c r="U324" s="14"/>
      <c r="V324" s="14"/>
      <c r="W324" s="14"/>
    </row>
    <row r="325" ht="31.5" customHeight="1">
      <c r="A325" s="124" t="s">
        <v>7660</v>
      </c>
      <c r="B325" s="125" t="s">
        <v>7661</v>
      </c>
      <c r="C325" s="126" t="s">
        <v>7663</v>
      </c>
      <c r="D325" s="127" t="s">
        <v>7666</v>
      </c>
      <c r="E325" s="28" t="str">
        <f>IFERROR(__xludf.DUMMYFUNCTION("GOOGLETRANSLATE(D325,""zh-CN"",""vi"")"),"Khách khứa đổ xô về phía ngôi nhà.")</f>
        <v>Khách khứa đổ xô về phía ngôi nhà.</v>
      </c>
      <c r="F325" s="128"/>
      <c r="G325" s="36" t="b">
        <f t="shared" si="1"/>
        <v>0</v>
      </c>
      <c r="H325" s="35" t="b">
        <v>0</v>
      </c>
      <c r="I325" s="35" t="b">
        <v>0</v>
      </c>
      <c r="J325" s="35" t="b">
        <v>0</v>
      </c>
      <c r="K325" s="35" t="b">
        <v>0</v>
      </c>
      <c r="L325" s="35" t="b">
        <v>0</v>
      </c>
      <c r="M325" s="35" t="b">
        <v>0</v>
      </c>
      <c r="N325" s="35" t="b">
        <v>0</v>
      </c>
      <c r="O325" s="35" t="b">
        <v>0</v>
      </c>
      <c r="P325" s="35" t="b">
        <v>0</v>
      </c>
      <c r="Q325" s="35" t="b">
        <v>0</v>
      </c>
      <c r="R325" s="14"/>
      <c r="S325" s="14"/>
      <c r="T325" s="14"/>
      <c r="U325" s="14"/>
      <c r="V325" s="14"/>
      <c r="W325" s="14"/>
    </row>
    <row r="326" ht="31.5" customHeight="1">
      <c r="A326" s="124" t="s">
        <v>7668</v>
      </c>
      <c r="B326" s="125" t="s">
        <v>7670</v>
      </c>
      <c r="C326" s="126" t="s">
        <v>7672</v>
      </c>
      <c r="D326" s="127" t="s">
        <v>7674</v>
      </c>
      <c r="E326" s="28" t="str">
        <f>IFERROR(__xludf.DUMMYFUNCTION("GOOGLETRANSLATE(D326,""zh-CN"",""vi"")"),"Họ đã vượt qua sa mạc.")</f>
        <v>Họ đã vượt qua sa mạc.</v>
      </c>
      <c r="F326" s="128"/>
      <c r="G326" s="36" t="b">
        <f t="shared" si="1"/>
        <v>0</v>
      </c>
      <c r="H326" s="35" t="b">
        <v>0</v>
      </c>
      <c r="I326" s="35" t="b">
        <v>0</v>
      </c>
      <c r="J326" s="35" t="b">
        <v>0</v>
      </c>
      <c r="K326" s="35" t="b">
        <v>0</v>
      </c>
      <c r="L326" s="35" t="b">
        <v>0</v>
      </c>
      <c r="M326" s="35" t="b">
        <v>0</v>
      </c>
      <c r="N326" s="35" t="b">
        <v>0</v>
      </c>
      <c r="O326" s="35" t="b">
        <v>0</v>
      </c>
      <c r="P326" s="35" t="b">
        <v>0</v>
      </c>
      <c r="Q326" s="35" t="b">
        <v>0</v>
      </c>
      <c r="R326" s="14"/>
      <c r="S326" s="14"/>
      <c r="T326" s="14"/>
      <c r="U326" s="14"/>
      <c r="V326" s="14"/>
      <c r="W326" s="14"/>
    </row>
    <row r="327" ht="31.5" customHeight="1">
      <c r="A327" s="109" t="s">
        <v>7678</v>
      </c>
      <c r="B327" s="110" t="s">
        <v>7680</v>
      </c>
      <c r="C327" s="111" t="s">
        <v>7682</v>
      </c>
      <c r="D327" s="28" t="s">
        <v>7683</v>
      </c>
      <c r="E327" s="28" t="str">
        <f>IFERROR(__xludf.DUMMYFUNCTION("GOOGLETRANSLATE(D327,""zh-CN"",""vi"")"),"Con tàu này rất lớn.")</f>
        <v>Con tàu này rất lớn.</v>
      </c>
      <c r="F327" s="128"/>
      <c r="G327" s="36" t="b">
        <f t="shared" si="1"/>
        <v>0</v>
      </c>
      <c r="H327" s="35" t="b">
        <v>0</v>
      </c>
      <c r="I327" s="35" t="b">
        <v>0</v>
      </c>
      <c r="J327" s="35" t="b">
        <v>0</v>
      </c>
      <c r="K327" s="35" t="b">
        <v>0</v>
      </c>
      <c r="L327" s="35" t="b">
        <v>0</v>
      </c>
      <c r="M327" s="35" t="b">
        <v>0</v>
      </c>
      <c r="N327" s="35" t="b">
        <v>0</v>
      </c>
      <c r="O327" s="35" t="b">
        <v>0</v>
      </c>
      <c r="P327" s="35" t="b">
        <v>0</v>
      </c>
      <c r="Q327" s="35" t="b">
        <v>0</v>
      </c>
      <c r="R327" s="14"/>
      <c r="S327" s="14"/>
      <c r="T327" s="14"/>
      <c r="U327" s="14"/>
      <c r="V327" s="14"/>
      <c r="W327" s="14"/>
    </row>
    <row r="328" ht="31.5" customHeight="1">
      <c r="A328" s="109" t="s">
        <v>7688</v>
      </c>
      <c r="B328" s="110" t="s">
        <v>7689</v>
      </c>
      <c r="C328" s="111" t="s">
        <v>7690</v>
      </c>
      <c r="D328" s="28" t="s">
        <v>7691</v>
      </c>
      <c r="E328" s="28" t="str">
        <f>IFERROR(__xludf.DUMMYFUNCTION("GOOGLETRANSLATE(D328,""zh-CN"",""vi"")"),"Ông ấy đã truyền đạt thông điệp.")</f>
        <v>Ông ấy đã truyền đạt thông điệp.</v>
      </c>
      <c r="F328" s="128"/>
      <c r="G328" s="36" t="b">
        <f t="shared" si="1"/>
        <v>0</v>
      </c>
      <c r="H328" s="35" t="b">
        <v>0</v>
      </c>
      <c r="I328" s="35" t="b">
        <v>0</v>
      </c>
      <c r="J328" s="35" t="b">
        <v>0</v>
      </c>
      <c r="K328" s="35" t="b">
        <v>0</v>
      </c>
      <c r="L328" s="35" t="b">
        <v>0</v>
      </c>
      <c r="M328" s="35" t="b">
        <v>0</v>
      </c>
      <c r="N328" s="35" t="b">
        <v>0</v>
      </c>
      <c r="O328" s="35" t="b">
        <v>0</v>
      </c>
      <c r="P328" s="35" t="b">
        <v>0</v>
      </c>
      <c r="Q328" s="35" t="b">
        <v>0</v>
      </c>
      <c r="R328" s="14"/>
      <c r="S328" s="14"/>
      <c r="T328" s="14"/>
      <c r="U328" s="14"/>
      <c r="V328" s="14"/>
      <c r="W328" s="14"/>
    </row>
    <row r="329" ht="31.5" customHeight="1">
      <c r="A329" s="109" t="s">
        <v>7696</v>
      </c>
      <c r="B329" s="110" t="s">
        <v>7697</v>
      </c>
      <c r="C329" s="111" t="s">
        <v>7698</v>
      </c>
      <c r="D329" s="28" t="s">
        <v>7699</v>
      </c>
      <c r="E329" s="28" t="str">
        <f>IFERROR(__xludf.DUMMYFUNCTION("GOOGLETRANSLATE(D329,""zh-CN"",""vi"")"),"Anh ấy đưa cho tôi một tờ rơi.")</f>
        <v>Anh ấy đưa cho tôi một tờ rơi.</v>
      </c>
      <c r="F329" s="128"/>
      <c r="G329" s="36" t="b">
        <f t="shared" si="1"/>
        <v>0</v>
      </c>
      <c r="H329" s="35" t="b">
        <v>0</v>
      </c>
      <c r="I329" s="35" t="b">
        <v>0</v>
      </c>
      <c r="J329" s="35" t="b">
        <v>0</v>
      </c>
      <c r="K329" s="35" t="b">
        <v>0</v>
      </c>
      <c r="L329" s="35" t="b">
        <v>0</v>
      </c>
      <c r="M329" s="35" t="b">
        <v>0</v>
      </c>
      <c r="N329" s="35" t="b">
        <v>0</v>
      </c>
      <c r="O329" s="35" t="b">
        <v>0</v>
      </c>
      <c r="P329" s="35" t="b">
        <v>0</v>
      </c>
      <c r="Q329" s="35" t="b">
        <v>0</v>
      </c>
      <c r="R329" s="14"/>
      <c r="S329" s="14"/>
      <c r="T329" s="14"/>
      <c r="U329" s="14"/>
      <c r="V329" s="14"/>
      <c r="W329" s="14"/>
    </row>
    <row r="330" ht="31.5" customHeight="1">
      <c r="A330" s="109" t="s">
        <v>7708</v>
      </c>
      <c r="B330" s="110" t="s">
        <v>7709</v>
      </c>
      <c r="C330" s="111" t="s">
        <v>7710</v>
      </c>
      <c r="D330" s="28" t="s">
        <v>7711</v>
      </c>
      <c r="E330" s="28" t="str">
        <f>IFERROR(__xludf.DUMMYFUNCTION("GOOGLETRANSLATE(D330,""zh-CN"",""vi"")"),"Ông ấy đã truyền đạt cho chúng tôi rất nhiều kiến ​​thức.")</f>
        <v>Ông ấy đã truyền đạt cho chúng tôi rất nhiều kiến ​​thức.</v>
      </c>
      <c r="F330" s="128"/>
      <c r="G330" s="36" t="b">
        <f t="shared" si="1"/>
        <v>0</v>
      </c>
      <c r="H330" s="35" t="b">
        <v>0</v>
      </c>
      <c r="I330" s="35" t="b">
        <v>0</v>
      </c>
      <c r="J330" s="35" t="b">
        <v>0</v>
      </c>
      <c r="K330" s="35" t="b">
        <v>0</v>
      </c>
      <c r="L330" s="35" t="b">
        <v>0</v>
      </c>
      <c r="M330" s="35" t="b">
        <v>0</v>
      </c>
      <c r="N330" s="35" t="b">
        <v>0</v>
      </c>
      <c r="O330" s="35" t="b">
        <v>0</v>
      </c>
      <c r="P330" s="35" t="b">
        <v>0</v>
      </c>
      <c r="Q330" s="35" t="b">
        <v>0</v>
      </c>
      <c r="R330" s="14"/>
      <c r="S330" s="14"/>
      <c r="T330" s="14"/>
      <c r="U330" s="14"/>
      <c r="V330" s="14"/>
      <c r="W330" s="14"/>
    </row>
    <row r="331" ht="31.5" customHeight="1">
      <c r="A331" s="109" t="s">
        <v>7716</v>
      </c>
      <c r="B331" s="110" t="s">
        <v>7717</v>
      </c>
      <c r="C331" s="111" t="s">
        <v>7718</v>
      </c>
      <c r="D331" s="28" t="s">
        <v>7719</v>
      </c>
      <c r="E331" s="28" t="str">
        <f>IFERROR(__xludf.DUMMYFUNCTION("GOOGLETRANSLATE(D331,""zh-CN"",""vi"")"),"Anh ta thở hổn hển vì chạy.")</f>
        <v>Anh ta thở hổn hển vì chạy.</v>
      </c>
      <c r="F331" s="128"/>
      <c r="G331" s="36" t="b">
        <f t="shared" si="1"/>
        <v>0</v>
      </c>
      <c r="H331" s="35" t="b">
        <v>0</v>
      </c>
      <c r="I331" s="35" t="b">
        <v>0</v>
      </c>
      <c r="J331" s="35" t="b">
        <v>0</v>
      </c>
      <c r="K331" s="35" t="b">
        <v>0</v>
      </c>
      <c r="L331" s="35" t="b">
        <v>0</v>
      </c>
      <c r="M331" s="35" t="b">
        <v>0</v>
      </c>
      <c r="N331" s="35" t="b">
        <v>0</v>
      </c>
      <c r="O331" s="35" t="b">
        <v>0</v>
      </c>
      <c r="P331" s="35" t="b">
        <v>0</v>
      </c>
      <c r="Q331" s="35" t="b">
        <v>0</v>
      </c>
      <c r="R331" s="14"/>
      <c r="S331" s="14"/>
      <c r="T331" s="14"/>
      <c r="U331" s="14"/>
      <c r="V331" s="14"/>
      <c r="W331" s="14"/>
    </row>
    <row r="332" ht="31.5" customHeight="1">
      <c r="A332" s="109" t="s">
        <v>7724</v>
      </c>
      <c r="B332" s="110" t="s">
        <v>7725</v>
      </c>
      <c r="C332" s="111" t="s">
        <v>7726</v>
      </c>
      <c r="D332" s="28" t="s">
        <v>7728</v>
      </c>
      <c r="E332" s="28" t="str">
        <f>IFERROR(__xludf.DUMMYFUNCTION("GOOGLETRANSLATE(D332,""zh-CN"",""vi"")"),"Chúng tôi xâu chuỗi các chìa khóa lại với nhau.")</f>
        <v>Chúng tôi xâu chuỗi các chìa khóa lại với nhau.</v>
      </c>
      <c r="F332" s="128"/>
      <c r="G332" s="36" t="b">
        <f t="shared" si="1"/>
        <v>0</v>
      </c>
      <c r="H332" s="35" t="b">
        <v>0</v>
      </c>
      <c r="I332" s="35" t="b">
        <v>0</v>
      </c>
      <c r="J332" s="35" t="b">
        <v>0</v>
      </c>
      <c r="K332" s="35" t="b">
        <v>0</v>
      </c>
      <c r="L332" s="35" t="b">
        <v>0</v>
      </c>
      <c r="M332" s="35" t="b">
        <v>0</v>
      </c>
      <c r="N332" s="35" t="b">
        <v>0</v>
      </c>
      <c r="O332" s="35" t="b">
        <v>0</v>
      </c>
      <c r="P332" s="35" t="b">
        <v>0</v>
      </c>
      <c r="Q332" s="35" t="b">
        <v>0</v>
      </c>
      <c r="R332" s="14"/>
      <c r="S332" s="14"/>
      <c r="T332" s="14"/>
      <c r="U332" s="14"/>
      <c r="V332" s="14"/>
      <c r="W332" s="14"/>
    </row>
    <row r="333" ht="31.5" customHeight="1">
      <c r="A333" s="109" t="s">
        <v>7733</v>
      </c>
      <c r="B333" s="110" t="s">
        <v>7735</v>
      </c>
      <c r="C333" s="111" t="s">
        <v>7737</v>
      </c>
      <c r="D333" s="28" t="s">
        <v>7739</v>
      </c>
      <c r="E333" s="28" t="str">
        <f>IFERROR(__xludf.DUMMYFUNCTION("GOOGLETRANSLATE(D333,""zh-CN"",""vi"")"),"Tấm ga trải giường rất sạch sẽ.")</f>
        <v>Tấm ga trải giường rất sạch sẽ.</v>
      </c>
      <c r="F333" s="128"/>
      <c r="G333" s="36" t="b">
        <f t="shared" si="1"/>
        <v>0</v>
      </c>
      <c r="H333" s="35" t="b">
        <v>0</v>
      </c>
      <c r="I333" s="35" t="b">
        <v>0</v>
      </c>
      <c r="J333" s="35" t="b">
        <v>0</v>
      </c>
      <c r="K333" s="35" t="b">
        <v>0</v>
      </c>
      <c r="L333" s="35" t="b">
        <v>0</v>
      </c>
      <c r="M333" s="35" t="b">
        <v>0</v>
      </c>
      <c r="N333" s="35" t="b">
        <v>0</v>
      </c>
      <c r="O333" s="35" t="b">
        <v>0</v>
      </c>
      <c r="P333" s="35" t="b">
        <v>0</v>
      </c>
      <c r="Q333" s="35" t="b">
        <v>0</v>
      </c>
      <c r="R333" s="14"/>
      <c r="S333" s="14"/>
      <c r="T333" s="14"/>
      <c r="U333" s="14"/>
      <c r="V333" s="14"/>
      <c r="W333" s="14"/>
    </row>
    <row r="334" ht="31.5" customHeight="1">
      <c r="A334" s="109" t="s">
        <v>7744</v>
      </c>
      <c r="B334" s="110" t="s">
        <v>7745</v>
      </c>
      <c r="C334" s="111" t="s">
        <v>7746</v>
      </c>
      <c r="D334" s="28" t="s">
        <v>7747</v>
      </c>
      <c r="E334" s="28" t="str">
        <f>IFERROR(__xludf.DUMMYFUNCTION("GOOGLETRANSLATE(D334,""zh-CN"",""vi"")"),"Ông đã thành lập công ty riêng của mình.")</f>
        <v>Ông đã thành lập công ty riêng của mình.</v>
      </c>
      <c r="F334" s="128"/>
      <c r="G334" s="36" t="b">
        <f t="shared" si="1"/>
        <v>0</v>
      </c>
      <c r="H334" s="35" t="b">
        <v>0</v>
      </c>
      <c r="I334" s="35" t="b">
        <v>0</v>
      </c>
      <c r="J334" s="35" t="b">
        <v>0</v>
      </c>
      <c r="K334" s="35" t="b">
        <v>0</v>
      </c>
      <c r="L334" s="35" t="b">
        <v>0</v>
      </c>
      <c r="M334" s="35" t="b">
        <v>0</v>
      </c>
      <c r="N334" s="35" t="b">
        <v>0</v>
      </c>
      <c r="O334" s="35" t="b">
        <v>0</v>
      </c>
      <c r="P334" s="35" t="b">
        <v>0</v>
      </c>
      <c r="Q334" s="35" t="b">
        <v>0</v>
      </c>
      <c r="R334" s="14"/>
      <c r="S334" s="14"/>
      <c r="T334" s="14"/>
      <c r="U334" s="14"/>
      <c r="V334" s="14"/>
      <c r="W334" s="14"/>
    </row>
    <row r="335" ht="31.5" customHeight="1">
      <c r="A335" s="109" t="s">
        <v>7752</v>
      </c>
      <c r="B335" s="110" t="s">
        <v>7753</v>
      </c>
      <c r="C335" s="111" t="s">
        <v>7754</v>
      </c>
      <c r="D335" s="28" t="s">
        <v>7755</v>
      </c>
      <c r="E335" s="28" t="str">
        <f>IFERROR(__xludf.DUMMYFUNCTION("GOOGLETRANSLATE(D335,""zh-CN"",""vi"")"),"Chúng ta cần liên tục đổi mới.")</f>
        <v>Chúng ta cần liên tục đổi mới.</v>
      </c>
      <c r="F335" s="128"/>
      <c r="G335" s="36" t="b">
        <f t="shared" si="1"/>
        <v>0</v>
      </c>
      <c r="H335" s="35" t="b">
        <v>0</v>
      </c>
      <c r="I335" s="35" t="b">
        <v>0</v>
      </c>
      <c r="J335" s="35" t="b">
        <v>0</v>
      </c>
      <c r="K335" s="35" t="b">
        <v>0</v>
      </c>
      <c r="L335" s="35" t="b">
        <v>0</v>
      </c>
      <c r="M335" s="35" t="b">
        <v>0</v>
      </c>
      <c r="N335" s="35" t="b">
        <v>0</v>
      </c>
      <c r="O335" s="35" t="b">
        <v>0</v>
      </c>
      <c r="P335" s="35" t="b">
        <v>0</v>
      </c>
      <c r="Q335" s="35" t="b">
        <v>0</v>
      </c>
      <c r="R335" s="14"/>
      <c r="S335" s="14"/>
      <c r="T335" s="14"/>
      <c r="U335" s="14"/>
      <c r="V335" s="14"/>
      <c r="W335" s="14"/>
    </row>
    <row r="336" ht="31.5" customHeight="1">
      <c r="A336" s="109" t="s">
        <v>7760</v>
      </c>
      <c r="B336" s="110" t="s">
        <v>7761</v>
      </c>
      <c r="C336" s="111" t="s">
        <v>7762</v>
      </c>
      <c r="D336" s="28" t="s">
        <v>7763</v>
      </c>
      <c r="E336" s="28" t="str">
        <f>IFERROR(__xludf.DUMMYFUNCTION("GOOGLETRANSLATE(D336,""zh-CN"",""vi"")"),"Anh ấy quyết định bắt đầu công việc kinh doanh riêng.")</f>
        <v>Anh ấy quyết định bắt đầu công việc kinh doanh riêng.</v>
      </c>
      <c r="F336" s="128"/>
      <c r="G336" s="36" t="b">
        <f t="shared" si="1"/>
        <v>0</v>
      </c>
      <c r="H336" s="35" t="b">
        <v>0</v>
      </c>
      <c r="I336" s="35" t="b">
        <v>0</v>
      </c>
      <c r="J336" s="35" t="b">
        <v>0</v>
      </c>
      <c r="K336" s="35" t="b">
        <v>0</v>
      </c>
      <c r="L336" s="35" t="b">
        <v>0</v>
      </c>
      <c r="M336" s="35" t="b">
        <v>0</v>
      </c>
      <c r="N336" s="35" t="b">
        <v>0</v>
      </c>
      <c r="O336" s="35" t="b">
        <v>0</v>
      </c>
      <c r="P336" s="35" t="b">
        <v>0</v>
      </c>
      <c r="Q336" s="35" t="b">
        <v>0</v>
      </c>
      <c r="R336" s="14"/>
      <c r="S336" s="14"/>
      <c r="T336" s="14"/>
      <c r="U336" s="14"/>
      <c r="V336" s="14"/>
      <c r="W336" s="14"/>
    </row>
    <row r="337" ht="31.5" customHeight="1">
      <c r="A337" s="109" t="s">
        <v>7767</v>
      </c>
      <c r="B337" s="110" t="s">
        <v>7768</v>
      </c>
      <c r="C337" s="111" t="s">
        <v>7769</v>
      </c>
      <c r="D337" s="28" t="s">
        <v>7770</v>
      </c>
      <c r="E337" s="28" t="str">
        <f>IFERROR(__xludf.DUMMYFUNCTION("GOOGLETRANSLATE(D337,""zh-CN"",""vi"")"),"Đây là một tiểu thuyết hư cấu.")</f>
        <v>Đây là một tiểu thuyết hư cấu.</v>
      </c>
      <c r="F337" s="128"/>
      <c r="G337" s="36" t="b">
        <f t="shared" si="1"/>
        <v>0</v>
      </c>
      <c r="H337" s="35" t="b">
        <v>0</v>
      </c>
      <c r="I337" s="35" t="b">
        <v>0</v>
      </c>
      <c r="J337" s="35" t="b">
        <v>0</v>
      </c>
      <c r="K337" s="35" t="b">
        <v>0</v>
      </c>
      <c r="L337" s="35" t="b">
        <v>0</v>
      </c>
      <c r="M337" s="35" t="b">
        <v>0</v>
      </c>
      <c r="N337" s="35" t="b">
        <v>0</v>
      </c>
      <c r="O337" s="35" t="b">
        <v>0</v>
      </c>
      <c r="P337" s="35" t="b">
        <v>0</v>
      </c>
      <c r="Q337" s="35" t="b">
        <v>0</v>
      </c>
      <c r="R337" s="14"/>
      <c r="S337" s="14"/>
      <c r="T337" s="14"/>
      <c r="U337" s="14"/>
      <c r="V337" s="14"/>
      <c r="W337" s="14"/>
    </row>
    <row r="338" ht="31.5" customHeight="1">
      <c r="A338" s="109" t="s">
        <v>7775</v>
      </c>
      <c r="B338" s="110" t="s">
        <v>7776</v>
      </c>
      <c r="C338" s="111" t="s">
        <v>7777</v>
      </c>
      <c r="D338" s="28" t="s">
        <v>7778</v>
      </c>
      <c r="E338" s="28" t="str">
        <f>IFERROR(__xludf.DUMMYFUNCTION("GOOGLETRANSLATE(D338,""zh-CN"",""vi"")"),"Ông ta lúc nào cũng thích khoe khoang.")</f>
        <v>Ông ta lúc nào cũng thích khoe khoang.</v>
      </c>
      <c r="F338" s="128"/>
      <c r="G338" s="36" t="b">
        <f t="shared" si="1"/>
        <v>0</v>
      </c>
      <c r="H338" s="35" t="b">
        <v>0</v>
      </c>
      <c r="I338" s="35" t="b">
        <v>0</v>
      </c>
      <c r="J338" s="35" t="b">
        <v>0</v>
      </c>
      <c r="K338" s="35" t="b">
        <v>0</v>
      </c>
      <c r="L338" s="35" t="b">
        <v>0</v>
      </c>
      <c r="M338" s="35" t="b">
        <v>0</v>
      </c>
      <c r="N338" s="35" t="b">
        <v>0</v>
      </c>
      <c r="O338" s="35" t="b">
        <v>0</v>
      </c>
      <c r="P338" s="35" t="b">
        <v>0</v>
      </c>
      <c r="Q338" s="35" t="b">
        <v>0</v>
      </c>
      <c r="R338" s="14"/>
      <c r="S338" s="14"/>
      <c r="T338" s="14"/>
      <c r="U338" s="14"/>
      <c r="V338" s="14"/>
      <c r="W338" s="14"/>
    </row>
    <row r="339" ht="31.5" customHeight="1">
      <c r="A339" s="109" t="s">
        <v>7783</v>
      </c>
      <c r="B339" s="110" t="s">
        <v>7784</v>
      </c>
      <c r="C339" s="111" t="s">
        <v>7785</v>
      </c>
      <c r="D339" s="28" t="s">
        <v>7786</v>
      </c>
      <c r="E339" s="28" t="str">
        <f>IFERROR(__xludf.DUMMYFUNCTION("GOOGLETRANSLATE(D339,""zh-CN"",""vi"")"),"Họ đã thổi phồng quá mức những thành tích của anh ấy.")</f>
        <v>Họ đã thổi phồng quá mức những thành tích của anh ấy.</v>
      </c>
      <c r="F339" s="128"/>
      <c r="G339" s="36" t="b">
        <f t="shared" si="1"/>
        <v>0</v>
      </c>
      <c r="H339" s="35" t="b">
        <v>0</v>
      </c>
      <c r="I339" s="35" t="b">
        <v>0</v>
      </c>
      <c r="J339" s="35" t="b">
        <v>0</v>
      </c>
      <c r="K339" s="35" t="b">
        <v>0</v>
      </c>
      <c r="L339" s="35" t="b">
        <v>0</v>
      </c>
      <c r="M339" s="35" t="b">
        <v>0</v>
      </c>
      <c r="N339" s="35" t="b">
        <v>0</v>
      </c>
      <c r="O339" s="35" t="b">
        <v>0</v>
      </c>
      <c r="P339" s="35" t="b">
        <v>0</v>
      </c>
      <c r="Q339" s="35" t="b">
        <v>0</v>
      </c>
      <c r="R339" s="14"/>
      <c r="S339" s="14"/>
      <c r="T339" s="14"/>
      <c r="U339" s="14"/>
      <c r="V339" s="14"/>
      <c r="W339" s="14"/>
    </row>
    <row r="340" ht="31.5" customHeight="1">
      <c r="A340" s="109" t="s">
        <v>7791</v>
      </c>
      <c r="B340" s="110" t="s">
        <v>7792</v>
      </c>
      <c r="C340" s="111" t="s">
        <v>7793</v>
      </c>
      <c r="D340" s="28" t="s">
        <v>7796</v>
      </c>
      <c r="E340" s="28" t="str">
        <f>IFERROR(__xludf.DUMMYFUNCTION("GOOGLETRANSLATE(D340,""zh-CN"",""vi"")"),"Anh ta đóng đinh.")</f>
        <v>Anh ta đóng đinh.</v>
      </c>
      <c r="F340" s="128"/>
      <c r="G340" s="36" t="b">
        <f t="shared" si="1"/>
        <v>0</v>
      </c>
      <c r="H340" s="35" t="b">
        <v>0</v>
      </c>
      <c r="I340" s="35" t="b">
        <v>0</v>
      </c>
      <c r="J340" s="35" t="b">
        <v>0</v>
      </c>
      <c r="K340" s="35" t="b">
        <v>0</v>
      </c>
      <c r="L340" s="35" t="b">
        <v>0</v>
      </c>
      <c r="M340" s="35" t="b">
        <v>0</v>
      </c>
      <c r="N340" s="35" t="b">
        <v>0</v>
      </c>
      <c r="O340" s="35" t="b">
        <v>0</v>
      </c>
      <c r="P340" s="35" t="b">
        <v>0</v>
      </c>
      <c r="Q340" s="35" t="b">
        <v>0</v>
      </c>
      <c r="R340" s="14"/>
      <c r="S340" s="14"/>
      <c r="T340" s="14"/>
      <c r="U340" s="14"/>
      <c r="V340" s="14"/>
      <c r="W340" s="14"/>
    </row>
    <row r="341" ht="31.5" customHeight="1">
      <c r="A341" s="109" t="s">
        <v>7803</v>
      </c>
      <c r="B341" s="110" t="s">
        <v>7804</v>
      </c>
      <c r="C341" s="111" t="s">
        <v>7805</v>
      </c>
      <c r="D341" s="28" t="s">
        <v>7806</v>
      </c>
      <c r="E341" s="28" t="str">
        <f>IFERROR(__xludf.DUMMYFUNCTION("GOOGLETRANSLATE(D341,""zh-CN"",""vi"")"),"Cột này thẳng đứng.")</f>
        <v>Cột này thẳng đứng.</v>
      </c>
      <c r="F341" s="128"/>
      <c r="G341" s="36" t="b">
        <f t="shared" si="1"/>
        <v>0</v>
      </c>
      <c r="H341" s="35" t="b">
        <v>0</v>
      </c>
      <c r="I341" s="35" t="b">
        <v>0</v>
      </c>
      <c r="J341" s="35" t="b">
        <v>0</v>
      </c>
      <c r="K341" s="35" t="b">
        <v>0</v>
      </c>
      <c r="L341" s="35" t="b">
        <v>0</v>
      </c>
      <c r="M341" s="35" t="b">
        <v>0</v>
      </c>
      <c r="N341" s="35" t="b">
        <v>0</v>
      </c>
      <c r="O341" s="35" t="b">
        <v>0</v>
      </c>
      <c r="P341" s="35" t="b">
        <v>0</v>
      </c>
      <c r="Q341" s="35" t="b">
        <v>0</v>
      </c>
      <c r="R341" s="14"/>
      <c r="S341" s="14"/>
      <c r="T341" s="14"/>
      <c r="U341" s="14"/>
      <c r="V341" s="14"/>
      <c r="W341" s="14"/>
    </row>
    <row r="342" ht="31.5" customHeight="1">
      <c r="A342" s="109" t="s">
        <v>7810</v>
      </c>
      <c r="B342" s="110" t="s">
        <v>7811</v>
      </c>
      <c r="C342" s="111" t="s">
        <v>7812</v>
      </c>
      <c r="D342" s="28" t="s">
        <v>7813</v>
      </c>
      <c r="E342" s="28" t="str">
        <f>IFERROR(__xludf.DUMMYFUNCTION("GOOGLETRANSLATE(D342,""zh-CN"",""vi"")"),"Anh ấy là một nghệ sĩ thực thụ.")</f>
        <v>Anh ấy là một nghệ sĩ thực thụ.</v>
      </c>
      <c r="F342" s="128"/>
      <c r="G342" s="36" t="b">
        <f t="shared" si="1"/>
        <v>0</v>
      </c>
      <c r="H342" s="35" t="b">
        <v>0</v>
      </c>
      <c r="I342" s="35" t="b">
        <v>0</v>
      </c>
      <c r="J342" s="35" t="b">
        <v>0</v>
      </c>
      <c r="K342" s="35" t="b">
        <v>0</v>
      </c>
      <c r="L342" s="35" t="b">
        <v>0</v>
      </c>
      <c r="M342" s="35" t="b">
        <v>0</v>
      </c>
      <c r="N342" s="35" t="b">
        <v>0</v>
      </c>
      <c r="O342" s="35" t="b">
        <v>0</v>
      </c>
      <c r="P342" s="35" t="b">
        <v>0</v>
      </c>
      <c r="Q342" s="35" t="b">
        <v>0</v>
      </c>
      <c r="R342" s="14"/>
      <c r="S342" s="14"/>
      <c r="T342" s="14"/>
      <c r="U342" s="14"/>
      <c r="V342" s="14"/>
      <c r="W342" s="14"/>
    </row>
    <row r="343" ht="31.5" customHeight="1">
      <c r="A343" s="109" t="s">
        <v>7818</v>
      </c>
      <c r="B343" s="110" t="s">
        <v>7819</v>
      </c>
      <c r="C343" s="111" t="s">
        <v>7820</v>
      </c>
      <c r="D343" s="28" t="s">
        <v>7821</v>
      </c>
      <c r="E343" s="28" t="str">
        <f>IFERROR(__xludf.DUMMYFUNCTION("GOOGLETRANSLATE(D343,""zh-CN"",""vi"")"),"Không khí ở thành phố này rất trong lành.")</f>
        <v>Không khí ở thành phố này rất trong lành.</v>
      </c>
      <c r="F343" s="128"/>
      <c r="G343" s="36" t="b">
        <f t="shared" si="1"/>
        <v>0</v>
      </c>
      <c r="H343" s="35" t="b">
        <v>0</v>
      </c>
      <c r="I343" s="35" t="b">
        <v>0</v>
      </c>
      <c r="J343" s="35" t="b">
        <v>0</v>
      </c>
      <c r="K343" s="35" t="b">
        <v>0</v>
      </c>
      <c r="L343" s="35" t="b">
        <v>0</v>
      </c>
      <c r="M343" s="35" t="b">
        <v>0</v>
      </c>
      <c r="N343" s="35" t="b">
        <v>0</v>
      </c>
      <c r="O343" s="35" t="b">
        <v>0</v>
      </c>
      <c r="P343" s="35" t="b">
        <v>0</v>
      </c>
      <c r="Q343" s="35" t="b">
        <v>0</v>
      </c>
      <c r="R343" s="14"/>
      <c r="S343" s="14"/>
      <c r="T343" s="14"/>
      <c r="U343" s="14"/>
      <c r="V343" s="14"/>
      <c r="W343" s="14"/>
    </row>
    <row r="344" ht="31.5" customHeight="1">
      <c r="A344" s="109" t="s">
        <v>5309</v>
      </c>
      <c r="B344" s="110" t="s">
        <v>5310</v>
      </c>
      <c r="C344" s="111" t="s">
        <v>5311</v>
      </c>
      <c r="D344" s="28" t="s">
        <v>7826</v>
      </c>
      <c r="E344" s="28" t="str">
        <f>IFERROR(__xludf.DUMMYFUNCTION("GOOGLETRANSLATE(D344,""zh-CN"",""vi"")"),"Chúng ta cần học thêm nhiều từ vựng.")</f>
        <v>Chúng ta cần học thêm nhiều từ vựng.</v>
      </c>
      <c r="F344" s="128"/>
      <c r="G344" s="36" t="b">
        <f t="shared" si="1"/>
        <v>0</v>
      </c>
      <c r="H344" s="35" t="b">
        <v>0</v>
      </c>
      <c r="I344" s="35" t="b">
        <v>0</v>
      </c>
      <c r="J344" s="35" t="b">
        <v>0</v>
      </c>
      <c r="K344" s="35" t="b">
        <v>0</v>
      </c>
      <c r="L344" s="35" t="b">
        <v>0</v>
      </c>
      <c r="M344" s="35" t="b">
        <v>0</v>
      </c>
      <c r="N344" s="35" t="b">
        <v>0</v>
      </c>
      <c r="O344" s="35" t="b">
        <v>0</v>
      </c>
      <c r="P344" s="35" t="b">
        <v>0</v>
      </c>
      <c r="Q344" s="35" t="b">
        <v>0</v>
      </c>
      <c r="R344" s="14"/>
      <c r="S344" s="14"/>
      <c r="T344" s="14"/>
      <c r="U344" s="14"/>
      <c r="V344" s="14"/>
      <c r="W344" s="14"/>
    </row>
    <row r="345" ht="31.5" customHeight="1">
      <c r="A345" s="109" t="s">
        <v>7831</v>
      </c>
      <c r="B345" s="110" t="s">
        <v>7832</v>
      </c>
      <c r="C345" s="111" t="s">
        <v>7833</v>
      </c>
      <c r="D345" s="28" t="s">
        <v>7834</v>
      </c>
      <c r="E345" s="28" t="str">
        <f>IFERROR(__xludf.DUMMYFUNCTION("GOOGLETRANSLATE(D345,""zh-CN"",""vi"")"),"Nụ cười của cô ấy rất hiền hậu.")</f>
        <v>Nụ cười của cô ấy rất hiền hậu.</v>
      </c>
      <c r="F345" s="128"/>
      <c r="G345" s="36" t="b">
        <f t="shared" si="1"/>
        <v>0</v>
      </c>
      <c r="H345" s="35" t="b">
        <v>1</v>
      </c>
      <c r="I345" s="35" t="b">
        <v>0</v>
      </c>
      <c r="J345" s="35" t="b">
        <v>0</v>
      </c>
      <c r="K345" s="35" t="b">
        <v>0</v>
      </c>
      <c r="L345" s="35" t="b">
        <v>0</v>
      </c>
      <c r="M345" s="35" t="b">
        <v>0</v>
      </c>
      <c r="N345" s="35" t="b">
        <v>0</v>
      </c>
      <c r="O345" s="35" t="b">
        <v>0</v>
      </c>
      <c r="P345" s="35" t="b">
        <v>0</v>
      </c>
      <c r="Q345" s="35" t="b">
        <v>0</v>
      </c>
      <c r="R345" s="14"/>
      <c r="S345" s="14"/>
      <c r="T345" s="14"/>
      <c r="U345" s="14"/>
      <c r="V345" s="14"/>
      <c r="W345" s="14"/>
    </row>
    <row r="346" ht="31.5" customHeight="1">
      <c r="A346" s="109" t="s">
        <v>7839</v>
      </c>
      <c r="B346" s="110" t="s">
        <v>7840</v>
      </c>
      <c r="C346" s="111" t="s">
        <v>7841</v>
      </c>
      <c r="D346" s="28" t="s">
        <v>7842</v>
      </c>
      <c r="E346" s="28" t="str">
        <f>IFERROR(__xludf.DUMMYFUNCTION("GOOGLETRANSLATE(D346,""zh-CN"",""vi"")"),"Những con chim này là loài lưỡng tính.")</f>
        <v>Những con chim này là loài lưỡng tính.</v>
      </c>
      <c r="F346" s="128"/>
      <c r="G346" s="36" t="b">
        <f t="shared" si="1"/>
        <v>0</v>
      </c>
      <c r="H346" s="35" t="b">
        <v>1</v>
      </c>
      <c r="I346" s="35" t="b">
        <v>0</v>
      </c>
      <c r="J346" s="35" t="b">
        <v>0</v>
      </c>
      <c r="K346" s="35" t="b">
        <v>0</v>
      </c>
      <c r="L346" s="35" t="b">
        <v>0</v>
      </c>
      <c r="M346" s="35" t="b">
        <v>0</v>
      </c>
      <c r="N346" s="35" t="b">
        <v>0</v>
      </c>
      <c r="O346" s="35" t="b">
        <v>0</v>
      </c>
      <c r="P346" s="35" t="b">
        <v>0</v>
      </c>
      <c r="Q346" s="35" t="b">
        <v>0</v>
      </c>
      <c r="R346" s="14"/>
      <c r="S346" s="14"/>
      <c r="T346" s="14"/>
      <c r="U346" s="14"/>
      <c r="V346" s="14"/>
      <c r="W346" s="14"/>
    </row>
    <row r="347" ht="31.5" customHeight="1">
      <c r="A347" s="109" t="s">
        <v>7846</v>
      </c>
      <c r="B347" s="110" t="s">
        <v>194</v>
      </c>
      <c r="C347" s="111" t="s">
        <v>7848</v>
      </c>
      <c r="D347" s="28" t="s">
        <v>7849</v>
      </c>
      <c r="E347" s="28" t="str">
        <f>IFERROR(__xludf.DUMMYFUNCTION("GOOGLETRANSLATE(D347,""zh-CN"",""vi"")"),"Anh ta bị đâm.")</f>
        <v>Anh ta bị đâm.</v>
      </c>
      <c r="F347" s="128"/>
      <c r="G347" s="36" t="b">
        <f t="shared" si="1"/>
        <v>0</v>
      </c>
      <c r="H347" s="35" t="b">
        <v>1</v>
      </c>
      <c r="I347" s="35" t="b">
        <v>0</v>
      </c>
      <c r="J347" s="35" t="b">
        <v>0</v>
      </c>
      <c r="K347" s="35" t="b">
        <v>0</v>
      </c>
      <c r="L347" s="35" t="b">
        <v>0</v>
      </c>
      <c r="M347" s="35" t="b">
        <v>0</v>
      </c>
      <c r="N347" s="35" t="b">
        <v>0</v>
      </c>
      <c r="O347" s="35" t="b">
        <v>0</v>
      </c>
      <c r="P347" s="35" t="b">
        <v>0</v>
      </c>
      <c r="Q347" s="35" t="b">
        <v>0</v>
      </c>
      <c r="R347" s="14"/>
      <c r="S347" s="14"/>
      <c r="T347" s="14"/>
      <c r="U347" s="14"/>
      <c r="V347" s="14"/>
      <c r="W347" s="14"/>
    </row>
    <row r="348" ht="31.5" customHeight="1">
      <c r="A348" s="109" t="s">
        <v>7853</v>
      </c>
      <c r="B348" s="110" t="s">
        <v>7854</v>
      </c>
      <c r="C348" s="111" t="s">
        <v>7855</v>
      </c>
      <c r="D348" s="28" t="s">
        <v>7856</v>
      </c>
      <c r="E348" s="28" t="str">
        <f>IFERROR(__xludf.DUMMYFUNCTION("GOOGLETRANSLATE(D348,""zh-CN"",""vi"")"),"Anh ấy đang chăm sóc bệnh nhân.")</f>
        <v>Anh ấy đang chăm sóc bệnh nhân.</v>
      </c>
      <c r="F348" s="128"/>
      <c r="G348" s="36" t="b">
        <f t="shared" si="1"/>
        <v>0</v>
      </c>
      <c r="H348" s="35" t="b">
        <v>1</v>
      </c>
      <c r="I348" s="35" t="b">
        <v>0</v>
      </c>
      <c r="J348" s="35" t="b">
        <v>0</v>
      </c>
      <c r="K348" s="35" t="b">
        <v>0</v>
      </c>
      <c r="L348" s="35" t="b">
        <v>0</v>
      </c>
      <c r="M348" s="35" t="b">
        <v>0</v>
      </c>
      <c r="N348" s="35" t="b">
        <v>0</v>
      </c>
      <c r="O348" s="35" t="b">
        <v>0</v>
      </c>
      <c r="P348" s="35" t="b">
        <v>0</v>
      </c>
      <c r="Q348" s="35" t="b">
        <v>0</v>
      </c>
      <c r="R348" s="14"/>
      <c r="S348" s="14"/>
      <c r="T348" s="14"/>
      <c r="U348" s="14"/>
      <c r="V348" s="14"/>
      <c r="W348" s="14"/>
    </row>
    <row r="349" ht="31.5" customHeight="1">
      <c r="A349" s="109" t="s">
        <v>7861</v>
      </c>
      <c r="B349" s="110" t="s">
        <v>7862</v>
      </c>
      <c r="C349" s="111" t="s">
        <v>7863</v>
      </c>
      <c r="D349" s="28" t="s">
        <v>7864</v>
      </c>
      <c r="E349" s="28" t="str">
        <f>IFERROR(__xludf.DUMMYFUNCTION("GOOGLETRANSLATE(D349,""zh-CN"",""vi"")"),"Sản phẩm này bị lỗi.")</f>
        <v>Sản phẩm này bị lỗi.</v>
      </c>
      <c r="F349" s="128"/>
      <c r="G349" s="36" t="b">
        <f t="shared" si="1"/>
        <v>0</v>
      </c>
      <c r="H349" s="35" t="b">
        <v>1</v>
      </c>
      <c r="I349" s="35" t="b">
        <v>0</v>
      </c>
      <c r="J349" s="35" t="b">
        <v>0</v>
      </c>
      <c r="K349" s="35" t="b">
        <v>0</v>
      </c>
      <c r="L349" s="35" t="b">
        <v>0</v>
      </c>
      <c r="M349" s="35" t="b">
        <v>0</v>
      </c>
      <c r="N349" s="35" t="b">
        <v>0</v>
      </c>
      <c r="O349" s="35" t="b">
        <v>0</v>
      </c>
      <c r="P349" s="35" t="b">
        <v>0</v>
      </c>
      <c r="Q349" s="35" t="b">
        <v>0</v>
      </c>
      <c r="R349" s="14"/>
      <c r="S349" s="14"/>
      <c r="T349" s="14"/>
      <c r="U349" s="14"/>
      <c r="V349" s="14"/>
      <c r="W349" s="14"/>
    </row>
    <row r="350" ht="31.5" customHeight="1">
      <c r="A350" s="109" t="s">
        <v>7869</v>
      </c>
      <c r="B350" s="110" t="s">
        <v>7870</v>
      </c>
      <c r="C350" s="111" t="s">
        <v>3904</v>
      </c>
      <c r="D350" s="28" t="s">
        <v>7871</v>
      </c>
      <c r="E350" s="28" t="str">
        <f>IFERROR(__xludf.DUMMYFUNCTION("GOOGLETRANSLATE(D350,""zh-CN"",""vi"")"),"Vui lòng xếp hàng theo thứ tự.")</f>
        <v>Vui lòng xếp hàng theo thứ tự.</v>
      </c>
      <c r="F350" s="128"/>
      <c r="G350" s="36" t="b">
        <f t="shared" si="1"/>
        <v>0</v>
      </c>
      <c r="H350" s="35" t="b">
        <v>1</v>
      </c>
      <c r="I350" s="35" t="b">
        <v>0</v>
      </c>
      <c r="J350" s="35" t="b">
        <v>0</v>
      </c>
      <c r="K350" s="35" t="b">
        <v>0</v>
      </c>
      <c r="L350" s="35" t="b">
        <v>0</v>
      </c>
      <c r="M350" s="35" t="b">
        <v>0</v>
      </c>
      <c r="N350" s="35" t="b">
        <v>0</v>
      </c>
      <c r="O350" s="35" t="b">
        <v>0</v>
      </c>
      <c r="P350" s="35" t="b">
        <v>0</v>
      </c>
      <c r="Q350" s="35" t="b">
        <v>0</v>
      </c>
      <c r="R350" s="14"/>
      <c r="S350" s="14"/>
      <c r="T350" s="14"/>
      <c r="U350" s="14"/>
      <c r="V350" s="14"/>
      <c r="W350" s="14"/>
    </row>
    <row r="351" ht="31.5" customHeight="1">
      <c r="A351" s="109" t="s">
        <v>7876</v>
      </c>
      <c r="B351" s="110" t="s">
        <v>214</v>
      </c>
      <c r="C351" s="111" t="s">
        <v>7877</v>
      </c>
      <c r="D351" s="28" t="s">
        <v>7878</v>
      </c>
      <c r="E351" s="28" t="str">
        <f>IFERROR(__xludf.DUMMYFUNCTION("GOOGLETRANSLATE(D351,""zh-CN"",""vi"")"),"Đây là một khu rừng rậm.")</f>
        <v>Đây là một khu rừng rậm.</v>
      </c>
      <c r="F351" s="128"/>
      <c r="G351" s="36" t="b">
        <f t="shared" si="1"/>
        <v>0</v>
      </c>
      <c r="H351" s="35" t="b">
        <v>1</v>
      </c>
      <c r="I351" s="35" t="b">
        <v>0</v>
      </c>
      <c r="J351" s="35" t="b">
        <v>0</v>
      </c>
      <c r="K351" s="35" t="b">
        <v>0</v>
      </c>
      <c r="L351" s="35" t="b">
        <v>0</v>
      </c>
      <c r="M351" s="35" t="b">
        <v>0</v>
      </c>
      <c r="N351" s="35" t="b">
        <v>0</v>
      </c>
      <c r="O351" s="35" t="b">
        <v>0</v>
      </c>
      <c r="P351" s="35" t="b">
        <v>0</v>
      </c>
      <c r="Q351" s="35" t="b">
        <v>0</v>
      </c>
      <c r="R351" s="14"/>
      <c r="S351" s="14"/>
      <c r="T351" s="14"/>
      <c r="U351" s="14"/>
      <c r="V351" s="14"/>
      <c r="W351" s="14"/>
    </row>
    <row r="352" ht="31.5" customHeight="1">
      <c r="A352" s="109" t="s">
        <v>7882</v>
      </c>
      <c r="B352" s="110" t="s">
        <v>7884</v>
      </c>
      <c r="C352" s="111" t="s">
        <v>7885</v>
      </c>
      <c r="D352" s="28" t="s">
        <v>7886</v>
      </c>
      <c r="E352" s="28" t="str">
        <f>IFERROR(__xludf.DUMMYFUNCTION("GOOGLETRANSLATE(D352,""zh-CN"",""vi"")"),"Anh ấy trả lời các câu hỏi một cách bình tĩnh và tự tin.")</f>
        <v>Anh ấy trả lời các câu hỏi một cách bình tĩnh và tự tin.</v>
      </c>
      <c r="F352" s="128"/>
      <c r="G352" s="36" t="b">
        <f t="shared" si="1"/>
        <v>0</v>
      </c>
      <c r="H352" s="35" t="b">
        <v>1</v>
      </c>
      <c r="I352" s="35" t="b">
        <v>0</v>
      </c>
      <c r="J352" s="35" t="b">
        <v>0</v>
      </c>
      <c r="K352" s="35" t="b">
        <v>0</v>
      </c>
      <c r="L352" s="35" t="b">
        <v>0</v>
      </c>
      <c r="M352" s="35" t="b">
        <v>0</v>
      </c>
      <c r="N352" s="35" t="b">
        <v>0</v>
      </c>
      <c r="O352" s="35" t="b">
        <v>0</v>
      </c>
      <c r="P352" s="35" t="b">
        <v>0</v>
      </c>
      <c r="Q352" s="35" t="b">
        <v>0</v>
      </c>
      <c r="R352" s="14"/>
      <c r="S352" s="14"/>
      <c r="T352" s="14"/>
      <c r="U352" s="14"/>
      <c r="V352" s="14"/>
      <c r="W352" s="14"/>
    </row>
    <row r="353" ht="31.5" customHeight="1">
      <c r="A353" s="109" t="s">
        <v>7888</v>
      </c>
      <c r="B353" s="110" t="s">
        <v>7889</v>
      </c>
      <c r="C353" s="111" t="s">
        <v>7890</v>
      </c>
      <c r="D353" s="28" t="s">
        <v>7891</v>
      </c>
      <c r="E353" s="28" t="str">
        <f>IFERROR(__xludf.DUMMYFUNCTION("GOOGLETRANSLATE(D353,""zh-CN"",""vi"")"),"Chúng ta cần phải tận dụng tối đa những nguồn lực hiện có.")</f>
        <v>Chúng ta cần phải tận dụng tối đa những nguồn lực hiện có.</v>
      </c>
      <c r="F353" s="128"/>
      <c r="G353" s="36" t="b">
        <f t="shared" si="1"/>
        <v>0</v>
      </c>
      <c r="H353" s="35" t="b">
        <v>1</v>
      </c>
      <c r="I353" s="35" t="b">
        <v>0</v>
      </c>
      <c r="J353" s="35" t="b">
        <v>0</v>
      </c>
      <c r="K353" s="35" t="b">
        <v>0</v>
      </c>
      <c r="L353" s="35" t="b">
        <v>0</v>
      </c>
      <c r="M353" s="35" t="b">
        <v>0</v>
      </c>
      <c r="N353" s="35" t="b">
        <v>0</v>
      </c>
      <c r="O353" s="35" t="b">
        <v>0</v>
      </c>
      <c r="P353" s="35" t="b">
        <v>0</v>
      </c>
      <c r="Q353" s="35" t="b">
        <v>0</v>
      </c>
      <c r="R353" s="14"/>
      <c r="S353" s="14"/>
      <c r="T353" s="14"/>
      <c r="U353" s="14"/>
      <c r="V353" s="14"/>
      <c r="W353" s="14"/>
    </row>
    <row r="354" ht="31.5" customHeight="1">
      <c r="A354" s="109" t="s">
        <v>7895</v>
      </c>
      <c r="B354" s="110" t="s">
        <v>7896</v>
      </c>
      <c r="C354" s="111" t="s">
        <v>7897</v>
      </c>
      <c r="D354" s="28" t="s">
        <v>7898</v>
      </c>
      <c r="E354" s="28" t="str">
        <f>IFERROR(__xludf.DUMMYFUNCTION("GOOGLETRANSLATE(D354,""zh-CN"",""vi"")"),"Thái độ của anh ta rất thô lỗ.")</f>
        <v>Thái độ của anh ta rất thô lỗ.</v>
      </c>
      <c r="F354" s="128"/>
      <c r="G354" s="36" t="b">
        <f t="shared" si="1"/>
        <v>0</v>
      </c>
      <c r="H354" s="35" t="b">
        <v>1</v>
      </c>
      <c r="I354" s="35" t="b">
        <v>0</v>
      </c>
      <c r="J354" s="35" t="b">
        <v>0</v>
      </c>
      <c r="K354" s="35" t="b">
        <v>0</v>
      </c>
      <c r="L354" s="35" t="b">
        <v>0</v>
      </c>
      <c r="M354" s="35" t="b">
        <v>0</v>
      </c>
      <c r="N354" s="35" t="b">
        <v>0</v>
      </c>
      <c r="O354" s="35" t="b">
        <v>0</v>
      </c>
      <c r="P354" s="35" t="b">
        <v>0</v>
      </c>
      <c r="Q354" s="35" t="b">
        <v>0</v>
      </c>
      <c r="R354" s="14"/>
      <c r="S354" s="14"/>
      <c r="T354" s="14"/>
      <c r="U354" s="14"/>
      <c r="V354" s="14"/>
      <c r="W354" s="14"/>
    </row>
    <row r="355" ht="31.5" customHeight="1">
      <c r="A355" s="109" t="s">
        <v>7903</v>
      </c>
      <c r="B355" s="110" t="s">
        <v>7904</v>
      </c>
      <c r="C355" s="111" t="s">
        <v>7905</v>
      </c>
      <c r="D355" s="28" t="s">
        <v>7906</v>
      </c>
      <c r="E355" s="28" t="str">
        <f>IFERROR(__xludf.DUMMYFUNCTION("GOOGLETRANSLATE(D355,""zh-CN"",""vi"")"),"Tên trộm đã tẩu thoát trong đêm.")</f>
        <v>Tên trộm đã tẩu thoát trong đêm.</v>
      </c>
      <c r="F355" s="128"/>
      <c r="G355" s="36" t="b">
        <f t="shared" si="1"/>
        <v>0</v>
      </c>
      <c r="H355" s="35" t="b">
        <v>1</v>
      </c>
      <c r="I355" s="35" t="b">
        <v>0</v>
      </c>
      <c r="J355" s="35" t="b">
        <v>0</v>
      </c>
      <c r="K355" s="35" t="b">
        <v>0</v>
      </c>
      <c r="L355" s="35" t="b">
        <v>0</v>
      </c>
      <c r="M355" s="35" t="b">
        <v>0</v>
      </c>
      <c r="N355" s="35" t="b">
        <v>0</v>
      </c>
      <c r="O355" s="35" t="b">
        <v>0</v>
      </c>
      <c r="P355" s="35" t="b">
        <v>0</v>
      </c>
      <c r="Q355" s="35" t="b">
        <v>0</v>
      </c>
      <c r="R355" s="14"/>
      <c r="S355" s="14"/>
      <c r="T355" s="14"/>
      <c r="U355" s="14"/>
      <c r="V355" s="14"/>
      <c r="W355" s="14"/>
    </row>
    <row r="356" ht="31.5" customHeight="1">
      <c r="A356" s="109" t="s">
        <v>7911</v>
      </c>
      <c r="B356" s="110" t="s">
        <v>7912</v>
      </c>
      <c r="C356" s="111" t="s">
        <v>7913</v>
      </c>
      <c r="D356" s="28" t="s">
        <v>7914</v>
      </c>
      <c r="E356" s="28" t="str">
        <f>IFERROR(__xludf.DUMMYFUNCTION("GOOGLETRANSLATE(D356,""zh-CN"",""vi"")"),"Chiến tranh đã tàn phá đất nước.")</f>
        <v>Chiến tranh đã tàn phá đất nước.</v>
      </c>
      <c r="F356" s="128"/>
      <c r="G356" s="36" t="b">
        <f t="shared" si="1"/>
        <v>0</v>
      </c>
      <c r="H356" s="35" t="b">
        <v>1</v>
      </c>
      <c r="I356" s="35" t="b">
        <v>0</v>
      </c>
      <c r="J356" s="35" t="b">
        <v>0</v>
      </c>
      <c r="K356" s="35" t="b">
        <v>0</v>
      </c>
      <c r="L356" s="35" t="b">
        <v>0</v>
      </c>
      <c r="M356" s="35" t="b">
        <v>0</v>
      </c>
      <c r="N356" s="35" t="b">
        <v>0</v>
      </c>
      <c r="O356" s="35" t="b">
        <v>0</v>
      </c>
      <c r="P356" s="35" t="b">
        <v>0</v>
      </c>
      <c r="Q356" s="35" t="b">
        <v>0</v>
      </c>
      <c r="R356" s="14"/>
      <c r="S356" s="14"/>
      <c r="T356" s="14"/>
      <c r="U356" s="14"/>
      <c r="V356" s="14"/>
      <c r="W356" s="14"/>
    </row>
    <row r="357" ht="31.5" customHeight="1">
      <c r="A357" s="109" t="s">
        <v>7919</v>
      </c>
      <c r="B357" s="110" t="s">
        <v>7920</v>
      </c>
      <c r="C357" s="111" t="s">
        <v>7921</v>
      </c>
      <c r="D357" s="28" t="s">
        <v>7922</v>
      </c>
      <c r="E357" s="28" t="str">
        <f>IFERROR(__xludf.DUMMYFUNCTION("GOOGLETRANSLATE(D357,""zh-CN"",""vi"")"),"Cơ thể anh ấy rất yếu.")</f>
        <v>Cơ thể anh ấy rất yếu.</v>
      </c>
      <c r="F357" s="128"/>
      <c r="G357" s="36" t="b">
        <f t="shared" si="1"/>
        <v>0</v>
      </c>
      <c r="H357" s="35" t="b">
        <v>1</v>
      </c>
      <c r="I357" s="35" t="b">
        <v>0</v>
      </c>
      <c r="J357" s="35" t="b">
        <v>0</v>
      </c>
      <c r="K357" s="35" t="b">
        <v>0</v>
      </c>
      <c r="L357" s="35" t="b">
        <v>0</v>
      </c>
      <c r="M357" s="35" t="b">
        <v>0</v>
      </c>
      <c r="N357" s="35" t="b">
        <v>0</v>
      </c>
      <c r="O357" s="35" t="b">
        <v>0</v>
      </c>
      <c r="P357" s="35" t="b">
        <v>0</v>
      </c>
      <c r="Q357" s="35" t="b">
        <v>0</v>
      </c>
      <c r="R357" s="14"/>
      <c r="S357" s="14"/>
      <c r="T357" s="14"/>
      <c r="U357" s="14"/>
      <c r="V357" s="14"/>
      <c r="W357" s="14"/>
    </row>
    <row r="358" ht="31.5" customHeight="1">
      <c r="A358" s="109" t="s">
        <v>7931</v>
      </c>
      <c r="B358" s="110" t="s">
        <v>7932</v>
      </c>
      <c r="C358" s="111" t="s">
        <v>7933</v>
      </c>
      <c r="D358" s="28" t="s">
        <v>7934</v>
      </c>
      <c r="E358" s="28" t="str">
        <f>IFERROR(__xludf.DUMMYFUNCTION("GOOGLETRANSLATE(D358,""zh-CN"",""vi"")"),"Anh ta đang xoa hai ngón tay vào nhau.")</f>
        <v>Anh ta đang xoa hai ngón tay vào nhau.</v>
      </c>
      <c r="F358" s="128"/>
      <c r="G358" s="36" t="b">
        <f t="shared" si="1"/>
        <v>0</v>
      </c>
      <c r="H358" s="35" t="b">
        <v>1</v>
      </c>
      <c r="I358" s="35" t="b">
        <v>0</v>
      </c>
      <c r="J358" s="35" t="b">
        <v>0</v>
      </c>
      <c r="K358" s="35" t="b">
        <v>0</v>
      </c>
      <c r="L358" s="35" t="b">
        <v>0</v>
      </c>
      <c r="M358" s="35" t="b">
        <v>0</v>
      </c>
      <c r="N358" s="35" t="b">
        <v>0</v>
      </c>
      <c r="O358" s="35" t="b">
        <v>0</v>
      </c>
      <c r="P358" s="35" t="b">
        <v>0</v>
      </c>
      <c r="Q358" s="35" t="b">
        <v>0</v>
      </c>
      <c r="R358" s="14"/>
      <c r="S358" s="14"/>
      <c r="T358" s="14"/>
      <c r="U358" s="14"/>
      <c r="V358" s="14"/>
      <c r="W358" s="14"/>
    </row>
    <row r="359" ht="31.5" customHeight="1">
      <c r="A359" s="109" t="s">
        <v>7939</v>
      </c>
      <c r="B359" s="110" t="s">
        <v>7940</v>
      </c>
      <c r="C359" s="111" t="s">
        <v>7941</v>
      </c>
      <c r="D359" s="28" t="s">
        <v>7942</v>
      </c>
      <c r="E359" s="28" t="str">
        <f>IFERROR(__xludf.DUMMYFUNCTION("GOOGLETRANSLATE(D359,""zh-CN"",""vi"")"),"Hiện tại họ đang trong quá trình tham vấn.")</f>
        <v>Hiện tại họ đang trong quá trình tham vấn.</v>
      </c>
      <c r="F359" s="128"/>
      <c r="G359" s="36" t="b">
        <f t="shared" si="1"/>
        <v>0</v>
      </c>
      <c r="H359" s="35" t="b">
        <v>1</v>
      </c>
      <c r="I359" s="35" t="b">
        <v>0</v>
      </c>
      <c r="J359" s="35" t="b">
        <v>0</v>
      </c>
      <c r="K359" s="35" t="b">
        <v>0</v>
      </c>
      <c r="L359" s="35" t="b">
        <v>0</v>
      </c>
      <c r="M359" s="35" t="b">
        <v>0</v>
      </c>
      <c r="N359" s="35" t="b">
        <v>0</v>
      </c>
      <c r="O359" s="35" t="b">
        <v>0</v>
      </c>
      <c r="P359" s="35" t="b">
        <v>0</v>
      </c>
      <c r="Q359" s="35" t="b">
        <v>0</v>
      </c>
      <c r="R359" s="14"/>
      <c r="S359" s="14"/>
      <c r="T359" s="14"/>
      <c r="U359" s="14"/>
      <c r="V359" s="14"/>
      <c r="W359" s="14"/>
    </row>
    <row r="360" ht="31.5" customHeight="1">
      <c r="A360" s="109" t="s">
        <v>7946</v>
      </c>
      <c r="B360" s="110" t="s">
        <v>7947</v>
      </c>
      <c r="C360" s="111" t="s">
        <v>7948</v>
      </c>
      <c r="D360" s="28" t="s">
        <v>7949</v>
      </c>
      <c r="E360" s="28" t="str">
        <f>IFERROR(__xludf.DUMMYFUNCTION("GOOGLETRANSLATE(D360,""zh-CN"",""vi"")"),"Anh ấy trưởng thành nhờ vượt qua những khó khăn, trở ngại.")</f>
        <v>Anh ấy trưởng thành nhờ vượt qua những khó khăn, trở ngại.</v>
      </c>
      <c r="F360" s="128"/>
      <c r="G360" s="36" t="b">
        <f t="shared" si="1"/>
        <v>0</v>
      </c>
      <c r="H360" s="35" t="b">
        <v>1</v>
      </c>
      <c r="I360" s="35" t="b">
        <v>0</v>
      </c>
      <c r="J360" s="35" t="b">
        <v>0</v>
      </c>
      <c r="K360" s="35" t="b">
        <v>0</v>
      </c>
      <c r="L360" s="35" t="b">
        <v>0</v>
      </c>
      <c r="M360" s="35" t="b">
        <v>0</v>
      </c>
      <c r="N360" s="35" t="b">
        <v>0</v>
      </c>
      <c r="O360" s="35" t="b">
        <v>0</v>
      </c>
      <c r="P360" s="35" t="b">
        <v>0</v>
      </c>
      <c r="Q360" s="35" t="b">
        <v>0</v>
      </c>
      <c r="R360" s="14"/>
      <c r="S360" s="14"/>
      <c r="T360" s="14"/>
      <c r="U360" s="14"/>
      <c r="V360" s="14"/>
      <c r="W360" s="14"/>
    </row>
    <row r="361" ht="31.5" customHeight="1">
      <c r="A361" s="109" t="s">
        <v>7954</v>
      </c>
      <c r="B361" s="110" t="s">
        <v>7955</v>
      </c>
      <c r="C361" s="111" t="s">
        <v>7956</v>
      </c>
      <c r="D361" s="28" t="s">
        <v>7957</v>
      </c>
      <c r="E361" s="28" t="str">
        <f>IFERROR(__xludf.DUMMYFUNCTION("GOOGLETRANSLATE(D361,""zh-CN"",""vi"")"),"Tôi sẽ giúp bạn xây một cái nhà kho.")</f>
        <v>Tôi sẽ giúp bạn xây một cái nhà kho.</v>
      </c>
      <c r="F361" s="128"/>
      <c r="G361" s="36" t="b">
        <f t="shared" si="1"/>
        <v>0</v>
      </c>
      <c r="H361" s="35" t="b">
        <v>1</v>
      </c>
      <c r="I361" s="35" t="b">
        <v>0</v>
      </c>
      <c r="J361" s="35" t="b">
        <v>0</v>
      </c>
      <c r="K361" s="35" t="b">
        <v>0</v>
      </c>
      <c r="L361" s="35" t="b">
        <v>0</v>
      </c>
      <c r="M361" s="35" t="b">
        <v>0</v>
      </c>
      <c r="N361" s="35" t="b">
        <v>0</v>
      </c>
      <c r="O361" s="35" t="b">
        <v>0</v>
      </c>
      <c r="P361" s="35" t="b">
        <v>0</v>
      </c>
      <c r="Q361" s="35" t="b">
        <v>0</v>
      </c>
      <c r="R361" s="14"/>
      <c r="S361" s="14"/>
      <c r="T361" s="14"/>
      <c r="U361" s="14"/>
      <c r="V361" s="14"/>
      <c r="W361" s="14"/>
    </row>
    <row r="362" ht="31.5" customHeight="1">
      <c r="A362" s="109" t="s">
        <v>7962</v>
      </c>
      <c r="B362" s="110" t="s">
        <v>7963</v>
      </c>
      <c r="C362" s="111" t="s">
        <v>7964</v>
      </c>
      <c r="D362" s="28" t="s">
        <v>7965</v>
      </c>
      <c r="E362" s="28" t="str">
        <f>IFERROR(__xludf.DUMMYFUNCTION("GOOGLETRANSLATE(D362,""zh-CN"",""vi"")"),"Họ là một đội tuyệt vời.")</f>
        <v>Họ là một đội tuyệt vời.</v>
      </c>
      <c r="F362" s="128"/>
      <c r="G362" s="36" t="b">
        <f t="shared" si="1"/>
        <v>0</v>
      </c>
      <c r="H362" s="35" t="b">
        <v>1</v>
      </c>
      <c r="I362" s="35" t="b">
        <v>0</v>
      </c>
      <c r="J362" s="35" t="b">
        <v>0</v>
      </c>
      <c r="K362" s="35" t="b">
        <v>0</v>
      </c>
      <c r="L362" s="35" t="b">
        <v>0</v>
      </c>
      <c r="M362" s="35" t="b">
        <v>0</v>
      </c>
      <c r="N362" s="35" t="b">
        <v>0</v>
      </c>
      <c r="O362" s="35" t="b">
        <v>0</v>
      </c>
      <c r="P362" s="35" t="b">
        <v>0</v>
      </c>
      <c r="Q362" s="35" t="b">
        <v>0</v>
      </c>
      <c r="R362" s="14"/>
      <c r="S362" s="14"/>
      <c r="T362" s="14"/>
      <c r="U362" s="14"/>
      <c r="V362" s="14"/>
      <c r="W362" s="14"/>
    </row>
    <row r="363" ht="31.5" customHeight="1">
      <c r="A363" s="109" t="s">
        <v>7970</v>
      </c>
      <c r="B363" s="110" t="s">
        <v>7971</v>
      </c>
      <c r="C363" s="111" t="s">
        <v>7972</v>
      </c>
      <c r="D363" s="28" t="s">
        <v>7973</v>
      </c>
      <c r="E363" s="28" t="str">
        <f>IFERROR(__xludf.DUMMYFUNCTION("GOOGLETRANSLATE(D363,""zh-CN"",""vi"")"),"Bạn hoàn toàn tự do phối hợp các trang phục với nhau.")</f>
        <v>Bạn hoàn toàn tự do phối hợp các trang phục với nhau.</v>
      </c>
      <c r="F363" s="128"/>
      <c r="G363" s="36" t="b">
        <f t="shared" si="1"/>
        <v>0</v>
      </c>
      <c r="H363" s="35" t="b">
        <v>1</v>
      </c>
      <c r="I363" s="35" t="b">
        <v>0</v>
      </c>
      <c r="J363" s="35" t="b">
        <v>0</v>
      </c>
      <c r="K363" s="35" t="b">
        <v>0</v>
      </c>
      <c r="L363" s="35" t="b">
        <v>0</v>
      </c>
      <c r="M363" s="35" t="b">
        <v>0</v>
      </c>
      <c r="N363" s="35" t="b">
        <v>0</v>
      </c>
      <c r="O363" s="35" t="b">
        <v>0</v>
      </c>
      <c r="P363" s="35" t="b">
        <v>0</v>
      </c>
      <c r="Q363" s="35" t="b">
        <v>0</v>
      </c>
      <c r="R363" s="14"/>
      <c r="S363" s="14"/>
      <c r="T363" s="14"/>
      <c r="U363" s="14"/>
      <c r="V363" s="14"/>
      <c r="W363" s="14"/>
    </row>
    <row r="364" ht="31.5" customHeight="1">
      <c r="A364" s="109" t="s">
        <v>7974</v>
      </c>
      <c r="B364" s="110" t="s">
        <v>7975</v>
      </c>
      <c r="C364" s="111" t="s">
        <v>7976</v>
      </c>
      <c r="D364" s="28" t="s">
        <v>7977</v>
      </c>
      <c r="E364" s="28" t="str">
        <f>IFERROR(__xludf.DUMMYFUNCTION("GOOGLETRANSLATE(D364,""zh-CN"",""vi"")"),"Ông ấy đã trả lời các câu hỏi tại tòa.")</f>
        <v>Ông ấy đã trả lời các câu hỏi tại tòa.</v>
      </c>
      <c r="F364" s="128"/>
      <c r="G364" s="36" t="b">
        <f t="shared" si="1"/>
        <v>0</v>
      </c>
      <c r="H364" s="35" t="b">
        <v>1</v>
      </c>
      <c r="I364" s="35" t="b">
        <v>0</v>
      </c>
      <c r="J364" s="35" t="b">
        <v>0</v>
      </c>
      <c r="K364" s="35" t="b">
        <v>0</v>
      </c>
      <c r="L364" s="35" t="b">
        <v>0</v>
      </c>
      <c r="M364" s="35" t="b">
        <v>0</v>
      </c>
      <c r="N364" s="35" t="b">
        <v>0</v>
      </c>
      <c r="O364" s="35" t="b">
        <v>0</v>
      </c>
      <c r="P364" s="35" t="b">
        <v>0</v>
      </c>
      <c r="Q364" s="35" t="b">
        <v>0</v>
      </c>
      <c r="R364" s="14"/>
      <c r="S364" s="14"/>
      <c r="T364" s="14"/>
      <c r="U364" s="14"/>
      <c r="V364" s="14"/>
      <c r="W364" s="14"/>
    </row>
    <row r="365" ht="31.5" customHeight="1">
      <c r="A365" s="109" t="s">
        <v>7978</v>
      </c>
      <c r="B365" s="110" t="s">
        <v>7979</v>
      </c>
      <c r="C365" s="111" t="s">
        <v>7980</v>
      </c>
      <c r="D365" s="28" t="s">
        <v>7981</v>
      </c>
      <c r="E365" s="28" t="str">
        <f>IFERROR(__xludf.DUMMYFUNCTION("GOOGLETRANSLATE(D365,""zh-CN"",""vi"")"),"Chúng tôi đã đạt được thỏa thuận.")</f>
        <v>Chúng tôi đã đạt được thỏa thuận.</v>
      </c>
      <c r="F365" s="128"/>
      <c r="G365" s="36" t="b">
        <f t="shared" si="1"/>
        <v>0</v>
      </c>
      <c r="H365" s="35" t="b">
        <v>1</v>
      </c>
      <c r="I365" s="35" t="b">
        <v>0</v>
      </c>
      <c r="J365" s="35" t="b">
        <v>0</v>
      </c>
      <c r="K365" s="35" t="b">
        <v>0</v>
      </c>
      <c r="L365" s="35" t="b">
        <v>0</v>
      </c>
      <c r="M365" s="35" t="b">
        <v>0</v>
      </c>
      <c r="N365" s="35" t="b">
        <v>0</v>
      </c>
      <c r="O365" s="35" t="b">
        <v>0</v>
      </c>
      <c r="P365" s="35" t="b">
        <v>0</v>
      </c>
      <c r="Q365" s="35" t="b">
        <v>0</v>
      </c>
      <c r="R365" s="14"/>
      <c r="S365" s="14"/>
      <c r="T365" s="14"/>
      <c r="U365" s="14"/>
      <c r="V365" s="14"/>
      <c r="W365" s="14"/>
    </row>
    <row r="366" ht="31.5" customHeight="1">
      <c r="A366" s="109" t="s">
        <v>7982</v>
      </c>
      <c r="B366" s="110" t="s">
        <v>7983</v>
      </c>
      <c r="C366" s="111" t="s">
        <v>7984</v>
      </c>
      <c r="D366" s="28" t="s">
        <v>7985</v>
      </c>
      <c r="E366" s="28" t="str">
        <f>IFERROR(__xludf.DUMMYFUNCTION("GOOGLETRANSLATE(D366,""zh-CN"",""vi"")"),"Anh ấy đã trả lời tôi.")</f>
        <v>Anh ấy đã trả lời tôi.</v>
      </c>
      <c r="F366" s="128"/>
      <c r="G366" s="36" t="b">
        <f t="shared" si="1"/>
        <v>0</v>
      </c>
      <c r="H366" s="35" t="b">
        <v>1</v>
      </c>
      <c r="I366" s="35" t="b">
        <v>0</v>
      </c>
      <c r="J366" s="35" t="b">
        <v>0</v>
      </c>
      <c r="K366" s="35" t="b">
        <v>0</v>
      </c>
      <c r="L366" s="35" t="b">
        <v>0</v>
      </c>
      <c r="M366" s="35" t="b">
        <v>0</v>
      </c>
      <c r="N366" s="35" t="b">
        <v>0</v>
      </c>
      <c r="O366" s="35" t="b">
        <v>0</v>
      </c>
      <c r="P366" s="35" t="b">
        <v>0</v>
      </c>
      <c r="Q366" s="35" t="b">
        <v>0</v>
      </c>
      <c r="R366" s="14"/>
      <c r="S366" s="14"/>
      <c r="T366" s="14"/>
      <c r="U366" s="14"/>
      <c r="V366" s="14"/>
      <c r="W366" s="14"/>
    </row>
    <row r="367" ht="31.5" customHeight="1">
      <c r="A367" s="109" t="s">
        <v>7987</v>
      </c>
      <c r="B367" s="110" t="s">
        <v>7989</v>
      </c>
      <c r="C367" s="111" t="s">
        <v>7990</v>
      </c>
      <c r="D367" s="28" t="s">
        <v>7992</v>
      </c>
      <c r="E367" s="28" t="str">
        <f>IFERROR(__xludf.DUMMYFUNCTION("GOOGLETRANSLATE(D367,""zh-CN"",""vi"")"),"Vui lòng đóng gói các mặt hàng này cẩn thận.")</f>
        <v>Vui lòng đóng gói các mặt hàng này cẩn thận.</v>
      </c>
      <c r="F367" s="128"/>
      <c r="G367" s="36" t="b">
        <f t="shared" si="1"/>
        <v>0</v>
      </c>
      <c r="H367" s="35" t="b">
        <v>1</v>
      </c>
      <c r="I367" s="35" t="b">
        <v>0</v>
      </c>
      <c r="J367" s="35" t="b">
        <v>0</v>
      </c>
      <c r="K367" s="35" t="b">
        <v>0</v>
      </c>
      <c r="L367" s="35" t="b">
        <v>0</v>
      </c>
      <c r="M367" s="35" t="b">
        <v>0</v>
      </c>
      <c r="N367" s="35" t="b">
        <v>0</v>
      </c>
      <c r="O367" s="35" t="b">
        <v>0</v>
      </c>
      <c r="P367" s="35" t="b">
        <v>0</v>
      </c>
      <c r="Q367" s="35" t="b">
        <v>0</v>
      </c>
      <c r="R367" s="14"/>
      <c r="S367" s="14"/>
      <c r="T367" s="14"/>
      <c r="U367" s="14"/>
      <c r="V367" s="14"/>
      <c r="W367" s="14"/>
    </row>
    <row r="368" ht="31.5" customHeight="1">
      <c r="A368" s="109" t="s">
        <v>7993</v>
      </c>
      <c r="B368" s="110" t="s">
        <v>7994</v>
      </c>
      <c r="C368" s="111" t="s">
        <v>7995</v>
      </c>
      <c r="D368" s="28" t="s">
        <v>7996</v>
      </c>
      <c r="E368" s="28" t="str">
        <f>IFERROR(__xludf.DUMMYFUNCTION("GOOGLETRANSLATE(D368,""zh-CN"",""vi"")"),"Ông ấy đang phải đối mặt với một vụ kiện tại tòa.")</f>
        <v>Ông ấy đang phải đối mặt với một vụ kiện tại tòa.</v>
      </c>
      <c r="F368" s="128"/>
      <c r="G368" s="36" t="b">
        <f t="shared" si="1"/>
        <v>0</v>
      </c>
      <c r="H368" s="35" t="b">
        <v>1</v>
      </c>
      <c r="I368" s="35" t="b">
        <v>0</v>
      </c>
      <c r="J368" s="35" t="b">
        <v>0</v>
      </c>
      <c r="K368" s="35" t="b">
        <v>0</v>
      </c>
      <c r="L368" s="35" t="b">
        <v>0</v>
      </c>
      <c r="M368" s="35" t="b">
        <v>0</v>
      </c>
      <c r="N368" s="35" t="b">
        <v>0</v>
      </c>
      <c r="O368" s="35" t="b">
        <v>0</v>
      </c>
      <c r="P368" s="35" t="b">
        <v>0</v>
      </c>
      <c r="Q368" s="35" t="b">
        <v>0</v>
      </c>
      <c r="R368" s="14"/>
      <c r="S368" s="14"/>
      <c r="T368" s="14"/>
      <c r="U368" s="14"/>
      <c r="V368" s="14"/>
      <c r="W368" s="14"/>
    </row>
    <row r="369" ht="31.5" customHeight="1">
      <c r="A369" s="109" t="s">
        <v>8000</v>
      </c>
      <c r="B369" s="110" t="s">
        <v>8001</v>
      </c>
      <c r="C369" s="111" t="s">
        <v>8002</v>
      </c>
      <c r="D369" s="28" t="s">
        <v>8003</v>
      </c>
      <c r="E369" s="28" t="str">
        <f>IFERROR(__xludf.DUMMYFUNCTION("GOOGLETRANSLATE(D369,""zh-CN"",""vi"")"),"Chúng ta phải chống lại tội phạm.")</f>
        <v>Chúng ta phải chống lại tội phạm.</v>
      </c>
      <c r="F369" s="128"/>
      <c r="G369" s="36" t="b">
        <f t="shared" si="1"/>
        <v>0</v>
      </c>
      <c r="H369" s="35" t="b">
        <v>1</v>
      </c>
      <c r="I369" s="35" t="b">
        <v>0</v>
      </c>
      <c r="J369" s="35" t="b">
        <v>0</v>
      </c>
      <c r="K369" s="35" t="b">
        <v>0</v>
      </c>
      <c r="L369" s="35" t="b">
        <v>0</v>
      </c>
      <c r="M369" s="35" t="b">
        <v>0</v>
      </c>
      <c r="N369" s="35" t="b">
        <v>0</v>
      </c>
      <c r="O369" s="35" t="b">
        <v>0</v>
      </c>
      <c r="P369" s="35" t="b">
        <v>0</v>
      </c>
      <c r="Q369" s="35" t="b">
        <v>0</v>
      </c>
      <c r="R369" s="14"/>
      <c r="S369" s="14"/>
      <c r="T369" s="14"/>
      <c r="U369" s="14"/>
      <c r="V369" s="14"/>
      <c r="W369" s="14"/>
    </row>
    <row r="370" ht="31.5" customHeight="1">
      <c r="A370" s="109" t="s">
        <v>8008</v>
      </c>
      <c r="B370" s="110" t="s">
        <v>8009</v>
      </c>
      <c r="C370" s="111" t="s">
        <v>8010</v>
      </c>
      <c r="D370" s="28" t="s">
        <v>8011</v>
      </c>
      <c r="E370" s="28" t="str">
        <f>IFERROR(__xludf.DUMMYFUNCTION("GOOGLETRANSLATE(D370,""zh-CN"",""vi"")"),"Họ đang đánh nhau trên đường phố.")</f>
        <v>Họ đang đánh nhau trên đường phố.</v>
      </c>
      <c r="F370" s="128"/>
      <c r="G370" s="36" t="b">
        <f t="shared" si="1"/>
        <v>0</v>
      </c>
      <c r="H370" s="35" t="b">
        <v>1</v>
      </c>
      <c r="I370" s="35" t="b">
        <v>0</v>
      </c>
      <c r="J370" s="35" t="b">
        <v>0</v>
      </c>
      <c r="K370" s="35" t="b">
        <v>0</v>
      </c>
      <c r="L370" s="35" t="b">
        <v>0</v>
      </c>
      <c r="M370" s="35" t="b">
        <v>0</v>
      </c>
      <c r="N370" s="35" t="b">
        <v>0</v>
      </c>
      <c r="O370" s="35" t="b">
        <v>0</v>
      </c>
      <c r="P370" s="35" t="b">
        <v>0</v>
      </c>
      <c r="Q370" s="35" t="b">
        <v>0</v>
      </c>
      <c r="R370" s="14"/>
      <c r="S370" s="14"/>
      <c r="T370" s="14"/>
      <c r="U370" s="14"/>
      <c r="V370" s="14"/>
      <c r="W370" s="14"/>
    </row>
    <row r="371" ht="31.5" customHeight="1">
      <c r="A371" s="109" t="s">
        <v>8015</v>
      </c>
      <c r="B371" s="110" t="s">
        <v>8016</v>
      </c>
      <c r="C371" s="111" t="s">
        <v>8017</v>
      </c>
      <c r="D371" s="28" t="s">
        <v>8018</v>
      </c>
      <c r="E371" s="28" t="str">
        <f>IFERROR(__xludf.DUMMYFUNCTION("GOOGLETRANSLATE(D371,""zh-CN"",""vi"")"),"Ông ta đang xem xét vật thể một cách kỹ lưỡng.")</f>
        <v>Ông ta đang xem xét vật thể một cách kỹ lưỡng.</v>
      </c>
      <c r="F371" s="128"/>
      <c r="G371" s="36" t="b">
        <f t="shared" si="1"/>
        <v>0</v>
      </c>
      <c r="H371" s="35" t="b">
        <v>1</v>
      </c>
      <c r="I371" s="35" t="b">
        <v>0</v>
      </c>
      <c r="J371" s="35" t="b">
        <v>0</v>
      </c>
      <c r="K371" s="35" t="b">
        <v>0</v>
      </c>
      <c r="L371" s="35" t="b">
        <v>0</v>
      </c>
      <c r="M371" s="35" t="b">
        <v>0</v>
      </c>
      <c r="N371" s="35" t="b">
        <v>0</v>
      </c>
      <c r="O371" s="35" t="b">
        <v>0</v>
      </c>
      <c r="P371" s="35" t="b">
        <v>0</v>
      </c>
      <c r="Q371" s="35" t="b">
        <v>0</v>
      </c>
      <c r="R371" s="14"/>
      <c r="S371" s="14"/>
      <c r="T371" s="14"/>
      <c r="U371" s="14"/>
      <c r="V371" s="14"/>
      <c r="W371" s="14"/>
    </row>
    <row r="372" ht="31.5" customHeight="1">
      <c r="A372" s="109" t="s">
        <v>8023</v>
      </c>
      <c r="B372" s="110" t="s">
        <v>8024</v>
      </c>
      <c r="C372" s="111" t="s">
        <v>8025</v>
      </c>
      <c r="D372" s="28" t="s">
        <v>8026</v>
      </c>
      <c r="E372" s="28" t="str">
        <f>IFERROR(__xludf.DUMMYFUNCTION("GOOGLETRANSLATE(D372,""zh-CN"",""vi"")"),"Anh ấy thích săn bắn.")</f>
        <v>Anh ấy thích săn bắn.</v>
      </c>
      <c r="F372" s="128"/>
      <c r="G372" s="36" t="b">
        <f t="shared" si="1"/>
        <v>0</v>
      </c>
      <c r="H372" s="35" t="b">
        <v>1</v>
      </c>
      <c r="I372" s="35" t="b">
        <v>0</v>
      </c>
      <c r="J372" s="35" t="b">
        <v>0</v>
      </c>
      <c r="K372" s="35" t="b">
        <v>0</v>
      </c>
      <c r="L372" s="35" t="b">
        <v>0</v>
      </c>
      <c r="M372" s="35" t="b">
        <v>0</v>
      </c>
      <c r="N372" s="35" t="b">
        <v>0</v>
      </c>
      <c r="O372" s="35" t="b">
        <v>0</v>
      </c>
      <c r="P372" s="35" t="b">
        <v>0</v>
      </c>
      <c r="Q372" s="35" t="b">
        <v>0</v>
      </c>
      <c r="R372" s="14"/>
      <c r="S372" s="14"/>
      <c r="T372" s="14"/>
      <c r="U372" s="14"/>
      <c r="V372" s="14"/>
      <c r="W372" s="14"/>
    </row>
    <row r="373" ht="31.5" customHeight="1">
      <c r="A373" s="109" t="s">
        <v>8031</v>
      </c>
      <c r="B373" s="110" t="s">
        <v>8032</v>
      </c>
      <c r="C373" s="111" t="s">
        <v>8033</v>
      </c>
      <c r="D373" s="28" t="s">
        <v>8034</v>
      </c>
      <c r="E373" s="28" t="str">
        <f>IFERROR(__xludf.DUMMYFUNCTION("GOOGLETRANSLATE(D373,""zh-CN"",""vi"")"),"Họ đang giao tranh ở biên giới.")</f>
        <v>Họ đang giao tranh ở biên giới.</v>
      </c>
      <c r="F373" s="128"/>
      <c r="G373" s="36" t="b">
        <f t="shared" si="1"/>
        <v>0</v>
      </c>
      <c r="H373" s="35" t="b">
        <v>1</v>
      </c>
      <c r="I373" s="35" t="b">
        <v>0</v>
      </c>
      <c r="J373" s="35" t="b">
        <v>0</v>
      </c>
      <c r="K373" s="35" t="b">
        <v>0</v>
      </c>
      <c r="L373" s="35" t="b">
        <v>0</v>
      </c>
      <c r="M373" s="35" t="b">
        <v>0</v>
      </c>
      <c r="N373" s="35" t="b">
        <v>0</v>
      </c>
      <c r="O373" s="35" t="b">
        <v>0</v>
      </c>
      <c r="P373" s="35" t="b">
        <v>0</v>
      </c>
      <c r="Q373" s="35" t="b">
        <v>0</v>
      </c>
      <c r="R373" s="14"/>
      <c r="S373" s="14"/>
      <c r="T373" s="14"/>
      <c r="U373" s="14"/>
      <c r="V373" s="14"/>
      <c r="W373" s="14"/>
    </row>
    <row r="374" ht="31.5" customHeight="1">
      <c r="A374" s="109" t="s">
        <v>8038</v>
      </c>
      <c r="B374" s="110" t="s">
        <v>8039</v>
      </c>
      <c r="C374" s="111" t="s">
        <v>8040</v>
      </c>
      <c r="D374" s="28" t="s">
        <v>8041</v>
      </c>
      <c r="E374" s="28" t="str">
        <f>IFERROR(__xludf.DUMMYFUNCTION("GOOGLETRANSLATE(D374,""zh-CN"",""vi"")"),"Đó là điều tồi tệ nhất có thể xảy ra.")</f>
        <v>Đó là điều tồi tệ nhất có thể xảy ra.</v>
      </c>
      <c r="F374" s="128"/>
      <c r="G374" s="36" t="b">
        <f t="shared" si="1"/>
        <v>0</v>
      </c>
      <c r="H374" s="35" t="b">
        <v>1</v>
      </c>
      <c r="I374" s="35" t="b">
        <v>0</v>
      </c>
      <c r="J374" s="35" t="b">
        <v>0</v>
      </c>
      <c r="K374" s="35" t="b">
        <v>0</v>
      </c>
      <c r="L374" s="35" t="b">
        <v>0</v>
      </c>
      <c r="M374" s="35" t="b">
        <v>0</v>
      </c>
      <c r="N374" s="35" t="b">
        <v>0</v>
      </c>
      <c r="O374" s="35" t="b">
        <v>0</v>
      </c>
      <c r="P374" s="35" t="b">
        <v>0</v>
      </c>
      <c r="Q374" s="35" t="b">
        <v>0</v>
      </c>
      <c r="R374" s="14"/>
      <c r="S374" s="14"/>
      <c r="T374" s="14"/>
      <c r="U374" s="14"/>
      <c r="V374" s="14"/>
      <c r="W374" s="14"/>
    </row>
    <row r="375" ht="31.5" customHeight="1">
      <c r="A375" s="109" t="s">
        <v>8046</v>
      </c>
      <c r="B375" s="110" t="s">
        <v>8047</v>
      </c>
      <c r="C375" s="111" t="s">
        <v>8048</v>
      </c>
      <c r="D375" s="28" t="s">
        <v>8049</v>
      </c>
      <c r="E375" s="28" t="str">
        <f>IFERROR(__xludf.DUMMYFUNCTION("GOOGLETRANSLATE(D375,""zh-CN"",""vi"")"),"Các bộ trưởng đang họp.")</f>
        <v>Các bộ trưởng đang họp.</v>
      </c>
      <c r="F375" s="128"/>
      <c r="G375" s="36" t="b">
        <f t="shared" si="1"/>
        <v>0</v>
      </c>
      <c r="H375" s="35" t="b">
        <v>1</v>
      </c>
      <c r="I375" s="35" t="b">
        <v>0</v>
      </c>
      <c r="J375" s="35" t="b">
        <v>0</v>
      </c>
      <c r="K375" s="35" t="b">
        <v>0</v>
      </c>
      <c r="L375" s="35" t="b">
        <v>0</v>
      </c>
      <c r="M375" s="35" t="b">
        <v>0</v>
      </c>
      <c r="N375" s="35" t="b">
        <v>0</v>
      </c>
      <c r="O375" s="35" t="b">
        <v>0</v>
      </c>
      <c r="P375" s="35" t="b">
        <v>0</v>
      </c>
      <c r="Q375" s="35" t="b">
        <v>0</v>
      </c>
      <c r="R375" s="14"/>
      <c r="S375" s="14"/>
      <c r="T375" s="14"/>
      <c r="U375" s="14"/>
      <c r="V375" s="14"/>
      <c r="W375" s="14"/>
    </row>
    <row r="376" ht="31.5" customHeight="1">
      <c r="A376" s="109" t="s">
        <v>8054</v>
      </c>
      <c r="B376" s="110" t="s">
        <v>8055</v>
      </c>
      <c r="C376" s="111" t="s">
        <v>8056</v>
      </c>
      <c r="D376" s="28" t="s">
        <v>8057</v>
      </c>
      <c r="E376" s="28" t="str">
        <f>IFERROR(__xludf.DUMMYFUNCTION("GOOGLETRANSLATE(D376,""zh-CN"",""vi"")"),"Mọi người đều rất vui vẻ.")</f>
        <v>Mọi người đều rất vui vẻ.</v>
      </c>
      <c r="F376" s="128"/>
      <c r="G376" s="36" t="b">
        <f t="shared" si="1"/>
        <v>0</v>
      </c>
      <c r="H376" s="35" t="b">
        <v>1</v>
      </c>
      <c r="I376" s="35" t="b">
        <v>0</v>
      </c>
      <c r="J376" s="35" t="b">
        <v>0</v>
      </c>
      <c r="K376" s="35" t="b">
        <v>0</v>
      </c>
      <c r="L376" s="35" t="b">
        <v>0</v>
      </c>
      <c r="M376" s="35" t="b">
        <v>0</v>
      </c>
      <c r="N376" s="35" t="b">
        <v>0</v>
      </c>
      <c r="O376" s="35" t="b">
        <v>0</v>
      </c>
      <c r="P376" s="35" t="b">
        <v>0</v>
      </c>
      <c r="Q376" s="35" t="b">
        <v>0</v>
      </c>
      <c r="R376" s="14"/>
      <c r="S376" s="14"/>
      <c r="T376" s="14"/>
      <c r="U376" s="14"/>
      <c r="V376" s="14"/>
      <c r="W376" s="14"/>
    </row>
    <row r="377" ht="31.5" customHeight="1">
      <c r="A377" s="109" t="s">
        <v>5449</v>
      </c>
      <c r="B377" s="110" t="s">
        <v>5450</v>
      </c>
      <c r="C377" s="111" t="s">
        <v>8062</v>
      </c>
      <c r="D377" s="28" t="s">
        <v>8063</v>
      </c>
      <c r="E377" s="28" t="str">
        <f>IFERROR(__xludf.DUMMYFUNCTION("GOOGLETRANSLATE(D377,""zh-CN"",""vi"")"),"Tòa nhà này thật tráng lệ.")</f>
        <v>Tòa nhà này thật tráng lệ.</v>
      </c>
      <c r="F377" s="128"/>
      <c r="G377" s="36" t="b">
        <f t="shared" si="1"/>
        <v>0</v>
      </c>
      <c r="H377" s="35" t="b">
        <v>1</v>
      </c>
      <c r="I377" s="35" t="b">
        <v>0</v>
      </c>
      <c r="J377" s="35" t="b">
        <v>0</v>
      </c>
      <c r="K377" s="35" t="b">
        <v>0</v>
      </c>
      <c r="L377" s="35" t="b">
        <v>0</v>
      </c>
      <c r="M377" s="35" t="b">
        <v>0</v>
      </c>
      <c r="N377" s="35" t="b">
        <v>0</v>
      </c>
      <c r="O377" s="35" t="b">
        <v>0</v>
      </c>
      <c r="P377" s="35" t="b">
        <v>0</v>
      </c>
      <c r="Q377" s="35" t="b">
        <v>0</v>
      </c>
      <c r="R377" s="14"/>
      <c r="S377" s="14"/>
      <c r="T377" s="14"/>
      <c r="U377" s="14"/>
      <c r="V377" s="14"/>
      <c r="W377" s="14"/>
    </row>
    <row r="378" ht="31.5" customHeight="1">
      <c r="A378" s="109" t="s">
        <v>8072</v>
      </c>
      <c r="B378" s="110" t="s">
        <v>8073</v>
      </c>
      <c r="C378" s="111" t="s">
        <v>8074</v>
      </c>
      <c r="D378" s="28" t="s">
        <v>8075</v>
      </c>
      <c r="E378" s="28" t="str">
        <f>IFERROR(__xludf.DUMMYFUNCTION("GOOGLETRANSLATE(D378,""zh-CN"",""vi"")"),"Họ ăn mừng tưng bừng.")</f>
        <v>Họ ăn mừng tưng bừng.</v>
      </c>
      <c r="F378" s="128"/>
      <c r="G378" s="36" t="b">
        <f t="shared" si="1"/>
        <v>0</v>
      </c>
      <c r="H378" s="35" t="b">
        <v>1</v>
      </c>
      <c r="I378" s="35" t="b">
        <v>0</v>
      </c>
      <c r="J378" s="35" t="b">
        <v>0</v>
      </c>
      <c r="K378" s="35" t="b">
        <v>0</v>
      </c>
      <c r="L378" s="35" t="b">
        <v>0</v>
      </c>
      <c r="M378" s="35" t="b">
        <v>0</v>
      </c>
      <c r="N378" s="35" t="b">
        <v>0</v>
      </c>
      <c r="O378" s="35" t="b">
        <v>0</v>
      </c>
      <c r="P378" s="35" t="b">
        <v>0</v>
      </c>
      <c r="Q378" s="35" t="b">
        <v>0</v>
      </c>
      <c r="R378" s="14"/>
      <c r="S378" s="14"/>
      <c r="T378" s="14"/>
      <c r="U378" s="14"/>
      <c r="V378" s="14"/>
      <c r="W378" s="14"/>
    </row>
    <row r="379" ht="31.5" customHeight="1">
      <c r="A379" s="109" t="s">
        <v>8080</v>
      </c>
      <c r="B379" s="110" t="s">
        <v>8081</v>
      </c>
      <c r="C379" s="111" t="s">
        <v>8082</v>
      </c>
      <c r="D379" s="28" t="s">
        <v>8083</v>
      </c>
      <c r="E379" s="28" t="str">
        <f>IFERROR(__xludf.DUMMYFUNCTION("GOOGLETRANSLATE(D379,""zh-CN"",""vi"")"),"Nhìn chung, anh ấy nói đúng.")</f>
        <v>Nhìn chung, anh ấy nói đúng.</v>
      </c>
      <c r="F379" s="128"/>
      <c r="G379" s="36" t="b">
        <f t="shared" si="1"/>
        <v>0</v>
      </c>
      <c r="H379" s="35" t="b">
        <v>1</v>
      </c>
      <c r="I379" s="35" t="b">
        <v>0</v>
      </c>
      <c r="J379" s="35" t="b">
        <v>0</v>
      </c>
      <c r="K379" s="35" t="b">
        <v>0</v>
      </c>
      <c r="L379" s="35" t="b">
        <v>0</v>
      </c>
      <c r="M379" s="35" t="b">
        <v>0</v>
      </c>
      <c r="N379" s="35" t="b">
        <v>0</v>
      </c>
      <c r="O379" s="35" t="b">
        <v>0</v>
      </c>
      <c r="P379" s="35" t="b">
        <v>0</v>
      </c>
      <c r="Q379" s="35" t="b">
        <v>0</v>
      </c>
      <c r="R379" s="14"/>
      <c r="S379" s="14"/>
      <c r="T379" s="14"/>
      <c r="U379" s="14"/>
      <c r="V379" s="14"/>
      <c r="W379" s="14"/>
    </row>
    <row r="380" ht="31.5" customHeight="1">
      <c r="A380" s="109" t="s">
        <v>8088</v>
      </c>
      <c r="B380" s="110" t="s">
        <v>8089</v>
      </c>
      <c r="C380" s="111" t="s">
        <v>8090</v>
      </c>
      <c r="D380" s="28" t="s">
        <v>8091</v>
      </c>
      <c r="E380" s="28" t="str">
        <f>IFERROR(__xludf.DUMMYFUNCTION("GOOGLETRANSLATE(D380,""zh-CN"",""vi"")"),"Tôi xin lỗi, tôi đã bất cẩn.")</f>
        <v>Tôi xin lỗi, tôi đã bất cẩn.</v>
      </c>
      <c r="F380" s="128"/>
      <c r="G380" s="36" t="b">
        <f t="shared" si="1"/>
        <v>0</v>
      </c>
      <c r="H380" s="35" t="b">
        <v>1</v>
      </c>
      <c r="I380" s="35" t="b">
        <v>0</v>
      </c>
      <c r="J380" s="35" t="b">
        <v>0</v>
      </c>
      <c r="K380" s="35" t="b">
        <v>0</v>
      </c>
      <c r="L380" s="35" t="b">
        <v>0</v>
      </c>
      <c r="M380" s="35" t="b">
        <v>0</v>
      </c>
      <c r="N380" s="35" t="b">
        <v>0</v>
      </c>
      <c r="O380" s="35" t="b">
        <v>0</v>
      </c>
      <c r="P380" s="35" t="b">
        <v>0</v>
      </c>
      <c r="Q380" s="35" t="b">
        <v>0</v>
      </c>
      <c r="R380" s="14"/>
      <c r="S380" s="14"/>
      <c r="T380" s="14"/>
      <c r="U380" s="14"/>
      <c r="V380" s="14"/>
      <c r="W380" s="14"/>
    </row>
    <row r="381" ht="31.5" customHeight="1">
      <c r="A381" s="109" t="s">
        <v>8093</v>
      </c>
      <c r="B381" s="110" t="s">
        <v>8095</v>
      </c>
      <c r="C381" s="111" t="s">
        <v>8097</v>
      </c>
      <c r="D381" s="28" t="s">
        <v>8099</v>
      </c>
      <c r="E381" s="28" t="str">
        <f>IFERROR(__xludf.DUMMYFUNCTION("GOOGLETRANSLATE(D381,""zh-CN"",""vi"")"),"Kế hoạch về cơ bản đã hoàn thành.")</f>
        <v>Kế hoạch về cơ bản đã hoàn thành.</v>
      </c>
      <c r="F381" s="128"/>
      <c r="G381" s="36" t="b">
        <f t="shared" si="1"/>
        <v>0</v>
      </c>
      <c r="H381" s="35" t="b">
        <v>1</v>
      </c>
      <c r="I381" s="35" t="b">
        <v>0</v>
      </c>
      <c r="J381" s="35" t="b">
        <v>0</v>
      </c>
      <c r="K381" s="35" t="b">
        <v>0</v>
      </c>
      <c r="L381" s="35" t="b">
        <v>0</v>
      </c>
      <c r="M381" s="35" t="b">
        <v>0</v>
      </c>
      <c r="N381" s="35" t="b">
        <v>0</v>
      </c>
      <c r="O381" s="35" t="b">
        <v>0</v>
      </c>
      <c r="P381" s="35" t="b">
        <v>0</v>
      </c>
      <c r="Q381" s="35" t="b">
        <v>0</v>
      </c>
      <c r="R381" s="14"/>
      <c r="S381" s="14"/>
      <c r="T381" s="14"/>
      <c r="U381" s="14"/>
      <c r="V381" s="14"/>
      <c r="W381" s="14"/>
    </row>
    <row r="382" ht="31.5" customHeight="1">
      <c r="A382" s="109" t="s">
        <v>8100</v>
      </c>
      <c r="B382" s="110" t="s">
        <v>8101</v>
      </c>
      <c r="C382" s="111" t="s">
        <v>8103</v>
      </c>
      <c r="D382" s="28" t="s">
        <v>8105</v>
      </c>
      <c r="E382" s="28" t="str">
        <f>IFERROR(__xludf.DUMMYFUNCTION("GOOGLETRANSLATE(D382,""zh-CN"",""vi"")"),"Các thủ phạm đã bị cảnh sát bắt giữ.")</f>
        <v>Các thủ phạm đã bị cảnh sát bắt giữ.</v>
      </c>
      <c r="F382" s="128"/>
      <c r="G382" s="36" t="b">
        <f t="shared" si="1"/>
        <v>0</v>
      </c>
      <c r="H382" s="35" t="b">
        <v>1</v>
      </c>
      <c r="I382" s="35" t="b">
        <v>0</v>
      </c>
      <c r="J382" s="35" t="b">
        <v>0</v>
      </c>
      <c r="K382" s="35" t="b">
        <v>0</v>
      </c>
      <c r="L382" s="35" t="b">
        <v>0</v>
      </c>
      <c r="M382" s="35" t="b">
        <v>0</v>
      </c>
      <c r="N382" s="35" t="b">
        <v>0</v>
      </c>
      <c r="O382" s="35" t="b">
        <v>0</v>
      </c>
      <c r="P382" s="35" t="b">
        <v>0</v>
      </c>
      <c r="Q382" s="35" t="b">
        <v>0</v>
      </c>
      <c r="R382" s="14"/>
      <c r="S382" s="14"/>
      <c r="T382" s="14"/>
      <c r="U382" s="14"/>
      <c r="V382" s="14"/>
      <c r="W382" s="14"/>
    </row>
    <row r="383" ht="31.5" customHeight="1">
      <c r="A383" s="109" t="s">
        <v>8107</v>
      </c>
      <c r="B383" s="110" t="s">
        <v>8108</v>
      </c>
      <c r="C383" s="111" t="s">
        <v>8109</v>
      </c>
      <c r="D383" s="28" t="s">
        <v>8111</v>
      </c>
      <c r="E383" s="28" t="str">
        <f>IFERROR(__xludf.DUMMYFUNCTION("GOOGLETRANSLATE(D383,""zh-CN"",""vi"")"),"Anh ta đã bị bắt.")</f>
        <v>Anh ta đã bị bắt.</v>
      </c>
      <c r="F383" s="128"/>
      <c r="G383" s="36" t="b">
        <f t="shared" si="1"/>
        <v>0</v>
      </c>
      <c r="H383" s="35" t="b">
        <v>1</v>
      </c>
      <c r="I383" s="35" t="b">
        <v>0</v>
      </c>
      <c r="J383" s="35" t="b">
        <v>0</v>
      </c>
      <c r="K383" s="35" t="b">
        <v>0</v>
      </c>
      <c r="L383" s="35" t="b">
        <v>0</v>
      </c>
      <c r="M383" s="35" t="b">
        <v>0</v>
      </c>
      <c r="N383" s="35" t="b">
        <v>0</v>
      </c>
      <c r="O383" s="35" t="b">
        <v>0</v>
      </c>
      <c r="P383" s="35" t="b">
        <v>0</v>
      </c>
      <c r="Q383" s="35" t="b">
        <v>0</v>
      </c>
      <c r="R383" s="14"/>
      <c r="S383" s="14"/>
      <c r="T383" s="14"/>
      <c r="U383" s="14"/>
      <c r="V383" s="14"/>
      <c r="W383" s="14"/>
    </row>
    <row r="384" ht="31.5" customHeight="1">
      <c r="A384" s="109" t="s">
        <v>8115</v>
      </c>
      <c r="B384" s="110" t="s">
        <v>8116</v>
      </c>
      <c r="C384" s="111" t="s">
        <v>8117</v>
      </c>
      <c r="D384" s="28" t="s">
        <v>8119</v>
      </c>
      <c r="E384" s="28" t="str">
        <f>IFERROR(__xludf.DUMMYFUNCTION("GOOGLETRANSLATE(D384,""zh-CN"",""vi"")"),"Chúng ta phải trả giá.")</f>
        <v>Chúng ta phải trả giá.</v>
      </c>
      <c r="F384" s="128"/>
      <c r="G384" s="36" t="b">
        <f t="shared" si="1"/>
        <v>0</v>
      </c>
      <c r="H384" s="35" t="b">
        <v>1</v>
      </c>
      <c r="I384" s="35" t="b">
        <v>0</v>
      </c>
      <c r="J384" s="35" t="b">
        <v>0</v>
      </c>
      <c r="K384" s="35" t="b">
        <v>0</v>
      </c>
      <c r="L384" s="35" t="b">
        <v>0</v>
      </c>
      <c r="M384" s="35" t="b">
        <v>0</v>
      </c>
      <c r="N384" s="35" t="b">
        <v>0</v>
      </c>
      <c r="O384" s="35" t="b">
        <v>0</v>
      </c>
      <c r="P384" s="35" t="b">
        <v>0</v>
      </c>
      <c r="Q384" s="35" t="b">
        <v>0</v>
      </c>
      <c r="R384" s="14"/>
      <c r="S384" s="14"/>
      <c r="T384" s="14"/>
      <c r="U384" s="14"/>
      <c r="V384" s="14"/>
      <c r="W384" s="14"/>
    </row>
    <row r="385" ht="31.5" customHeight="1">
      <c r="A385" s="109" t="s">
        <v>8122</v>
      </c>
      <c r="B385" s="110" t="s">
        <v>8123</v>
      </c>
      <c r="C385" s="111" t="s">
        <v>8124</v>
      </c>
      <c r="D385" s="28" t="s">
        <v>8125</v>
      </c>
      <c r="E385" s="28" t="str">
        <f>IFERROR(__xludf.DUMMYFUNCTION("GOOGLETRANSLATE(D385,""zh-CN"",""vi"")"),"Anh ấy là người đại diện của chúng tôi.")</f>
        <v>Anh ấy là người đại diện của chúng tôi.</v>
      </c>
      <c r="F385" s="128"/>
      <c r="G385" s="36" t="b">
        <f t="shared" si="1"/>
        <v>0</v>
      </c>
      <c r="H385" s="35" t="b">
        <v>1</v>
      </c>
      <c r="I385" s="35" t="b">
        <v>0</v>
      </c>
      <c r="J385" s="35" t="b">
        <v>0</v>
      </c>
      <c r="K385" s="35" t="b">
        <v>0</v>
      </c>
      <c r="L385" s="35" t="b">
        <v>0</v>
      </c>
      <c r="M385" s="35" t="b">
        <v>0</v>
      </c>
      <c r="N385" s="35" t="b">
        <v>0</v>
      </c>
      <c r="O385" s="35" t="b">
        <v>0</v>
      </c>
      <c r="P385" s="35" t="b">
        <v>0</v>
      </c>
      <c r="Q385" s="35" t="b">
        <v>0</v>
      </c>
      <c r="R385" s="14"/>
      <c r="S385" s="14"/>
      <c r="T385" s="14"/>
      <c r="U385" s="14"/>
      <c r="V385" s="14"/>
      <c r="W385" s="14"/>
    </row>
    <row r="386" ht="31.5" customHeight="1">
      <c r="A386" s="109" t="s">
        <v>8130</v>
      </c>
      <c r="B386" s="110" t="s">
        <v>8131</v>
      </c>
      <c r="C386" s="111" t="s">
        <v>8132</v>
      </c>
      <c r="D386" s="28" t="s">
        <v>8133</v>
      </c>
      <c r="E386" s="28" t="str">
        <f>IFERROR(__xludf.DUMMYFUNCTION("GOOGLETRANSLATE(D386,""zh-CN"",""vi"")"),"Ông đã dẫn dắt đội của mình đến thành công.")</f>
        <v>Ông đã dẫn dắt đội của mình đến thành công.</v>
      </c>
      <c r="F386" s="128"/>
      <c r="G386" s="36" t="b">
        <f t="shared" si="1"/>
        <v>0</v>
      </c>
      <c r="H386" s="35" t="b">
        <v>1</v>
      </c>
      <c r="I386" s="35" t="b">
        <v>0</v>
      </c>
      <c r="J386" s="35" t="b">
        <v>0</v>
      </c>
      <c r="K386" s="35" t="b">
        <v>0</v>
      </c>
      <c r="L386" s="35" t="b">
        <v>0</v>
      </c>
      <c r="M386" s="35" t="b">
        <v>0</v>
      </c>
      <c r="N386" s="35" t="b">
        <v>0</v>
      </c>
      <c r="O386" s="35" t="b">
        <v>0</v>
      </c>
      <c r="P386" s="35" t="b">
        <v>0</v>
      </c>
      <c r="Q386" s="35" t="b">
        <v>0</v>
      </c>
      <c r="R386" s="14"/>
      <c r="S386" s="14"/>
      <c r="T386" s="14"/>
      <c r="U386" s="14"/>
      <c r="V386" s="14"/>
      <c r="W386" s="14"/>
    </row>
    <row r="387" ht="31.5" customHeight="1">
      <c r="A387" s="109" t="s">
        <v>8138</v>
      </c>
      <c r="B387" s="110" t="s">
        <v>8139</v>
      </c>
      <c r="C387" s="111" t="s">
        <v>8140</v>
      </c>
      <c r="D387" s="28" t="s">
        <v>8141</v>
      </c>
      <c r="E387" s="28" t="str">
        <f>IFERROR(__xludf.DUMMYFUNCTION("GOOGLETRANSLATE(D387,""zh-CN"",""vi"")"),"Ông ta đối xử với chúng tôi rất tệ.")</f>
        <v>Ông ta đối xử với chúng tôi rất tệ.</v>
      </c>
      <c r="F387" s="128"/>
      <c r="G387" s="36" t="b">
        <f t="shared" si="1"/>
        <v>0</v>
      </c>
      <c r="H387" s="35" t="b">
        <v>1</v>
      </c>
      <c r="I387" s="35" t="b">
        <v>0</v>
      </c>
      <c r="J387" s="35" t="b">
        <v>0</v>
      </c>
      <c r="K387" s="35" t="b">
        <v>0</v>
      </c>
      <c r="L387" s="35" t="b">
        <v>0</v>
      </c>
      <c r="M387" s="35" t="b">
        <v>0</v>
      </c>
      <c r="N387" s="35" t="b">
        <v>0</v>
      </c>
      <c r="O387" s="35" t="b">
        <v>0</v>
      </c>
      <c r="P387" s="35" t="b">
        <v>0</v>
      </c>
      <c r="Q387" s="35" t="b">
        <v>0</v>
      </c>
      <c r="R387" s="14"/>
      <c r="S387" s="14"/>
      <c r="T387" s="14"/>
      <c r="U387" s="14"/>
      <c r="V387" s="14"/>
      <c r="W387" s="14"/>
    </row>
    <row r="388" ht="31.5" customHeight="1">
      <c r="A388" s="109" t="s">
        <v>8145</v>
      </c>
      <c r="B388" s="110" t="s">
        <v>8146</v>
      </c>
      <c r="C388" s="111" t="s">
        <v>8147</v>
      </c>
      <c r="D388" s="28" t="s">
        <v>8148</v>
      </c>
      <c r="E388" s="28" t="str">
        <f>IFERROR(__xludf.DUMMYFUNCTION("GOOGLETRANSLATE(D388,""zh-CN"",""vi"")"),"Ông ấy đã bảo lãnh cho thỏa thuận này.")</f>
        <v>Ông ấy đã bảo lãnh cho thỏa thuận này.</v>
      </c>
      <c r="F388" s="128"/>
      <c r="G388" s="36" t="b">
        <f t="shared" si="1"/>
        <v>0</v>
      </c>
      <c r="H388" s="35" t="b">
        <v>1</v>
      </c>
      <c r="I388" s="35" t="b">
        <v>0</v>
      </c>
      <c r="J388" s="35" t="b">
        <v>0</v>
      </c>
      <c r="K388" s="35" t="b">
        <v>0</v>
      </c>
      <c r="L388" s="35" t="b">
        <v>0</v>
      </c>
      <c r="M388" s="35" t="b">
        <v>0</v>
      </c>
      <c r="N388" s="35" t="b">
        <v>0</v>
      </c>
      <c r="O388" s="35" t="b">
        <v>0</v>
      </c>
      <c r="P388" s="35" t="b">
        <v>0</v>
      </c>
      <c r="Q388" s="35" t="b">
        <v>0</v>
      </c>
      <c r="R388" s="14"/>
      <c r="S388" s="14"/>
      <c r="T388" s="14"/>
      <c r="U388" s="14"/>
      <c r="V388" s="14"/>
      <c r="W388" s="14"/>
    </row>
    <row r="389" ht="31.5" customHeight="1">
      <c r="A389" s="109" t="s">
        <v>8153</v>
      </c>
      <c r="B389" s="110" t="s">
        <v>8154</v>
      </c>
      <c r="C389" s="111" t="s">
        <v>8155</v>
      </c>
      <c r="D389" s="28" t="s">
        <v>8156</v>
      </c>
      <c r="E389" s="28" t="str">
        <f>IFERROR(__xludf.DUMMYFUNCTION("GOOGLETRANSLATE(D389,""zh-CN"",""vi"")"),"Anh ta nhút nhát và không dám nói gì.")</f>
        <v>Anh ta nhút nhát và không dám nói gì.</v>
      </c>
      <c r="F389" s="128"/>
      <c r="G389" s="36" t="b">
        <f t="shared" si="1"/>
        <v>0</v>
      </c>
      <c r="H389" s="35" t="b">
        <v>1</v>
      </c>
      <c r="I389" s="35" t="b">
        <v>0</v>
      </c>
      <c r="J389" s="35" t="b">
        <v>0</v>
      </c>
      <c r="K389" s="35" t="b">
        <v>0</v>
      </c>
      <c r="L389" s="35" t="b">
        <v>0</v>
      </c>
      <c r="M389" s="35" t="b">
        <v>0</v>
      </c>
      <c r="N389" s="35" t="b">
        <v>0</v>
      </c>
      <c r="O389" s="35" t="b">
        <v>0</v>
      </c>
      <c r="P389" s="35" t="b">
        <v>0</v>
      </c>
      <c r="Q389" s="35" t="b">
        <v>0</v>
      </c>
      <c r="R389" s="14"/>
      <c r="S389" s="14"/>
      <c r="T389" s="14"/>
      <c r="U389" s="14"/>
      <c r="V389" s="14"/>
      <c r="W389" s="14"/>
    </row>
    <row r="390" ht="31.5" customHeight="1">
      <c r="A390" s="109" t="s">
        <v>8161</v>
      </c>
      <c r="B390" s="110" t="s">
        <v>8162</v>
      </c>
      <c r="C390" s="111" t="s">
        <v>8163</v>
      </c>
      <c r="D390" s="28" t="s">
        <v>8164</v>
      </c>
      <c r="E390" s="28" t="str">
        <f>IFERROR(__xludf.DUMMYFUNCTION("GOOGLETRANSLATE(D390,""zh-CN"",""vi"")"),"Protein rất quan trọng đối với cơ thể.")</f>
        <v>Protein rất quan trọng đối với cơ thể.</v>
      </c>
      <c r="F390" s="128"/>
      <c r="G390" s="36" t="b">
        <f t="shared" si="1"/>
        <v>0</v>
      </c>
      <c r="H390" s="35" t="b">
        <v>1</v>
      </c>
      <c r="I390" s="35" t="b">
        <v>0</v>
      </c>
      <c r="J390" s="35" t="b">
        <v>0</v>
      </c>
      <c r="K390" s="35" t="b">
        <v>0</v>
      </c>
      <c r="L390" s="35" t="b">
        <v>0</v>
      </c>
      <c r="M390" s="35" t="b">
        <v>0</v>
      </c>
      <c r="N390" s="35" t="b">
        <v>0</v>
      </c>
      <c r="O390" s="35" t="b">
        <v>0</v>
      </c>
      <c r="P390" s="35" t="b">
        <v>0</v>
      </c>
      <c r="Q390" s="35" t="b">
        <v>0</v>
      </c>
      <c r="R390" s="14"/>
      <c r="S390" s="14"/>
      <c r="T390" s="14"/>
      <c r="U390" s="14"/>
      <c r="V390" s="14"/>
      <c r="W390" s="14"/>
    </row>
    <row r="391" ht="31.5" customHeight="1">
      <c r="A391" s="109" t="s">
        <v>8169</v>
      </c>
      <c r="B391" s="110" t="s">
        <v>8170</v>
      </c>
      <c r="C391" s="111" t="s">
        <v>1979</v>
      </c>
      <c r="D391" s="28" t="s">
        <v>8171</v>
      </c>
      <c r="E391" s="28" t="str">
        <f>IFERROR(__xludf.DUMMYFUNCTION("GOOGLETRANSLATE(D391,""zh-CN"",""vi"")"),"Hôm nay là sinh nhật anh ấy.")</f>
        <v>Hôm nay là sinh nhật anh ấy.</v>
      </c>
      <c r="F391" s="128"/>
      <c r="G391" s="36" t="b">
        <f t="shared" si="1"/>
        <v>0</v>
      </c>
      <c r="H391" s="35" t="b">
        <v>1</v>
      </c>
      <c r="I391" s="35" t="b">
        <v>0</v>
      </c>
      <c r="J391" s="35" t="b">
        <v>0</v>
      </c>
      <c r="K391" s="35" t="b">
        <v>0</v>
      </c>
      <c r="L391" s="35" t="b">
        <v>0</v>
      </c>
      <c r="M391" s="35" t="b">
        <v>0</v>
      </c>
      <c r="N391" s="35" t="b">
        <v>0</v>
      </c>
      <c r="O391" s="35" t="b">
        <v>0</v>
      </c>
      <c r="P391" s="35" t="b">
        <v>0</v>
      </c>
      <c r="Q391" s="35" t="b">
        <v>0</v>
      </c>
      <c r="R391" s="14"/>
      <c r="S391" s="14"/>
      <c r="T391" s="14"/>
      <c r="U391" s="14"/>
      <c r="V391" s="14"/>
      <c r="W391" s="14"/>
    </row>
    <row r="392" ht="31.5" customHeight="1">
      <c r="A392" s="109" t="s">
        <v>8176</v>
      </c>
      <c r="B392" s="110" t="s">
        <v>8177</v>
      </c>
      <c r="C392" s="111" t="s">
        <v>8178</v>
      </c>
      <c r="D392" s="28" t="s">
        <v>8179</v>
      </c>
      <c r="E392" s="28" t="str">
        <f>IFERROR(__xludf.DUMMYFUNCTION("GOOGLETRANSLATE(D392,""zh-CN"",""vi"")"),"Hiện đang là mùa thấp điểm nên không có nhiều khách du lịch.")</f>
        <v>Hiện đang là mùa thấp điểm nên không có nhiều khách du lịch.</v>
      </c>
      <c r="F392" s="128"/>
      <c r="G392" s="36" t="b">
        <f t="shared" si="1"/>
        <v>0</v>
      </c>
      <c r="H392" s="35" t="b">
        <v>1</v>
      </c>
      <c r="I392" s="35" t="b">
        <v>0</v>
      </c>
      <c r="J392" s="35" t="b">
        <v>0</v>
      </c>
      <c r="K392" s="35" t="b">
        <v>0</v>
      </c>
      <c r="L392" s="35" t="b">
        <v>0</v>
      </c>
      <c r="M392" s="35" t="b">
        <v>0</v>
      </c>
      <c r="N392" s="35" t="b">
        <v>0</v>
      </c>
      <c r="O392" s="35" t="b">
        <v>0</v>
      </c>
      <c r="P392" s="35" t="b">
        <v>0</v>
      </c>
      <c r="Q392" s="35" t="b">
        <v>0</v>
      </c>
      <c r="R392" s="14"/>
      <c r="S392" s="14"/>
      <c r="T392" s="14"/>
      <c r="U392" s="14"/>
      <c r="V392" s="14"/>
      <c r="W392" s="14"/>
    </row>
    <row r="393" ht="31.5" customHeight="1">
      <c r="A393" s="109" t="s">
        <v>8184</v>
      </c>
      <c r="B393" s="110" t="s">
        <v>8185</v>
      </c>
      <c r="C393" s="111" t="s">
        <v>8186</v>
      </c>
      <c r="D393" s="28" t="s">
        <v>8187</v>
      </c>
      <c r="E393" s="28" t="str">
        <f>IFERROR(__xludf.DUMMYFUNCTION("GOOGLETRANSLATE(D393,""zh-CN"",""vi"")"),"Ông ấy sinh ra ở thành phố này.")</f>
        <v>Ông ấy sinh ra ở thành phố này.</v>
      </c>
      <c r="F393" s="128"/>
      <c r="G393" s="36" t="b">
        <f t="shared" si="1"/>
        <v>0</v>
      </c>
      <c r="H393" s="35" t="b">
        <v>1</v>
      </c>
      <c r="I393" s="35" t="b">
        <v>0</v>
      </c>
      <c r="J393" s="35" t="b">
        <v>0</v>
      </c>
      <c r="K393" s="35" t="b">
        <v>0</v>
      </c>
      <c r="L393" s="35" t="b">
        <v>0</v>
      </c>
      <c r="M393" s="35" t="b">
        <v>0</v>
      </c>
      <c r="N393" s="35" t="b">
        <v>0</v>
      </c>
      <c r="O393" s="35" t="b">
        <v>0</v>
      </c>
      <c r="P393" s="35" t="b">
        <v>0</v>
      </c>
      <c r="Q393" s="35" t="b">
        <v>0</v>
      </c>
      <c r="R393" s="14"/>
      <c r="S393" s="14"/>
      <c r="T393" s="14"/>
      <c r="U393" s="14"/>
      <c r="V393" s="14"/>
      <c r="W393" s="14"/>
    </row>
    <row r="394" ht="31.5" customHeight="1">
      <c r="A394" s="109" t="s">
        <v>8192</v>
      </c>
      <c r="B394" s="110" t="s">
        <v>8193</v>
      </c>
      <c r="C394" s="111" t="s">
        <v>8194</v>
      </c>
      <c r="D394" s="28" t="s">
        <v>8195</v>
      </c>
      <c r="E394" s="28" t="str">
        <f>IFERROR(__xludf.DUMMYFUNCTION("GOOGLETRANSLATE(D394,""zh-CN"",""vi"")"),"Nước ở đây là nước ngọt.")</f>
        <v>Nước ở đây là nước ngọt.</v>
      </c>
      <c r="F394" s="128"/>
      <c r="G394" s="36" t="b">
        <f t="shared" si="1"/>
        <v>0</v>
      </c>
      <c r="H394" s="35" t="b">
        <v>1</v>
      </c>
      <c r="I394" s="35" t="b">
        <v>0</v>
      </c>
      <c r="J394" s="35" t="b">
        <v>0</v>
      </c>
      <c r="K394" s="35" t="b">
        <v>0</v>
      </c>
      <c r="L394" s="35" t="b">
        <v>0</v>
      </c>
      <c r="M394" s="35" t="b">
        <v>0</v>
      </c>
      <c r="N394" s="35" t="b">
        <v>0</v>
      </c>
      <c r="O394" s="35" t="b">
        <v>0</v>
      </c>
      <c r="P394" s="35" t="b">
        <v>0</v>
      </c>
      <c r="Q394" s="35" t="b">
        <v>0</v>
      </c>
      <c r="R394" s="14"/>
      <c r="S394" s="14"/>
      <c r="T394" s="14"/>
      <c r="U394" s="14"/>
      <c r="V394" s="14"/>
      <c r="W394" s="14"/>
    </row>
    <row r="395" ht="31.5" customHeight="1">
      <c r="A395" s="109" t="s">
        <v>8199</v>
      </c>
      <c r="B395" s="110" t="s">
        <v>8201</v>
      </c>
      <c r="C395" s="111" t="s">
        <v>8202</v>
      </c>
      <c r="D395" s="28" t="s">
        <v>8203</v>
      </c>
      <c r="E395" s="28" t="str">
        <f>IFERROR(__xludf.DUMMYFUNCTION("GOOGLETRANSLATE(D395,""zh-CN"",""vi"")"),"Tên trộm đã bị bắt quả tang.")</f>
        <v>Tên trộm đã bị bắt quả tang.</v>
      </c>
      <c r="F395" s="128"/>
      <c r="G395" s="36" t="b">
        <f t="shared" si="1"/>
        <v>0</v>
      </c>
      <c r="H395" s="35" t="b">
        <v>1</v>
      </c>
      <c r="I395" s="35" t="b">
        <v>0</v>
      </c>
      <c r="J395" s="35" t="b">
        <v>0</v>
      </c>
      <c r="K395" s="35" t="b">
        <v>0</v>
      </c>
      <c r="L395" s="35" t="b">
        <v>0</v>
      </c>
      <c r="M395" s="35" t="b">
        <v>0</v>
      </c>
      <c r="N395" s="35" t="b">
        <v>0</v>
      </c>
      <c r="O395" s="35" t="b">
        <v>0</v>
      </c>
      <c r="P395" s="35" t="b">
        <v>0</v>
      </c>
      <c r="Q395" s="35" t="b">
        <v>0</v>
      </c>
      <c r="R395" s="14"/>
      <c r="S395" s="14"/>
      <c r="T395" s="14"/>
      <c r="U395" s="14"/>
      <c r="V395" s="14"/>
      <c r="W395" s="14"/>
    </row>
    <row r="396" ht="31.5" customHeight="1">
      <c r="A396" s="109" t="s">
        <v>8204</v>
      </c>
      <c r="B396" s="110" t="s">
        <v>8205</v>
      </c>
      <c r="C396" s="111" t="s">
        <v>8206</v>
      </c>
      <c r="D396" s="28" t="s">
        <v>8207</v>
      </c>
      <c r="E396" s="28" t="str">
        <f>IFERROR(__xludf.DUMMYFUNCTION("GOOGLETRANSLATE(D396,""zh-CN"",""vi"")"),"Khi đó chúng tôi đều còn rất trẻ.")</f>
        <v>Khi đó chúng tôi đều còn rất trẻ.</v>
      </c>
      <c r="F396" s="128"/>
      <c r="G396" s="36" t="b">
        <f t="shared" si="1"/>
        <v>0</v>
      </c>
      <c r="H396" s="35" t="b">
        <v>1</v>
      </c>
      <c r="I396" s="35" t="b">
        <v>0</v>
      </c>
      <c r="J396" s="35" t="b">
        <v>0</v>
      </c>
      <c r="K396" s="35" t="b">
        <v>0</v>
      </c>
      <c r="L396" s="35" t="b">
        <v>0</v>
      </c>
      <c r="M396" s="35" t="b">
        <v>0</v>
      </c>
      <c r="N396" s="35" t="b">
        <v>0</v>
      </c>
      <c r="O396" s="35" t="b">
        <v>0</v>
      </c>
      <c r="P396" s="35" t="b">
        <v>0</v>
      </c>
      <c r="Q396" s="35" t="b">
        <v>0</v>
      </c>
      <c r="R396" s="14"/>
      <c r="S396" s="14"/>
      <c r="T396" s="14"/>
      <c r="U396" s="14"/>
      <c r="V396" s="14"/>
      <c r="W396" s="14"/>
    </row>
    <row r="397" ht="31.5" customHeight="1">
      <c r="A397" s="109" t="s">
        <v>8212</v>
      </c>
      <c r="B397" s="110" t="s">
        <v>8213</v>
      </c>
      <c r="C397" s="111" t="s">
        <v>8214</v>
      </c>
      <c r="D397" s="28" t="s">
        <v>8215</v>
      </c>
      <c r="E397" s="28" t="str">
        <f>IFERROR(__xludf.DUMMYFUNCTION("GOOGLETRANSLATE(D397,""zh-CN"",""vi"")"),"Chúng ta cần thảo luận vấn đề này trực tiếp.")</f>
        <v>Chúng ta cần thảo luận vấn đề này trực tiếp.</v>
      </c>
      <c r="F397" s="128"/>
      <c r="G397" s="36" t="b">
        <f t="shared" si="1"/>
        <v>0</v>
      </c>
      <c r="H397" s="35" t="b">
        <v>1</v>
      </c>
      <c r="I397" s="35" t="b">
        <v>0</v>
      </c>
      <c r="J397" s="35" t="b">
        <v>0</v>
      </c>
      <c r="K397" s="35" t="b">
        <v>0</v>
      </c>
      <c r="L397" s="35" t="b">
        <v>0</v>
      </c>
      <c r="M397" s="35" t="b">
        <v>0</v>
      </c>
      <c r="N397" s="35" t="b">
        <v>0</v>
      </c>
      <c r="O397" s="35" t="b">
        <v>0</v>
      </c>
      <c r="P397" s="35" t="b">
        <v>0</v>
      </c>
      <c r="Q397" s="35" t="b">
        <v>0</v>
      </c>
      <c r="R397" s="14"/>
      <c r="S397" s="14"/>
      <c r="T397" s="14"/>
      <c r="U397" s="14"/>
      <c r="V397" s="14"/>
      <c r="W397" s="14"/>
    </row>
    <row r="398" ht="31.5" customHeight="1">
      <c r="A398" s="109" t="s">
        <v>8219</v>
      </c>
      <c r="B398" s="110" t="s">
        <v>8221</v>
      </c>
      <c r="C398" s="111" t="s">
        <v>8222</v>
      </c>
      <c r="D398" s="28" t="s">
        <v>8223</v>
      </c>
      <c r="E398" s="28" t="str">
        <f>IFERROR(__xludf.DUMMYFUNCTION("GOOGLETRANSLATE(D398,""zh-CN"",""vi"")"),"Vấn đề hiện tại là phát triển kinh tế.")</f>
        <v>Vấn đề hiện tại là phát triển kinh tế.</v>
      </c>
      <c r="F398" s="128"/>
      <c r="G398" s="36" t="b">
        <f t="shared" si="1"/>
        <v>0</v>
      </c>
      <c r="H398" s="35" t="b">
        <v>1</v>
      </c>
      <c r="I398" s="35" t="b">
        <v>0</v>
      </c>
      <c r="J398" s="35" t="b">
        <v>0</v>
      </c>
      <c r="K398" s="35" t="b">
        <v>0</v>
      </c>
      <c r="L398" s="35" t="b">
        <v>0</v>
      </c>
      <c r="M398" s="35" t="b">
        <v>0</v>
      </c>
      <c r="N398" s="35" t="b">
        <v>0</v>
      </c>
      <c r="O398" s="35" t="b">
        <v>0</v>
      </c>
      <c r="P398" s="35" t="b">
        <v>0</v>
      </c>
      <c r="Q398" s="35" t="b">
        <v>0</v>
      </c>
      <c r="R398" s="14"/>
      <c r="S398" s="14"/>
      <c r="T398" s="14"/>
      <c r="U398" s="14"/>
      <c r="V398" s="14"/>
      <c r="W398" s="14"/>
    </row>
    <row r="399" ht="31.5" customHeight="1">
      <c r="A399" s="109" t="s">
        <v>8226</v>
      </c>
      <c r="B399" s="110" t="s">
        <v>8228</v>
      </c>
      <c r="C399" s="111" t="s">
        <v>8230</v>
      </c>
      <c r="D399" s="28" t="s">
        <v>8231</v>
      </c>
      <c r="E399" s="28" t="str">
        <f>IFERROR(__xludf.DUMMYFUNCTION("GOOGLETRANSLATE(D399,""zh-CN"",""vi"")"),"Các bên liên quan đã đến.")</f>
        <v>Các bên liên quan đã đến.</v>
      </c>
      <c r="F399" s="128"/>
      <c r="G399" s="36" t="b">
        <f t="shared" si="1"/>
        <v>0</v>
      </c>
      <c r="H399" s="35" t="b">
        <v>1</v>
      </c>
      <c r="I399" s="35" t="b">
        <v>0</v>
      </c>
      <c r="J399" s="35" t="b">
        <v>0</v>
      </c>
      <c r="K399" s="35" t="b">
        <v>0</v>
      </c>
      <c r="L399" s="35" t="b">
        <v>0</v>
      </c>
      <c r="M399" s="35" t="b">
        <v>0</v>
      </c>
      <c r="N399" s="35" t="b">
        <v>0</v>
      </c>
      <c r="O399" s="35" t="b">
        <v>0</v>
      </c>
      <c r="P399" s="35" t="b">
        <v>0</v>
      </c>
      <c r="Q399" s="35" t="b">
        <v>0</v>
      </c>
      <c r="R399" s="14"/>
      <c r="S399" s="14"/>
      <c r="T399" s="14"/>
      <c r="U399" s="14"/>
      <c r="V399" s="14"/>
      <c r="W399" s="14"/>
    </row>
    <row r="400" ht="31.5" customHeight="1">
      <c r="A400" s="109" t="s">
        <v>8232</v>
      </c>
      <c r="B400" s="110" t="s">
        <v>8234</v>
      </c>
      <c r="C400" s="111" t="s">
        <v>8236</v>
      </c>
      <c r="D400" s="28" t="s">
        <v>8238</v>
      </c>
      <c r="E400" s="28" t="str">
        <f>IFERROR(__xludf.DUMMYFUNCTION("GOOGLETRANSLATE(D400,""zh-CN"",""vi"")"),"Đây là nhiệm vụ cấp bách nhất.")</f>
        <v>Đây là nhiệm vụ cấp bách nhất.</v>
      </c>
      <c r="F400" s="128"/>
      <c r="G400" s="36" t="b">
        <f t="shared" si="1"/>
        <v>0</v>
      </c>
      <c r="H400" s="35" t="b">
        <v>1</v>
      </c>
      <c r="I400" s="35" t="b">
        <v>0</v>
      </c>
      <c r="J400" s="35" t="b">
        <v>0</v>
      </c>
      <c r="K400" s="35" t="b">
        <v>0</v>
      </c>
      <c r="L400" s="35" t="b">
        <v>0</v>
      </c>
      <c r="M400" s="35" t="b">
        <v>0</v>
      </c>
      <c r="N400" s="35" t="b">
        <v>0</v>
      </c>
      <c r="O400" s="35" t="b">
        <v>0</v>
      </c>
      <c r="P400" s="35" t="b">
        <v>0</v>
      </c>
      <c r="Q400" s="35" t="b">
        <v>0</v>
      </c>
      <c r="R400" s="14"/>
      <c r="S400" s="14"/>
      <c r="T400" s="14"/>
      <c r="U400" s="14"/>
      <c r="V400" s="14"/>
      <c r="W400" s="14"/>
    </row>
    <row r="401" ht="31.5" customHeight="1">
      <c r="A401" s="109" t="s">
        <v>5556</v>
      </c>
      <c r="B401" s="110" t="s">
        <v>5557</v>
      </c>
      <c r="C401" s="111" t="s">
        <v>8240</v>
      </c>
      <c r="D401" s="28" t="s">
        <v>8241</v>
      </c>
      <c r="E401" s="28" t="str">
        <f>IFERROR(__xludf.DUMMYFUNCTION("GOOGLETRANSLATE(D401,""zh-CN"",""vi"")"),"Hãy cẩn thận với các phương tiện giao thông trên đường.")</f>
        <v>Hãy cẩn thận với các phương tiện giao thông trên đường.</v>
      </c>
      <c r="F401" s="128"/>
      <c r="G401" s="36" t="b">
        <f t="shared" si="1"/>
        <v>0</v>
      </c>
      <c r="H401" s="35" t="b">
        <v>1</v>
      </c>
      <c r="I401" s="35" t="b">
        <v>0</v>
      </c>
      <c r="J401" s="35" t="b">
        <v>0</v>
      </c>
      <c r="K401" s="35" t="b">
        <v>0</v>
      </c>
      <c r="L401" s="35" t="b">
        <v>0</v>
      </c>
      <c r="M401" s="35" t="b">
        <v>0</v>
      </c>
      <c r="N401" s="35" t="b">
        <v>0</v>
      </c>
      <c r="O401" s="35" t="b">
        <v>0</v>
      </c>
      <c r="P401" s="35" t="b">
        <v>0</v>
      </c>
      <c r="Q401" s="35" t="b">
        <v>0</v>
      </c>
      <c r="R401" s="14"/>
      <c r="S401" s="14"/>
      <c r="T401" s="14"/>
      <c r="U401" s="14"/>
      <c r="V401" s="14"/>
      <c r="W401" s="14"/>
    </row>
    <row r="402" ht="31.5" customHeight="1">
      <c r="A402" s="109" t="s">
        <v>8246</v>
      </c>
      <c r="B402" s="110" t="s">
        <v>8247</v>
      </c>
      <c r="C402" s="111" t="s">
        <v>8248</v>
      </c>
      <c r="D402" s="28" t="s">
        <v>8250</v>
      </c>
      <c r="E402" s="28" t="str">
        <f>IFERROR(__xludf.DUMMYFUNCTION("GOOGLETRANSLATE(D402,""zh-CN"",""vi"")"),"Ông ấy đã được bầu làm thị trưởng.")</f>
        <v>Ông ấy đã được bầu làm thị trưởng.</v>
      </c>
      <c r="F402" s="128"/>
      <c r="G402" s="36" t="b">
        <f t="shared" si="1"/>
        <v>0</v>
      </c>
      <c r="H402" s="35" t="b">
        <v>1</v>
      </c>
      <c r="I402" s="35" t="b">
        <v>0</v>
      </c>
      <c r="J402" s="35" t="b">
        <v>0</v>
      </c>
      <c r="K402" s="35" t="b">
        <v>0</v>
      </c>
      <c r="L402" s="35" t="b">
        <v>0</v>
      </c>
      <c r="M402" s="35" t="b">
        <v>0</v>
      </c>
      <c r="N402" s="35" t="b">
        <v>0</v>
      </c>
      <c r="O402" s="35" t="b">
        <v>0</v>
      </c>
      <c r="P402" s="35" t="b">
        <v>0</v>
      </c>
      <c r="Q402" s="35" t="b">
        <v>0</v>
      </c>
      <c r="R402" s="14"/>
      <c r="S402" s="14"/>
      <c r="T402" s="14"/>
      <c r="U402" s="14"/>
      <c r="V402" s="14"/>
      <c r="W402" s="14"/>
    </row>
    <row r="403" ht="31.5" customHeight="1">
      <c r="A403" s="109" t="s">
        <v>8254</v>
      </c>
      <c r="B403" s="110" t="s">
        <v>5565</v>
      </c>
      <c r="C403" s="111" t="s">
        <v>8255</v>
      </c>
      <c r="D403" s="28" t="s">
        <v>8256</v>
      </c>
      <c r="E403" s="28" t="str">
        <f>IFERROR(__xludf.DUMMYFUNCTION("GOOGLETRANSLATE(D403,""zh-CN"",""vi"")"),"Các đảng viên đang họp.")</f>
        <v>Các đảng viên đang họp.</v>
      </c>
      <c r="F403" s="128"/>
      <c r="G403" s="36" t="b">
        <f t="shared" si="1"/>
        <v>0</v>
      </c>
      <c r="H403" s="35" t="b">
        <v>1</v>
      </c>
      <c r="I403" s="35" t="b">
        <v>0</v>
      </c>
      <c r="J403" s="35" t="b">
        <v>0</v>
      </c>
      <c r="K403" s="35" t="b">
        <v>0</v>
      </c>
      <c r="L403" s="35" t="b">
        <v>0</v>
      </c>
      <c r="M403" s="35" t="b">
        <v>0</v>
      </c>
      <c r="N403" s="35" t="b">
        <v>0</v>
      </c>
      <c r="O403" s="35" t="b">
        <v>0</v>
      </c>
      <c r="P403" s="35" t="b">
        <v>0</v>
      </c>
      <c r="Q403" s="35" t="b">
        <v>0</v>
      </c>
      <c r="R403" s="14"/>
      <c r="S403" s="14"/>
      <c r="T403" s="14"/>
      <c r="U403" s="14"/>
      <c r="V403" s="14"/>
      <c r="W403" s="14"/>
    </row>
    <row r="404" ht="31.5" customHeight="1">
      <c r="A404" s="109" t="s">
        <v>8261</v>
      </c>
      <c r="B404" s="110" t="s">
        <v>8262</v>
      </c>
      <c r="C404" s="111" t="s">
        <v>8263</v>
      </c>
      <c r="D404" s="28" t="s">
        <v>8264</v>
      </c>
      <c r="E404" s="28" t="str">
        <f>IFERROR(__xludf.DUMMYFUNCTION("GOOGLETRANSLATE(D404,""zh-CN"",""vi"")"),"Hãy giữ gìn những tập tin này cẩn thận.")</f>
        <v>Hãy giữ gìn những tập tin này cẩn thận.</v>
      </c>
      <c r="F404" s="128"/>
      <c r="G404" s="36" t="b">
        <f t="shared" si="1"/>
        <v>0</v>
      </c>
      <c r="H404" s="35" t="b">
        <v>1</v>
      </c>
      <c r="I404" s="35" t="b">
        <v>0</v>
      </c>
      <c r="J404" s="35" t="b">
        <v>0</v>
      </c>
      <c r="K404" s="35" t="b">
        <v>0</v>
      </c>
      <c r="L404" s="35" t="b">
        <v>0</v>
      </c>
      <c r="M404" s="35" t="b">
        <v>0</v>
      </c>
      <c r="N404" s="35" t="b">
        <v>0</v>
      </c>
      <c r="O404" s="35" t="b">
        <v>0</v>
      </c>
      <c r="P404" s="35" t="b">
        <v>0</v>
      </c>
      <c r="Q404" s="35" t="b">
        <v>0</v>
      </c>
      <c r="R404" s="14"/>
      <c r="S404" s="14"/>
      <c r="T404" s="14"/>
      <c r="U404" s="14"/>
      <c r="V404" s="14"/>
      <c r="W404" s="14"/>
    </row>
    <row r="405" ht="31.5" customHeight="1">
      <c r="A405" s="109" t="s">
        <v>8269</v>
      </c>
      <c r="B405" s="110" t="s">
        <v>8270</v>
      </c>
      <c r="C405" s="111" t="s">
        <v>8271</v>
      </c>
      <c r="D405" s="28" t="s">
        <v>8272</v>
      </c>
      <c r="E405" s="28" t="str">
        <f>IFERROR(__xludf.DUMMYFUNCTION("GOOGLETRANSLATE(D405,""zh-CN"",""vi"")"),"Khách sạn này thuộc phân khúc cao cấp.")</f>
        <v>Khách sạn này thuộc phân khúc cao cấp.</v>
      </c>
      <c r="F405" s="128"/>
      <c r="G405" s="36" t="b">
        <f t="shared" si="1"/>
        <v>0</v>
      </c>
      <c r="H405" s="35" t="b">
        <v>1</v>
      </c>
      <c r="I405" s="35" t="b">
        <v>0</v>
      </c>
      <c r="J405" s="35" t="b">
        <v>0</v>
      </c>
      <c r="K405" s="35" t="b">
        <v>0</v>
      </c>
      <c r="L405" s="35" t="b">
        <v>0</v>
      </c>
      <c r="M405" s="35" t="b">
        <v>0</v>
      </c>
      <c r="N405" s="35" t="b">
        <v>0</v>
      </c>
      <c r="O405" s="35" t="b">
        <v>0</v>
      </c>
      <c r="P405" s="35" t="b">
        <v>0</v>
      </c>
      <c r="Q405" s="35" t="b">
        <v>0</v>
      </c>
      <c r="R405" s="14"/>
      <c r="S405" s="14"/>
      <c r="T405" s="14"/>
      <c r="U405" s="14"/>
      <c r="V405" s="14"/>
      <c r="W405" s="14"/>
    </row>
    <row r="406" ht="31.5" customHeight="1">
      <c r="A406" s="109" t="s">
        <v>8277</v>
      </c>
      <c r="B406" s="110" t="s">
        <v>8278</v>
      </c>
      <c r="C406" s="111" t="s">
        <v>8279</v>
      </c>
      <c r="D406" s="28" t="s">
        <v>8280</v>
      </c>
      <c r="E406" s="28" t="str">
        <f>IFERROR(__xludf.DUMMYFUNCTION("GOOGLETRANSLATE(D406,""zh-CN"",""vi"")"),"Công ty đó đã phá sản.")</f>
        <v>Công ty đó đã phá sản.</v>
      </c>
      <c r="F406" s="128"/>
      <c r="G406" s="36" t="b">
        <f t="shared" si="1"/>
        <v>0</v>
      </c>
      <c r="H406" s="35" t="b">
        <v>1</v>
      </c>
      <c r="I406" s="35" t="b">
        <v>0</v>
      </c>
      <c r="J406" s="35" t="b">
        <v>0</v>
      </c>
      <c r="K406" s="35" t="b">
        <v>0</v>
      </c>
      <c r="L406" s="35" t="b">
        <v>0</v>
      </c>
      <c r="M406" s="35" t="b">
        <v>0</v>
      </c>
      <c r="N406" s="35" t="b">
        <v>0</v>
      </c>
      <c r="O406" s="35" t="b">
        <v>0</v>
      </c>
      <c r="P406" s="35" t="b">
        <v>0</v>
      </c>
      <c r="Q406" s="35" t="b">
        <v>0</v>
      </c>
      <c r="R406" s="14"/>
      <c r="S406" s="14"/>
      <c r="T406" s="14"/>
      <c r="U406" s="14"/>
      <c r="V406" s="14"/>
      <c r="W406" s="14"/>
    </row>
    <row r="407" ht="31.5" customHeight="1">
      <c r="A407" s="109" t="s">
        <v>8284</v>
      </c>
      <c r="B407" s="110" t="s">
        <v>8286</v>
      </c>
      <c r="C407" s="111" t="s">
        <v>8287</v>
      </c>
      <c r="D407" s="28" t="s">
        <v>8288</v>
      </c>
      <c r="E407" s="28" t="str">
        <f>IFERROR(__xludf.DUMMYFUNCTION("GOOGLETRANSLATE(D407,""zh-CN"",""vi"")"),"Họ đã thử nghiệm một tên lửa.")</f>
        <v>Họ đã thử nghiệm một tên lửa.</v>
      </c>
      <c r="F407" s="128"/>
      <c r="G407" s="36" t="b">
        <f t="shared" si="1"/>
        <v>0</v>
      </c>
      <c r="H407" s="35" t="b">
        <v>1</v>
      </c>
      <c r="I407" s="35" t="b">
        <v>0</v>
      </c>
      <c r="J407" s="35" t="b">
        <v>0</v>
      </c>
      <c r="K407" s="35" t="b">
        <v>0</v>
      </c>
      <c r="L407" s="35" t="b">
        <v>0</v>
      </c>
      <c r="M407" s="35" t="b">
        <v>0</v>
      </c>
      <c r="N407" s="35" t="b">
        <v>0</v>
      </c>
      <c r="O407" s="35" t="b">
        <v>0</v>
      </c>
      <c r="P407" s="35" t="b">
        <v>0</v>
      </c>
      <c r="Q407" s="35" t="b">
        <v>0</v>
      </c>
      <c r="R407" s="14"/>
      <c r="S407" s="14"/>
      <c r="T407" s="14"/>
      <c r="U407" s="14"/>
      <c r="V407" s="14"/>
      <c r="W407" s="14"/>
    </row>
    <row r="408" ht="31.5" customHeight="1">
      <c r="A408" s="109" t="s">
        <v>8292</v>
      </c>
      <c r="B408" s="110" t="s">
        <v>8294</v>
      </c>
      <c r="C408" s="111" t="s">
        <v>8295</v>
      </c>
      <c r="D408" s="28" t="s">
        <v>8296</v>
      </c>
      <c r="E408" s="28" t="str">
        <f>IFERROR(__xludf.DUMMYFUNCTION("GOOGLETRANSLATE(D408,""zh-CN"",""vi"")"),"Anh ấy sử dụng hệ thống định vị.")</f>
        <v>Anh ấy sử dụng hệ thống định vị.</v>
      </c>
      <c r="F408" s="128"/>
      <c r="G408" s="36" t="b">
        <f t="shared" si="1"/>
        <v>0</v>
      </c>
      <c r="H408" s="35" t="b">
        <v>1</v>
      </c>
      <c r="I408" s="35" t="b">
        <v>0</v>
      </c>
      <c r="J408" s="35" t="b">
        <v>0</v>
      </c>
      <c r="K408" s="35" t="b">
        <v>0</v>
      </c>
      <c r="L408" s="35" t="b">
        <v>0</v>
      </c>
      <c r="M408" s="35" t="b">
        <v>0</v>
      </c>
      <c r="N408" s="35" t="b">
        <v>0</v>
      </c>
      <c r="O408" s="35" t="b">
        <v>0</v>
      </c>
      <c r="P408" s="35" t="b">
        <v>0</v>
      </c>
      <c r="Q408" s="35" t="b">
        <v>0</v>
      </c>
      <c r="R408" s="14"/>
      <c r="S408" s="14"/>
      <c r="T408" s="14"/>
      <c r="U408" s="14"/>
      <c r="V408" s="14"/>
      <c r="W408" s="14"/>
    </row>
    <row r="409" ht="31.5" customHeight="1">
      <c r="A409" s="109" t="s">
        <v>8297</v>
      </c>
      <c r="B409" s="110" t="s">
        <v>8298</v>
      </c>
      <c r="C409" s="111" t="s">
        <v>8299</v>
      </c>
      <c r="D409" s="28" t="s">
        <v>8300</v>
      </c>
      <c r="E409" s="28" t="str">
        <f>IFERROR(__xludf.DUMMYFUNCTION("GOOGLETRANSLATE(D409,""zh-CN"",""vi"")"),"Bọn trẻ đang quậy phá trong lớp học.")</f>
        <v>Bọn trẻ đang quậy phá trong lớp học.</v>
      </c>
      <c r="F409" s="128"/>
      <c r="G409" s="36" t="b">
        <f t="shared" si="1"/>
        <v>0</v>
      </c>
      <c r="H409" s="35" t="b">
        <v>1</v>
      </c>
      <c r="I409" s="35" t="b">
        <v>0</v>
      </c>
      <c r="J409" s="35" t="b">
        <v>0</v>
      </c>
      <c r="K409" s="35" t="b">
        <v>0</v>
      </c>
      <c r="L409" s="35" t="b">
        <v>0</v>
      </c>
      <c r="M409" s="35" t="b">
        <v>0</v>
      </c>
      <c r="N409" s="35" t="b">
        <v>0</v>
      </c>
      <c r="O409" s="35" t="b">
        <v>0</v>
      </c>
      <c r="P409" s="35" t="b">
        <v>0</v>
      </c>
      <c r="Q409" s="35" t="b">
        <v>0</v>
      </c>
      <c r="R409" s="14"/>
      <c r="S409" s="14"/>
      <c r="T409" s="14"/>
      <c r="U409" s="14"/>
      <c r="V409" s="14"/>
      <c r="W409" s="14"/>
    </row>
    <row r="410" ht="31.5" customHeight="1">
      <c r="A410" s="109" t="s">
        <v>8304</v>
      </c>
      <c r="B410" s="110" t="s">
        <v>8306</v>
      </c>
      <c r="C410" s="111" t="s">
        <v>8307</v>
      </c>
      <c r="D410" s="28" t="s">
        <v>8308</v>
      </c>
      <c r="E410" s="28" t="str">
        <f>IFERROR(__xludf.DUMMYFUNCTION("GOOGLETRANSLATE(D410,""zh-CN"",""vi"")"),"Hướng đi của kế hoạch này rất rõ ràng.")</f>
        <v>Hướng đi của kế hoạch này rất rõ ràng.</v>
      </c>
      <c r="F410" s="128"/>
      <c r="G410" s="36" t="b">
        <f t="shared" si="1"/>
        <v>0</v>
      </c>
      <c r="H410" s="35" t="b">
        <v>1</v>
      </c>
      <c r="I410" s="35" t="b">
        <v>0</v>
      </c>
      <c r="J410" s="35" t="b">
        <v>0</v>
      </c>
      <c r="K410" s="35" t="b">
        <v>0</v>
      </c>
      <c r="L410" s="35" t="b">
        <v>0</v>
      </c>
      <c r="M410" s="35" t="b">
        <v>0</v>
      </c>
      <c r="N410" s="35" t="b">
        <v>0</v>
      </c>
      <c r="O410" s="35" t="b">
        <v>0</v>
      </c>
      <c r="P410" s="35" t="b">
        <v>0</v>
      </c>
      <c r="Q410" s="35" t="b">
        <v>0</v>
      </c>
      <c r="R410" s="14"/>
      <c r="S410" s="14"/>
      <c r="T410" s="14"/>
      <c r="U410" s="14"/>
      <c r="V410" s="14"/>
      <c r="W410" s="14"/>
    </row>
    <row r="411" ht="31.5" customHeight="1">
      <c r="A411" s="109" t="s">
        <v>5585</v>
      </c>
      <c r="B411" s="110" t="s">
        <v>5587</v>
      </c>
      <c r="C411" s="111" t="s">
        <v>8309</v>
      </c>
      <c r="D411" s="28" t="s">
        <v>8310</v>
      </c>
      <c r="E411" s="28" t="str">
        <f>IFERROR(__xludf.DUMMYFUNCTION("GOOGLETRANSLATE(D411,""zh-CN"",""vi"")"),"Trung Quốc có rất nhiều hòn đảo xinh đẹp.")</f>
        <v>Trung Quốc có rất nhiều hòn đảo xinh đẹp.</v>
      </c>
      <c r="F411" s="128"/>
      <c r="G411" s="36" t="b">
        <f t="shared" si="1"/>
        <v>0</v>
      </c>
      <c r="H411" s="35" t="b">
        <v>1</v>
      </c>
      <c r="I411" s="35" t="b">
        <v>0</v>
      </c>
      <c r="J411" s="35" t="b">
        <v>0</v>
      </c>
      <c r="K411" s="35" t="b">
        <v>0</v>
      </c>
      <c r="L411" s="35" t="b">
        <v>0</v>
      </c>
      <c r="M411" s="35" t="b">
        <v>0</v>
      </c>
      <c r="N411" s="35" t="b">
        <v>0</v>
      </c>
      <c r="O411" s="35" t="b">
        <v>0</v>
      </c>
      <c r="P411" s="35" t="b">
        <v>0</v>
      </c>
      <c r="Q411" s="35" t="b">
        <v>0</v>
      </c>
      <c r="R411" s="14"/>
      <c r="S411" s="14"/>
      <c r="T411" s="14"/>
      <c r="U411" s="14"/>
      <c r="V411" s="14"/>
      <c r="W411" s="14"/>
    </row>
    <row r="412" ht="31.5" customHeight="1">
      <c r="A412" s="109" t="s">
        <v>8311</v>
      </c>
      <c r="B412" s="110" t="s">
        <v>8312</v>
      </c>
      <c r="C412" s="111" t="s">
        <v>8313</v>
      </c>
      <c r="D412" s="28" t="s">
        <v>8314</v>
      </c>
      <c r="E412" s="28" t="str">
        <f>IFERROR(__xludf.DUMMYFUNCTION("GOOGLETRANSLATE(D412,""zh-CN"",""vi"")"),"Gạo đã chín.")</f>
        <v>Gạo đã chín.</v>
      </c>
      <c r="F412" s="128"/>
      <c r="G412" s="36" t="b">
        <f t="shared" si="1"/>
        <v>0</v>
      </c>
      <c r="H412" s="35" t="b">
        <v>1</v>
      </c>
      <c r="I412" s="35" t="b">
        <v>0</v>
      </c>
      <c r="J412" s="35" t="b">
        <v>0</v>
      </c>
      <c r="K412" s="35" t="b">
        <v>0</v>
      </c>
      <c r="L412" s="35" t="b">
        <v>0</v>
      </c>
      <c r="M412" s="35" t="b">
        <v>0</v>
      </c>
      <c r="N412" s="35" t="b">
        <v>0</v>
      </c>
      <c r="O412" s="35" t="b">
        <v>0</v>
      </c>
      <c r="P412" s="35" t="b">
        <v>0</v>
      </c>
      <c r="Q412" s="35" t="b">
        <v>0</v>
      </c>
      <c r="R412" s="14"/>
      <c r="S412" s="14"/>
      <c r="T412" s="14"/>
      <c r="U412" s="14"/>
      <c r="V412" s="14"/>
      <c r="W412" s="14"/>
    </row>
    <row r="413" ht="31.5" customHeight="1">
      <c r="A413" s="109" t="s">
        <v>8319</v>
      </c>
      <c r="B413" s="110" t="s">
        <v>8320</v>
      </c>
      <c r="C413" s="111" t="s">
        <v>8321</v>
      </c>
      <c r="D413" s="28" t="s">
        <v>8322</v>
      </c>
      <c r="E413" s="28" t="str">
        <f>IFERROR(__xludf.DUMMYFUNCTION("GOOGLETRANSLATE(D413,""zh-CN"",""vi"")"),"Anh ta bị bắt vì tội trộm cắp.")</f>
        <v>Anh ta bị bắt vì tội trộm cắp.</v>
      </c>
      <c r="F413" s="128"/>
      <c r="G413" s="36" t="b">
        <f t="shared" si="1"/>
        <v>0</v>
      </c>
      <c r="H413" s="35" t="b">
        <v>1</v>
      </c>
      <c r="I413" s="35" t="b">
        <v>0</v>
      </c>
      <c r="J413" s="35" t="b">
        <v>0</v>
      </c>
      <c r="K413" s="35" t="b">
        <v>0</v>
      </c>
      <c r="L413" s="35" t="b">
        <v>0</v>
      </c>
      <c r="M413" s="35" t="b">
        <v>0</v>
      </c>
      <c r="N413" s="35" t="b">
        <v>0</v>
      </c>
      <c r="O413" s="35" t="b">
        <v>0</v>
      </c>
      <c r="P413" s="35" t="b">
        <v>0</v>
      </c>
      <c r="Q413" s="35" t="b">
        <v>0</v>
      </c>
      <c r="R413" s="14"/>
      <c r="S413" s="14"/>
      <c r="T413" s="14"/>
      <c r="U413" s="14"/>
      <c r="V413" s="14"/>
      <c r="W413" s="14"/>
    </row>
    <row r="414" ht="31.5" customHeight="1">
      <c r="A414" s="109" t="s">
        <v>8327</v>
      </c>
      <c r="B414" s="110" t="s">
        <v>8328</v>
      </c>
      <c r="C414" s="111" t="s">
        <v>8329</v>
      </c>
      <c r="D414" s="28" t="s">
        <v>8330</v>
      </c>
      <c r="E414" s="28" t="str">
        <f>IFERROR(__xludf.DUMMYFUNCTION("GOOGLETRANSLATE(D414,""zh-CN"",""vi"")"),"Làm như vậy sẽ phản tác dụng.")</f>
        <v>Làm như vậy sẽ phản tác dụng.</v>
      </c>
      <c r="F414" s="128"/>
      <c r="G414" s="36" t="b">
        <f t="shared" si="1"/>
        <v>0</v>
      </c>
      <c r="H414" s="35" t="b">
        <v>1</v>
      </c>
      <c r="I414" s="35" t="b">
        <v>0</v>
      </c>
      <c r="J414" s="35" t="b">
        <v>0</v>
      </c>
      <c r="K414" s="35" t="b">
        <v>0</v>
      </c>
      <c r="L414" s="35" t="b">
        <v>0</v>
      </c>
      <c r="M414" s="35" t="b">
        <v>0</v>
      </c>
      <c r="N414" s="35" t="b">
        <v>0</v>
      </c>
      <c r="O414" s="35" t="b">
        <v>0</v>
      </c>
      <c r="P414" s="35" t="b">
        <v>0</v>
      </c>
      <c r="Q414" s="35" t="b">
        <v>0</v>
      </c>
      <c r="R414" s="14"/>
      <c r="S414" s="14"/>
      <c r="T414" s="14"/>
      <c r="U414" s="14"/>
      <c r="V414" s="14"/>
      <c r="W414" s="14"/>
    </row>
    <row r="415" ht="31.5" customHeight="1">
      <c r="A415" s="109" t="s">
        <v>8335</v>
      </c>
      <c r="B415" s="110" t="s">
        <v>8336</v>
      </c>
      <c r="C415" s="111" t="s">
        <v>8337</v>
      </c>
      <c r="D415" s="28" t="s">
        <v>8338</v>
      </c>
      <c r="E415" s="28" t="str">
        <f>IFERROR(__xludf.DUMMYFUNCTION("GOOGLETRANSLATE(D415,""zh-CN"",""vi"")"),"Anh ấy là trợ lý giỏi của chúng tôi.")</f>
        <v>Anh ấy là trợ lý giỏi của chúng tôi.</v>
      </c>
      <c r="F415" s="128"/>
      <c r="G415" s="36" t="b">
        <f t="shared" si="1"/>
        <v>0</v>
      </c>
      <c r="H415" s="35" t="b">
        <v>1</v>
      </c>
      <c r="I415" s="35" t="b">
        <v>0</v>
      </c>
      <c r="J415" s="35" t="b">
        <v>0</v>
      </c>
      <c r="K415" s="35" t="b">
        <v>0</v>
      </c>
      <c r="L415" s="35" t="b">
        <v>0</v>
      </c>
      <c r="M415" s="35" t="b">
        <v>0</v>
      </c>
      <c r="N415" s="35" t="b">
        <v>0</v>
      </c>
      <c r="O415" s="35" t="b">
        <v>0</v>
      </c>
      <c r="P415" s="35" t="b">
        <v>0</v>
      </c>
      <c r="Q415" s="35" t="b">
        <v>0</v>
      </c>
      <c r="R415" s="14"/>
      <c r="S415" s="14"/>
      <c r="T415" s="14"/>
      <c r="U415" s="14"/>
      <c r="V415" s="14"/>
      <c r="W415" s="14"/>
    </row>
    <row r="416" ht="31.5" customHeight="1">
      <c r="A416" s="109" t="s">
        <v>8343</v>
      </c>
      <c r="B416" s="110" t="s">
        <v>8344</v>
      </c>
      <c r="C416" s="111" t="s">
        <v>8345</v>
      </c>
      <c r="D416" s="28" t="s">
        <v>8346</v>
      </c>
      <c r="E416" s="28" t="str">
        <f>IFERROR(__xludf.DUMMYFUNCTION("GOOGLETRANSLATE(D416,""zh-CN"",""vi"")"),"Nơi này được thiên nhiên ưu ái với những lợi thế độc đáo.")</f>
        <v>Nơi này được thiên nhiên ưu ái với những lợi thế độc đáo.</v>
      </c>
      <c r="F416" s="128"/>
      <c r="G416" s="36" t="b">
        <f t="shared" si="1"/>
        <v>0</v>
      </c>
      <c r="H416" s="35" t="b">
        <v>1</v>
      </c>
      <c r="I416" s="35" t="b">
        <v>0</v>
      </c>
      <c r="J416" s="35" t="b">
        <v>0</v>
      </c>
      <c r="K416" s="35" t="b">
        <v>0</v>
      </c>
      <c r="L416" s="35" t="b">
        <v>0</v>
      </c>
      <c r="M416" s="35" t="b">
        <v>0</v>
      </c>
      <c r="N416" s="35" t="b">
        <v>0</v>
      </c>
      <c r="O416" s="35" t="b">
        <v>0</v>
      </c>
      <c r="P416" s="35" t="b">
        <v>0</v>
      </c>
      <c r="Q416" s="35" t="b">
        <v>0</v>
      </c>
      <c r="R416" s="14"/>
      <c r="S416" s="14"/>
      <c r="T416" s="14"/>
      <c r="U416" s="14"/>
      <c r="V416" s="14"/>
      <c r="W416" s="14"/>
    </row>
    <row r="417" ht="31.5" customHeight="1">
      <c r="A417" s="109" t="s">
        <v>8351</v>
      </c>
      <c r="B417" s="110" t="s">
        <v>8352</v>
      </c>
      <c r="C417" s="111" t="s">
        <v>8353</v>
      </c>
      <c r="D417" s="28" t="s">
        <v>8354</v>
      </c>
      <c r="E417" s="28" t="str">
        <f>IFERROR(__xludf.DUMMYFUNCTION("GOOGLETRANSLATE(D417,""zh-CN"",""vi"")"),"Anh ấy rất sợ làm phật lòng người khác.")</f>
        <v>Anh ấy rất sợ làm phật lòng người khác.</v>
      </c>
      <c r="F417" s="128"/>
      <c r="G417" s="36" t="b">
        <f t="shared" si="1"/>
        <v>0</v>
      </c>
      <c r="H417" s="35" t="b">
        <v>1</v>
      </c>
      <c r="I417" s="35" t="b">
        <v>0</v>
      </c>
      <c r="J417" s="35" t="b">
        <v>0</v>
      </c>
      <c r="K417" s="35" t="b">
        <v>0</v>
      </c>
      <c r="L417" s="35" t="b">
        <v>0</v>
      </c>
      <c r="M417" s="35" t="b">
        <v>0</v>
      </c>
      <c r="N417" s="35" t="b">
        <v>0</v>
      </c>
      <c r="O417" s="35" t="b">
        <v>0</v>
      </c>
      <c r="P417" s="35" t="b">
        <v>0</v>
      </c>
      <c r="Q417" s="35" t="b">
        <v>0</v>
      </c>
      <c r="R417" s="14"/>
      <c r="S417" s="14"/>
      <c r="T417" s="14"/>
      <c r="U417" s="14"/>
      <c r="V417" s="14"/>
      <c r="W417" s="14"/>
    </row>
    <row r="418" ht="31.5" customHeight="1">
      <c r="A418" s="109" t="s">
        <v>8359</v>
      </c>
      <c r="B418" s="110" t="s">
        <v>723</v>
      </c>
      <c r="C418" s="111" t="s">
        <v>8360</v>
      </c>
      <c r="D418" s="28" t="s">
        <v>8361</v>
      </c>
      <c r="E418" s="28" t="str">
        <f>IFERROR(__xludf.DUMMYFUNCTION("GOOGLETRANSLATE(D418,""zh-CN"",""vi"")"),"Anh ấy đạp xe.")</f>
        <v>Anh ấy đạp xe.</v>
      </c>
      <c r="F418" s="128"/>
      <c r="G418" s="36" t="b">
        <f t="shared" si="1"/>
        <v>0</v>
      </c>
      <c r="H418" s="35" t="b">
        <v>1</v>
      </c>
      <c r="I418" s="35" t="b">
        <v>0</v>
      </c>
      <c r="J418" s="35" t="b">
        <v>0</v>
      </c>
      <c r="K418" s="35" t="b">
        <v>0</v>
      </c>
      <c r="L418" s="35" t="b">
        <v>0</v>
      </c>
      <c r="M418" s="35" t="b">
        <v>0</v>
      </c>
      <c r="N418" s="35" t="b">
        <v>0</v>
      </c>
      <c r="O418" s="35" t="b">
        <v>0</v>
      </c>
      <c r="P418" s="35" t="b">
        <v>0</v>
      </c>
      <c r="Q418" s="35" t="b">
        <v>0</v>
      </c>
      <c r="R418" s="14"/>
      <c r="S418" s="14"/>
      <c r="T418" s="14"/>
      <c r="U418" s="14"/>
      <c r="V418" s="14"/>
      <c r="W418" s="14"/>
    </row>
    <row r="419" ht="31.5" customHeight="1">
      <c r="A419" s="109" t="s">
        <v>8365</v>
      </c>
      <c r="B419" s="110" t="s">
        <v>8366</v>
      </c>
      <c r="C419" s="111" t="s">
        <v>8367</v>
      </c>
      <c r="D419" s="28" t="s">
        <v>8368</v>
      </c>
      <c r="E419" s="28" t="str">
        <f>IFERROR(__xludf.DUMMYFUNCTION("GOOGLETRANSLATE(D419,""zh-CN"",""vi"")"),"Chúng tôi đã treo rất nhiều đèn lồng.")</f>
        <v>Chúng tôi đã treo rất nhiều đèn lồng.</v>
      </c>
      <c r="F419" s="128"/>
      <c r="G419" s="36" t="b">
        <f t="shared" si="1"/>
        <v>0</v>
      </c>
      <c r="H419" s="35" t="b">
        <v>1</v>
      </c>
      <c r="I419" s="35" t="b">
        <v>0</v>
      </c>
      <c r="J419" s="35" t="b">
        <v>0</v>
      </c>
      <c r="K419" s="35" t="b">
        <v>0</v>
      </c>
      <c r="L419" s="35" t="b">
        <v>0</v>
      </c>
      <c r="M419" s="35" t="b">
        <v>0</v>
      </c>
      <c r="N419" s="35" t="b">
        <v>0</v>
      </c>
      <c r="O419" s="35" t="b">
        <v>0</v>
      </c>
      <c r="P419" s="35" t="b">
        <v>0</v>
      </c>
      <c r="Q419" s="35" t="b">
        <v>0</v>
      </c>
      <c r="R419" s="14"/>
      <c r="S419" s="14"/>
      <c r="T419" s="14"/>
      <c r="U419" s="14"/>
      <c r="V419" s="14"/>
      <c r="W419" s="14"/>
    </row>
    <row r="420" ht="31.5" customHeight="1">
      <c r="A420" s="109" t="s">
        <v>8373</v>
      </c>
      <c r="B420" s="110" t="s">
        <v>8374</v>
      </c>
      <c r="C420" s="111" t="s">
        <v>8375</v>
      </c>
      <c r="D420" s="28" t="s">
        <v>8376</v>
      </c>
      <c r="E420" s="28" t="str">
        <f>IFERROR(__xludf.DUMMYFUNCTION("GOOGLETRANSLATE(D420,""zh-CN"",""vi"")"),"Anh ấy đã đăng nhập thành công vào trang web.")</f>
        <v>Anh ấy đã đăng nhập thành công vào trang web.</v>
      </c>
      <c r="F420" s="128"/>
      <c r="G420" s="36" t="b">
        <f t="shared" si="1"/>
        <v>0</v>
      </c>
      <c r="H420" s="35" t="b">
        <v>1</v>
      </c>
      <c r="I420" s="35" t="b">
        <v>0</v>
      </c>
      <c r="J420" s="35" t="b">
        <v>0</v>
      </c>
      <c r="K420" s="35" t="b">
        <v>0</v>
      </c>
      <c r="L420" s="35" t="b">
        <v>0</v>
      </c>
      <c r="M420" s="35" t="b">
        <v>0</v>
      </c>
      <c r="N420" s="35" t="b">
        <v>0</v>
      </c>
      <c r="O420" s="35" t="b">
        <v>0</v>
      </c>
      <c r="P420" s="35" t="b">
        <v>0</v>
      </c>
      <c r="Q420" s="35" t="b">
        <v>0</v>
      </c>
      <c r="R420" s="14"/>
      <c r="S420" s="14"/>
      <c r="T420" s="14"/>
      <c r="U420" s="14"/>
      <c r="V420" s="14"/>
      <c r="W420" s="14"/>
    </row>
    <row r="421" ht="31.5" customHeight="1">
      <c r="A421" s="109" t="s">
        <v>8381</v>
      </c>
      <c r="B421" s="110" t="s">
        <v>8374</v>
      </c>
      <c r="C421" s="111" t="s">
        <v>8382</v>
      </c>
      <c r="D421" s="28" t="s">
        <v>8383</v>
      </c>
      <c r="E421" s="28" t="str">
        <f>IFERROR(__xludf.DUMMYFUNCTION("GOOGLETRANSLATE(D421,""zh-CN"",""vi"")"),"Vui lòng đăng nhập vào tài khoản của bạn.")</f>
        <v>Vui lòng đăng nhập vào tài khoản của bạn.</v>
      </c>
      <c r="F421" s="128"/>
      <c r="G421" s="36" t="b">
        <f t="shared" si="1"/>
        <v>0</v>
      </c>
      <c r="H421" s="35" t="b">
        <v>1</v>
      </c>
      <c r="I421" s="35" t="b">
        <v>0</v>
      </c>
      <c r="J421" s="35" t="b">
        <v>0</v>
      </c>
      <c r="K421" s="35" t="b">
        <v>0</v>
      </c>
      <c r="L421" s="35" t="b">
        <v>0</v>
      </c>
      <c r="M421" s="35" t="b">
        <v>0</v>
      </c>
      <c r="N421" s="35" t="b">
        <v>0</v>
      </c>
      <c r="O421" s="35" t="b">
        <v>0</v>
      </c>
      <c r="P421" s="35" t="b">
        <v>0</v>
      </c>
      <c r="Q421" s="35" t="b">
        <v>0</v>
      </c>
      <c r="R421" s="14"/>
      <c r="S421" s="14"/>
      <c r="T421" s="14"/>
      <c r="U421" s="14"/>
      <c r="V421" s="14"/>
      <c r="W421" s="14"/>
    </row>
    <row r="422" ht="31.5" customHeight="1">
      <c r="A422" s="109" t="s">
        <v>8388</v>
      </c>
      <c r="B422" s="110" t="s">
        <v>8389</v>
      </c>
      <c r="C422" s="111" t="s">
        <v>8390</v>
      </c>
      <c r="D422" s="28" t="s">
        <v>8391</v>
      </c>
      <c r="E422" s="28" t="str">
        <f>IFERROR(__xludf.DUMMYFUNCTION("GOOGLETRANSLATE(D422,""zh-CN"",""vi"")"),"Hệ thống này có nhiều cấp độ.")</f>
        <v>Hệ thống này có nhiều cấp độ.</v>
      </c>
      <c r="F422" s="128"/>
      <c r="G422" s="36" t="b">
        <f t="shared" si="1"/>
        <v>0</v>
      </c>
      <c r="H422" s="35" t="b">
        <v>1</v>
      </c>
      <c r="I422" s="35" t="b">
        <v>0</v>
      </c>
      <c r="J422" s="35" t="b">
        <v>0</v>
      </c>
      <c r="K422" s="35" t="b">
        <v>0</v>
      </c>
      <c r="L422" s="35" t="b">
        <v>0</v>
      </c>
      <c r="M422" s="35" t="b">
        <v>0</v>
      </c>
      <c r="N422" s="35" t="b">
        <v>0</v>
      </c>
      <c r="O422" s="35" t="b">
        <v>0</v>
      </c>
      <c r="P422" s="35" t="b">
        <v>0</v>
      </c>
      <c r="Q422" s="35" t="b">
        <v>0</v>
      </c>
      <c r="R422" s="14"/>
      <c r="S422" s="14"/>
      <c r="T422" s="14"/>
      <c r="U422" s="14"/>
      <c r="V422" s="14"/>
      <c r="W422" s="14"/>
    </row>
    <row r="423" ht="31.5" customHeight="1">
      <c r="A423" s="109" t="s">
        <v>8395</v>
      </c>
      <c r="B423" s="110" t="s">
        <v>8396</v>
      </c>
      <c r="C423" s="111" t="s">
        <v>8397</v>
      </c>
      <c r="D423" s="28" t="s">
        <v>8398</v>
      </c>
      <c r="E423" s="28" t="str">
        <f>IFERROR(__xludf.DUMMYFUNCTION("GOOGLETRANSLATE(D423,""zh-CN"",""vi"")"),"Anh ta trừng mắt nhìn tôi.")</f>
        <v>Anh ta trừng mắt nhìn tôi.</v>
      </c>
      <c r="F423" s="128"/>
      <c r="G423" s="36" t="b">
        <f t="shared" si="1"/>
        <v>0</v>
      </c>
      <c r="H423" s="35" t="b">
        <v>1</v>
      </c>
      <c r="I423" s="35" t="b">
        <v>0</v>
      </c>
      <c r="J423" s="35" t="b">
        <v>0</v>
      </c>
      <c r="K423" s="35" t="b">
        <v>0</v>
      </c>
      <c r="L423" s="35" t="b">
        <v>0</v>
      </c>
      <c r="M423" s="35" t="b">
        <v>0</v>
      </c>
      <c r="N423" s="35" t="b">
        <v>0</v>
      </c>
      <c r="O423" s="35" t="b">
        <v>0</v>
      </c>
      <c r="P423" s="35" t="b">
        <v>0</v>
      </c>
      <c r="Q423" s="35" t="b">
        <v>0</v>
      </c>
      <c r="R423" s="14"/>
      <c r="S423" s="14"/>
      <c r="T423" s="14"/>
      <c r="U423" s="14"/>
      <c r="V423" s="14"/>
      <c r="W423" s="14"/>
    </row>
    <row r="424" ht="31.5" customHeight="1">
      <c r="A424" s="109" t="s">
        <v>8403</v>
      </c>
      <c r="B424" s="110" t="s">
        <v>8404</v>
      </c>
      <c r="C424" s="111" t="s">
        <v>8405</v>
      </c>
      <c r="D424" s="28" t="s">
        <v>8406</v>
      </c>
      <c r="E424" s="28" t="str">
        <f>IFERROR(__xludf.DUMMYFUNCTION("GOOGLETRANSLATE(D424,""zh-CN"",""vi"")"),"Các con đê bảo vệ ngôi làng.")</f>
        <v>Các con đê bảo vệ ngôi làng.</v>
      </c>
      <c r="F424" s="128"/>
      <c r="G424" s="36" t="b">
        <f t="shared" si="1"/>
        <v>0</v>
      </c>
      <c r="H424" s="35" t="b">
        <v>1</v>
      </c>
      <c r="I424" s="35" t="b">
        <v>0</v>
      </c>
      <c r="J424" s="35" t="b">
        <v>0</v>
      </c>
      <c r="K424" s="35" t="b">
        <v>0</v>
      </c>
      <c r="L424" s="35" t="b">
        <v>0</v>
      </c>
      <c r="M424" s="35" t="b">
        <v>0</v>
      </c>
      <c r="N424" s="35" t="b">
        <v>0</v>
      </c>
      <c r="O424" s="35" t="b">
        <v>0</v>
      </c>
      <c r="P424" s="35" t="b">
        <v>0</v>
      </c>
      <c r="Q424" s="35" t="b">
        <v>0</v>
      </c>
      <c r="R424" s="14"/>
      <c r="S424" s="14"/>
      <c r="T424" s="14"/>
      <c r="U424" s="14"/>
      <c r="V424" s="14"/>
      <c r="W424" s="14"/>
    </row>
    <row r="425" ht="31.5" customHeight="1">
      <c r="A425" s="109" t="s">
        <v>8411</v>
      </c>
      <c r="B425" s="110" t="s">
        <v>8412</v>
      </c>
      <c r="C425" s="111" t="s">
        <v>8413</v>
      </c>
      <c r="D425" s="28" t="s">
        <v>8414</v>
      </c>
      <c r="E425" s="28" t="str">
        <f>IFERROR(__xludf.DUMMYFUNCTION("GOOGLETRANSLATE(D425,""zh-CN"",""vi"")"),"Họ có thái độ thù địch với người nước ngoài.")</f>
        <v>Họ có thái độ thù địch với người nước ngoài.</v>
      </c>
      <c r="F425" s="128"/>
      <c r="G425" s="36" t="b">
        <f t="shared" si="1"/>
        <v>0</v>
      </c>
      <c r="H425" s="35" t="b">
        <v>1</v>
      </c>
      <c r="I425" s="35" t="b">
        <v>0</v>
      </c>
      <c r="J425" s="35" t="b">
        <v>0</v>
      </c>
      <c r="K425" s="35" t="b">
        <v>0</v>
      </c>
      <c r="L425" s="35" t="b">
        <v>0</v>
      </c>
      <c r="M425" s="35" t="b">
        <v>0</v>
      </c>
      <c r="N425" s="35" t="b">
        <v>0</v>
      </c>
      <c r="O425" s="35" t="b">
        <v>0</v>
      </c>
      <c r="P425" s="35" t="b">
        <v>0</v>
      </c>
      <c r="Q425" s="35" t="b">
        <v>0</v>
      </c>
      <c r="R425" s="14"/>
      <c r="S425" s="14"/>
      <c r="T425" s="14"/>
      <c r="U425" s="14"/>
      <c r="V425" s="14"/>
      <c r="W425" s="14"/>
    </row>
    <row r="426" ht="31.5" customHeight="1">
      <c r="A426" s="109" t="s">
        <v>8419</v>
      </c>
      <c r="B426" s="110" t="s">
        <v>8420</v>
      </c>
      <c r="C426" s="111" t="s">
        <v>8421</v>
      </c>
      <c r="D426" s="28" t="s">
        <v>8422</v>
      </c>
      <c r="E426" s="28" t="str">
        <f>IFERROR(__xludf.DUMMYFUNCTION("GOOGLETRANSLATE(D426,""zh-CN"",""vi"")"),"Anh ấy vừa đến nơi.")</f>
        <v>Anh ấy vừa đến nơi.</v>
      </c>
      <c r="F426" s="128"/>
      <c r="G426" s="36" t="b">
        <f t="shared" si="1"/>
        <v>0</v>
      </c>
      <c r="H426" s="35" t="b">
        <v>1</v>
      </c>
      <c r="I426" s="35" t="b">
        <v>0</v>
      </c>
      <c r="J426" s="35" t="b">
        <v>0</v>
      </c>
      <c r="K426" s="35" t="b">
        <v>0</v>
      </c>
      <c r="L426" s="35" t="b">
        <v>0</v>
      </c>
      <c r="M426" s="35" t="b">
        <v>0</v>
      </c>
      <c r="N426" s="35" t="b">
        <v>0</v>
      </c>
      <c r="O426" s="35" t="b">
        <v>0</v>
      </c>
      <c r="P426" s="35" t="b">
        <v>0</v>
      </c>
      <c r="Q426" s="35" t="b">
        <v>0</v>
      </c>
      <c r="R426" s="14"/>
      <c r="S426" s="14"/>
      <c r="T426" s="14"/>
      <c r="U426" s="14"/>
      <c r="V426" s="14"/>
      <c r="W426" s="14"/>
    </row>
    <row r="427" ht="31.5" customHeight="1">
      <c r="A427" s="109" t="s">
        <v>8427</v>
      </c>
      <c r="B427" s="110" t="s">
        <v>8428</v>
      </c>
      <c r="C427" s="111" t="s">
        <v>8429</v>
      </c>
      <c r="D427" s="28" t="s">
        <v>8430</v>
      </c>
      <c r="E427" s="28" t="str">
        <f>IFERROR(__xludf.DUMMYFUNCTION("GOOGLETRANSLATE(D427,""zh-CN"",""vi"")"),"Chúng ta phải chống lại cuộc tấn công của kẻ thù.")</f>
        <v>Chúng ta phải chống lại cuộc tấn công của kẻ thù.</v>
      </c>
      <c r="F427" s="128"/>
      <c r="G427" s="36" t="b">
        <f t="shared" si="1"/>
        <v>0</v>
      </c>
      <c r="H427" s="35" t="b">
        <v>1</v>
      </c>
      <c r="I427" s="35" t="b">
        <v>0</v>
      </c>
      <c r="J427" s="35" t="b">
        <v>0</v>
      </c>
      <c r="K427" s="35" t="b">
        <v>0</v>
      </c>
      <c r="L427" s="35" t="b">
        <v>0</v>
      </c>
      <c r="M427" s="35" t="b">
        <v>0</v>
      </c>
      <c r="N427" s="35" t="b">
        <v>0</v>
      </c>
      <c r="O427" s="35" t="b">
        <v>0</v>
      </c>
      <c r="P427" s="35" t="b">
        <v>0</v>
      </c>
      <c r="Q427" s="35" t="b">
        <v>0</v>
      </c>
      <c r="R427" s="14"/>
      <c r="S427" s="14"/>
      <c r="T427" s="14"/>
      <c r="U427" s="14"/>
      <c r="V427" s="14"/>
      <c r="W427" s="14"/>
    </row>
    <row r="428" ht="31.5" customHeight="1">
      <c r="A428" s="109" t="s">
        <v>8435</v>
      </c>
      <c r="B428" s="110" t="s">
        <v>8436</v>
      </c>
      <c r="C428" s="111" t="s">
        <v>8437</v>
      </c>
      <c r="D428" s="28" t="s">
        <v>8438</v>
      </c>
      <c r="E428" s="28" t="str">
        <f>IFERROR(__xludf.DUMMYFUNCTION("GOOGLETRANSLATE(D428,""zh-CN"",""vi"")"),"Họ quyết định tẩy chay sản phẩm đó.")</f>
        <v>Họ quyết định tẩy chay sản phẩm đó.</v>
      </c>
      <c r="F428" s="128"/>
      <c r="G428" s="36" t="b">
        <f t="shared" si="1"/>
        <v>0</v>
      </c>
      <c r="H428" s="35" t="b">
        <v>1</v>
      </c>
      <c r="I428" s="35" t="b">
        <v>0</v>
      </c>
      <c r="J428" s="35" t="b">
        <v>0</v>
      </c>
      <c r="K428" s="35" t="b">
        <v>0</v>
      </c>
      <c r="L428" s="35" t="b">
        <v>0</v>
      </c>
      <c r="M428" s="35" t="b">
        <v>0</v>
      </c>
      <c r="N428" s="35" t="b">
        <v>0</v>
      </c>
      <c r="O428" s="35" t="b">
        <v>0</v>
      </c>
      <c r="P428" s="35" t="b">
        <v>0</v>
      </c>
      <c r="Q428" s="35" t="b">
        <v>0</v>
      </c>
      <c r="R428" s="14"/>
      <c r="S428" s="14"/>
      <c r="T428" s="14"/>
      <c r="U428" s="14"/>
      <c r="V428" s="14"/>
      <c r="W428" s="14"/>
    </row>
    <row r="429" ht="31.5" customHeight="1">
      <c r="A429" s="109" t="s">
        <v>8443</v>
      </c>
      <c r="B429" s="110" t="s">
        <v>8444</v>
      </c>
      <c r="C429" s="111" t="s">
        <v>8445</v>
      </c>
      <c r="D429" s="28" t="s">
        <v>8446</v>
      </c>
      <c r="E429" s="28" t="str">
        <f>IFERROR(__xludf.DUMMYFUNCTION("GOOGLETRANSLATE(D429,""zh-CN"",""vi"")"),"Công ty chúng tôi đang gặp khó khăn.")</f>
        <v>Công ty chúng tôi đang gặp khó khăn.</v>
      </c>
      <c r="F429" s="128"/>
      <c r="G429" s="36" t="b">
        <f t="shared" si="1"/>
        <v>0</v>
      </c>
      <c r="H429" s="35" t="b">
        <v>1</v>
      </c>
      <c r="I429" s="35" t="b">
        <v>0</v>
      </c>
      <c r="J429" s="35" t="b">
        <v>0</v>
      </c>
      <c r="K429" s="35" t="b">
        <v>0</v>
      </c>
      <c r="L429" s="35" t="b">
        <v>0</v>
      </c>
      <c r="M429" s="35" t="b">
        <v>0</v>
      </c>
      <c r="N429" s="35" t="b">
        <v>0</v>
      </c>
      <c r="O429" s="35" t="b">
        <v>0</v>
      </c>
      <c r="P429" s="35" t="b">
        <v>0</v>
      </c>
      <c r="Q429" s="35" t="b">
        <v>0</v>
      </c>
      <c r="R429" s="14"/>
      <c r="S429" s="14"/>
      <c r="T429" s="14"/>
      <c r="U429" s="14"/>
      <c r="V429" s="14"/>
      <c r="W429" s="14"/>
    </row>
    <row r="430" ht="31.5" customHeight="1">
      <c r="A430" s="109" t="s">
        <v>5673</v>
      </c>
      <c r="B430" s="110" t="s">
        <v>8451</v>
      </c>
      <c r="C430" s="111" t="s">
        <v>8452</v>
      </c>
      <c r="D430" s="28" t="s">
        <v>8453</v>
      </c>
      <c r="E430" s="28" t="str">
        <f>IFERROR(__xludf.DUMMYFUNCTION("GOOGLETRANSLATE(D430,""zh-CN"",""vi"")"),"Kiến trúc ở đây rất chân thực.")</f>
        <v>Kiến trúc ở đây rất chân thực.</v>
      </c>
      <c r="F430" s="128"/>
      <c r="G430" s="36" t="b">
        <f t="shared" si="1"/>
        <v>0</v>
      </c>
      <c r="H430" s="35" t="b">
        <v>1</v>
      </c>
      <c r="I430" s="35" t="b">
        <v>0</v>
      </c>
      <c r="J430" s="35" t="b">
        <v>0</v>
      </c>
      <c r="K430" s="35" t="b">
        <v>0</v>
      </c>
      <c r="L430" s="35" t="b">
        <v>0</v>
      </c>
      <c r="M430" s="35" t="b">
        <v>0</v>
      </c>
      <c r="N430" s="35" t="b">
        <v>0</v>
      </c>
      <c r="O430" s="35" t="b">
        <v>0</v>
      </c>
      <c r="P430" s="35" t="b">
        <v>0</v>
      </c>
      <c r="Q430" s="35" t="b">
        <v>0</v>
      </c>
      <c r="R430" s="14"/>
      <c r="S430" s="14"/>
      <c r="T430" s="14"/>
      <c r="U430" s="14"/>
      <c r="V430" s="14"/>
      <c r="W430" s="14"/>
    </row>
    <row r="431" ht="31.5" customHeight="1">
      <c r="A431" s="109" t="s">
        <v>8458</v>
      </c>
      <c r="B431" s="110" t="s">
        <v>8459</v>
      </c>
      <c r="C431" s="111" t="s">
        <v>8460</v>
      </c>
      <c r="D431" s="28" t="s">
        <v>8461</v>
      </c>
      <c r="E431" s="28" t="str">
        <f>IFERROR(__xludf.DUMMYFUNCTION("GOOGLETRANSLATE(D431,""zh-CN"",""vi"")"),"Địa hình vùng núi rất dốc.")</f>
        <v>Địa hình vùng núi rất dốc.</v>
      </c>
      <c r="F431" s="128"/>
      <c r="G431" s="36" t="b">
        <f t="shared" si="1"/>
        <v>0</v>
      </c>
      <c r="H431" s="35" t="b">
        <v>1</v>
      </c>
      <c r="I431" s="35" t="b">
        <v>0</v>
      </c>
      <c r="J431" s="35" t="b">
        <v>0</v>
      </c>
      <c r="K431" s="35" t="b">
        <v>0</v>
      </c>
      <c r="L431" s="35" t="b">
        <v>0</v>
      </c>
      <c r="M431" s="35" t="b">
        <v>0</v>
      </c>
      <c r="N431" s="35" t="b">
        <v>0</v>
      </c>
      <c r="O431" s="35" t="b">
        <v>0</v>
      </c>
      <c r="P431" s="35" t="b">
        <v>0</v>
      </c>
      <c r="Q431" s="35" t="b">
        <v>0</v>
      </c>
      <c r="R431" s="14"/>
      <c r="S431" s="14"/>
      <c r="T431" s="14"/>
      <c r="U431" s="14"/>
      <c r="V431" s="14"/>
      <c r="W431" s="14"/>
    </row>
    <row r="432" ht="31.5" customHeight="1">
      <c r="A432" s="109" t="s">
        <v>8466</v>
      </c>
      <c r="B432" s="110" t="s">
        <v>8467</v>
      </c>
      <c r="C432" s="111" t="s">
        <v>8468</v>
      </c>
      <c r="D432" s="28" t="s">
        <v>8469</v>
      </c>
      <c r="E432" s="28" t="str">
        <f>IFERROR(__xludf.DUMMYFUNCTION("GOOGLETRANSLATE(D432,""zh-CN"",""vi"")"),"Khối lượng công việc của anh ấy liên tục tăng lên.")</f>
        <v>Khối lượng công việc của anh ấy liên tục tăng lên.</v>
      </c>
      <c r="F432" s="128"/>
      <c r="G432" s="36" t="b">
        <f t="shared" si="1"/>
        <v>0</v>
      </c>
      <c r="H432" s="35" t="b">
        <v>1</v>
      </c>
      <c r="I432" s="35" t="b">
        <v>0</v>
      </c>
      <c r="J432" s="35" t="b">
        <v>0</v>
      </c>
      <c r="K432" s="35" t="b">
        <v>0</v>
      </c>
      <c r="L432" s="35" t="b">
        <v>0</v>
      </c>
      <c r="M432" s="35" t="b">
        <v>0</v>
      </c>
      <c r="N432" s="35" t="b">
        <v>0</v>
      </c>
      <c r="O432" s="35" t="b">
        <v>0</v>
      </c>
      <c r="P432" s="35" t="b">
        <v>0</v>
      </c>
      <c r="Q432" s="35" t="b">
        <v>0</v>
      </c>
      <c r="R432" s="14"/>
      <c r="S432" s="14"/>
      <c r="T432" s="14"/>
      <c r="U432" s="14"/>
      <c r="V432" s="14"/>
      <c r="W432" s="14"/>
    </row>
    <row r="433" ht="31.5" customHeight="1">
      <c r="A433" s="109" t="s">
        <v>8474</v>
      </c>
      <c r="B433" s="110" t="s">
        <v>8475</v>
      </c>
      <c r="C433" s="111" t="s">
        <v>8476</v>
      </c>
      <c r="D433" s="28" t="s">
        <v>8477</v>
      </c>
      <c r="E433" s="28" t="str">
        <f>IFERROR(__xludf.DUMMYFUNCTION("GOOGLETRANSLATE(D433,""zh-CN"",""vi"")"),"Chúng tôi đã nghiên cứu cấu trúc địa chất.")</f>
        <v>Chúng tôi đã nghiên cứu cấu trúc địa chất.</v>
      </c>
      <c r="F433" s="128"/>
      <c r="G433" s="36" t="b">
        <f t="shared" si="1"/>
        <v>0</v>
      </c>
      <c r="H433" s="35" t="b">
        <v>1</v>
      </c>
      <c r="I433" s="35" t="b">
        <v>0</v>
      </c>
      <c r="J433" s="35" t="b">
        <v>0</v>
      </c>
      <c r="K433" s="35" t="b">
        <v>0</v>
      </c>
      <c r="L433" s="35" t="b">
        <v>0</v>
      </c>
      <c r="M433" s="35" t="b">
        <v>0</v>
      </c>
      <c r="N433" s="35" t="b">
        <v>0</v>
      </c>
      <c r="O433" s="35" t="b">
        <v>0</v>
      </c>
      <c r="P433" s="35" t="b">
        <v>0</v>
      </c>
      <c r="Q433" s="35" t="b">
        <v>0</v>
      </c>
      <c r="R433" s="14"/>
      <c r="S433" s="14"/>
      <c r="T433" s="14"/>
      <c r="U433" s="14"/>
      <c r="V433" s="14"/>
      <c r="W433" s="14"/>
    </row>
    <row r="434" ht="31.5" customHeight="1">
      <c r="A434" s="109" t="s">
        <v>8482</v>
      </c>
      <c r="B434" s="110" t="s">
        <v>8483</v>
      </c>
      <c r="C434" s="111" t="s">
        <v>8484</v>
      </c>
      <c r="D434" s="28" t="s">
        <v>8485</v>
      </c>
      <c r="E434" s="28" t="str">
        <f>IFERROR(__xludf.DUMMYFUNCTION("GOOGLETRANSLATE(D434,""zh-CN"",""vi"")"),"Máy bay đang gặp phải nhi turbulence trên không.")</f>
        <v>Máy bay đang gặp phải nhi turbulence trên không.</v>
      </c>
      <c r="F434" s="128"/>
      <c r="G434" s="36" t="b">
        <f t="shared" si="1"/>
        <v>0</v>
      </c>
      <c r="H434" s="35" t="b">
        <v>1</v>
      </c>
      <c r="I434" s="35" t="b">
        <v>0</v>
      </c>
      <c r="J434" s="35" t="b">
        <v>0</v>
      </c>
      <c r="K434" s="35" t="b">
        <v>0</v>
      </c>
      <c r="L434" s="35" t="b">
        <v>0</v>
      </c>
      <c r="M434" s="35" t="b">
        <v>0</v>
      </c>
      <c r="N434" s="35" t="b">
        <v>0</v>
      </c>
      <c r="O434" s="35" t="b">
        <v>0</v>
      </c>
      <c r="P434" s="35" t="b">
        <v>0</v>
      </c>
      <c r="Q434" s="35" t="b">
        <v>0</v>
      </c>
      <c r="R434" s="14"/>
      <c r="S434" s="14"/>
      <c r="T434" s="14"/>
      <c r="U434" s="14"/>
      <c r="V434" s="14"/>
      <c r="W434" s="14"/>
    </row>
    <row r="435" ht="31.5" customHeight="1">
      <c r="A435" s="109" t="s">
        <v>8490</v>
      </c>
      <c r="B435" s="110" t="s">
        <v>8491</v>
      </c>
      <c r="C435" s="111" t="s">
        <v>8492</v>
      </c>
      <c r="D435" s="28" t="s">
        <v>8493</v>
      </c>
      <c r="E435" s="28" t="str">
        <f>IFERROR(__xludf.DUMMYFUNCTION("GOOGLETRANSLATE(D435,""zh-CN"",""vi"")"),"Anh ta hiểu sai vấn đề rồi.")</f>
        <v>Anh ta hiểu sai vấn đề rồi.</v>
      </c>
      <c r="F435" s="128"/>
      <c r="G435" s="36" t="b">
        <f t="shared" si="1"/>
        <v>0</v>
      </c>
      <c r="H435" s="35" t="b">
        <v>1</v>
      </c>
      <c r="I435" s="35" t="b">
        <v>0</v>
      </c>
      <c r="J435" s="35" t="b">
        <v>0</v>
      </c>
      <c r="K435" s="35" t="b">
        <v>0</v>
      </c>
      <c r="L435" s="35" t="b">
        <v>0</v>
      </c>
      <c r="M435" s="35" t="b">
        <v>0</v>
      </c>
      <c r="N435" s="35" t="b">
        <v>0</v>
      </c>
      <c r="O435" s="35" t="b">
        <v>0</v>
      </c>
      <c r="P435" s="35" t="b">
        <v>0</v>
      </c>
      <c r="Q435" s="35" t="b">
        <v>0</v>
      </c>
      <c r="R435" s="14"/>
      <c r="S435" s="14"/>
      <c r="T435" s="14"/>
      <c r="U435" s="14"/>
      <c r="V435" s="14"/>
      <c r="W435" s="14"/>
    </row>
    <row r="436" ht="31.5" customHeight="1">
      <c r="A436" s="109" t="s">
        <v>8498</v>
      </c>
      <c r="B436" s="110" t="s">
        <v>8499</v>
      </c>
      <c r="C436" s="111" t="s">
        <v>8500</v>
      </c>
      <c r="D436" s="28" t="s">
        <v>8501</v>
      </c>
      <c r="E436" s="28" t="str">
        <f>IFERROR(__xludf.DUMMYFUNCTION("GOOGLETRANSLATE(D436,""zh-CN"",""vi"")"),"Họ đang tổ chức lễ cưới.")</f>
        <v>Họ đang tổ chức lễ cưới.</v>
      </c>
      <c r="F436" s="128"/>
      <c r="G436" s="36" t="b">
        <f t="shared" si="1"/>
        <v>0</v>
      </c>
      <c r="H436" s="35" t="b">
        <v>1</v>
      </c>
      <c r="I436" s="35" t="b">
        <v>0</v>
      </c>
      <c r="J436" s="35" t="b">
        <v>0</v>
      </c>
      <c r="K436" s="35" t="b">
        <v>0</v>
      </c>
      <c r="L436" s="35" t="b">
        <v>0</v>
      </c>
      <c r="M436" s="35" t="b">
        <v>0</v>
      </c>
      <c r="N436" s="35" t="b">
        <v>0</v>
      </c>
      <c r="O436" s="35" t="b">
        <v>0</v>
      </c>
      <c r="P436" s="35" t="b">
        <v>0</v>
      </c>
      <c r="Q436" s="35" t="b">
        <v>0</v>
      </c>
      <c r="R436" s="14"/>
      <c r="S436" s="14"/>
      <c r="T436" s="14"/>
      <c r="U436" s="14"/>
      <c r="V436" s="14"/>
      <c r="W436" s="14"/>
    </row>
    <row r="437" ht="31.5" customHeight="1">
      <c r="A437" s="109" t="s">
        <v>8506</v>
      </c>
      <c r="B437" s="110" t="s">
        <v>8507</v>
      </c>
      <c r="C437" s="111" t="s">
        <v>8508</v>
      </c>
      <c r="D437" s="28" t="s">
        <v>8509</v>
      </c>
      <c r="E437" s="28" t="str">
        <f>IFERROR(__xludf.DUMMYFUNCTION("GOOGLETRANSLATE(D437,""zh-CN"",""vi"")"),"Cậu ấy là một học sinh giỏi điển hình.")</f>
        <v>Cậu ấy là một học sinh giỏi điển hình.</v>
      </c>
      <c r="F437" s="128"/>
      <c r="G437" s="36" t="b">
        <f t="shared" si="1"/>
        <v>0</v>
      </c>
      <c r="H437" s="35" t="b">
        <v>1</v>
      </c>
      <c r="I437" s="35" t="b">
        <v>0</v>
      </c>
      <c r="J437" s="35" t="b">
        <v>0</v>
      </c>
      <c r="K437" s="35" t="b">
        <v>0</v>
      </c>
      <c r="L437" s="35" t="b">
        <v>0</v>
      </c>
      <c r="M437" s="35" t="b">
        <v>0</v>
      </c>
      <c r="N437" s="35" t="b">
        <v>0</v>
      </c>
      <c r="O437" s="35" t="b">
        <v>0</v>
      </c>
      <c r="P437" s="35" t="b">
        <v>0</v>
      </c>
      <c r="Q437" s="35" t="b">
        <v>0</v>
      </c>
      <c r="R437" s="14"/>
      <c r="S437" s="14"/>
      <c r="T437" s="14"/>
      <c r="U437" s="14"/>
      <c r="V437" s="14"/>
      <c r="W437" s="14"/>
    </row>
    <row r="438" ht="31.5" customHeight="1">
      <c r="A438" s="109" t="s">
        <v>8513</v>
      </c>
      <c r="B438" s="110" t="s">
        <v>8515</v>
      </c>
      <c r="C438" s="111" t="s">
        <v>8516</v>
      </c>
      <c r="D438" s="28" t="s">
        <v>8517</v>
      </c>
      <c r="E438" s="28" t="str">
        <f>IFERROR(__xludf.DUMMYFUNCTION("GOOGLETRANSLATE(D438,""zh-CN"",""vi"")"),"Chúng tôi đã trồng thêm một số loài hoa trong vườn.")</f>
        <v>Chúng tôi đã trồng thêm một số loài hoa trong vườn.</v>
      </c>
      <c r="F438" s="128"/>
      <c r="G438" s="36" t="b">
        <f t="shared" si="1"/>
        <v>0</v>
      </c>
      <c r="H438" s="35" t="b">
        <v>1</v>
      </c>
      <c r="I438" s="35" t="b">
        <v>0</v>
      </c>
      <c r="J438" s="35" t="b">
        <v>0</v>
      </c>
      <c r="K438" s="35" t="b">
        <v>0</v>
      </c>
      <c r="L438" s="35" t="b">
        <v>0</v>
      </c>
      <c r="M438" s="35" t="b">
        <v>0</v>
      </c>
      <c r="N438" s="35" t="b">
        <v>0</v>
      </c>
      <c r="O438" s="35" t="b">
        <v>0</v>
      </c>
      <c r="P438" s="35" t="b">
        <v>0</v>
      </c>
      <c r="Q438" s="35" t="b">
        <v>0</v>
      </c>
      <c r="R438" s="14"/>
      <c r="S438" s="14"/>
      <c r="T438" s="14"/>
      <c r="U438" s="14"/>
      <c r="V438" s="14"/>
      <c r="W438" s="14"/>
    </row>
    <row r="439" ht="31.5" customHeight="1">
      <c r="A439" s="109" t="s">
        <v>8520</v>
      </c>
      <c r="B439" s="110" t="s">
        <v>8522</v>
      </c>
      <c r="C439" s="111" t="s">
        <v>8523</v>
      </c>
      <c r="D439" s="28" t="s">
        <v>8524</v>
      </c>
      <c r="E439" s="28" t="str">
        <f>IFERROR(__xludf.DUMMYFUNCTION("GOOGLETRANSLATE(D439,""zh-CN"",""vi"")"),"Vui lòng đặt một chiếc đệm lên ghế.")</f>
        <v>Vui lòng đặt một chiếc đệm lên ghế.</v>
      </c>
      <c r="F439" s="128"/>
      <c r="G439" s="36" t="b">
        <f t="shared" si="1"/>
        <v>0</v>
      </c>
      <c r="H439" s="35" t="b">
        <v>1</v>
      </c>
      <c r="I439" s="35" t="b">
        <v>0</v>
      </c>
      <c r="J439" s="35" t="b">
        <v>0</v>
      </c>
      <c r="K439" s="35" t="b">
        <v>0</v>
      </c>
      <c r="L439" s="35" t="b">
        <v>0</v>
      </c>
      <c r="M439" s="35" t="b">
        <v>0</v>
      </c>
      <c r="N439" s="35" t="b">
        <v>0</v>
      </c>
      <c r="O439" s="35" t="b">
        <v>0</v>
      </c>
      <c r="P439" s="35" t="b">
        <v>0</v>
      </c>
      <c r="Q439" s="35" t="b">
        <v>0</v>
      </c>
      <c r="R439" s="14"/>
      <c r="S439" s="14"/>
      <c r="T439" s="14"/>
      <c r="U439" s="14"/>
      <c r="V439" s="14"/>
      <c r="W439" s="14"/>
    </row>
    <row r="440" ht="31.5" customHeight="1">
      <c r="A440" s="109" t="s">
        <v>8525</v>
      </c>
      <c r="B440" s="110" t="s">
        <v>8527</v>
      </c>
      <c r="C440" s="111" t="s">
        <v>8529</v>
      </c>
      <c r="D440" s="28" t="s">
        <v>8531</v>
      </c>
      <c r="E440" s="28" t="str">
        <f>IFERROR(__xludf.DUMMYFUNCTION("GOOGLETRANSLATE(D440,""zh-CN"",""vi"")"),"Quyết định này đã đặt nền móng.")</f>
        <v>Quyết định này đã đặt nền móng.</v>
      </c>
      <c r="F440" s="128"/>
      <c r="G440" s="36" t="b">
        <f t="shared" si="1"/>
        <v>0</v>
      </c>
      <c r="H440" s="35" t="b">
        <v>1</v>
      </c>
      <c r="I440" s="35" t="b">
        <v>0</v>
      </c>
      <c r="J440" s="35" t="b">
        <v>0</v>
      </c>
      <c r="K440" s="35" t="b">
        <v>0</v>
      </c>
      <c r="L440" s="35" t="b">
        <v>0</v>
      </c>
      <c r="M440" s="35" t="b">
        <v>0</v>
      </c>
      <c r="N440" s="35" t="b">
        <v>0</v>
      </c>
      <c r="O440" s="35" t="b">
        <v>0</v>
      </c>
      <c r="P440" s="35" t="b">
        <v>0</v>
      </c>
      <c r="Q440" s="35" t="b">
        <v>0</v>
      </c>
      <c r="R440" s="14"/>
      <c r="S440" s="14"/>
      <c r="T440" s="14"/>
      <c r="U440" s="14"/>
      <c r="V440" s="14"/>
      <c r="W440" s="14"/>
    </row>
    <row r="441" ht="31.5" customHeight="1">
      <c r="A441" s="109" t="s">
        <v>8534</v>
      </c>
      <c r="B441" s="110" t="s">
        <v>8536</v>
      </c>
      <c r="C441" s="111" t="s">
        <v>8538</v>
      </c>
      <c r="D441" s="28" t="s">
        <v>8540</v>
      </c>
      <c r="E441" s="28" t="str">
        <f>IFERROR(__xludf.DUMMYFUNCTION("GOOGLETRANSLATE(D441,""zh-CN"",""vi"")"),"Tôi thường nghĩ về bạn.")</f>
        <v>Tôi thường nghĩ về bạn.</v>
      </c>
      <c r="F441" s="128"/>
      <c r="G441" s="36" t="b">
        <f t="shared" si="1"/>
        <v>0</v>
      </c>
      <c r="H441" s="35" t="b">
        <v>1</v>
      </c>
      <c r="I441" s="35" t="b">
        <v>0</v>
      </c>
      <c r="J441" s="35" t="b">
        <v>0</v>
      </c>
      <c r="K441" s="35" t="b">
        <v>0</v>
      </c>
      <c r="L441" s="35" t="b">
        <v>0</v>
      </c>
      <c r="M441" s="35" t="b">
        <v>0</v>
      </c>
      <c r="N441" s="35" t="b">
        <v>0</v>
      </c>
      <c r="O441" s="35" t="b">
        <v>0</v>
      </c>
      <c r="P441" s="35" t="b">
        <v>0</v>
      </c>
      <c r="Q441" s="35" t="b">
        <v>0</v>
      </c>
      <c r="R441" s="14"/>
      <c r="S441" s="14"/>
      <c r="T441" s="14"/>
      <c r="U441" s="14"/>
      <c r="V441" s="14"/>
      <c r="W441" s="14"/>
    </row>
    <row r="442" ht="31.5" customHeight="1">
      <c r="A442" s="109" t="s">
        <v>8544</v>
      </c>
      <c r="B442" s="110" t="s">
        <v>8546</v>
      </c>
      <c r="C442" s="111" t="s">
        <v>8547</v>
      </c>
      <c r="D442" s="28" t="s">
        <v>8548</v>
      </c>
      <c r="E442" s="28" t="str">
        <f>IFERROR(__xludf.DUMMYFUNCTION("GOOGLETRANSLATE(D442,""zh-CN"",""vi"")"),"Hãy đảm bảo nguồn điện an toàn.")</f>
        <v>Hãy đảm bảo nguồn điện an toàn.</v>
      </c>
      <c r="F442" s="128"/>
      <c r="G442" s="36" t="b">
        <f t="shared" si="1"/>
        <v>0</v>
      </c>
      <c r="H442" s="35" t="b">
        <v>1</v>
      </c>
      <c r="I442" s="35" t="b">
        <v>0</v>
      </c>
      <c r="J442" s="35" t="b">
        <v>0</v>
      </c>
      <c r="K442" s="35" t="b">
        <v>0</v>
      </c>
      <c r="L442" s="35" t="b">
        <v>0</v>
      </c>
      <c r="M442" s="35" t="b">
        <v>0</v>
      </c>
      <c r="N442" s="35" t="b">
        <v>0</v>
      </c>
      <c r="O442" s="35" t="b">
        <v>0</v>
      </c>
      <c r="P442" s="35" t="b">
        <v>0</v>
      </c>
      <c r="Q442" s="35" t="b">
        <v>0</v>
      </c>
      <c r="R442" s="14"/>
      <c r="S442" s="14"/>
      <c r="T442" s="14"/>
      <c r="U442" s="14"/>
      <c r="V442" s="14"/>
      <c r="W442" s="14"/>
    </row>
    <row r="443" ht="31.5" customHeight="1">
      <c r="A443" s="109" t="s">
        <v>8551</v>
      </c>
      <c r="B443" s="110" t="s">
        <v>8553</v>
      </c>
      <c r="C443" s="111" t="s">
        <v>8555</v>
      </c>
      <c r="D443" s="28" t="s">
        <v>8556</v>
      </c>
      <c r="E443" s="28" t="str">
        <f>IFERROR(__xludf.DUMMYFUNCTION("GOOGLETRANSLATE(D443,""zh-CN"",""vi"")"),"Chú cún con đang tha một khúc xương.")</f>
        <v>Chú cún con đang tha một khúc xương.</v>
      </c>
      <c r="F443" s="128"/>
      <c r="G443" s="36" t="b">
        <f t="shared" si="1"/>
        <v>0</v>
      </c>
      <c r="H443" s="35" t="b">
        <v>1</v>
      </c>
      <c r="I443" s="35" t="b">
        <v>0</v>
      </c>
      <c r="J443" s="35" t="b">
        <v>0</v>
      </c>
      <c r="K443" s="35" t="b">
        <v>0</v>
      </c>
      <c r="L443" s="35" t="b">
        <v>0</v>
      </c>
      <c r="M443" s="35" t="b">
        <v>0</v>
      </c>
      <c r="N443" s="35" t="b">
        <v>0</v>
      </c>
      <c r="O443" s="35" t="b">
        <v>0</v>
      </c>
      <c r="P443" s="35" t="b">
        <v>0</v>
      </c>
      <c r="Q443" s="35" t="b">
        <v>0</v>
      </c>
      <c r="R443" s="14"/>
      <c r="S443" s="14"/>
      <c r="T443" s="14"/>
      <c r="U443" s="14"/>
      <c r="V443" s="14"/>
      <c r="W443" s="14"/>
    </row>
    <row r="444" ht="31.5" customHeight="1">
      <c r="A444" s="109" t="s">
        <v>8558</v>
      </c>
      <c r="B444" s="110" t="s">
        <v>8560</v>
      </c>
      <c r="C444" s="111" t="s">
        <v>8562</v>
      </c>
      <c r="D444" s="28" t="s">
        <v>8564</v>
      </c>
      <c r="E444" s="28" t="str">
        <f>IFERROR(__xludf.DUMMYFUNCTION("GOOGLETRANSLATE(D444,""zh-CN"",""vi"")"),"Ông ấy rất giỏi nghề chạm khắc.")</f>
        <v>Ông ấy rất giỏi nghề chạm khắc.</v>
      </c>
      <c r="F444" s="128"/>
      <c r="G444" s="36" t="b">
        <f t="shared" si="1"/>
        <v>0</v>
      </c>
      <c r="H444" s="35" t="b">
        <v>1</v>
      </c>
      <c r="I444" s="35" t="b">
        <v>0</v>
      </c>
      <c r="J444" s="35" t="b">
        <v>0</v>
      </c>
      <c r="K444" s="35" t="b">
        <v>0</v>
      </c>
      <c r="L444" s="35" t="b">
        <v>0</v>
      </c>
      <c r="M444" s="35" t="b">
        <v>0</v>
      </c>
      <c r="N444" s="35" t="b">
        <v>0</v>
      </c>
      <c r="O444" s="35" t="b">
        <v>0</v>
      </c>
      <c r="P444" s="35" t="b">
        <v>0</v>
      </c>
      <c r="Q444" s="35" t="b">
        <v>0</v>
      </c>
      <c r="R444" s="14"/>
      <c r="S444" s="14"/>
      <c r="T444" s="14"/>
      <c r="U444" s="14"/>
      <c r="V444" s="14"/>
      <c r="W444" s="14"/>
    </row>
    <row r="445" ht="31.5" customHeight="1">
      <c r="A445" s="109" t="s">
        <v>8565</v>
      </c>
      <c r="B445" s="110" t="s">
        <v>8566</v>
      </c>
      <c r="C445" s="111" t="s">
        <v>8568</v>
      </c>
      <c r="D445" s="28" t="s">
        <v>8570</v>
      </c>
      <c r="E445" s="28" t="str">
        <f>IFERROR(__xludf.DUMMYFUNCTION("GOOGLETRANSLATE(D445,""zh-CN"",""vi"")"),"Thành phố này có rất nhiều tác phẩm điêu khắc.")</f>
        <v>Thành phố này có rất nhiều tác phẩm điêu khắc.</v>
      </c>
      <c r="F445" s="128"/>
      <c r="G445" s="36" t="b">
        <f t="shared" si="1"/>
        <v>0</v>
      </c>
      <c r="H445" s="35" t="b">
        <v>1</v>
      </c>
      <c r="I445" s="35" t="b">
        <v>0</v>
      </c>
      <c r="J445" s="35" t="b">
        <v>0</v>
      </c>
      <c r="K445" s="35" t="b">
        <v>0</v>
      </c>
      <c r="L445" s="35" t="b">
        <v>0</v>
      </c>
      <c r="M445" s="35" t="b">
        <v>0</v>
      </c>
      <c r="N445" s="35" t="b">
        <v>0</v>
      </c>
      <c r="O445" s="35" t="b">
        <v>0</v>
      </c>
      <c r="P445" s="35" t="b">
        <v>0</v>
      </c>
      <c r="Q445" s="35" t="b">
        <v>0</v>
      </c>
      <c r="R445" s="14"/>
      <c r="S445" s="14"/>
      <c r="T445" s="14"/>
      <c r="U445" s="14"/>
      <c r="V445" s="14"/>
      <c r="W445" s="14"/>
    </row>
    <row r="446" ht="31.5" customHeight="1">
      <c r="A446" s="109" t="s">
        <v>8573</v>
      </c>
      <c r="B446" s="110" t="s">
        <v>1245</v>
      </c>
      <c r="C446" s="111" t="s">
        <v>8575</v>
      </c>
      <c r="D446" s="28" t="s">
        <v>8577</v>
      </c>
      <c r="E446" s="28" t="str">
        <f>IFERROR(__xludf.DUMMYFUNCTION("GOOGLETRANSLATE(D446,""zh-CN"",""vi"")"),"Hai chiếc đèn lồng màu đỏ được treo trước cửa.")</f>
        <v>Hai chiếc đèn lồng màu đỏ được treo trước cửa.</v>
      </c>
      <c r="F446" s="128"/>
      <c r="G446" s="36" t="b">
        <f t="shared" si="1"/>
        <v>0</v>
      </c>
      <c r="H446" s="35" t="b">
        <v>1</v>
      </c>
      <c r="I446" s="35" t="b">
        <v>0</v>
      </c>
      <c r="J446" s="35" t="b">
        <v>0</v>
      </c>
      <c r="K446" s="35" t="b">
        <v>0</v>
      </c>
      <c r="L446" s="35" t="b">
        <v>0</v>
      </c>
      <c r="M446" s="35" t="b">
        <v>0</v>
      </c>
      <c r="N446" s="35" t="b">
        <v>0</v>
      </c>
      <c r="O446" s="35" t="b">
        <v>0</v>
      </c>
      <c r="P446" s="35" t="b">
        <v>0</v>
      </c>
      <c r="Q446" s="35" t="b">
        <v>0</v>
      </c>
      <c r="R446" s="14"/>
      <c r="S446" s="14"/>
      <c r="T446" s="14"/>
      <c r="U446" s="14"/>
      <c r="V446" s="14"/>
      <c r="W446" s="14"/>
    </row>
    <row r="447" ht="31.5" customHeight="1">
      <c r="A447" s="109" t="s">
        <v>8580</v>
      </c>
      <c r="B447" s="110" t="s">
        <v>8581</v>
      </c>
      <c r="C447" s="111" t="s">
        <v>8582</v>
      </c>
      <c r="D447" s="28" t="s">
        <v>8584</v>
      </c>
      <c r="E447" s="28" t="str">
        <f>IFERROR(__xludf.DUMMYFUNCTION("GOOGLETRANSLATE(D447,""zh-CN"",""vi"")"),"Công ty đang thực hiện những thay đổi về nhân sự.")</f>
        <v>Công ty đang thực hiện những thay đổi về nhân sự.</v>
      </c>
      <c r="F447" s="128"/>
      <c r="G447" s="36" t="b">
        <f t="shared" si="1"/>
        <v>0</v>
      </c>
      <c r="H447" s="35" t="b">
        <v>1</v>
      </c>
      <c r="I447" s="35" t="b">
        <v>0</v>
      </c>
      <c r="J447" s="35" t="b">
        <v>0</v>
      </c>
      <c r="K447" s="35" t="b">
        <v>0</v>
      </c>
      <c r="L447" s="35" t="b">
        <v>0</v>
      </c>
      <c r="M447" s="35" t="b">
        <v>0</v>
      </c>
      <c r="N447" s="35" t="b">
        <v>0</v>
      </c>
      <c r="O447" s="35" t="b">
        <v>0</v>
      </c>
      <c r="P447" s="35" t="b">
        <v>0</v>
      </c>
      <c r="Q447" s="35" t="b">
        <v>0</v>
      </c>
      <c r="R447" s="14"/>
      <c r="S447" s="14"/>
      <c r="T447" s="14"/>
      <c r="U447" s="14"/>
      <c r="V447" s="14"/>
      <c r="W447" s="14"/>
    </row>
    <row r="448" ht="31.5" customHeight="1">
      <c r="A448" s="109" t="s">
        <v>8588</v>
      </c>
      <c r="B448" s="110" t="s">
        <v>8589</v>
      </c>
      <c r="C448" s="111" t="s">
        <v>8590</v>
      </c>
      <c r="D448" s="28" t="s">
        <v>8591</v>
      </c>
      <c r="E448" s="28" t="str">
        <f>IFERROR(__xludf.DUMMYFUNCTION("GOOGLETRANSLATE(D448,""zh-CN"",""vi"")"),"Anh ta bị ngã cầu thang.")</f>
        <v>Anh ta bị ngã cầu thang.</v>
      </c>
      <c r="F448" s="128"/>
      <c r="G448" s="36" t="b">
        <f t="shared" si="1"/>
        <v>0</v>
      </c>
      <c r="H448" s="35" t="b">
        <v>1</v>
      </c>
      <c r="I448" s="35" t="b">
        <v>0</v>
      </c>
      <c r="J448" s="35" t="b">
        <v>0</v>
      </c>
      <c r="K448" s="35" t="b">
        <v>0</v>
      </c>
      <c r="L448" s="35" t="b">
        <v>0</v>
      </c>
      <c r="M448" s="35" t="b">
        <v>0</v>
      </c>
      <c r="N448" s="35" t="b">
        <v>0</v>
      </c>
      <c r="O448" s="35" t="b">
        <v>0</v>
      </c>
      <c r="P448" s="35" t="b">
        <v>0</v>
      </c>
      <c r="Q448" s="35" t="b">
        <v>0</v>
      </c>
      <c r="R448" s="14"/>
      <c r="S448" s="14"/>
      <c r="T448" s="14"/>
      <c r="U448" s="14"/>
      <c r="V448" s="14"/>
      <c r="W448" s="14"/>
    </row>
    <row r="449" ht="31.5" customHeight="1">
      <c r="A449" s="109" t="s">
        <v>8596</v>
      </c>
      <c r="B449" s="110" t="s">
        <v>8597</v>
      </c>
      <c r="C449" s="111" t="s">
        <v>8598</v>
      </c>
      <c r="D449" s="28" t="s">
        <v>8599</v>
      </c>
      <c r="E449" s="28" t="str">
        <f>IFERROR(__xludf.DUMMYFUNCTION("GOOGLETRANSLATE(D449,""zh-CN"",""vi"")"),"Cô ấy cứ nhìn chằm chằm vào màn hình.")</f>
        <v>Cô ấy cứ nhìn chằm chằm vào màn hình.</v>
      </c>
      <c r="F449" s="128"/>
      <c r="G449" s="36" t="b">
        <f t="shared" si="1"/>
        <v>0</v>
      </c>
      <c r="H449" s="35" t="b">
        <v>1</v>
      </c>
      <c r="I449" s="35" t="b">
        <v>0</v>
      </c>
      <c r="J449" s="35" t="b">
        <v>0</v>
      </c>
      <c r="K449" s="35" t="b">
        <v>0</v>
      </c>
      <c r="L449" s="35" t="b">
        <v>0</v>
      </c>
      <c r="M449" s="35" t="b">
        <v>0</v>
      </c>
      <c r="N449" s="35" t="b">
        <v>0</v>
      </c>
      <c r="O449" s="35" t="b">
        <v>0</v>
      </c>
      <c r="P449" s="35" t="b">
        <v>0</v>
      </c>
      <c r="Q449" s="35" t="b">
        <v>0</v>
      </c>
      <c r="R449" s="14"/>
      <c r="S449" s="14"/>
      <c r="T449" s="14"/>
      <c r="U449" s="14"/>
      <c r="V449" s="14"/>
      <c r="W449" s="14"/>
    </row>
    <row r="450" ht="31.5" customHeight="1">
      <c r="A450" s="109" t="s">
        <v>8604</v>
      </c>
      <c r="B450" s="110" t="s">
        <v>8605</v>
      </c>
      <c r="C450" s="111" t="s">
        <v>8606</v>
      </c>
      <c r="D450" s="28" t="s">
        <v>8607</v>
      </c>
      <c r="E450" s="28" t="str">
        <f>IFERROR(__xludf.DUMMYFUNCTION("GOOGLETRANSLATE(D450,""zh-CN"",""vi"")"),"Mẹ tôi bảo tôi nên mặc thêm quần áo.")</f>
        <v>Mẹ tôi bảo tôi nên mặc thêm quần áo.</v>
      </c>
      <c r="F450" s="128"/>
      <c r="G450" s="36" t="b">
        <f t="shared" si="1"/>
        <v>0</v>
      </c>
      <c r="H450" s="35" t="b">
        <v>0</v>
      </c>
      <c r="I450" s="35" t="b">
        <v>0</v>
      </c>
      <c r="J450" s="35" t="b">
        <v>0</v>
      </c>
      <c r="K450" s="35" t="b">
        <v>0</v>
      </c>
      <c r="L450" s="35" t="b">
        <v>0</v>
      </c>
      <c r="M450" s="35" t="b">
        <v>0</v>
      </c>
      <c r="N450" s="35" t="b">
        <v>0</v>
      </c>
      <c r="O450" s="35" t="b">
        <v>0</v>
      </c>
      <c r="P450" s="35" t="b">
        <v>0</v>
      </c>
      <c r="Q450" s="35" t="b">
        <v>0</v>
      </c>
      <c r="R450" s="14"/>
      <c r="S450" s="14"/>
      <c r="T450" s="14"/>
      <c r="U450" s="14"/>
      <c r="V450" s="14"/>
      <c r="W450" s="14"/>
    </row>
    <row r="451" ht="31.5" customHeight="1">
      <c r="A451" s="109" t="s">
        <v>8612</v>
      </c>
      <c r="B451" s="110" t="s">
        <v>8613</v>
      </c>
      <c r="C451" s="111" t="s">
        <v>8614</v>
      </c>
      <c r="D451" s="28" t="s">
        <v>8615</v>
      </c>
      <c r="E451" s="28" t="str">
        <f>IFERROR(__xludf.DUMMYFUNCTION("GOOGLETRANSLATE(D451,""zh-CN"",""vi"")"),"Chúng ta cần kiểm tra thiết bị thường xuyên.")</f>
        <v>Chúng ta cần kiểm tra thiết bị thường xuyên.</v>
      </c>
      <c r="F451" s="128"/>
      <c r="G451" s="36" t="b">
        <f t="shared" si="1"/>
        <v>0</v>
      </c>
      <c r="H451" s="35" t="b">
        <v>0</v>
      </c>
      <c r="I451" s="35" t="b">
        <v>0</v>
      </c>
      <c r="J451" s="35" t="b">
        <v>0</v>
      </c>
      <c r="K451" s="35" t="b">
        <v>0</v>
      </c>
      <c r="L451" s="35" t="b">
        <v>0</v>
      </c>
      <c r="M451" s="35" t="b">
        <v>0</v>
      </c>
      <c r="N451" s="35" t="b">
        <v>0</v>
      </c>
      <c r="O451" s="35" t="b">
        <v>0</v>
      </c>
      <c r="P451" s="35" t="b">
        <v>0</v>
      </c>
      <c r="Q451" s="35" t="b">
        <v>0</v>
      </c>
      <c r="R451" s="14"/>
      <c r="S451" s="14"/>
      <c r="T451" s="14"/>
      <c r="U451" s="14"/>
      <c r="V451" s="14"/>
      <c r="W451" s="14"/>
    </row>
    <row r="452" ht="31.5" customHeight="1">
      <c r="A452" s="109" t="s">
        <v>8620</v>
      </c>
      <c r="B452" s="110" t="s">
        <v>8621</v>
      </c>
      <c r="C452" s="111" t="s">
        <v>8622</v>
      </c>
      <c r="D452" s="28" t="s">
        <v>8623</v>
      </c>
      <c r="E452" s="28" t="str">
        <f>IFERROR(__xludf.DUMMYFUNCTION("GOOGLETRANSLATE(D452,""zh-CN"",""vi"")"),"Vui lòng cung cấp định nghĩa rõ ràng.")</f>
        <v>Vui lòng cung cấp định nghĩa rõ ràng.</v>
      </c>
      <c r="F452" s="128"/>
      <c r="G452" s="36" t="b">
        <f t="shared" si="1"/>
        <v>0</v>
      </c>
      <c r="H452" s="35" t="b">
        <v>0</v>
      </c>
      <c r="I452" s="35" t="b">
        <v>0</v>
      </c>
      <c r="J452" s="35" t="b">
        <v>0</v>
      </c>
      <c r="K452" s="35" t="b">
        <v>0</v>
      </c>
      <c r="L452" s="35" t="b">
        <v>0</v>
      </c>
      <c r="M452" s="35" t="b">
        <v>0</v>
      </c>
      <c r="N452" s="35" t="b">
        <v>0</v>
      </c>
      <c r="O452" s="35" t="b">
        <v>0</v>
      </c>
      <c r="P452" s="35" t="b">
        <v>0</v>
      </c>
      <c r="Q452" s="35" t="b">
        <v>0</v>
      </c>
      <c r="R452" s="14"/>
      <c r="S452" s="14"/>
      <c r="T452" s="14"/>
      <c r="U452" s="14"/>
      <c r="V452" s="14"/>
      <c r="W452" s="14"/>
    </row>
    <row r="453" ht="31.5" customHeight="1">
      <c r="A453" s="109" t="s">
        <v>8628</v>
      </c>
      <c r="B453" s="110" t="s">
        <v>8629</v>
      </c>
      <c r="C453" s="111" t="s">
        <v>8630</v>
      </c>
      <c r="D453" s="28" t="s">
        <v>8631</v>
      </c>
      <c r="E453" s="28" t="str">
        <f>IFERROR(__xludf.DUMMYFUNCTION("GOOGLETRANSLATE(D453,""zh-CN"",""vi"")"),"Hành vi của anh ta thật đáng xấu hổ.")</f>
        <v>Hành vi của anh ta thật đáng xấu hổ.</v>
      </c>
      <c r="F453" s="128"/>
      <c r="G453" s="36" t="b">
        <f t="shared" si="1"/>
        <v>0</v>
      </c>
      <c r="H453" s="35" t="b">
        <v>0</v>
      </c>
      <c r="I453" s="35" t="b">
        <v>0</v>
      </c>
      <c r="J453" s="35" t="b">
        <v>0</v>
      </c>
      <c r="K453" s="35" t="b">
        <v>0</v>
      </c>
      <c r="L453" s="35" t="b">
        <v>0</v>
      </c>
      <c r="M453" s="35" t="b">
        <v>0</v>
      </c>
      <c r="N453" s="35" t="b">
        <v>0</v>
      </c>
      <c r="O453" s="35" t="b">
        <v>0</v>
      </c>
      <c r="P453" s="35" t="b">
        <v>0</v>
      </c>
      <c r="Q453" s="35" t="b">
        <v>0</v>
      </c>
      <c r="R453" s="14"/>
      <c r="S453" s="14"/>
      <c r="T453" s="14"/>
      <c r="U453" s="14"/>
      <c r="V453" s="14"/>
      <c r="W453" s="14"/>
    </row>
    <row r="454" ht="31.5" customHeight="1">
      <c r="A454" s="109" t="s">
        <v>8636</v>
      </c>
      <c r="B454" s="110" t="s">
        <v>8637</v>
      </c>
      <c r="C454" s="111" t="s">
        <v>8638</v>
      </c>
      <c r="D454" s="28" t="s">
        <v>8639</v>
      </c>
      <c r="E454" s="28" t="str">
        <f>IFERROR(__xludf.DUMMYFUNCTION("GOOGLETRANSLATE(D454,""zh-CN"",""vi"")"),"Anh ấy thường hay quên.")</f>
        <v>Anh ấy thường hay quên.</v>
      </c>
      <c r="F454" s="128"/>
      <c r="G454" s="36" t="b">
        <f t="shared" si="1"/>
        <v>0</v>
      </c>
      <c r="H454" s="35" t="b">
        <v>0</v>
      </c>
      <c r="I454" s="35" t="b">
        <v>0</v>
      </c>
      <c r="J454" s="35" t="b">
        <v>0</v>
      </c>
      <c r="K454" s="35" t="b">
        <v>0</v>
      </c>
      <c r="L454" s="35" t="b">
        <v>0</v>
      </c>
      <c r="M454" s="35" t="b">
        <v>0</v>
      </c>
      <c r="N454" s="35" t="b">
        <v>0</v>
      </c>
      <c r="O454" s="35" t="b">
        <v>0</v>
      </c>
      <c r="P454" s="35" t="b">
        <v>0</v>
      </c>
      <c r="Q454" s="35" t="b">
        <v>0</v>
      </c>
      <c r="R454" s="14"/>
      <c r="S454" s="14"/>
      <c r="T454" s="14"/>
      <c r="U454" s="14"/>
      <c r="V454" s="14"/>
      <c r="W454" s="14"/>
    </row>
    <row r="455" ht="31.5" customHeight="1">
      <c r="A455" s="109" t="s">
        <v>8644</v>
      </c>
      <c r="B455" s="110" t="s">
        <v>8645</v>
      </c>
      <c r="C455" s="111" t="s">
        <v>8646</v>
      </c>
      <c r="D455" s="28" t="s">
        <v>8647</v>
      </c>
      <c r="E455" s="28" t="str">
        <f>IFERROR(__xludf.DUMMYFUNCTION("GOOGLETRANSLATE(D455,""zh-CN"",""vi"")"),"Họ là đơn vị tổ chức sự kiện này.")</f>
        <v>Họ là đơn vị tổ chức sự kiện này.</v>
      </c>
      <c r="F455" s="128"/>
      <c r="G455" s="36" t="b">
        <f t="shared" si="1"/>
        <v>0</v>
      </c>
      <c r="H455" s="35" t="b">
        <v>0</v>
      </c>
      <c r="I455" s="35" t="b">
        <v>0</v>
      </c>
      <c r="J455" s="35" t="b">
        <v>0</v>
      </c>
      <c r="K455" s="35" t="b">
        <v>0</v>
      </c>
      <c r="L455" s="35" t="b">
        <v>0</v>
      </c>
      <c r="M455" s="35" t="b">
        <v>0</v>
      </c>
      <c r="N455" s="35" t="b">
        <v>0</v>
      </c>
      <c r="O455" s="35" t="b">
        <v>0</v>
      </c>
      <c r="P455" s="35" t="b">
        <v>0</v>
      </c>
      <c r="Q455" s="35" t="b">
        <v>0</v>
      </c>
      <c r="R455" s="14"/>
      <c r="S455" s="14"/>
      <c r="T455" s="14"/>
      <c r="U455" s="14"/>
      <c r="V455" s="14"/>
      <c r="W455" s="14"/>
    </row>
    <row r="456" ht="31.5" customHeight="1">
      <c r="A456" s="109" t="s">
        <v>8652</v>
      </c>
      <c r="B456" s="110" t="s">
        <v>8653</v>
      </c>
      <c r="C456" s="111" t="s">
        <v>8654</v>
      </c>
      <c r="D456" s="28" t="s">
        <v>8655</v>
      </c>
      <c r="E456" s="28" t="str">
        <f>IFERROR(__xludf.DUMMYFUNCTION("GOOGLETRANSLATE(D456,""zh-CN"",""vi"")"),"Chú mèo con tò mò nhìn xung quanh.")</f>
        <v>Chú mèo con tò mò nhìn xung quanh.</v>
      </c>
      <c r="F456" s="128"/>
      <c r="G456" s="36" t="b">
        <f t="shared" si="1"/>
        <v>0</v>
      </c>
      <c r="H456" s="35" t="b">
        <v>0</v>
      </c>
      <c r="I456" s="35" t="b">
        <v>0</v>
      </c>
      <c r="J456" s="35" t="b">
        <v>0</v>
      </c>
      <c r="K456" s="35" t="b">
        <v>0</v>
      </c>
      <c r="L456" s="35" t="b">
        <v>0</v>
      </c>
      <c r="M456" s="35" t="b">
        <v>0</v>
      </c>
      <c r="N456" s="35" t="b">
        <v>0</v>
      </c>
      <c r="O456" s="35" t="b">
        <v>0</v>
      </c>
      <c r="P456" s="35" t="b">
        <v>0</v>
      </c>
      <c r="Q456" s="35" t="b">
        <v>0</v>
      </c>
      <c r="R456" s="14"/>
      <c r="S456" s="14"/>
      <c r="T456" s="14"/>
      <c r="U456" s="14"/>
      <c r="V456" s="14"/>
      <c r="W456" s="14"/>
    </row>
    <row r="457" ht="31.5" customHeight="1">
      <c r="A457" s="109" t="s">
        <v>8659</v>
      </c>
      <c r="B457" s="110" t="s">
        <v>8660</v>
      </c>
      <c r="C457" s="111" t="s">
        <v>8661</v>
      </c>
      <c r="D457" s="28" t="s">
        <v>8662</v>
      </c>
      <c r="E457" s="28" t="str">
        <f>IFERROR(__xludf.DUMMYFUNCTION("GOOGLETRANSLATE(D457,""zh-CN"",""vi"")"),"Ông ấy là chủ tịch hội đồng quản trị của công ty.")</f>
        <v>Ông ấy là chủ tịch hội đồng quản trị của công ty.</v>
      </c>
      <c r="F457" s="128"/>
      <c r="G457" s="36" t="b">
        <f t="shared" si="1"/>
        <v>0</v>
      </c>
      <c r="H457" s="35" t="b">
        <v>0</v>
      </c>
      <c r="I457" s="35" t="b">
        <v>0</v>
      </c>
      <c r="J457" s="35" t="b">
        <v>0</v>
      </c>
      <c r="K457" s="35" t="b">
        <v>0</v>
      </c>
      <c r="L457" s="35" t="b">
        <v>0</v>
      </c>
      <c r="M457" s="35" t="b">
        <v>0</v>
      </c>
      <c r="N457" s="35" t="b">
        <v>0</v>
      </c>
      <c r="O457" s="35" t="b">
        <v>0</v>
      </c>
      <c r="P457" s="35" t="b">
        <v>0</v>
      </c>
      <c r="Q457" s="35" t="b">
        <v>0</v>
      </c>
      <c r="R457" s="14"/>
      <c r="S457" s="14"/>
      <c r="T457" s="14"/>
      <c r="U457" s="14"/>
      <c r="V457" s="14"/>
      <c r="W457" s="14"/>
    </row>
    <row r="458" ht="31.5" customHeight="1">
      <c r="A458" s="109" t="s">
        <v>8667</v>
      </c>
      <c r="B458" s="110" t="s">
        <v>5771</v>
      </c>
      <c r="C458" s="111" t="s">
        <v>8668</v>
      </c>
      <c r="D458" s="28" t="s">
        <v>8669</v>
      </c>
      <c r="E458" s="28" t="str">
        <f>IFERROR(__xludf.DUMMYFUNCTION("GOOGLETRANSLATE(D458,""zh-CN"",""vi"")"),"Tòa nhà này rất cao.")</f>
        <v>Tòa nhà này rất cao.</v>
      </c>
      <c r="F458" s="128"/>
      <c r="G458" s="36" t="b">
        <f t="shared" si="1"/>
        <v>0</v>
      </c>
      <c r="H458" s="35" t="b">
        <v>0</v>
      </c>
      <c r="I458" s="35" t="b">
        <v>0</v>
      </c>
      <c r="J458" s="35" t="b">
        <v>0</v>
      </c>
      <c r="K458" s="35" t="b">
        <v>0</v>
      </c>
      <c r="L458" s="35" t="b">
        <v>0</v>
      </c>
      <c r="M458" s="35" t="b">
        <v>0</v>
      </c>
      <c r="N458" s="35" t="b">
        <v>0</v>
      </c>
      <c r="O458" s="35" t="b">
        <v>0</v>
      </c>
      <c r="P458" s="35" t="b">
        <v>0</v>
      </c>
      <c r="Q458" s="35" t="b">
        <v>0</v>
      </c>
      <c r="R458" s="14"/>
      <c r="S458" s="14"/>
      <c r="T458" s="14"/>
      <c r="U458" s="14"/>
      <c r="V458" s="14"/>
      <c r="W458" s="14"/>
    </row>
    <row r="459" ht="31.5" customHeight="1">
      <c r="A459" s="109" t="s">
        <v>8674</v>
      </c>
      <c r="B459" s="110" t="s">
        <v>8675</v>
      </c>
      <c r="C459" s="111" t="s">
        <v>8676</v>
      </c>
      <c r="D459" s="28" t="s">
        <v>8677</v>
      </c>
      <c r="E459" s="28" t="str">
        <f>IFERROR(__xludf.DUMMYFUNCTION("GOOGLETRANSLATE(D459,""zh-CN"",""vi"")"),"Tình hình chính trị đang hỗn loạn.")</f>
        <v>Tình hình chính trị đang hỗn loạn.</v>
      </c>
      <c r="F459" s="128"/>
      <c r="G459" s="36" t="b">
        <f t="shared" si="1"/>
        <v>0</v>
      </c>
      <c r="H459" s="35" t="b">
        <v>0</v>
      </c>
      <c r="I459" s="35" t="b">
        <v>0</v>
      </c>
      <c r="J459" s="35" t="b">
        <v>0</v>
      </c>
      <c r="K459" s="35" t="b">
        <v>0</v>
      </c>
      <c r="L459" s="35" t="b">
        <v>0</v>
      </c>
      <c r="M459" s="35" t="b">
        <v>0</v>
      </c>
      <c r="N459" s="35" t="b">
        <v>0</v>
      </c>
      <c r="O459" s="35" t="b">
        <v>0</v>
      </c>
      <c r="P459" s="35" t="b">
        <v>0</v>
      </c>
      <c r="Q459" s="35" t="b">
        <v>0</v>
      </c>
      <c r="R459" s="14"/>
      <c r="S459" s="14"/>
      <c r="T459" s="14"/>
      <c r="U459" s="14"/>
      <c r="V459" s="14"/>
      <c r="W459" s="14"/>
    </row>
    <row r="460" ht="31.5" customHeight="1">
      <c r="A460" s="109" t="s">
        <v>8682</v>
      </c>
      <c r="B460" s="110" t="s">
        <v>8683</v>
      </c>
      <c r="C460" s="111" t="s">
        <v>8684</v>
      </c>
      <c r="D460" s="28" t="s">
        <v>8685</v>
      </c>
      <c r="E460" s="28" t="str">
        <f>IFERROR(__xludf.DUMMYFUNCTION("GOOGLETRANSLATE(D460,""zh-CN"",""vi"")"),"Anh ấy có động lực rất lớn.")</f>
        <v>Anh ấy có động lực rất lớn.</v>
      </c>
      <c r="F460" s="128"/>
      <c r="G460" s="36" t="b">
        <f t="shared" si="1"/>
        <v>0</v>
      </c>
      <c r="H460" s="35" t="b">
        <v>0</v>
      </c>
      <c r="I460" s="35" t="b">
        <v>0</v>
      </c>
      <c r="J460" s="35" t="b">
        <v>0</v>
      </c>
      <c r="K460" s="35" t="b">
        <v>0</v>
      </c>
      <c r="L460" s="35" t="b">
        <v>0</v>
      </c>
      <c r="M460" s="35" t="b">
        <v>0</v>
      </c>
      <c r="N460" s="35" t="b">
        <v>0</v>
      </c>
      <c r="O460" s="35" t="b">
        <v>0</v>
      </c>
      <c r="P460" s="35" t="b">
        <v>0</v>
      </c>
      <c r="Q460" s="35" t="b">
        <v>0</v>
      </c>
      <c r="R460" s="14"/>
      <c r="S460" s="14"/>
      <c r="T460" s="14"/>
      <c r="U460" s="14"/>
      <c r="V460" s="14"/>
      <c r="W460" s="14"/>
    </row>
    <row r="461" ht="31.5" customHeight="1">
      <c r="A461" s="109" t="s">
        <v>8690</v>
      </c>
      <c r="B461" s="110" t="s">
        <v>8691</v>
      </c>
      <c r="C461" s="111" t="s">
        <v>8692</v>
      </c>
      <c r="D461" s="28" t="s">
        <v>8693</v>
      </c>
      <c r="E461" s="28" t="str">
        <f>IFERROR(__xludf.DUMMYFUNCTION("GOOGLETRANSLATE(D461,""zh-CN"",""vi"")"),"Tài khoản của anh ấy đã bị đóng băng.")</f>
        <v>Tài khoản của anh ấy đã bị đóng băng.</v>
      </c>
      <c r="F461" s="128"/>
      <c r="G461" s="36" t="b">
        <f t="shared" si="1"/>
        <v>0</v>
      </c>
      <c r="H461" s="35" t="b">
        <v>0</v>
      </c>
      <c r="I461" s="35" t="b">
        <v>0</v>
      </c>
      <c r="J461" s="35" t="b">
        <v>0</v>
      </c>
      <c r="K461" s="35" t="b">
        <v>0</v>
      </c>
      <c r="L461" s="35" t="b">
        <v>0</v>
      </c>
      <c r="M461" s="35" t="b">
        <v>0</v>
      </c>
      <c r="N461" s="35" t="b">
        <v>0</v>
      </c>
      <c r="O461" s="35" t="b">
        <v>0</v>
      </c>
      <c r="P461" s="35" t="b">
        <v>0</v>
      </c>
      <c r="Q461" s="35" t="b">
        <v>0</v>
      </c>
      <c r="R461" s="14"/>
      <c r="S461" s="14"/>
      <c r="T461" s="14"/>
      <c r="U461" s="14"/>
      <c r="V461" s="14"/>
      <c r="W461" s="14"/>
    </row>
    <row r="462" ht="31.5" customHeight="1">
      <c r="A462" s="109" t="s">
        <v>8697</v>
      </c>
      <c r="B462" s="110" t="s">
        <v>8698</v>
      </c>
      <c r="C462" s="111" t="s">
        <v>8699</v>
      </c>
      <c r="D462" s="28" t="s">
        <v>8700</v>
      </c>
      <c r="E462" s="28" t="str">
        <f>IFERROR(__xludf.DUMMYFUNCTION("GOOGLETRANSLATE(D462,""zh-CN"",""vi"")"),"Bên ngoài thật tĩnh lặng, không một tiếng động.")</f>
        <v>Bên ngoài thật tĩnh lặng, không một tiếng động.</v>
      </c>
      <c r="F462" s="128"/>
      <c r="G462" s="36" t="b">
        <f t="shared" si="1"/>
        <v>0</v>
      </c>
      <c r="H462" s="35" t="b">
        <v>0</v>
      </c>
      <c r="I462" s="35" t="b">
        <v>0</v>
      </c>
      <c r="J462" s="35" t="b">
        <v>0</v>
      </c>
      <c r="K462" s="35" t="b">
        <v>0</v>
      </c>
      <c r="L462" s="35" t="b">
        <v>0</v>
      </c>
      <c r="M462" s="35" t="b">
        <v>0</v>
      </c>
      <c r="N462" s="35" t="b">
        <v>0</v>
      </c>
      <c r="O462" s="35" t="b">
        <v>0</v>
      </c>
      <c r="P462" s="35" t="b">
        <v>0</v>
      </c>
      <c r="Q462" s="35" t="b">
        <v>0</v>
      </c>
      <c r="R462" s="14"/>
      <c r="S462" s="14"/>
      <c r="T462" s="14"/>
      <c r="U462" s="14"/>
      <c r="V462" s="14"/>
      <c r="W462" s="14"/>
    </row>
    <row r="463" ht="31.5" customHeight="1">
      <c r="A463" s="109" t="s">
        <v>8705</v>
      </c>
      <c r="B463" s="110" t="s">
        <v>8706</v>
      </c>
      <c r="C463" s="111" t="s">
        <v>8707</v>
      </c>
      <c r="D463" s="28" t="s">
        <v>8708</v>
      </c>
      <c r="E463" s="28" t="str">
        <f>IFERROR(__xludf.DUMMYFUNCTION("GOOGLETRANSLATE(D463,""zh-CN"",""vi"")"),"Kế hoạch này cần thêm động lực.")</f>
        <v>Kế hoạch này cần thêm động lực.</v>
      </c>
      <c r="F463" s="128"/>
      <c r="G463" s="36" t="b">
        <f t="shared" si="1"/>
        <v>0</v>
      </c>
      <c r="H463" s="35" t="b">
        <v>0</v>
      </c>
      <c r="I463" s="35" t="b">
        <v>0</v>
      </c>
      <c r="J463" s="35" t="b">
        <v>0</v>
      </c>
      <c r="K463" s="35" t="b">
        <v>0</v>
      </c>
      <c r="L463" s="35" t="b">
        <v>0</v>
      </c>
      <c r="M463" s="35" t="b">
        <v>0</v>
      </c>
      <c r="N463" s="35" t="b">
        <v>0</v>
      </c>
      <c r="O463" s="35" t="b">
        <v>0</v>
      </c>
      <c r="P463" s="35" t="b">
        <v>0</v>
      </c>
      <c r="Q463" s="35" t="b">
        <v>0</v>
      </c>
      <c r="R463" s="14"/>
      <c r="S463" s="14"/>
      <c r="T463" s="14"/>
      <c r="U463" s="14"/>
      <c r="V463" s="14"/>
      <c r="W463" s="14"/>
    </row>
    <row r="464" ht="31.5" customHeight="1">
      <c r="A464" s="109" t="s">
        <v>8713</v>
      </c>
      <c r="B464" s="110" t="s">
        <v>8714</v>
      </c>
      <c r="C464" s="111" t="s">
        <v>8715</v>
      </c>
      <c r="D464" s="28" t="s">
        <v>8716</v>
      </c>
      <c r="E464" s="28" t="str">
        <f>IFERROR(__xludf.DUMMYFUNCTION("GOOGLETRANSLATE(D464,""zh-CN"",""vi"")"),"Các động mạch trong cơ thể người rất quan trọng.")</f>
        <v>Các động mạch trong cơ thể người rất quan trọng.</v>
      </c>
      <c r="F464" s="128"/>
      <c r="G464" s="36" t="b">
        <f t="shared" si="1"/>
        <v>0</v>
      </c>
      <c r="H464" s="35" t="b">
        <v>0</v>
      </c>
      <c r="I464" s="35" t="b">
        <v>0</v>
      </c>
      <c r="J464" s="35" t="b">
        <v>0</v>
      </c>
      <c r="K464" s="35" t="b">
        <v>0</v>
      </c>
      <c r="L464" s="35" t="b">
        <v>0</v>
      </c>
      <c r="M464" s="35" t="b">
        <v>0</v>
      </c>
      <c r="N464" s="35" t="b">
        <v>0</v>
      </c>
      <c r="O464" s="35" t="b">
        <v>0</v>
      </c>
      <c r="P464" s="35" t="b">
        <v>0</v>
      </c>
      <c r="Q464" s="35" t="b">
        <v>0</v>
      </c>
      <c r="R464" s="14"/>
      <c r="S464" s="14"/>
      <c r="T464" s="14"/>
      <c r="U464" s="14"/>
      <c r="V464" s="14"/>
      <c r="W464" s="14"/>
    </row>
    <row r="465" ht="31.5" customHeight="1">
      <c r="A465" s="109" t="s">
        <v>8721</v>
      </c>
      <c r="B465" s="110" t="s">
        <v>8722</v>
      </c>
      <c r="C465" s="111" t="s">
        <v>8723</v>
      </c>
      <c r="D465" s="28" t="s">
        <v>8724</v>
      </c>
      <c r="E465" s="28" t="str">
        <f>IFERROR(__xludf.DUMMYFUNCTION("GOOGLETRANSLATE(D465,""zh-CN"",""vi"")"),"Anh ấy quyết định sẽ rời đi vào ngày mai.")</f>
        <v>Anh ấy quyết định sẽ rời đi vào ngày mai.</v>
      </c>
      <c r="F465" s="128"/>
      <c r="G465" s="36" t="b">
        <f t="shared" si="1"/>
        <v>0</v>
      </c>
      <c r="H465" s="35" t="b">
        <v>0</v>
      </c>
      <c r="I465" s="35" t="b">
        <v>0</v>
      </c>
      <c r="J465" s="35" t="b">
        <v>0</v>
      </c>
      <c r="K465" s="35" t="b">
        <v>0</v>
      </c>
      <c r="L465" s="35" t="b">
        <v>0</v>
      </c>
      <c r="M465" s="35" t="b">
        <v>0</v>
      </c>
      <c r="N465" s="35" t="b">
        <v>0</v>
      </c>
      <c r="O465" s="35" t="b">
        <v>0</v>
      </c>
      <c r="P465" s="35" t="b">
        <v>0</v>
      </c>
      <c r="Q465" s="35" t="b">
        <v>0</v>
      </c>
      <c r="R465" s="14"/>
      <c r="S465" s="14"/>
      <c r="T465" s="14"/>
      <c r="U465" s="14"/>
      <c r="V465" s="14"/>
      <c r="W465" s="14"/>
    </row>
    <row r="466" ht="31.5" customHeight="1">
      <c r="A466" s="109" t="s">
        <v>8729</v>
      </c>
      <c r="B466" s="110" t="s">
        <v>8730</v>
      </c>
      <c r="C466" s="111" t="s">
        <v>8731</v>
      </c>
      <c r="D466" s="28" t="s">
        <v>8732</v>
      </c>
      <c r="E466" s="28" t="str">
        <f>IFERROR(__xludf.DUMMYFUNCTION("GOOGLETRANSLATE(D466,""zh-CN"",""vi"")"),"Mời bạn bắt đầu chuẩn bị bữa tối.")</f>
        <v>Mời bạn bắt đầu chuẩn bị bữa tối.</v>
      </c>
      <c r="F466" s="128"/>
      <c r="G466" s="36" t="b">
        <f t="shared" si="1"/>
        <v>0</v>
      </c>
      <c r="H466" s="35" t="b">
        <v>0</v>
      </c>
      <c r="I466" s="35" t="b">
        <v>0</v>
      </c>
      <c r="J466" s="35" t="b">
        <v>0</v>
      </c>
      <c r="K466" s="35" t="b">
        <v>0</v>
      </c>
      <c r="L466" s="35" t="b">
        <v>0</v>
      </c>
      <c r="M466" s="35" t="b">
        <v>0</v>
      </c>
      <c r="N466" s="35" t="b">
        <v>0</v>
      </c>
      <c r="O466" s="35" t="b">
        <v>0</v>
      </c>
      <c r="P466" s="35" t="b">
        <v>0</v>
      </c>
      <c r="Q466" s="35" t="b">
        <v>0</v>
      </c>
      <c r="R466" s="14"/>
      <c r="S466" s="14"/>
      <c r="T466" s="14"/>
      <c r="U466" s="14"/>
      <c r="V466" s="14"/>
      <c r="W466" s="14"/>
    </row>
    <row r="467" ht="31.5" customHeight="1">
      <c r="A467" s="109" t="s">
        <v>8737</v>
      </c>
      <c r="B467" s="110" t="s">
        <v>8738</v>
      </c>
      <c r="C467" s="111" t="s">
        <v>8739</v>
      </c>
      <c r="D467" s="28" t="s">
        <v>8740</v>
      </c>
      <c r="E467" s="28" t="str">
        <f>IFERROR(__xludf.DUMMYFUNCTION("GOOGLETRANSLATE(D467,""zh-CN"",""vi"")"),"Chúng ta cần hiểu rõ động lực thị trường.")</f>
        <v>Chúng ta cần hiểu rõ động lực thị trường.</v>
      </c>
      <c r="F467" s="128"/>
      <c r="G467" s="36" t="b">
        <f t="shared" si="1"/>
        <v>0</v>
      </c>
      <c r="H467" s="35" t="b">
        <v>0</v>
      </c>
      <c r="I467" s="35" t="b">
        <v>0</v>
      </c>
      <c r="J467" s="35" t="b">
        <v>0</v>
      </c>
      <c r="K467" s="35" t="b">
        <v>0</v>
      </c>
      <c r="L467" s="35" t="b">
        <v>0</v>
      </c>
      <c r="M467" s="35" t="b">
        <v>0</v>
      </c>
      <c r="N467" s="35" t="b">
        <v>0</v>
      </c>
      <c r="O467" s="35" t="b">
        <v>0</v>
      </c>
      <c r="P467" s="35" t="b">
        <v>0</v>
      </c>
      <c r="Q467" s="35" t="b">
        <v>0</v>
      </c>
      <c r="R467" s="14"/>
      <c r="S467" s="14"/>
      <c r="T467" s="14"/>
      <c r="U467" s="14"/>
      <c r="V467" s="14"/>
      <c r="W467" s="14"/>
    </row>
    <row r="468" ht="31.5" customHeight="1">
      <c r="A468" s="109" t="s">
        <v>8745</v>
      </c>
      <c r="B468" s="110" t="s">
        <v>8746</v>
      </c>
      <c r="C468" s="111" t="s">
        <v>5779</v>
      </c>
      <c r="D468" s="28" t="s">
        <v>8747</v>
      </c>
      <c r="E468" s="28" t="str">
        <f>IFERROR(__xludf.DUMMYFUNCTION("GOOGLETRANSLATE(D468,""zh-CN"",""vi"")"),"Bên trong hang động rất tối.")</f>
        <v>Bên trong hang động rất tối.</v>
      </c>
      <c r="F468" s="128"/>
      <c r="G468" s="36" t="b">
        <f t="shared" si="1"/>
        <v>0</v>
      </c>
      <c r="H468" s="35" t="b">
        <v>0</v>
      </c>
      <c r="I468" s="35" t="b">
        <v>0</v>
      </c>
      <c r="J468" s="35" t="b">
        <v>0</v>
      </c>
      <c r="K468" s="35" t="b">
        <v>0</v>
      </c>
      <c r="L468" s="35" t="b">
        <v>0</v>
      </c>
      <c r="M468" s="35" t="b">
        <v>0</v>
      </c>
      <c r="N468" s="35" t="b">
        <v>0</v>
      </c>
      <c r="O468" s="35" t="b">
        <v>0</v>
      </c>
      <c r="P468" s="35" t="b">
        <v>0</v>
      </c>
      <c r="Q468" s="35" t="b">
        <v>0</v>
      </c>
      <c r="R468" s="14"/>
      <c r="S468" s="14"/>
      <c r="T468" s="14"/>
      <c r="U468" s="14"/>
      <c r="V468" s="14"/>
      <c r="W468" s="14"/>
    </row>
    <row r="469" ht="31.5" customHeight="1">
      <c r="A469" s="109" t="s">
        <v>8752</v>
      </c>
      <c r="B469" s="110" t="s">
        <v>8753</v>
      </c>
      <c r="C469" s="111" t="s">
        <v>8754</v>
      </c>
      <c r="D469" s="28" t="s">
        <v>8755</v>
      </c>
      <c r="E469" s="28" t="str">
        <f>IFERROR(__xludf.DUMMYFUNCTION("GOOGLETRANSLATE(D469,""zh-CN"",""vi"")"),"Chúng ta cần huy động mọi người cùng tham gia.")</f>
        <v>Chúng ta cần huy động mọi người cùng tham gia.</v>
      </c>
      <c r="F469" s="128"/>
      <c r="G469" s="36" t="b">
        <f t="shared" si="1"/>
        <v>0</v>
      </c>
      <c r="H469" s="35" t="b">
        <v>0</v>
      </c>
      <c r="I469" s="35" t="b">
        <v>0</v>
      </c>
      <c r="J469" s="35" t="b">
        <v>0</v>
      </c>
      <c r="K469" s="35" t="b">
        <v>0</v>
      </c>
      <c r="L469" s="35" t="b">
        <v>0</v>
      </c>
      <c r="M469" s="35" t="b">
        <v>0</v>
      </c>
      <c r="N469" s="35" t="b">
        <v>0</v>
      </c>
      <c r="O469" s="35" t="b">
        <v>0</v>
      </c>
      <c r="P469" s="35" t="b">
        <v>0</v>
      </c>
      <c r="Q469" s="35" t="b">
        <v>0</v>
      </c>
      <c r="R469" s="14"/>
      <c r="S469" s="14"/>
      <c r="T469" s="14"/>
      <c r="U469" s="14"/>
      <c r="V469" s="14"/>
      <c r="W469" s="14"/>
    </row>
    <row r="470" ht="31.5" customHeight="1">
      <c r="A470" s="109" t="s">
        <v>8760</v>
      </c>
      <c r="B470" s="110" t="s">
        <v>210</v>
      </c>
      <c r="C470" s="111" t="s">
        <v>168</v>
      </c>
      <c r="D470" s="28" t="s">
        <v>8761</v>
      </c>
      <c r="E470" s="28" t="str">
        <f>IFERROR(__xludf.DUMMYFUNCTION("GOOGLETRANSLATE(D470,""zh-CN"",""vi"")"),"Anh ta có rất nhiều tiền lẻ trong túi.")</f>
        <v>Anh ta có rất nhiều tiền lẻ trong túi.</v>
      </c>
      <c r="F470" s="128"/>
      <c r="G470" s="36" t="b">
        <f t="shared" si="1"/>
        <v>0</v>
      </c>
      <c r="H470" s="35" t="b">
        <v>0</v>
      </c>
      <c r="I470" s="35" t="b">
        <v>0</v>
      </c>
      <c r="J470" s="35" t="b">
        <v>0</v>
      </c>
      <c r="K470" s="35" t="b">
        <v>0</v>
      </c>
      <c r="L470" s="35" t="b">
        <v>0</v>
      </c>
      <c r="M470" s="35" t="b">
        <v>0</v>
      </c>
      <c r="N470" s="35" t="b">
        <v>0</v>
      </c>
      <c r="O470" s="35" t="b">
        <v>0</v>
      </c>
      <c r="P470" s="35" t="b">
        <v>0</v>
      </c>
      <c r="Q470" s="35" t="b">
        <v>0</v>
      </c>
      <c r="R470" s="14"/>
      <c r="S470" s="14"/>
      <c r="T470" s="14"/>
      <c r="U470" s="14"/>
      <c r="V470" s="14"/>
      <c r="W470" s="14"/>
    </row>
    <row r="471" ht="31.5" customHeight="1">
      <c r="A471" s="109" t="s">
        <v>8766</v>
      </c>
      <c r="B471" s="110" t="s">
        <v>8767</v>
      </c>
      <c r="C471" s="111" t="s">
        <v>8768</v>
      </c>
      <c r="D471" s="28" t="s">
        <v>8769</v>
      </c>
      <c r="E471" s="28" t="str">
        <f>IFERROR(__xludf.DUMMYFUNCTION("GOOGLETRANSLATE(D471,""zh-CN"",""vi"")"),"Ngọn núi này rất dốc.")</f>
        <v>Ngọn núi này rất dốc.</v>
      </c>
      <c r="F471" s="128"/>
      <c r="G471" s="36" t="b">
        <f t="shared" si="1"/>
        <v>0</v>
      </c>
      <c r="H471" s="35" t="b">
        <v>0</v>
      </c>
      <c r="I471" s="35" t="b">
        <v>0</v>
      </c>
      <c r="J471" s="35" t="b">
        <v>0</v>
      </c>
      <c r="K471" s="35" t="b">
        <v>0</v>
      </c>
      <c r="L471" s="35" t="b">
        <v>0</v>
      </c>
      <c r="M471" s="35" t="b">
        <v>0</v>
      </c>
      <c r="N471" s="35" t="b">
        <v>0</v>
      </c>
      <c r="O471" s="35" t="b">
        <v>0</v>
      </c>
      <c r="P471" s="35" t="b">
        <v>0</v>
      </c>
      <c r="Q471" s="35" t="b">
        <v>0</v>
      </c>
      <c r="R471" s="14"/>
      <c r="S471" s="14"/>
      <c r="T471" s="14"/>
      <c r="U471" s="14"/>
      <c r="V471" s="14"/>
      <c r="W471" s="14"/>
    </row>
    <row r="472" ht="31.5" customHeight="1">
      <c r="A472" s="109" t="s">
        <v>8774</v>
      </c>
      <c r="B472" s="110" t="s">
        <v>8775</v>
      </c>
      <c r="C472" s="111" t="s">
        <v>8776</v>
      </c>
      <c r="D472" s="28" t="s">
        <v>8777</v>
      </c>
      <c r="E472" s="28" t="str">
        <f>IFERROR(__xludf.DUMMYFUNCTION("GOOGLETRANSLATE(D472,""zh-CN"",""vi"")"),"Họ đang đánh nhau.")</f>
        <v>Họ đang đánh nhau.</v>
      </c>
      <c r="F472" s="128"/>
      <c r="G472" s="36" t="b">
        <f t="shared" si="1"/>
        <v>0</v>
      </c>
      <c r="H472" s="35" t="b">
        <v>0</v>
      </c>
      <c r="I472" s="35" t="b">
        <v>0</v>
      </c>
      <c r="J472" s="35" t="b">
        <v>0</v>
      </c>
      <c r="K472" s="35" t="b">
        <v>0</v>
      </c>
      <c r="L472" s="35" t="b">
        <v>0</v>
      </c>
      <c r="M472" s="35" t="b">
        <v>0</v>
      </c>
      <c r="N472" s="35" t="b">
        <v>0</v>
      </c>
      <c r="O472" s="35" t="b">
        <v>0</v>
      </c>
      <c r="P472" s="35" t="b">
        <v>0</v>
      </c>
      <c r="Q472" s="35" t="b">
        <v>0</v>
      </c>
      <c r="R472" s="14"/>
      <c r="S472" s="14"/>
      <c r="T472" s="14"/>
      <c r="U472" s="14"/>
      <c r="V472" s="14"/>
      <c r="W472" s="14"/>
    </row>
    <row r="473" ht="31.5" customHeight="1">
      <c r="A473" s="109" t="s">
        <v>8781</v>
      </c>
      <c r="B473" s="110" t="s">
        <v>8782</v>
      </c>
      <c r="C473" s="111" t="s">
        <v>8783</v>
      </c>
      <c r="D473" s="28" t="s">
        <v>8784</v>
      </c>
      <c r="E473" s="28" t="str">
        <f>IFERROR(__xludf.DUMMYFUNCTION("GOOGLETRANSLATE(D473,""zh-CN"",""vi"")"),"Giáo viên đã thúc giục các học sinh học tập.")</f>
        <v>Giáo viên đã thúc giục các học sinh học tập.</v>
      </c>
      <c r="F473" s="128"/>
      <c r="G473" s="36" t="b">
        <f t="shared" si="1"/>
        <v>0</v>
      </c>
      <c r="H473" s="35" t="b">
        <v>0</v>
      </c>
      <c r="I473" s="35" t="b">
        <v>0</v>
      </c>
      <c r="J473" s="35" t="b">
        <v>0</v>
      </c>
      <c r="K473" s="35" t="b">
        <v>0</v>
      </c>
      <c r="L473" s="35" t="b">
        <v>0</v>
      </c>
      <c r="M473" s="35" t="b">
        <v>0</v>
      </c>
      <c r="N473" s="35" t="b">
        <v>0</v>
      </c>
      <c r="O473" s="35" t="b">
        <v>0</v>
      </c>
      <c r="P473" s="35" t="b">
        <v>0</v>
      </c>
      <c r="Q473" s="35" t="b">
        <v>0</v>
      </c>
      <c r="R473" s="14"/>
      <c r="S473" s="14"/>
      <c r="T473" s="14"/>
      <c r="U473" s="14"/>
      <c r="V473" s="14"/>
      <c r="W473" s="14"/>
    </row>
    <row r="474" ht="31.5" customHeight="1">
      <c r="A474" s="109" t="s">
        <v>8789</v>
      </c>
      <c r="B474" s="110" t="s">
        <v>8790</v>
      </c>
      <c r="C474" s="111" t="s">
        <v>8791</v>
      </c>
      <c r="D474" s="28" t="s">
        <v>8792</v>
      </c>
      <c r="E474" s="28" t="str">
        <f>IFERROR(__xludf.DUMMYFUNCTION("GOOGLETRANSLATE(D474,""zh-CN"",""vi"")"),"Thành phố này rất thịnh vượng.")</f>
        <v>Thành phố này rất thịnh vượng.</v>
      </c>
      <c r="F474" s="128"/>
      <c r="G474" s="36" t="b">
        <f t="shared" si="1"/>
        <v>0</v>
      </c>
      <c r="H474" s="35" t="b">
        <v>0</v>
      </c>
      <c r="I474" s="35" t="b">
        <v>0</v>
      </c>
      <c r="J474" s="35" t="b">
        <v>0</v>
      </c>
      <c r="K474" s="35" t="b">
        <v>0</v>
      </c>
      <c r="L474" s="35" t="b">
        <v>0</v>
      </c>
      <c r="M474" s="35" t="b">
        <v>0</v>
      </c>
      <c r="N474" s="35" t="b">
        <v>0</v>
      </c>
      <c r="O474" s="35" t="b">
        <v>0</v>
      </c>
      <c r="P474" s="35" t="b">
        <v>0</v>
      </c>
      <c r="Q474" s="35" t="b">
        <v>0</v>
      </c>
      <c r="R474" s="14"/>
      <c r="S474" s="14"/>
      <c r="T474" s="14"/>
      <c r="U474" s="14"/>
      <c r="V474" s="14"/>
      <c r="W474" s="14"/>
    </row>
    <row r="475" ht="31.5" customHeight="1">
      <c r="A475" s="109" t="s">
        <v>8797</v>
      </c>
      <c r="B475" s="110" t="s">
        <v>8798</v>
      </c>
      <c r="C475" s="111" t="s">
        <v>8799</v>
      </c>
      <c r="D475" s="28" t="s">
        <v>8800</v>
      </c>
      <c r="E475" s="28" t="str">
        <f>IFERROR(__xludf.DUMMYFUNCTION("GOOGLETRANSLATE(D475,""zh-CN"",""vi"")"),"Ông ta là một nhà độc tài.")</f>
        <v>Ông ta là một nhà độc tài.</v>
      </c>
      <c r="F475" s="128"/>
      <c r="G475" s="36" t="b">
        <f t="shared" si="1"/>
        <v>0</v>
      </c>
      <c r="H475" s="35" t="b">
        <v>0</v>
      </c>
      <c r="I475" s="35" t="b">
        <v>0</v>
      </c>
      <c r="J475" s="35" t="b">
        <v>0</v>
      </c>
      <c r="K475" s="35" t="b">
        <v>0</v>
      </c>
      <c r="L475" s="35" t="b">
        <v>0</v>
      </c>
      <c r="M475" s="35" t="b">
        <v>0</v>
      </c>
      <c r="N475" s="35" t="b">
        <v>0</v>
      </c>
      <c r="O475" s="35" t="b">
        <v>0</v>
      </c>
      <c r="P475" s="35" t="b">
        <v>0</v>
      </c>
      <c r="Q475" s="35" t="b">
        <v>0</v>
      </c>
      <c r="R475" s="14"/>
      <c r="S475" s="14"/>
      <c r="T475" s="14"/>
      <c r="U475" s="14"/>
      <c r="V475" s="14"/>
      <c r="W475" s="14"/>
    </row>
    <row r="476" ht="31.5" customHeight="1">
      <c r="A476" s="109" t="s">
        <v>8805</v>
      </c>
      <c r="B476" s="110" t="s">
        <v>8806</v>
      </c>
      <c r="C476" s="111" t="s">
        <v>8807</v>
      </c>
      <c r="D476" s="28" t="s">
        <v>8808</v>
      </c>
      <c r="E476" s="28" t="str">
        <f>IFERROR(__xludf.DUMMYFUNCTION("GOOGLETRANSLATE(D476,""zh-CN"",""vi"")"),"Buôn bán ma túy rất nguy hiểm.")</f>
        <v>Buôn bán ma túy rất nguy hiểm.</v>
      </c>
      <c r="F476" s="128"/>
      <c r="G476" s="36" t="b">
        <f t="shared" si="1"/>
        <v>0</v>
      </c>
      <c r="H476" s="35" t="b">
        <v>0</v>
      </c>
      <c r="I476" s="35" t="b">
        <v>0</v>
      </c>
      <c r="J476" s="35" t="b">
        <v>0</v>
      </c>
      <c r="K476" s="35" t="b">
        <v>0</v>
      </c>
      <c r="L476" s="35" t="b">
        <v>0</v>
      </c>
      <c r="M476" s="35" t="b">
        <v>0</v>
      </c>
      <c r="N476" s="35" t="b">
        <v>0</v>
      </c>
      <c r="O476" s="35" t="b">
        <v>0</v>
      </c>
      <c r="P476" s="35" t="b">
        <v>0</v>
      </c>
      <c r="Q476" s="35" t="b">
        <v>0</v>
      </c>
      <c r="R476" s="14"/>
      <c r="S476" s="14"/>
      <c r="T476" s="14"/>
      <c r="U476" s="14"/>
      <c r="V476" s="14"/>
      <c r="W476" s="14"/>
    </row>
    <row r="477" ht="31.5" customHeight="1">
      <c r="A477" s="109" t="s">
        <v>8813</v>
      </c>
      <c r="B477" s="110" t="s">
        <v>8814</v>
      </c>
      <c r="C477" s="111" t="s">
        <v>8815</v>
      </c>
      <c r="D477" s="28" t="s">
        <v>8816</v>
      </c>
      <c r="E477" s="28" t="str">
        <f>IFERROR(__xludf.DUMMYFUNCTION("GOOGLETRANSLATE(D477,""zh-CN"",""vi"")"),"Anh ta nghiện cờ bạc và không thể cai được.")</f>
        <v>Anh ta nghiện cờ bạc và không thể cai được.</v>
      </c>
      <c r="F477" s="128"/>
      <c r="G477" s="36" t="b">
        <f t="shared" si="1"/>
        <v>0</v>
      </c>
      <c r="H477" s="35" t="b">
        <v>0</v>
      </c>
      <c r="I477" s="35" t="b">
        <v>0</v>
      </c>
      <c r="J477" s="35" t="b">
        <v>0</v>
      </c>
      <c r="K477" s="35" t="b">
        <v>0</v>
      </c>
      <c r="L477" s="35" t="b">
        <v>0</v>
      </c>
      <c r="M477" s="35" t="b">
        <v>0</v>
      </c>
      <c r="N477" s="35" t="b">
        <v>0</v>
      </c>
      <c r="O477" s="35" t="b">
        <v>0</v>
      </c>
      <c r="P477" s="35" t="b">
        <v>0</v>
      </c>
      <c r="Q477" s="35" t="b">
        <v>0</v>
      </c>
      <c r="R477" s="14"/>
      <c r="S477" s="14"/>
      <c r="T477" s="14"/>
      <c r="U477" s="14"/>
      <c r="V477" s="14"/>
      <c r="W477" s="14"/>
    </row>
    <row r="478" ht="31.5" customHeight="1">
      <c r="A478" s="109" t="s">
        <v>8820</v>
      </c>
      <c r="B478" s="110" t="s">
        <v>8821</v>
      </c>
      <c r="C478" s="111" t="s">
        <v>8822</v>
      </c>
      <c r="D478" s="28" t="s">
        <v>8823</v>
      </c>
      <c r="E478" s="28" t="str">
        <f>IFERROR(__xludf.DUMMYFUNCTION("GOOGLETRANSLATE(D478,""zh-CN"",""vi"")"),"Đường bị chặn.")</f>
        <v>Đường bị chặn.</v>
      </c>
      <c r="F478" s="128"/>
      <c r="G478" s="36" t="b">
        <f t="shared" si="1"/>
        <v>0</v>
      </c>
      <c r="H478" s="35" t="b">
        <v>0</v>
      </c>
      <c r="I478" s="35" t="b">
        <v>0</v>
      </c>
      <c r="J478" s="35" t="b">
        <v>0</v>
      </c>
      <c r="K478" s="35" t="b">
        <v>0</v>
      </c>
      <c r="L478" s="35" t="b">
        <v>0</v>
      </c>
      <c r="M478" s="35" t="b">
        <v>0</v>
      </c>
      <c r="N478" s="35" t="b">
        <v>0</v>
      </c>
      <c r="O478" s="35" t="b">
        <v>0</v>
      </c>
      <c r="P478" s="35" t="b">
        <v>0</v>
      </c>
      <c r="Q478" s="35" t="b">
        <v>0</v>
      </c>
      <c r="R478" s="14"/>
      <c r="S478" s="14"/>
      <c r="T478" s="14"/>
      <c r="U478" s="14"/>
      <c r="V478" s="14"/>
      <c r="W478" s="14"/>
    </row>
    <row r="479" ht="31.5" customHeight="1">
      <c r="A479" s="109" t="s">
        <v>8828</v>
      </c>
      <c r="B479" s="110" t="s">
        <v>8829</v>
      </c>
      <c r="C479" s="111" t="s">
        <v>8830</v>
      </c>
      <c r="D479" s="28" t="s">
        <v>8831</v>
      </c>
      <c r="E479" s="28" t="str">
        <f>IFERROR(__xludf.DUMMYFUNCTION("GOOGLETRANSLATE(D479,""zh-CN"",""vi"")"),"Chúng ta phải loại bỏ sự lãng phí.")</f>
        <v>Chúng ta phải loại bỏ sự lãng phí.</v>
      </c>
      <c r="F479" s="128"/>
      <c r="G479" s="36" t="b">
        <f t="shared" si="1"/>
        <v>0</v>
      </c>
      <c r="H479" s="35" t="b">
        <v>0</v>
      </c>
      <c r="I479" s="35" t="b">
        <v>0</v>
      </c>
      <c r="J479" s="35" t="b">
        <v>0</v>
      </c>
      <c r="K479" s="35" t="b">
        <v>0</v>
      </c>
      <c r="L479" s="35" t="b">
        <v>0</v>
      </c>
      <c r="M479" s="35" t="b">
        <v>0</v>
      </c>
      <c r="N479" s="35" t="b">
        <v>0</v>
      </c>
      <c r="O479" s="35" t="b">
        <v>0</v>
      </c>
      <c r="P479" s="35" t="b">
        <v>0</v>
      </c>
      <c r="Q479" s="35" t="b">
        <v>0</v>
      </c>
      <c r="R479" s="14"/>
      <c r="S479" s="14"/>
      <c r="T479" s="14"/>
      <c r="U479" s="14"/>
      <c r="V479" s="14"/>
      <c r="W479" s="14"/>
    </row>
    <row r="480" ht="31.5" customHeight="1">
      <c r="A480" s="109" t="s">
        <v>8834</v>
      </c>
      <c r="B480" s="110" t="s">
        <v>8835</v>
      </c>
      <c r="C480" s="111" t="s">
        <v>8836</v>
      </c>
      <c r="D480" s="28" t="s">
        <v>8838</v>
      </c>
      <c r="E480" s="28" t="str">
        <f>IFERROR(__xludf.DUMMYFUNCTION("GOOGLETRANSLATE(D480,""zh-CN"",""vi"")"),"Đầu bút đã bị mòn.")</f>
        <v>Đầu bút đã bị mòn.</v>
      </c>
      <c r="F480" s="128"/>
      <c r="G480" s="36" t="b">
        <f t="shared" si="1"/>
        <v>0</v>
      </c>
      <c r="H480" s="35" t="b">
        <v>0</v>
      </c>
      <c r="I480" s="35" t="b">
        <v>0</v>
      </c>
      <c r="J480" s="35" t="b">
        <v>0</v>
      </c>
      <c r="K480" s="35" t="b">
        <v>0</v>
      </c>
      <c r="L480" s="35" t="b">
        <v>0</v>
      </c>
      <c r="M480" s="35" t="b">
        <v>0</v>
      </c>
      <c r="N480" s="35" t="b">
        <v>0</v>
      </c>
      <c r="O480" s="35" t="b">
        <v>0</v>
      </c>
      <c r="P480" s="35" t="b">
        <v>0</v>
      </c>
      <c r="Q480" s="35" t="b">
        <v>0</v>
      </c>
      <c r="R480" s="14"/>
      <c r="S480" s="14"/>
      <c r="T480" s="14"/>
      <c r="U480" s="14"/>
      <c r="V480" s="14"/>
      <c r="W480" s="14"/>
    </row>
    <row r="481" ht="31.5" customHeight="1">
      <c r="A481" s="109" t="s">
        <v>8839</v>
      </c>
      <c r="B481" s="110" t="s">
        <v>8841</v>
      </c>
      <c r="C481" s="111" t="s">
        <v>8843</v>
      </c>
      <c r="D481" s="28" t="s">
        <v>8845</v>
      </c>
      <c r="E481" s="28" t="str">
        <f>IFERROR(__xludf.DUMMYFUNCTION("GOOGLETRANSLATE(D481,""zh-CN"",""vi"")"),"Chúng tôi ăn bánh zongzi (bánh nếp chiên) trong dịp Lễ hội Thuyền Rồng.")</f>
        <v>Chúng tôi ăn bánh zongzi (bánh nếp chiên) trong dịp Lễ hội Thuyền Rồng.</v>
      </c>
      <c r="F481" s="128"/>
      <c r="G481" s="36" t="b">
        <f t="shared" si="1"/>
        <v>0</v>
      </c>
      <c r="H481" s="35" t="b">
        <v>0</v>
      </c>
      <c r="I481" s="35" t="b">
        <v>0</v>
      </c>
      <c r="J481" s="35" t="b">
        <v>0</v>
      </c>
      <c r="K481" s="35" t="b">
        <v>0</v>
      </c>
      <c r="L481" s="35" t="b">
        <v>0</v>
      </c>
      <c r="M481" s="35" t="b">
        <v>0</v>
      </c>
      <c r="N481" s="35" t="b">
        <v>0</v>
      </c>
      <c r="O481" s="35" t="b">
        <v>0</v>
      </c>
      <c r="P481" s="35" t="b">
        <v>0</v>
      </c>
      <c r="Q481" s="35" t="b">
        <v>0</v>
      </c>
      <c r="R481" s="14"/>
      <c r="S481" s="14"/>
      <c r="T481" s="14"/>
      <c r="U481" s="14"/>
      <c r="V481" s="14"/>
      <c r="W481" s="14"/>
    </row>
    <row r="482" ht="31.5" customHeight="1">
      <c r="A482" s="109" t="s">
        <v>8847</v>
      </c>
      <c r="B482" s="110" t="s">
        <v>8849</v>
      </c>
      <c r="C482" s="111" t="s">
        <v>8851</v>
      </c>
      <c r="D482" s="28" t="s">
        <v>8853</v>
      </c>
      <c r="E482" s="28" t="str">
        <f>IFERROR(__xludf.DUMMYFUNCTION("GOOGLETRANSLATE(D482,""zh-CN"",""vi"")"),"Chúng ta cần phải thay đổi thái độ của mình.")</f>
        <v>Chúng ta cần phải thay đổi thái độ của mình.</v>
      </c>
      <c r="F482" s="128"/>
      <c r="G482" s="36" t="b">
        <f t="shared" si="1"/>
        <v>0</v>
      </c>
      <c r="H482" s="35" t="b">
        <v>0</v>
      </c>
      <c r="I482" s="35" t="b">
        <v>0</v>
      </c>
      <c r="J482" s="35" t="b">
        <v>0</v>
      </c>
      <c r="K482" s="35" t="b">
        <v>0</v>
      </c>
      <c r="L482" s="35" t="b">
        <v>0</v>
      </c>
      <c r="M482" s="35" t="b">
        <v>0</v>
      </c>
      <c r="N482" s="35" t="b">
        <v>0</v>
      </c>
      <c r="O482" s="35" t="b">
        <v>0</v>
      </c>
      <c r="P482" s="35" t="b">
        <v>0</v>
      </c>
      <c r="Q482" s="35" t="b">
        <v>0</v>
      </c>
      <c r="R482" s="14"/>
      <c r="S482" s="14"/>
      <c r="T482" s="14"/>
      <c r="U482" s="14"/>
      <c r="V482" s="14"/>
      <c r="W482" s="14"/>
    </row>
    <row r="483" ht="31.5" customHeight="1">
      <c r="A483" s="109" t="s">
        <v>8855</v>
      </c>
      <c r="B483" s="110" t="s">
        <v>8856</v>
      </c>
      <c r="C483" s="111" t="s">
        <v>8857</v>
      </c>
      <c r="D483" s="28" t="s">
        <v>8859</v>
      </c>
      <c r="E483" s="28" t="str">
        <f>IFERROR(__xludf.DUMMYFUNCTION("GOOGLETRANSLATE(D483,""zh-CN"",""vi"")"),"Thời gian rất ngắn.")</f>
        <v>Thời gian rất ngắn.</v>
      </c>
      <c r="F483" s="128"/>
      <c r="G483" s="36" t="b">
        <f t="shared" si="1"/>
        <v>0</v>
      </c>
      <c r="H483" s="35" t="b">
        <v>0</v>
      </c>
      <c r="I483" s="35" t="b">
        <v>0</v>
      </c>
      <c r="J483" s="35" t="b">
        <v>0</v>
      </c>
      <c r="K483" s="35" t="b">
        <v>0</v>
      </c>
      <c r="L483" s="35" t="b">
        <v>0</v>
      </c>
      <c r="M483" s="35" t="b">
        <v>0</v>
      </c>
      <c r="N483" s="35" t="b">
        <v>0</v>
      </c>
      <c r="O483" s="35" t="b">
        <v>0</v>
      </c>
      <c r="P483" s="35" t="b">
        <v>0</v>
      </c>
      <c r="Q483" s="35" t="b">
        <v>0</v>
      </c>
      <c r="R483" s="14"/>
      <c r="S483" s="14"/>
      <c r="T483" s="14"/>
      <c r="U483" s="14"/>
      <c r="V483" s="14"/>
      <c r="W483" s="14"/>
    </row>
    <row r="484" ht="31.5" customHeight="1">
      <c r="A484" s="109" t="s">
        <v>8863</v>
      </c>
      <c r="B484" s="110" t="s">
        <v>8864</v>
      </c>
      <c r="C484" s="111" t="s">
        <v>8865</v>
      </c>
      <c r="D484" s="28" t="s">
        <v>8866</v>
      </c>
      <c r="E484" s="28" t="str">
        <f>IFERROR(__xludf.DUMMYFUNCTION("GOOGLETRANSLATE(D484,""zh-CN"",""vi"")"),"Chúng tôi tin chắc rằng ông ấy sẽ thành công.")</f>
        <v>Chúng tôi tin chắc rằng ông ấy sẽ thành công.</v>
      </c>
      <c r="F484" s="128"/>
      <c r="G484" s="36" t="b">
        <f t="shared" si="1"/>
        <v>0</v>
      </c>
      <c r="H484" s="35" t="b">
        <v>0</v>
      </c>
      <c r="I484" s="35" t="b">
        <v>0</v>
      </c>
      <c r="J484" s="35" t="b">
        <v>0</v>
      </c>
      <c r="K484" s="35" t="b">
        <v>0</v>
      </c>
      <c r="L484" s="35" t="b">
        <v>0</v>
      </c>
      <c r="M484" s="35" t="b">
        <v>0</v>
      </c>
      <c r="N484" s="35" t="b">
        <v>0</v>
      </c>
      <c r="O484" s="35" t="b">
        <v>0</v>
      </c>
      <c r="P484" s="35" t="b">
        <v>0</v>
      </c>
      <c r="Q484" s="35" t="b">
        <v>0</v>
      </c>
      <c r="R484" s="14"/>
      <c r="S484" s="14"/>
      <c r="T484" s="14"/>
      <c r="U484" s="14"/>
      <c r="V484" s="14"/>
      <c r="W484" s="14"/>
    </row>
    <row r="485" ht="31.5" customHeight="1">
      <c r="A485" s="109" t="s">
        <v>8871</v>
      </c>
      <c r="B485" s="110" t="s">
        <v>8872</v>
      </c>
      <c r="C485" s="111" t="s">
        <v>8873</v>
      </c>
      <c r="D485" s="28" t="s">
        <v>8874</v>
      </c>
      <c r="E485" s="28" t="str">
        <f>IFERROR(__xludf.DUMMYFUNCTION("GOOGLETRANSLATE(D485,""zh-CN"",""vi"")"),"Tín hiệu chập chờn.")</f>
        <v>Tín hiệu chập chờn.</v>
      </c>
      <c r="F485" s="128"/>
      <c r="G485" s="36" t="b">
        <f t="shared" si="1"/>
        <v>0</v>
      </c>
      <c r="H485" s="35" t="b">
        <v>0</v>
      </c>
      <c r="I485" s="35" t="b">
        <v>0</v>
      </c>
      <c r="J485" s="35" t="b">
        <v>0</v>
      </c>
      <c r="K485" s="35" t="b">
        <v>0</v>
      </c>
      <c r="L485" s="35" t="b">
        <v>0</v>
      </c>
      <c r="M485" s="35" t="b">
        <v>0</v>
      </c>
      <c r="N485" s="35" t="b">
        <v>0</v>
      </c>
      <c r="O485" s="35" t="b">
        <v>0</v>
      </c>
      <c r="P485" s="35" t="b">
        <v>0</v>
      </c>
      <c r="Q485" s="35" t="b">
        <v>0</v>
      </c>
      <c r="R485" s="14"/>
      <c r="S485" s="14"/>
      <c r="T485" s="14"/>
      <c r="U485" s="14"/>
      <c r="V485" s="14"/>
      <c r="W485" s="14"/>
    </row>
    <row r="486" ht="31.5" customHeight="1">
      <c r="A486" s="109" t="s">
        <v>8879</v>
      </c>
      <c r="B486" s="110" t="s">
        <v>8880</v>
      </c>
      <c r="C486" s="111" t="s">
        <v>8881</v>
      </c>
      <c r="D486" s="28" t="s">
        <v>8886</v>
      </c>
      <c r="E486" s="28" t="str">
        <f>IFERROR(__xludf.DUMMYFUNCTION("GOOGLETRANSLATE(D486,""zh-CN"",""vi"")"),"Họ đã chia tay.")</f>
        <v>Họ đã chia tay.</v>
      </c>
      <c r="F486" s="128"/>
      <c r="G486" s="36" t="b">
        <f t="shared" si="1"/>
        <v>0</v>
      </c>
      <c r="H486" s="35" t="b">
        <v>0</v>
      </c>
      <c r="I486" s="35" t="b">
        <v>0</v>
      </c>
      <c r="J486" s="35" t="b">
        <v>0</v>
      </c>
      <c r="K486" s="35" t="b">
        <v>0</v>
      </c>
      <c r="L486" s="35" t="b">
        <v>0</v>
      </c>
      <c r="M486" s="35" t="b">
        <v>0</v>
      </c>
      <c r="N486" s="35" t="b">
        <v>0</v>
      </c>
      <c r="O486" s="35" t="b">
        <v>0</v>
      </c>
      <c r="P486" s="35" t="b">
        <v>0</v>
      </c>
      <c r="Q486" s="35" t="b">
        <v>0</v>
      </c>
      <c r="R486" s="14"/>
      <c r="S486" s="14"/>
      <c r="T486" s="14"/>
      <c r="U486" s="14"/>
      <c r="V486" s="14"/>
      <c r="W486" s="14"/>
    </row>
    <row r="487" ht="31.5" customHeight="1">
      <c r="A487" s="109" t="s">
        <v>8891</v>
      </c>
      <c r="B487" s="110" t="s">
        <v>8892</v>
      </c>
      <c r="C487" s="111" t="s">
        <v>8893</v>
      </c>
      <c r="D487" s="28" t="s">
        <v>8894</v>
      </c>
      <c r="E487" s="28" t="str">
        <f>IFERROR(__xludf.DUMMYFUNCTION("GOOGLETRANSLATE(D487,""zh-CN"",""vi"")"),"Rác thải chất đống như những ngọn núi.")</f>
        <v>Rác thải chất đống như những ngọn núi.</v>
      </c>
      <c r="F487" s="128"/>
      <c r="G487" s="36" t="b">
        <f t="shared" si="1"/>
        <v>0</v>
      </c>
      <c r="H487" s="35" t="b">
        <v>0</v>
      </c>
      <c r="I487" s="35" t="b">
        <v>0</v>
      </c>
      <c r="J487" s="35" t="b">
        <v>0</v>
      </c>
      <c r="K487" s="35" t="b">
        <v>0</v>
      </c>
      <c r="L487" s="35" t="b">
        <v>0</v>
      </c>
      <c r="M487" s="35" t="b">
        <v>0</v>
      </c>
      <c r="N487" s="35" t="b">
        <v>0</v>
      </c>
      <c r="O487" s="35" t="b">
        <v>0</v>
      </c>
      <c r="P487" s="35" t="b">
        <v>0</v>
      </c>
      <c r="Q487" s="35" t="b">
        <v>0</v>
      </c>
      <c r="R487" s="14"/>
      <c r="S487" s="14"/>
      <c r="T487" s="14"/>
      <c r="U487" s="14"/>
      <c r="V487" s="14"/>
      <c r="W487" s="14"/>
    </row>
    <row r="488" ht="31.5" customHeight="1">
      <c r="A488" s="109" t="s">
        <v>8899</v>
      </c>
      <c r="B488" s="110" t="s">
        <v>8900</v>
      </c>
      <c r="C488" s="111" t="s">
        <v>8901</v>
      </c>
      <c r="D488" s="28" t="s">
        <v>8902</v>
      </c>
      <c r="E488" s="28" t="str">
        <f>IFERROR(__xludf.DUMMYFUNCTION("GOOGLETRANSLATE(D488,""zh-CN"",""vi"")"),"Chúng ta cần xây dựng một chiến lược.")</f>
        <v>Chúng ta cần xây dựng một chiến lược.</v>
      </c>
      <c r="F488" s="128"/>
      <c r="G488" s="36" t="b">
        <f t="shared" si="1"/>
        <v>0</v>
      </c>
      <c r="H488" s="35" t="b">
        <v>0</v>
      </c>
      <c r="I488" s="35" t="b">
        <v>0</v>
      </c>
      <c r="J488" s="35" t="b">
        <v>0</v>
      </c>
      <c r="K488" s="35" t="b">
        <v>0</v>
      </c>
      <c r="L488" s="35" t="b">
        <v>0</v>
      </c>
      <c r="M488" s="35" t="b">
        <v>0</v>
      </c>
      <c r="N488" s="35" t="b">
        <v>0</v>
      </c>
      <c r="O488" s="35" t="b">
        <v>0</v>
      </c>
      <c r="P488" s="35" t="b">
        <v>0</v>
      </c>
      <c r="Q488" s="35" t="b">
        <v>0</v>
      </c>
      <c r="R488" s="14"/>
      <c r="S488" s="14"/>
      <c r="T488" s="14"/>
      <c r="U488" s="14"/>
      <c r="V488" s="14"/>
      <c r="W488" s="14"/>
    </row>
    <row r="489" ht="31.5" customHeight="1">
      <c r="A489" s="109" t="s">
        <v>8903</v>
      </c>
      <c r="B489" s="110" t="s">
        <v>8905</v>
      </c>
      <c r="C489" s="111" t="s">
        <v>8907</v>
      </c>
      <c r="D489" s="28" t="s">
        <v>8909</v>
      </c>
      <c r="E489" s="28" t="str">
        <f>IFERROR(__xludf.DUMMYFUNCTION("GOOGLETRANSLATE(D489,""zh-CN"",""vi"")"),"Tòa nhà này đối xứng và rất đẹp.")</f>
        <v>Tòa nhà này đối xứng và rất đẹp.</v>
      </c>
      <c r="F489" s="128"/>
      <c r="G489" s="36" t="b">
        <f t="shared" si="1"/>
        <v>0</v>
      </c>
      <c r="H489" s="35" t="b">
        <v>0</v>
      </c>
      <c r="I489" s="35" t="b">
        <v>0</v>
      </c>
      <c r="J489" s="35" t="b">
        <v>0</v>
      </c>
      <c r="K489" s="35" t="b">
        <v>0</v>
      </c>
      <c r="L489" s="35" t="b">
        <v>0</v>
      </c>
      <c r="M489" s="35" t="b">
        <v>0</v>
      </c>
      <c r="N489" s="35" t="b">
        <v>0</v>
      </c>
      <c r="O489" s="35" t="b">
        <v>0</v>
      </c>
      <c r="P489" s="35" t="b">
        <v>0</v>
      </c>
      <c r="Q489" s="35" t="b">
        <v>0</v>
      </c>
      <c r="R489" s="14"/>
      <c r="S489" s="14"/>
      <c r="T489" s="14"/>
      <c r="U489" s="14"/>
      <c r="V489" s="14"/>
      <c r="W489" s="14"/>
    </row>
    <row r="490" ht="31.5" customHeight="1">
      <c r="A490" s="109" t="s">
        <v>8911</v>
      </c>
      <c r="B490" s="110" t="s">
        <v>8912</v>
      </c>
      <c r="C490" s="111" t="s">
        <v>8913</v>
      </c>
      <c r="D490" s="28" t="s">
        <v>8915</v>
      </c>
      <c r="E490" s="28" t="str">
        <f>IFERROR(__xludf.DUMMYFUNCTION("GOOGLETRANSLATE(D490,""zh-CN"",""vi"")"),"Chúng ta có thể giải quyết vấn đề này.")</f>
        <v>Chúng ta có thể giải quyết vấn đề này.</v>
      </c>
      <c r="F490" s="128"/>
      <c r="G490" s="36" t="b">
        <f t="shared" si="1"/>
        <v>0</v>
      </c>
      <c r="H490" s="35" t="b">
        <v>0</v>
      </c>
      <c r="I490" s="35" t="b">
        <v>0</v>
      </c>
      <c r="J490" s="35" t="b">
        <v>0</v>
      </c>
      <c r="K490" s="35" t="b">
        <v>0</v>
      </c>
      <c r="L490" s="35" t="b">
        <v>0</v>
      </c>
      <c r="M490" s="35" t="b">
        <v>0</v>
      </c>
      <c r="N490" s="35" t="b">
        <v>0</v>
      </c>
      <c r="O490" s="35" t="b">
        <v>0</v>
      </c>
      <c r="P490" s="35" t="b">
        <v>0</v>
      </c>
      <c r="Q490" s="35" t="b">
        <v>0</v>
      </c>
      <c r="R490" s="14"/>
      <c r="S490" s="14"/>
      <c r="T490" s="14"/>
      <c r="U490" s="14"/>
      <c r="V490" s="14"/>
      <c r="W490" s="14"/>
    </row>
    <row r="491" ht="31.5" customHeight="1">
      <c r="A491" s="109" t="s">
        <v>5878</v>
      </c>
      <c r="B491" s="110" t="s">
        <v>5879</v>
      </c>
      <c r="C491" s="111" t="s">
        <v>8921</v>
      </c>
      <c r="D491" s="28" t="s">
        <v>8923</v>
      </c>
      <c r="E491" s="28" t="str">
        <f>IFERROR(__xludf.DUMMYFUNCTION("GOOGLETRANSLATE(D491,""zh-CN"",""vi"")"),"Bạn có thể đổi tiền tại ngân hàng.")</f>
        <v>Bạn có thể đổi tiền tại ngân hàng.</v>
      </c>
      <c r="F491" s="128"/>
      <c r="G491" s="36" t="b">
        <f t="shared" si="1"/>
        <v>0</v>
      </c>
      <c r="H491" s="35" t="b">
        <v>0</v>
      </c>
      <c r="I491" s="35" t="b">
        <v>0</v>
      </c>
      <c r="J491" s="35" t="b">
        <v>0</v>
      </c>
      <c r="K491" s="35" t="b">
        <v>0</v>
      </c>
      <c r="L491" s="35" t="b">
        <v>0</v>
      </c>
      <c r="M491" s="35" t="b">
        <v>0</v>
      </c>
      <c r="N491" s="35" t="b">
        <v>0</v>
      </c>
      <c r="O491" s="35" t="b">
        <v>0</v>
      </c>
      <c r="P491" s="35" t="b">
        <v>0</v>
      </c>
      <c r="Q491" s="35" t="b">
        <v>0</v>
      </c>
      <c r="R491" s="14"/>
      <c r="S491" s="14"/>
      <c r="T491" s="14"/>
      <c r="U491" s="14"/>
      <c r="V491" s="14"/>
      <c r="W491" s="14"/>
    </row>
    <row r="492" ht="31.5" customHeight="1">
      <c r="A492" s="109" t="s">
        <v>8925</v>
      </c>
      <c r="B492" s="110" t="s">
        <v>8927</v>
      </c>
      <c r="C492" s="111" t="s">
        <v>8929</v>
      </c>
      <c r="D492" s="28" t="s">
        <v>8931</v>
      </c>
      <c r="E492" s="28" t="str">
        <f>IFERROR(__xludf.DUMMYFUNCTION("GOOGLETRANSLATE(D492,""zh-CN"",""vi"")"),"Họ đã chiến đấu rất lâu.")</f>
        <v>Họ đã chiến đấu rất lâu.</v>
      </c>
      <c r="F492" s="128"/>
      <c r="G492" s="36" t="b">
        <f t="shared" si="1"/>
        <v>0</v>
      </c>
      <c r="H492" s="35" t="b">
        <v>0</v>
      </c>
      <c r="I492" s="35" t="b">
        <v>0</v>
      </c>
      <c r="J492" s="35" t="b">
        <v>0</v>
      </c>
      <c r="K492" s="35" t="b">
        <v>0</v>
      </c>
      <c r="L492" s="35" t="b">
        <v>0</v>
      </c>
      <c r="M492" s="35" t="b">
        <v>0</v>
      </c>
      <c r="N492" s="35" t="b">
        <v>0</v>
      </c>
      <c r="O492" s="35" t="b">
        <v>0</v>
      </c>
      <c r="P492" s="35" t="b">
        <v>0</v>
      </c>
      <c r="Q492" s="35" t="b">
        <v>0</v>
      </c>
      <c r="R492" s="14"/>
      <c r="S492" s="14"/>
      <c r="T492" s="14"/>
      <c r="U492" s="14"/>
      <c r="V492" s="14"/>
      <c r="W492" s="14"/>
    </row>
    <row r="493" ht="31.5" customHeight="1">
      <c r="A493" s="109" t="s">
        <v>8933</v>
      </c>
      <c r="B493" s="110" t="s">
        <v>8934</v>
      </c>
      <c r="C493" s="111" t="s">
        <v>8935</v>
      </c>
      <c r="D493" s="28" t="s">
        <v>8937</v>
      </c>
      <c r="E493" s="28" t="str">
        <f>IFERROR(__xludf.DUMMYFUNCTION("GOOGLETRANSLATE(D493,""zh-CN"",""vi"")"),"Ý kiến ​​của họ trái ngược nhau.")</f>
        <v>Ý kiến ​​của họ trái ngược nhau.</v>
      </c>
      <c r="F493" s="128"/>
      <c r="G493" s="36" t="b">
        <f t="shared" si="1"/>
        <v>0</v>
      </c>
      <c r="H493" s="35" t="b">
        <v>0</v>
      </c>
      <c r="I493" s="35" t="b">
        <v>0</v>
      </c>
      <c r="J493" s="35" t="b">
        <v>0</v>
      </c>
      <c r="K493" s="35" t="b">
        <v>0</v>
      </c>
      <c r="L493" s="35" t="b">
        <v>0</v>
      </c>
      <c r="M493" s="35" t="b">
        <v>0</v>
      </c>
      <c r="N493" s="35" t="b">
        <v>0</v>
      </c>
      <c r="O493" s="35" t="b">
        <v>0</v>
      </c>
      <c r="P493" s="35" t="b">
        <v>0</v>
      </c>
      <c r="Q493" s="35" t="b">
        <v>0</v>
      </c>
      <c r="R493" s="14"/>
      <c r="S493" s="14"/>
      <c r="T493" s="14"/>
      <c r="U493" s="14"/>
      <c r="V493" s="14"/>
      <c r="W493" s="14"/>
    </row>
    <row r="494" ht="31.5" customHeight="1">
      <c r="A494" s="109" t="s">
        <v>8941</v>
      </c>
      <c r="B494" s="110" t="s">
        <v>8942</v>
      </c>
      <c r="C494" s="111" t="s">
        <v>8943</v>
      </c>
      <c r="D494" s="28" t="s">
        <v>8944</v>
      </c>
      <c r="E494" s="28" t="str">
        <f>IFERROR(__xludf.DUMMYFUNCTION("GOOGLETRANSLATE(D494,""zh-CN"",""vi"")"),"Chúng tôi treo những câu đối đáp trong dịp Tết Nguyên đán.")</f>
        <v>Chúng tôi treo những câu đối đáp trong dịp Tết Nguyên đán.</v>
      </c>
      <c r="F494" s="128"/>
      <c r="G494" s="36" t="b">
        <f t="shared" si="1"/>
        <v>0</v>
      </c>
      <c r="H494" s="35" t="b">
        <v>1</v>
      </c>
      <c r="I494" s="35" t="b">
        <v>0</v>
      </c>
      <c r="J494" s="35" t="b">
        <v>0</v>
      </c>
      <c r="K494" s="35" t="b">
        <v>0</v>
      </c>
      <c r="L494" s="35" t="b">
        <v>0</v>
      </c>
      <c r="M494" s="35" t="b">
        <v>0</v>
      </c>
      <c r="N494" s="35" t="b">
        <v>0</v>
      </c>
      <c r="O494" s="35" t="b">
        <v>0</v>
      </c>
      <c r="P494" s="35" t="b">
        <v>0</v>
      </c>
      <c r="Q494" s="35" t="b">
        <v>0</v>
      </c>
      <c r="R494" s="14"/>
      <c r="S494" s="14"/>
      <c r="T494" s="14"/>
      <c r="U494" s="14"/>
      <c r="V494" s="14"/>
      <c r="W494" s="14"/>
    </row>
    <row r="495" ht="31.5" customHeight="1">
      <c r="A495" s="109" t="s">
        <v>8949</v>
      </c>
      <c r="B495" s="110" t="s">
        <v>8950</v>
      </c>
      <c r="C495" s="111" t="s">
        <v>8951</v>
      </c>
      <c r="D495" s="28" t="s">
        <v>8952</v>
      </c>
      <c r="E495" s="28" t="str">
        <f>IFERROR(__xludf.DUMMYFUNCTION("GOOGLETRANSLATE(D495,""zh-CN"",""vi"")"),"Nhóm của bạn có bao nhiêu người?")</f>
        <v>Nhóm của bạn có bao nhiêu người?</v>
      </c>
      <c r="F495" s="128"/>
      <c r="G495" s="36" t="b">
        <f t="shared" si="1"/>
        <v>0</v>
      </c>
      <c r="H495" s="35" t="b">
        <v>1</v>
      </c>
      <c r="I495" s="35" t="b">
        <v>0</v>
      </c>
      <c r="J495" s="35" t="b">
        <v>0</v>
      </c>
      <c r="K495" s="35" t="b">
        <v>0</v>
      </c>
      <c r="L495" s="35" t="b">
        <v>0</v>
      </c>
      <c r="M495" s="35" t="b">
        <v>0</v>
      </c>
      <c r="N495" s="35" t="b">
        <v>0</v>
      </c>
      <c r="O495" s="35" t="b">
        <v>0</v>
      </c>
      <c r="P495" s="35" t="b">
        <v>0</v>
      </c>
      <c r="Q495" s="35" t="b">
        <v>0</v>
      </c>
      <c r="R495" s="14"/>
      <c r="S495" s="14"/>
      <c r="T495" s="14"/>
      <c r="U495" s="14"/>
      <c r="V495" s="14"/>
      <c r="W495" s="14"/>
    </row>
    <row r="496" ht="31.5" customHeight="1">
      <c r="A496" s="109" t="s">
        <v>8957</v>
      </c>
      <c r="B496" s="110" t="s">
        <v>8958</v>
      </c>
      <c r="C496" s="111" t="s">
        <v>8959</v>
      </c>
      <c r="D496" s="28" t="s">
        <v>8960</v>
      </c>
      <c r="E496" s="28" t="str">
        <f>IFERROR(__xludf.DUMMYFUNCTION("GOOGLETRANSLATE(D496,""zh-CN"",""vi"")"),"Họ đã giữ lời hứa.")</f>
        <v>Họ đã giữ lời hứa.</v>
      </c>
      <c r="F496" s="128"/>
      <c r="G496" s="36" t="b">
        <f t="shared" si="1"/>
        <v>0</v>
      </c>
      <c r="H496" s="35" t="b">
        <v>1</v>
      </c>
      <c r="I496" s="35" t="b">
        <v>0</v>
      </c>
      <c r="J496" s="35" t="b">
        <v>0</v>
      </c>
      <c r="K496" s="35" t="b">
        <v>0</v>
      </c>
      <c r="L496" s="35" t="b">
        <v>0</v>
      </c>
      <c r="M496" s="35" t="b">
        <v>0</v>
      </c>
      <c r="N496" s="35" t="b">
        <v>0</v>
      </c>
      <c r="O496" s="35" t="b">
        <v>0</v>
      </c>
      <c r="P496" s="35" t="b">
        <v>0</v>
      </c>
      <c r="Q496" s="35" t="b">
        <v>0</v>
      </c>
      <c r="R496" s="14"/>
      <c r="S496" s="14"/>
      <c r="T496" s="14"/>
      <c r="U496" s="14"/>
      <c r="V496" s="14"/>
      <c r="W496" s="14"/>
    </row>
    <row r="497" ht="31.5" customHeight="1">
      <c r="A497" s="109" t="s">
        <v>8965</v>
      </c>
      <c r="B497" s="110" t="s">
        <v>8966</v>
      </c>
      <c r="C497" s="111" t="s">
        <v>8967</v>
      </c>
      <c r="D497" s="28" t="s">
        <v>8968</v>
      </c>
      <c r="E497" s="28" t="str">
        <f>IFERROR(__xludf.DUMMYFUNCTION("GOOGLETRANSLATE(D497,""zh-CN"",""vi"")"),"Chúng ta cần giải quyết những vấn đề này.")</f>
        <v>Chúng ta cần giải quyết những vấn đề này.</v>
      </c>
      <c r="F497" s="128"/>
      <c r="G497" s="36" t="b">
        <f t="shared" si="1"/>
        <v>0</v>
      </c>
      <c r="H497" s="35" t="b">
        <v>1</v>
      </c>
      <c r="I497" s="35" t="b">
        <v>0</v>
      </c>
      <c r="J497" s="35" t="b">
        <v>0</v>
      </c>
      <c r="K497" s="35" t="b">
        <v>0</v>
      </c>
      <c r="L497" s="35" t="b">
        <v>0</v>
      </c>
      <c r="M497" s="35" t="b">
        <v>0</v>
      </c>
      <c r="N497" s="35" t="b">
        <v>0</v>
      </c>
      <c r="O497" s="35" t="b">
        <v>0</v>
      </c>
      <c r="P497" s="35" t="b">
        <v>0</v>
      </c>
      <c r="Q497" s="35" t="b">
        <v>0</v>
      </c>
      <c r="R497" s="14"/>
      <c r="S497" s="14"/>
      <c r="T497" s="14"/>
      <c r="U497" s="14"/>
      <c r="V497" s="14"/>
      <c r="W497" s="14"/>
    </row>
    <row r="498" ht="31.5" customHeight="1">
      <c r="A498" s="109" t="s">
        <v>8973</v>
      </c>
      <c r="B498" s="110" t="s">
        <v>8974</v>
      </c>
      <c r="C498" s="111" t="s">
        <v>8975</v>
      </c>
      <c r="D498" s="28" t="s">
        <v>8976</v>
      </c>
      <c r="E498" s="28" t="str">
        <f>IFERROR(__xludf.DUMMYFUNCTION("GOOGLETRANSLATE(D498,""zh-CN"",""vi"")"),"Vui lòng đối chiếu với bảng này.")</f>
        <v>Vui lòng đối chiếu với bảng này.</v>
      </c>
      <c r="F498" s="128"/>
      <c r="G498" s="36" t="b">
        <f t="shared" si="1"/>
        <v>0</v>
      </c>
      <c r="H498" s="35" t="b">
        <v>1</v>
      </c>
      <c r="I498" s="35" t="b">
        <v>0</v>
      </c>
      <c r="J498" s="35" t="b">
        <v>0</v>
      </c>
      <c r="K498" s="35" t="b">
        <v>0</v>
      </c>
      <c r="L498" s="35" t="b">
        <v>0</v>
      </c>
      <c r="M498" s="35" t="b">
        <v>0</v>
      </c>
      <c r="N498" s="35" t="b">
        <v>0</v>
      </c>
      <c r="O498" s="35" t="b">
        <v>0</v>
      </c>
      <c r="P498" s="35" t="b">
        <v>0</v>
      </c>
      <c r="Q498" s="35" t="b">
        <v>0</v>
      </c>
      <c r="R498" s="14"/>
      <c r="S498" s="14"/>
      <c r="T498" s="14"/>
      <c r="U498" s="14"/>
      <c r="V498" s="14"/>
      <c r="W498" s="14"/>
    </row>
    <row r="499" ht="31.5" customHeight="1">
      <c r="A499" s="109" t="s">
        <v>8981</v>
      </c>
      <c r="B499" s="110" t="s">
        <v>8982</v>
      </c>
      <c r="C499" s="111" t="s">
        <v>2392</v>
      </c>
      <c r="D499" s="28" t="s">
        <v>8983</v>
      </c>
      <c r="E499" s="28" t="str">
        <f>IFERROR(__xludf.DUMMYFUNCTION("GOOGLETRANSLATE(D499,""zh-CN"",""vi"")"),"Anh ấy bật khóc khi nghe tin.")</f>
        <v>Anh ấy bật khóc khi nghe tin.</v>
      </c>
      <c r="F499" s="128"/>
      <c r="G499" s="36" t="b">
        <f t="shared" si="1"/>
        <v>0</v>
      </c>
      <c r="H499" s="35" t="b">
        <v>1</v>
      </c>
      <c r="I499" s="35" t="b">
        <v>0</v>
      </c>
      <c r="J499" s="35" t="b">
        <v>0</v>
      </c>
      <c r="K499" s="35" t="b">
        <v>0</v>
      </c>
      <c r="L499" s="35" t="b">
        <v>0</v>
      </c>
      <c r="M499" s="35" t="b">
        <v>0</v>
      </c>
      <c r="N499" s="35" t="b">
        <v>0</v>
      </c>
      <c r="O499" s="35" t="b">
        <v>0</v>
      </c>
      <c r="P499" s="35" t="b">
        <v>0</v>
      </c>
      <c r="Q499" s="35" t="b">
        <v>0</v>
      </c>
      <c r="R499" s="14"/>
      <c r="S499" s="14"/>
      <c r="T499" s="14"/>
      <c r="U499" s="14"/>
      <c r="V499" s="14"/>
      <c r="W499" s="14"/>
    </row>
    <row r="500" ht="31.5" customHeight="1">
      <c r="A500" s="109" t="s">
        <v>8988</v>
      </c>
      <c r="B500" s="110" t="s">
        <v>8989</v>
      </c>
      <c r="C500" s="111" t="s">
        <v>8990</v>
      </c>
      <c r="D500" s="28" t="s">
        <v>8991</v>
      </c>
      <c r="E500" s="28" t="str">
        <f>IFERROR(__xludf.DUMMYFUNCTION("GOOGLETRANSLATE(D500,""zh-CN"",""vi"")"),"Anh ta run rẩy vì lạnh.")</f>
        <v>Anh ta run rẩy vì lạnh.</v>
      </c>
      <c r="F500" s="128"/>
      <c r="G500" s="36" t="b">
        <f t="shared" si="1"/>
        <v>0</v>
      </c>
      <c r="H500" s="35" t="b">
        <v>1</v>
      </c>
      <c r="I500" s="35" t="b">
        <v>0</v>
      </c>
      <c r="J500" s="35" t="b">
        <v>0</v>
      </c>
      <c r="K500" s="35" t="b">
        <v>0</v>
      </c>
      <c r="L500" s="35" t="b">
        <v>0</v>
      </c>
      <c r="M500" s="35" t="b">
        <v>0</v>
      </c>
      <c r="N500" s="35" t="b">
        <v>0</v>
      </c>
      <c r="O500" s="35" t="b">
        <v>0</v>
      </c>
      <c r="P500" s="35" t="b">
        <v>0</v>
      </c>
      <c r="Q500" s="35" t="b">
        <v>0</v>
      </c>
      <c r="R500" s="14"/>
      <c r="S500" s="14"/>
      <c r="T500" s="14"/>
      <c r="U500" s="14"/>
      <c r="V500" s="14"/>
      <c r="W500" s="14"/>
    </row>
    <row r="501" ht="31.5" customHeight="1">
      <c r="A501" s="109" t="s">
        <v>8996</v>
      </c>
      <c r="B501" s="110" t="s">
        <v>8997</v>
      </c>
      <c r="C501" s="111" t="s">
        <v>8998</v>
      </c>
      <c r="D501" s="28" t="s">
        <v>8999</v>
      </c>
      <c r="E501" s="28" t="str">
        <f>IFERROR(__xludf.DUMMYFUNCTION("GOOGLETRANSLATE(D501,""zh-CN"",""vi"")"),"Công ty đã quyết định thực hiện chiến lược đa dạng hóa.")</f>
        <v>Công ty đã quyết định thực hiện chiến lược đa dạng hóa.</v>
      </c>
      <c r="F501" s="128"/>
      <c r="G501" s="36" t="b">
        <f t="shared" si="1"/>
        <v>0</v>
      </c>
      <c r="H501" s="35" t="b">
        <v>1</v>
      </c>
      <c r="I501" s="35" t="b">
        <v>0</v>
      </c>
      <c r="J501" s="35" t="b">
        <v>0</v>
      </c>
      <c r="K501" s="35" t="b">
        <v>0</v>
      </c>
      <c r="L501" s="35" t="b">
        <v>0</v>
      </c>
      <c r="M501" s="35" t="b">
        <v>0</v>
      </c>
      <c r="N501" s="35" t="b">
        <v>0</v>
      </c>
      <c r="O501" s="35" t="b">
        <v>0</v>
      </c>
      <c r="P501" s="35" t="b">
        <v>0</v>
      </c>
      <c r="Q501" s="35" t="b">
        <v>0</v>
      </c>
      <c r="R501" s="14"/>
      <c r="S501" s="14"/>
      <c r="T501" s="14"/>
      <c r="U501" s="14"/>
      <c r="V501" s="14"/>
      <c r="W501" s="14"/>
    </row>
    <row r="502" ht="31.5" customHeight="1">
      <c r="A502" s="109" t="s">
        <v>9004</v>
      </c>
      <c r="B502" s="110" t="s">
        <v>9005</v>
      </c>
      <c r="C502" s="111" t="s">
        <v>9006</v>
      </c>
      <c r="D502" s="28" t="s">
        <v>9007</v>
      </c>
      <c r="E502" s="28" t="str">
        <f>IFERROR(__xludf.DUMMYFUNCTION("GOOGLETRANSLATE(D502,""zh-CN"",""vi"")"),"Anh ta mất việc vì những sai phạm về đạo đức.")</f>
        <v>Anh ta mất việc vì những sai phạm về đạo đức.</v>
      </c>
      <c r="F502" s="128"/>
      <c r="G502" s="36" t="b">
        <f t="shared" si="1"/>
        <v>0</v>
      </c>
      <c r="H502" s="35" t="b">
        <v>1</v>
      </c>
      <c r="I502" s="35" t="b">
        <v>0</v>
      </c>
      <c r="J502" s="35" t="b">
        <v>0</v>
      </c>
      <c r="K502" s="35" t="b">
        <v>0</v>
      </c>
      <c r="L502" s="35" t="b">
        <v>0</v>
      </c>
      <c r="M502" s="35" t="b">
        <v>0</v>
      </c>
      <c r="N502" s="35" t="b">
        <v>0</v>
      </c>
      <c r="O502" s="35" t="b">
        <v>0</v>
      </c>
      <c r="P502" s="35" t="b">
        <v>0</v>
      </c>
      <c r="Q502" s="35" t="b">
        <v>0</v>
      </c>
      <c r="R502" s="14"/>
      <c r="S502" s="14"/>
      <c r="T502" s="14"/>
      <c r="U502" s="14"/>
      <c r="V502" s="14"/>
      <c r="W502" s="14"/>
    </row>
    <row r="503" ht="31.5" customHeight="1">
      <c r="A503" s="109" t="s">
        <v>9012</v>
      </c>
      <c r="B503" s="110" t="s">
        <v>9013</v>
      </c>
      <c r="C503" s="111" t="s">
        <v>9014</v>
      </c>
      <c r="D503" s="28" t="s">
        <v>9015</v>
      </c>
      <c r="E503" s="28" t="str">
        <f>IFERROR(__xludf.DUMMYFUNCTION("GOOGLETRANSLATE(D503,""zh-CN"",""vi"")"),"Anh ấy đã làm thêm rất nhiều việc.")</f>
        <v>Anh ấy đã làm thêm rất nhiều việc.</v>
      </c>
      <c r="F503" s="128"/>
      <c r="G503" s="36" t="b">
        <f t="shared" si="1"/>
        <v>0</v>
      </c>
      <c r="H503" s="35" t="b">
        <v>1</v>
      </c>
      <c r="I503" s="35" t="b">
        <v>0</v>
      </c>
      <c r="J503" s="35" t="b">
        <v>0</v>
      </c>
      <c r="K503" s="35" t="b">
        <v>0</v>
      </c>
      <c r="L503" s="35" t="b">
        <v>0</v>
      </c>
      <c r="M503" s="35" t="b">
        <v>0</v>
      </c>
      <c r="N503" s="35" t="b">
        <v>0</v>
      </c>
      <c r="O503" s="35" t="b">
        <v>0</v>
      </c>
      <c r="P503" s="35" t="b">
        <v>0</v>
      </c>
      <c r="Q503" s="35" t="b">
        <v>0</v>
      </c>
      <c r="R503" s="14"/>
      <c r="S503" s="14"/>
      <c r="T503" s="14"/>
      <c r="U503" s="14"/>
      <c r="V503" s="14"/>
      <c r="W503" s="14"/>
    </row>
    <row r="504" ht="31.5" customHeight="1">
      <c r="A504" s="109" t="s">
        <v>9020</v>
      </c>
      <c r="B504" s="110" t="s">
        <v>9021</v>
      </c>
      <c r="C504" s="111" t="s">
        <v>9022</v>
      </c>
      <c r="D504" s="28" t="s">
        <v>9023</v>
      </c>
      <c r="E504" s="28" t="str">
        <f>IFERROR(__xludf.DUMMYFUNCTION("GOOGLETRANSLATE(D504,""zh-CN"",""vi"")"),"Món ăn đó khiến tôi cảm thấy buồn nôn.")</f>
        <v>Món ăn đó khiến tôi cảm thấy buồn nôn.</v>
      </c>
      <c r="F504" s="128"/>
      <c r="G504" s="36" t="b">
        <f t="shared" si="1"/>
        <v>0</v>
      </c>
      <c r="H504" s="35" t="b">
        <v>1</v>
      </c>
      <c r="I504" s="35" t="b">
        <v>0</v>
      </c>
      <c r="J504" s="35" t="b">
        <v>0</v>
      </c>
      <c r="K504" s="35" t="b">
        <v>0</v>
      </c>
      <c r="L504" s="35" t="b">
        <v>0</v>
      </c>
      <c r="M504" s="35" t="b">
        <v>0</v>
      </c>
      <c r="N504" s="35" t="b">
        <v>0</v>
      </c>
      <c r="O504" s="35" t="b">
        <v>0</v>
      </c>
      <c r="P504" s="35" t="b">
        <v>0</v>
      </c>
      <c r="Q504" s="35" t="b">
        <v>0</v>
      </c>
      <c r="R504" s="14"/>
      <c r="S504" s="14"/>
      <c r="T504" s="14"/>
      <c r="U504" s="14"/>
      <c r="V504" s="14"/>
      <c r="W504" s="14"/>
    </row>
    <row r="505" ht="31.5" customHeight="1">
      <c r="A505" s="109" t="s">
        <v>9028</v>
      </c>
      <c r="B505" s="110" t="s">
        <v>9029</v>
      </c>
      <c r="C505" s="111" t="s">
        <v>9030</v>
      </c>
      <c r="D505" s="28" t="s">
        <v>9031</v>
      </c>
      <c r="E505" s="28" t="str">
        <f>IFERROR(__xludf.DUMMYFUNCTION("GOOGLETRANSLATE(D505,""zh-CN"",""vi"")"),"Tình trạng của ông ấy ngày càng xấu đi.")</f>
        <v>Tình trạng của ông ấy ngày càng xấu đi.</v>
      </c>
      <c r="F505" s="128"/>
      <c r="G505" s="36" t="b">
        <f t="shared" si="1"/>
        <v>0</v>
      </c>
      <c r="H505" s="35" t="b">
        <v>1</v>
      </c>
      <c r="I505" s="35" t="b">
        <v>0</v>
      </c>
      <c r="J505" s="35" t="b">
        <v>0</v>
      </c>
      <c r="K505" s="35" t="b">
        <v>0</v>
      </c>
      <c r="L505" s="35" t="b">
        <v>0</v>
      </c>
      <c r="M505" s="35" t="b">
        <v>0</v>
      </c>
      <c r="N505" s="35" t="b">
        <v>0</v>
      </c>
      <c r="O505" s="35" t="b">
        <v>0</v>
      </c>
      <c r="P505" s="35" t="b">
        <v>0</v>
      </c>
      <c r="Q505" s="35" t="b">
        <v>0</v>
      </c>
      <c r="R505" s="14"/>
      <c r="S505" s="14"/>
      <c r="T505" s="14"/>
      <c r="U505" s="14"/>
      <c r="V505" s="14"/>
      <c r="W505" s="14"/>
    </row>
    <row r="506" ht="31.5" customHeight="1">
      <c r="A506" s="109" t="s">
        <v>9036</v>
      </c>
      <c r="B506" s="110" t="s">
        <v>9037</v>
      </c>
      <c r="C506" s="111" t="s">
        <v>9038</v>
      </c>
      <c r="D506" s="28" t="s">
        <v>9039</v>
      </c>
      <c r="E506" s="28" t="str">
        <f>IFERROR(__xludf.DUMMYFUNCTION("GOOGLETRANSLATE(D506,""zh-CN"",""vi"")"),"Chúng ta phải ngăn chặn hành vi này.")</f>
        <v>Chúng ta phải ngăn chặn hành vi này.</v>
      </c>
      <c r="F506" s="128"/>
      <c r="G506" s="36" t="b">
        <f t="shared" si="1"/>
        <v>0</v>
      </c>
      <c r="H506" s="35" t="b">
        <v>1</v>
      </c>
      <c r="I506" s="35" t="b">
        <v>0</v>
      </c>
      <c r="J506" s="35" t="b">
        <v>0</v>
      </c>
      <c r="K506" s="35" t="b">
        <v>0</v>
      </c>
      <c r="L506" s="35" t="b">
        <v>0</v>
      </c>
      <c r="M506" s="35" t="b">
        <v>0</v>
      </c>
      <c r="N506" s="35" t="b">
        <v>0</v>
      </c>
      <c r="O506" s="35" t="b">
        <v>0</v>
      </c>
      <c r="P506" s="35" t="b">
        <v>0</v>
      </c>
      <c r="Q506" s="35" t="b">
        <v>0</v>
      </c>
      <c r="R506" s="14"/>
      <c r="S506" s="14"/>
      <c r="T506" s="14"/>
      <c r="U506" s="14"/>
      <c r="V506" s="14"/>
      <c r="W506" s="14"/>
    </row>
    <row r="507" ht="31.5" customHeight="1">
      <c r="A507" s="109" t="s">
        <v>9044</v>
      </c>
      <c r="B507" s="110" t="s">
        <v>9045</v>
      </c>
      <c r="C507" s="111" t="s">
        <v>9046</v>
      </c>
      <c r="D507" s="28" t="s">
        <v>9047</v>
      </c>
      <c r="E507" s="28" t="str">
        <f>IFERROR(__xludf.DUMMYFUNCTION("GOOGLETRANSLATE(D507,""zh-CN"",""vi"")"),"Họ có nhiều hiềm khích với nhau.")</f>
        <v>Họ có nhiều hiềm khích với nhau.</v>
      </c>
      <c r="F507" s="128"/>
      <c r="G507" s="36" t="b">
        <f t="shared" si="1"/>
        <v>0</v>
      </c>
      <c r="H507" s="35" t="b">
        <v>1</v>
      </c>
      <c r="I507" s="35" t="b">
        <v>0</v>
      </c>
      <c r="J507" s="35" t="b">
        <v>0</v>
      </c>
      <c r="K507" s="35" t="b">
        <v>0</v>
      </c>
      <c r="L507" s="35" t="b">
        <v>0</v>
      </c>
      <c r="M507" s="35" t="b">
        <v>0</v>
      </c>
      <c r="N507" s="35" t="b">
        <v>0</v>
      </c>
      <c r="O507" s="35" t="b">
        <v>0</v>
      </c>
      <c r="P507" s="35" t="b">
        <v>0</v>
      </c>
      <c r="Q507" s="35" t="b">
        <v>0</v>
      </c>
      <c r="R507" s="14"/>
      <c r="S507" s="14"/>
      <c r="T507" s="14"/>
      <c r="U507" s="14"/>
      <c r="V507" s="14"/>
      <c r="W507" s="14"/>
    </row>
    <row r="508" ht="31.5" customHeight="1">
      <c r="A508" s="109" t="s">
        <v>9052</v>
      </c>
      <c r="B508" s="110" t="s">
        <v>9053</v>
      </c>
      <c r="C508" s="111" t="s">
        <v>9054</v>
      </c>
      <c r="D508" s="28" t="s">
        <v>9055</v>
      </c>
      <c r="E508" s="28" t="str">
        <f>IFERROR(__xludf.DUMMYFUNCTION("GOOGLETRANSLATE(D508,""zh-CN"",""vi"")"),"Anh ấy chỉ là một người bình thường.")</f>
        <v>Anh ấy chỉ là một người bình thường.</v>
      </c>
      <c r="F508" s="128"/>
      <c r="G508" s="36" t="b">
        <f t="shared" si="1"/>
        <v>0</v>
      </c>
      <c r="H508" s="35" t="b">
        <v>1</v>
      </c>
      <c r="I508" s="35" t="b">
        <v>0</v>
      </c>
      <c r="J508" s="35" t="b">
        <v>0</v>
      </c>
      <c r="K508" s="35" t="b">
        <v>0</v>
      </c>
      <c r="L508" s="35" t="b">
        <v>0</v>
      </c>
      <c r="M508" s="35" t="b">
        <v>0</v>
      </c>
      <c r="N508" s="35" t="b">
        <v>0</v>
      </c>
      <c r="O508" s="35" t="b">
        <v>0</v>
      </c>
      <c r="P508" s="35" t="b">
        <v>0</v>
      </c>
      <c r="Q508" s="35" t="b">
        <v>0</v>
      </c>
      <c r="R508" s="14"/>
      <c r="S508" s="14"/>
      <c r="T508" s="14"/>
      <c r="U508" s="14"/>
      <c r="V508" s="14"/>
      <c r="W508" s="14"/>
    </row>
    <row r="509" ht="31.5" customHeight="1">
      <c r="A509" s="109" t="s">
        <v>5960</v>
      </c>
      <c r="B509" s="110" t="s">
        <v>5961</v>
      </c>
      <c r="C509" s="111" t="s">
        <v>5962</v>
      </c>
      <c r="D509" s="28" t="s">
        <v>9060</v>
      </c>
      <c r="E509" s="28" t="str">
        <f>IFERROR(__xludf.DUMMYFUNCTION("GOOGLETRANSLATE(D509,""zh-CN"",""vi"")"),"Cô ấy đeo một đôi bông tai rất đẹp.")</f>
        <v>Cô ấy đeo một đôi bông tai rất đẹp.</v>
      </c>
      <c r="F509" s="128"/>
      <c r="G509" s="36" t="b">
        <f t="shared" si="1"/>
        <v>0</v>
      </c>
      <c r="H509" s="35" t="b">
        <v>1</v>
      </c>
      <c r="I509" s="35" t="b">
        <v>0</v>
      </c>
      <c r="J509" s="35" t="b">
        <v>0</v>
      </c>
      <c r="K509" s="35" t="b">
        <v>0</v>
      </c>
      <c r="L509" s="35" t="b">
        <v>0</v>
      </c>
      <c r="M509" s="35" t="b">
        <v>0</v>
      </c>
      <c r="N509" s="35" t="b">
        <v>0</v>
      </c>
      <c r="O509" s="35" t="b">
        <v>0</v>
      </c>
      <c r="P509" s="35" t="b">
        <v>0</v>
      </c>
      <c r="Q509" s="35" t="b">
        <v>0</v>
      </c>
      <c r="R509" s="14"/>
      <c r="S509" s="14"/>
      <c r="T509" s="14"/>
      <c r="U509" s="14"/>
      <c r="V509" s="14"/>
      <c r="W509" s="14"/>
    </row>
    <row r="510" ht="31.5" customHeight="1">
      <c r="A510" s="109" t="s">
        <v>9065</v>
      </c>
      <c r="B510" s="110" t="s">
        <v>9066</v>
      </c>
      <c r="C510" s="111" t="s">
        <v>9067</v>
      </c>
      <c r="D510" s="28" t="s">
        <v>9068</v>
      </c>
      <c r="E510" s="28" t="str">
        <f>IFERROR(__xludf.DUMMYFUNCTION("GOOGLETRANSLATE(D510,""zh-CN"",""vi"")"),"Thực vật hấp thụ carbon dioxide thông qua quá trình quang hợp.")</f>
        <v>Thực vật hấp thụ carbon dioxide thông qua quá trình quang hợp.</v>
      </c>
      <c r="F510" s="128"/>
      <c r="G510" s="36" t="b">
        <f t="shared" si="1"/>
        <v>0</v>
      </c>
      <c r="H510" s="35" t="b">
        <v>1</v>
      </c>
      <c r="I510" s="35" t="b">
        <v>0</v>
      </c>
      <c r="J510" s="35" t="b">
        <v>0</v>
      </c>
      <c r="K510" s="35" t="b">
        <v>0</v>
      </c>
      <c r="L510" s="35" t="b">
        <v>0</v>
      </c>
      <c r="M510" s="35" t="b">
        <v>0</v>
      </c>
      <c r="N510" s="35" t="b">
        <v>0</v>
      </c>
      <c r="O510" s="35" t="b">
        <v>0</v>
      </c>
      <c r="P510" s="35" t="b">
        <v>0</v>
      </c>
      <c r="Q510" s="35" t="b">
        <v>0</v>
      </c>
      <c r="R510" s="14"/>
      <c r="S510" s="14"/>
      <c r="T510" s="14"/>
      <c r="U510" s="14"/>
      <c r="V510" s="14"/>
      <c r="W510" s="14"/>
    </row>
    <row r="511" ht="31.5" customHeight="1">
      <c r="A511" s="109" t="s">
        <v>9073</v>
      </c>
      <c r="B511" s="110" t="s">
        <v>9074</v>
      </c>
      <c r="C511" s="111" t="s">
        <v>9075</v>
      </c>
      <c r="D511" s="28" t="s">
        <v>9076</v>
      </c>
      <c r="E511" s="28" t="str">
        <f>IFERROR(__xludf.DUMMYFUNCTION("GOOGLETRANSLATE(D511,""zh-CN"",""vi"")"),"Công ty vừa cho ra mắt sản phẩm mới nhất của mình.")</f>
        <v>Công ty vừa cho ra mắt sản phẩm mới nhất của mình.</v>
      </c>
      <c r="F511" s="128"/>
      <c r="G511" s="36" t="b">
        <f t="shared" si="1"/>
        <v>0</v>
      </c>
      <c r="H511" s="35" t="b">
        <v>1</v>
      </c>
      <c r="I511" s="35" t="b">
        <v>0</v>
      </c>
      <c r="J511" s="35" t="b">
        <v>0</v>
      </c>
      <c r="K511" s="35" t="b">
        <v>0</v>
      </c>
      <c r="L511" s="35" t="b">
        <v>0</v>
      </c>
      <c r="M511" s="35" t="b">
        <v>0</v>
      </c>
      <c r="N511" s="35" t="b">
        <v>0</v>
      </c>
      <c r="O511" s="35" t="b">
        <v>0</v>
      </c>
      <c r="P511" s="35" t="b">
        <v>0</v>
      </c>
      <c r="Q511" s="35" t="b">
        <v>0</v>
      </c>
      <c r="R511" s="14"/>
      <c r="S511" s="14"/>
      <c r="T511" s="14"/>
      <c r="U511" s="14"/>
      <c r="V511" s="14"/>
      <c r="W511" s="14"/>
    </row>
    <row r="512" ht="31.5" customHeight="1">
      <c r="A512" s="109" t="s">
        <v>9081</v>
      </c>
      <c r="B512" s="110" t="s">
        <v>9082</v>
      </c>
      <c r="C512" s="111" t="s">
        <v>9083</v>
      </c>
      <c r="D512" s="28" t="s">
        <v>9084</v>
      </c>
      <c r="E512" s="28" t="str">
        <f>IFERROR(__xludf.DUMMYFUNCTION("GOOGLETRANSLATE(D512,""zh-CN"",""vi"")"),"Anh ấy từng mơ ước một ngày nào đó sẽ trở nên giàu có.")</f>
        <v>Anh ấy từng mơ ước một ngày nào đó sẽ trở nên giàu có.</v>
      </c>
      <c r="F512" s="128"/>
      <c r="G512" s="36" t="b">
        <f t="shared" si="1"/>
        <v>0</v>
      </c>
      <c r="H512" s="35" t="b">
        <v>1</v>
      </c>
      <c r="I512" s="35" t="b">
        <v>0</v>
      </c>
      <c r="J512" s="35" t="b">
        <v>0</v>
      </c>
      <c r="K512" s="35" t="b">
        <v>0</v>
      </c>
      <c r="L512" s="35" t="b">
        <v>0</v>
      </c>
      <c r="M512" s="35" t="b">
        <v>0</v>
      </c>
      <c r="N512" s="35" t="b">
        <v>0</v>
      </c>
      <c r="O512" s="35" t="b">
        <v>0</v>
      </c>
      <c r="P512" s="35" t="b">
        <v>0</v>
      </c>
      <c r="Q512" s="35" t="b">
        <v>0</v>
      </c>
      <c r="R512" s="14"/>
      <c r="S512" s="14"/>
      <c r="T512" s="14"/>
      <c r="U512" s="14"/>
      <c r="V512" s="14"/>
      <c r="W512" s="14"/>
    </row>
    <row r="513" ht="31.5" customHeight="1">
      <c r="A513" s="109" t="s">
        <v>9089</v>
      </c>
      <c r="B513" s="110" t="s">
        <v>9090</v>
      </c>
      <c r="C513" s="111" t="s">
        <v>9091</v>
      </c>
      <c r="D513" s="28" t="s">
        <v>9092</v>
      </c>
      <c r="E513" s="28" t="str">
        <f>IFERROR(__xludf.DUMMYFUNCTION("GOOGLETRANSLATE(D513,""zh-CN"",""vi"")"),"Cậu ta đang mơ màng trong giờ học.")</f>
        <v>Cậu ta đang mơ màng trong giờ học.</v>
      </c>
      <c r="F513" s="128"/>
      <c r="G513" s="36" t="b">
        <f t="shared" si="1"/>
        <v>0</v>
      </c>
      <c r="H513" s="35" t="b">
        <v>1</v>
      </c>
      <c r="I513" s="35" t="b">
        <v>0</v>
      </c>
      <c r="J513" s="35" t="b">
        <v>0</v>
      </c>
      <c r="K513" s="35" t="b">
        <v>0</v>
      </c>
      <c r="L513" s="35" t="b">
        <v>0</v>
      </c>
      <c r="M513" s="35" t="b">
        <v>0</v>
      </c>
      <c r="N513" s="35" t="b">
        <v>0</v>
      </c>
      <c r="O513" s="35" t="b">
        <v>0</v>
      </c>
      <c r="P513" s="35" t="b">
        <v>0</v>
      </c>
      <c r="Q513" s="35" t="b">
        <v>0</v>
      </c>
      <c r="R513" s="14"/>
      <c r="S513" s="14"/>
      <c r="T513" s="14"/>
      <c r="U513" s="14"/>
      <c r="V513" s="14"/>
      <c r="W513" s="14"/>
    </row>
    <row r="514" ht="31.5" customHeight="1">
      <c r="A514" s="109" t="s">
        <v>9097</v>
      </c>
      <c r="B514" s="110" t="s">
        <v>9098</v>
      </c>
      <c r="C514" s="111" t="s">
        <v>9099</v>
      </c>
      <c r="D514" s="28" t="s">
        <v>9100</v>
      </c>
      <c r="E514" s="28" t="str">
        <f>IFERROR(__xludf.DUMMYFUNCTION("GOOGLETRANSLATE(D514,""zh-CN"",""vi"")"),"Anh ta khởi động xe.")</f>
        <v>Anh ta khởi động xe.</v>
      </c>
      <c r="F514" s="128"/>
      <c r="G514" s="36" t="b">
        <f t="shared" si="1"/>
        <v>0</v>
      </c>
      <c r="H514" s="35" t="b">
        <v>1</v>
      </c>
      <c r="I514" s="35" t="b">
        <v>0</v>
      </c>
      <c r="J514" s="35" t="b">
        <v>0</v>
      </c>
      <c r="K514" s="35" t="b">
        <v>0</v>
      </c>
      <c r="L514" s="35" t="b">
        <v>0</v>
      </c>
      <c r="M514" s="35" t="b">
        <v>0</v>
      </c>
      <c r="N514" s="35" t="b">
        <v>0</v>
      </c>
      <c r="O514" s="35" t="b">
        <v>0</v>
      </c>
      <c r="P514" s="35" t="b">
        <v>0</v>
      </c>
      <c r="Q514" s="35" t="b">
        <v>0</v>
      </c>
      <c r="R514" s="14"/>
      <c r="S514" s="14"/>
      <c r="T514" s="14"/>
      <c r="U514" s="14"/>
      <c r="V514" s="14"/>
      <c r="W514" s="14"/>
    </row>
    <row r="515" ht="31.5" customHeight="1">
      <c r="A515" s="109" t="s">
        <v>9105</v>
      </c>
      <c r="B515" s="110" t="s">
        <v>9106</v>
      </c>
      <c r="C515" s="111" t="s">
        <v>9107</v>
      </c>
      <c r="D515" s="28" t="s">
        <v>9108</v>
      </c>
      <c r="E515" s="28" t="str">
        <f>IFERROR(__xludf.DUMMYFUNCTION("GOOGLETRANSLATE(D515,""zh-CN"",""vi"")"),"Cô ấy tức giận vì cô ấy đang buồn.")</f>
        <v>Cô ấy tức giận vì cô ấy đang buồn.</v>
      </c>
      <c r="F515" s="128"/>
      <c r="G515" s="36" t="b">
        <f t="shared" si="1"/>
        <v>0</v>
      </c>
      <c r="H515" s="35" t="b">
        <v>1</v>
      </c>
      <c r="I515" s="35" t="b">
        <v>0</v>
      </c>
      <c r="J515" s="35" t="b">
        <v>0</v>
      </c>
      <c r="K515" s="35" t="b">
        <v>0</v>
      </c>
      <c r="L515" s="35" t="b">
        <v>0</v>
      </c>
      <c r="M515" s="35" t="b">
        <v>0</v>
      </c>
      <c r="N515" s="35" t="b">
        <v>0</v>
      </c>
      <c r="O515" s="35" t="b">
        <v>0</v>
      </c>
      <c r="P515" s="35" t="b">
        <v>0</v>
      </c>
      <c r="Q515" s="35" t="b">
        <v>0</v>
      </c>
      <c r="R515" s="14"/>
      <c r="S515" s="14"/>
      <c r="T515" s="14"/>
      <c r="U515" s="14"/>
      <c r="V515" s="14"/>
      <c r="W515" s="14"/>
    </row>
    <row r="516" ht="31.5" customHeight="1">
      <c r="A516" s="109" t="s">
        <v>9113</v>
      </c>
      <c r="B516" s="110" t="s">
        <v>9114</v>
      </c>
      <c r="C516" s="111" t="s">
        <v>9115</v>
      </c>
      <c r="D516" s="28" t="s">
        <v>9116</v>
      </c>
      <c r="E516" s="28" t="str">
        <f>IFERROR(__xludf.DUMMYFUNCTION("GOOGLETRANSLATE(D516,""zh-CN"",""vi"")"),"Tôi nhận thấy anh ấy cư xử hơi lạ.")</f>
        <v>Tôi nhận thấy anh ấy cư xử hơi lạ.</v>
      </c>
      <c r="F516" s="128"/>
      <c r="G516" s="36" t="b">
        <f t="shared" si="1"/>
        <v>0</v>
      </c>
      <c r="H516" s="35" t="b">
        <v>1</v>
      </c>
      <c r="I516" s="35" t="b">
        <v>0</v>
      </c>
      <c r="J516" s="35" t="b">
        <v>0</v>
      </c>
      <c r="K516" s="35" t="b">
        <v>0</v>
      </c>
      <c r="L516" s="35" t="b">
        <v>0</v>
      </c>
      <c r="M516" s="35" t="b">
        <v>0</v>
      </c>
      <c r="N516" s="35" t="b">
        <v>0</v>
      </c>
      <c r="O516" s="35" t="b">
        <v>0</v>
      </c>
      <c r="P516" s="35" t="b">
        <v>0</v>
      </c>
      <c r="Q516" s="35" t="b">
        <v>0</v>
      </c>
      <c r="R516" s="14"/>
      <c r="S516" s="14"/>
      <c r="T516" s="14"/>
      <c r="U516" s="14"/>
      <c r="V516" s="14"/>
      <c r="W516" s="14"/>
    </row>
    <row r="517" ht="31.5" customHeight="1">
      <c r="A517" s="109" t="s">
        <v>9121</v>
      </c>
      <c r="B517" s="110" t="s">
        <v>9122</v>
      </c>
      <c r="C517" s="111" t="s">
        <v>9123</v>
      </c>
      <c r="D517" s="28" t="s">
        <v>9124</v>
      </c>
      <c r="E517" s="28" t="str">
        <f>IFERROR(__xludf.DUMMYFUNCTION("GOOGLETRANSLATE(D517,""zh-CN"",""vi"")"),"Tên lửa đã được phóng thành công.")</f>
        <v>Tên lửa đã được phóng thành công.</v>
      </c>
      <c r="F517" s="128"/>
      <c r="G517" s="36" t="b">
        <f t="shared" si="1"/>
        <v>0</v>
      </c>
      <c r="H517" s="35" t="b">
        <v>1</v>
      </c>
      <c r="I517" s="35" t="b">
        <v>0</v>
      </c>
      <c r="J517" s="35" t="b">
        <v>0</v>
      </c>
      <c r="K517" s="35" t="b">
        <v>0</v>
      </c>
      <c r="L517" s="35" t="b">
        <v>0</v>
      </c>
      <c r="M517" s="35" t="b">
        <v>0</v>
      </c>
      <c r="N517" s="35" t="b">
        <v>0</v>
      </c>
      <c r="O517" s="35" t="b">
        <v>0</v>
      </c>
      <c r="P517" s="35" t="b">
        <v>0</v>
      </c>
      <c r="Q517" s="35" t="b">
        <v>0</v>
      </c>
      <c r="R517" s="14"/>
      <c r="S517" s="14"/>
      <c r="T517" s="14"/>
      <c r="U517" s="14"/>
      <c r="V517" s="14"/>
      <c r="W517" s="14"/>
    </row>
    <row r="518" ht="31.5" customHeight="1">
      <c r="A518" s="109" t="s">
        <v>9125</v>
      </c>
      <c r="B518" s="110" t="s">
        <v>9126</v>
      </c>
      <c r="C518" s="111" t="s">
        <v>9127</v>
      </c>
      <c r="D518" s="28" t="s">
        <v>9128</v>
      </c>
      <c r="E518" s="28" t="str">
        <f>IFERROR(__xludf.DUMMYFUNCTION("GOOGLETRANSLATE(D518,""zh-CN"",""vi"")"),"Anh ấy thề sẽ không bao giờ nói dối.")</f>
        <v>Anh ấy thề sẽ không bao giờ nói dối.</v>
      </c>
      <c r="F518" s="128"/>
      <c r="G518" s="36" t="b">
        <f t="shared" si="1"/>
        <v>0</v>
      </c>
      <c r="H518" s="35" t="b">
        <v>1</v>
      </c>
      <c r="I518" s="35" t="b">
        <v>0</v>
      </c>
      <c r="J518" s="35" t="b">
        <v>0</v>
      </c>
      <c r="K518" s="35" t="b">
        <v>0</v>
      </c>
      <c r="L518" s="35" t="b">
        <v>0</v>
      </c>
      <c r="M518" s="35" t="b">
        <v>0</v>
      </c>
      <c r="N518" s="35" t="b">
        <v>0</v>
      </c>
      <c r="O518" s="35" t="b">
        <v>0</v>
      </c>
      <c r="P518" s="35" t="b">
        <v>0</v>
      </c>
      <c r="Q518" s="35" t="b">
        <v>0</v>
      </c>
      <c r="R518" s="14"/>
      <c r="S518" s="14"/>
      <c r="T518" s="14"/>
      <c r="U518" s="14"/>
      <c r="V518" s="14"/>
      <c r="W518" s="14"/>
    </row>
    <row r="519" ht="31.5" customHeight="1">
      <c r="A519" s="109" t="s">
        <v>9130</v>
      </c>
      <c r="B519" s="110" t="s">
        <v>9132</v>
      </c>
      <c r="C519" s="111" t="s">
        <v>9134</v>
      </c>
      <c r="D519" s="28" t="s">
        <v>9136</v>
      </c>
      <c r="E519" s="28" t="str">
        <f>IFERROR(__xludf.DUMMYFUNCTION("GOOGLETRANSLATE(D519,""zh-CN"",""vi"")"),"Cuốn sách mới sắp được phát hành.")</f>
        <v>Cuốn sách mới sắp được phát hành.</v>
      </c>
      <c r="F519" s="128"/>
      <c r="G519" s="36" t="b">
        <f t="shared" si="1"/>
        <v>0</v>
      </c>
      <c r="H519" s="35" t="b">
        <v>1</v>
      </c>
      <c r="I519" s="35" t="b">
        <v>0</v>
      </c>
      <c r="J519" s="35" t="b">
        <v>0</v>
      </c>
      <c r="K519" s="35" t="b">
        <v>0</v>
      </c>
      <c r="L519" s="35" t="b">
        <v>0</v>
      </c>
      <c r="M519" s="35" t="b">
        <v>0</v>
      </c>
      <c r="N519" s="35" t="b">
        <v>0</v>
      </c>
      <c r="O519" s="35" t="b">
        <v>0</v>
      </c>
      <c r="P519" s="35" t="b">
        <v>0</v>
      </c>
      <c r="Q519" s="35" t="b">
        <v>0</v>
      </c>
      <c r="R519" s="14"/>
      <c r="S519" s="14"/>
      <c r="T519" s="14"/>
      <c r="U519" s="14"/>
      <c r="V519" s="14"/>
      <c r="W519" s="14"/>
    </row>
    <row r="520" ht="31.5" customHeight="1">
      <c r="A520" s="109" t="s">
        <v>9137</v>
      </c>
      <c r="B520" s="110" t="s">
        <v>6022</v>
      </c>
      <c r="C520" s="111" t="s">
        <v>9139</v>
      </c>
      <c r="D520" s="28" t="s">
        <v>9141</v>
      </c>
      <c r="E520" s="28" t="str">
        <f>IFERROR(__xludf.DUMMYFUNCTION("GOOGLETRANSLATE(D520,""zh-CN"",""vi"")"),"Cổ họng của anh ấy bị viêm.")</f>
        <v>Cổ họng của anh ấy bị viêm.</v>
      </c>
      <c r="F520" s="128"/>
      <c r="G520" s="36" t="b">
        <f t="shared" si="1"/>
        <v>0</v>
      </c>
      <c r="H520" s="35" t="b">
        <v>1</v>
      </c>
      <c r="I520" s="35" t="b">
        <v>0</v>
      </c>
      <c r="J520" s="35" t="b">
        <v>0</v>
      </c>
      <c r="K520" s="35" t="b">
        <v>0</v>
      </c>
      <c r="L520" s="35" t="b">
        <v>0</v>
      </c>
      <c r="M520" s="35" t="b">
        <v>0</v>
      </c>
      <c r="N520" s="35" t="b">
        <v>0</v>
      </c>
      <c r="O520" s="35" t="b">
        <v>0</v>
      </c>
      <c r="P520" s="35" t="b">
        <v>0</v>
      </c>
      <c r="Q520" s="35" t="b">
        <v>0</v>
      </c>
      <c r="R520" s="14"/>
      <c r="S520" s="14"/>
      <c r="T520" s="14"/>
      <c r="U520" s="14"/>
      <c r="V520" s="14"/>
      <c r="W520" s="14"/>
    </row>
    <row r="521" ht="31.5" customHeight="1">
      <c r="A521" s="109" t="s">
        <v>9144</v>
      </c>
      <c r="B521" s="110" t="s">
        <v>9145</v>
      </c>
      <c r="C521" s="111" t="s">
        <v>6001</v>
      </c>
      <c r="D521" s="28" t="s">
        <v>9150</v>
      </c>
      <c r="E521" s="28" t="str">
        <f>IFERROR(__xludf.DUMMYFUNCTION("GOOGLETRANSLATE(D521,""zh-CN"",""vi"")"),"Chúng ta nên quảng bá văn hóa truyền thống.")</f>
        <v>Chúng ta nên quảng bá văn hóa truyền thống.</v>
      </c>
      <c r="F521" s="128"/>
      <c r="G521" s="36" t="b">
        <f t="shared" si="1"/>
        <v>0</v>
      </c>
      <c r="H521" s="35" t="b">
        <v>1</v>
      </c>
      <c r="I521" s="35" t="b">
        <v>0</v>
      </c>
      <c r="J521" s="35" t="b">
        <v>0</v>
      </c>
      <c r="K521" s="35" t="b">
        <v>0</v>
      </c>
      <c r="L521" s="35" t="b">
        <v>0</v>
      </c>
      <c r="M521" s="35" t="b">
        <v>0</v>
      </c>
      <c r="N521" s="35" t="b">
        <v>0</v>
      </c>
      <c r="O521" s="35" t="b">
        <v>0</v>
      </c>
      <c r="P521" s="35" t="b">
        <v>0</v>
      </c>
      <c r="Q521" s="35" t="b">
        <v>0</v>
      </c>
      <c r="R521" s="14"/>
      <c r="S521" s="14"/>
      <c r="T521" s="14"/>
      <c r="U521" s="14"/>
      <c r="V521" s="14"/>
      <c r="W521" s="14"/>
    </row>
    <row r="522" ht="31.5" customHeight="1">
      <c r="A522" s="109" t="s">
        <v>9155</v>
      </c>
      <c r="B522" s="110" t="s">
        <v>9156</v>
      </c>
      <c r="C522" s="111" t="s">
        <v>9157</v>
      </c>
      <c r="D522" s="28" t="s">
        <v>9158</v>
      </c>
      <c r="E522" s="28" t="str">
        <f>IFERROR(__xludf.DUMMYFUNCTION("GOOGLETRANSLATE(D522,""zh-CN"",""vi"")"),"Em bé đang phát triển khỏe mạnh.")</f>
        <v>Em bé đang phát triển khỏe mạnh.</v>
      </c>
      <c r="F522" s="128"/>
      <c r="G522" s="36" t="b">
        <f t="shared" si="1"/>
        <v>0</v>
      </c>
      <c r="H522" s="35" t="b">
        <v>1</v>
      </c>
      <c r="I522" s="35" t="b">
        <v>0</v>
      </c>
      <c r="J522" s="35" t="b">
        <v>0</v>
      </c>
      <c r="K522" s="35" t="b">
        <v>0</v>
      </c>
      <c r="L522" s="35" t="b">
        <v>0</v>
      </c>
      <c r="M522" s="35" t="b">
        <v>0</v>
      </c>
      <c r="N522" s="35" t="b">
        <v>0</v>
      </c>
      <c r="O522" s="35" t="b">
        <v>0</v>
      </c>
      <c r="P522" s="35" t="b">
        <v>0</v>
      </c>
      <c r="Q522" s="35" t="b">
        <v>0</v>
      </c>
      <c r="R522" s="14"/>
      <c r="S522" s="14"/>
      <c r="T522" s="14"/>
      <c r="U522" s="14"/>
      <c r="V522" s="14"/>
      <c r="W522" s="14"/>
    </row>
    <row r="523" ht="31.5" customHeight="1">
      <c r="A523" s="109" t="s">
        <v>9163</v>
      </c>
      <c r="B523" s="110" t="s">
        <v>9164</v>
      </c>
      <c r="C523" s="111" t="s">
        <v>9165</v>
      </c>
      <c r="D523" s="28" t="s">
        <v>9166</v>
      </c>
      <c r="E523" s="28" t="str">
        <f>IFERROR(__xludf.DUMMYFUNCTION("GOOGLETRANSLATE(D523,""zh-CN"",""vi"")"),"Công ty là một thực thể pháp lý.")</f>
        <v>Công ty là một thực thể pháp lý.</v>
      </c>
      <c r="F523" s="128"/>
      <c r="G523" s="36" t="b">
        <f t="shared" si="1"/>
        <v>0</v>
      </c>
      <c r="H523" s="35" t="b">
        <v>1</v>
      </c>
      <c r="I523" s="35" t="b">
        <v>0</v>
      </c>
      <c r="J523" s="35" t="b">
        <v>0</v>
      </c>
      <c r="K523" s="35" t="b">
        <v>0</v>
      </c>
      <c r="L523" s="35" t="b">
        <v>0</v>
      </c>
      <c r="M523" s="35" t="b">
        <v>0</v>
      </c>
      <c r="N523" s="35" t="b">
        <v>0</v>
      </c>
      <c r="O523" s="35" t="b">
        <v>0</v>
      </c>
      <c r="P523" s="35" t="b">
        <v>0</v>
      </c>
      <c r="Q523" s="35" t="b">
        <v>0</v>
      </c>
      <c r="R523" s="14"/>
      <c r="S523" s="14"/>
      <c r="T523" s="14"/>
      <c r="U523" s="14"/>
      <c r="V523" s="14"/>
      <c r="W523" s="14"/>
    </row>
    <row r="524" ht="31.5" customHeight="1">
      <c r="A524" s="109" t="s">
        <v>9175</v>
      </c>
      <c r="B524" s="110" t="s">
        <v>6046</v>
      </c>
      <c r="C524" s="111" t="s">
        <v>9176</v>
      </c>
      <c r="D524" s="28" t="s">
        <v>9178</v>
      </c>
      <c r="E524" s="28" t="str">
        <f>IFERROR(__xludf.DUMMYFUNCTION("GOOGLETRANSLATE(D524,""zh-CN"",""vi"")"),"Anh ấy đã phải đối mặt với một số thách thức.")</f>
        <v>Anh ấy đã phải đối mặt với một số thách thức.</v>
      </c>
      <c r="F524" s="128"/>
      <c r="G524" s="36" t="b">
        <f t="shared" si="1"/>
        <v>0</v>
      </c>
      <c r="H524" s="35" t="b">
        <v>1</v>
      </c>
      <c r="I524" s="35" t="b">
        <v>0</v>
      </c>
      <c r="J524" s="35" t="b">
        <v>0</v>
      </c>
      <c r="K524" s="35" t="b">
        <v>0</v>
      </c>
      <c r="L524" s="35" t="b">
        <v>0</v>
      </c>
      <c r="M524" s="35" t="b">
        <v>0</v>
      </c>
      <c r="N524" s="35" t="b">
        <v>0</v>
      </c>
      <c r="O524" s="35" t="b">
        <v>0</v>
      </c>
      <c r="P524" s="35" t="b">
        <v>0</v>
      </c>
      <c r="Q524" s="35" t="b">
        <v>0</v>
      </c>
      <c r="R524" s="14"/>
      <c r="S524" s="14"/>
      <c r="T524" s="14"/>
      <c r="U524" s="14"/>
      <c r="V524" s="14"/>
      <c r="W524" s="14"/>
    </row>
    <row r="525" ht="31.5" customHeight="1">
      <c r="A525" s="109" t="s">
        <v>6045</v>
      </c>
      <c r="B525" s="110" t="s">
        <v>6046</v>
      </c>
      <c r="C525" s="111" t="s">
        <v>9181</v>
      </c>
      <c r="D525" s="28" t="s">
        <v>9182</v>
      </c>
      <c r="E525" s="28" t="str">
        <f>IFERROR(__xludf.DUMMYFUNCTION("GOOGLETRANSLATE(D525,""zh-CN"",""vi"")"),"Vui lòng chuyển sang trang mười.")</f>
        <v>Vui lòng chuyển sang trang mười.</v>
      </c>
      <c r="F525" s="128"/>
      <c r="G525" s="36" t="b">
        <f t="shared" si="1"/>
        <v>0</v>
      </c>
      <c r="H525" s="35" t="b">
        <v>1</v>
      </c>
      <c r="I525" s="35" t="b">
        <v>0</v>
      </c>
      <c r="J525" s="35" t="b">
        <v>0</v>
      </c>
      <c r="K525" s="35" t="b">
        <v>0</v>
      </c>
      <c r="L525" s="35" t="b">
        <v>0</v>
      </c>
      <c r="M525" s="35" t="b">
        <v>0</v>
      </c>
      <c r="N525" s="35" t="b">
        <v>0</v>
      </c>
      <c r="O525" s="35" t="b">
        <v>0</v>
      </c>
      <c r="P525" s="35" t="b">
        <v>0</v>
      </c>
      <c r="Q525" s="35" t="b">
        <v>0</v>
      </c>
      <c r="R525" s="14"/>
      <c r="S525" s="14"/>
      <c r="T525" s="14"/>
      <c r="U525" s="14"/>
      <c r="V525" s="14"/>
      <c r="W525" s="14"/>
    </row>
    <row r="526" ht="31.5" customHeight="1">
      <c r="A526" s="109" t="s">
        <v>9187</v>
      </c>
      <c r="B526" s="110" t="s">
        <v>9188</v>
      </c>
      <c r="C526" s="111" t="s">
        <v>9189</v>
      </c>
      <c r="D526" s="28" t="s">
        <v>9190</v>
      </c>
      <c r="E526" s="28" t="str">
        <f>IFERROR(__xludf.DUMMYFUNCTION("GOOGLETRANSLATE(D526,""zh-CN"",""vi"")"),"Thành phố này rất thịnh vượng.")</f>
        <v>Thành phố này rất thịnh vượng.</v>
      </c>
      <c r="F526" s="128"/>
      <c r="G526" s="36" t="b">
        <f t="shared" si="1"/>
        <v>0</v>
      </c>
      <c r="H526" s="35" t="b">
        <v>1</v>
      </c>
      <c r="I526" s="35" t="b">
        <v>0</v>
      </c>
      <c r="J526" s="35" t="b">
        <v>0</v>
      </c>
      <c r="K526" s="35" t="b">
        <v>0</v>
      </c>
      <c r="L526" s="35" t="b">
        <v>0</v>
      </c>
      <c r="M526" s="35" t="b">
        <v>0</v>
      </c>
      <c r="N526" s="35" t="b">
        <v>0</v>
      </c>
      <c r="O526" s="35" t="b">
        <v>0</v>
      </c>
      <c r="P526" s="35" t="b">
        <v>0</v>
      </c>
      <c r="Q526" s="35" t="b">
        <v>0</v>
      </c>
      <c r="R526" s="14"/>
      <c r="S526" s="14"/>
      <c r="T526" s="14"/>
      <c r="U526" s="14"/>
      <c r="V526" s="14"/>
      <c r="W526" s="14"/>
    </row>
    <row r="527" ht="31.5" customHeight="1">
      <c r="A527" s="109" t="s">
        <v>9195</v>
      </c>
      <c r="B527" s="110" t="s">
        <v>9196</v>
      </c>
      <c r="C527" s="111" t="s">
        <v>9197</v>
      </c>
      <c r="D527" s="28" t="s">
        <v>9198</v>
      </c>
      <c r="E527" s="28" t="str">
        <f>IFERROR(__xludf.DUMMYFUNCTION("GOOGLETRANSLATE(D527,""zh-CN"",""vi"")"),"Anh ấy rất bận rộn với công việc mỗi ngày.")</f>
        <v>Anh ấy rất bận rộn với công việc mỗi ngày.</v>
      </c>
      <c r="F527" s="128"/>
      <c r="G527" s="36" t="b">
        <f t="shared" si="1"/>
        <v>0</v>
      </c>
      <c r="H527" s="35" t="b">
        <v>1</v>
      </c>
      <c r="I527" s="35" t="b">
        <v>0</v>
      </c>
      <c r="J527" s="35" t="b">
        <v>0</v>
      </c>
      <c r="K527" s="35" t="b">
        <v>0</v>
      </c>
      <c r="L527" s="35" t="b">
        <v>0</v>
      </c>
      <c r="M527" s="35" t="b">
        <v>0</v>
      </c>
      <c r="N527" s="35" t="b">
        <v>0</v>
      </c>
      <c r="O527" s="35" t="b">
        <v>0</v>
      </c>
      <c r="P527" s="35" t="b">
        <v>0</v>
      </c>
      <c r="Q527" s="35" t="b">
        <v>0</v>
      </c>
      <c r="R527" s="14"/>
      <c r="S527" s="14"/>
      <c r="T527" s="14"/>
      <c r="U527" s="14"/>
      <c r="V527" s="14"/>
      <c r="W527" s="14"/>
    </row>
    <row r="528" ht="31.5" customHeight="1">
      <c r="A528" s="109" t="s">
        <v>9203</v>
      </c>
      <c r="B528" s="110" t="s">
        <v>9204</v>
      </c>
      <c r="C528" s="111" t="s">
        <v>9205</v>
      </c>
      <c r="D528" s="28" t="s">
        <v>9206</v>
      </c>
      <c r="E528" s="28" t="str">
        <f>IFERROR(__xludf.DUMMYFUNCTION("GOOGLETRANSLATE(D528,""zh-CN"",""vi"")"),"Chữ Hán truyền thống vẫn được sử dụng ở Đài Loan.")</f>
        <v>Chữ Hán truyền thống vẫn được sử dụng ở Đài Loan.</v>
      </c>
      <c r="F528" s="128"/>
      <c r="G528" s="36" t="b">
        <f t="shared" si="1"/>
        <v>0</v>
      </c>
      <c r="H528" s="35" t="b">
        <v>1</v>
      </c>
      <c r="I528" s="35" t="b">
        <v>0</v>
      </c>
      <c r="J528" s="35" t="b">
        <v>0</v>
      </c>
      <c r="K528" s="35" t="b">
        <v>0</v>
      </c>
      <c r="L528" s="35" t="b">
        <v>0</v>
      </c>
      <c r="M528" s="35" t="b">
        <v>0</v>
      </c>
      <c r="N528" s="35" t="b">
        <v>0</v>
      </c>
      <c r="O528" s="35" t="b">
        <v>0</v>
      </c>
      <c r="P528" s="35" t="b">
        <v>0</v>
      </c>
      <c r="Q528" s="35" t="b">
        <v>0</v>
      </c>
      <c r="R528" s="14"/>
      <c r="S528" s="14"/>
      <c r="T528" s="14"/>
      <c r="U528" s="14"/>
      <c r="V528" s="14"/>
      <c r="W528" s="14"/>
    </row>
    <row r="529" ht="31.5" customHeight="1">
      <c r="A529" s="109" t="s">
        <v>9211</v>
      </c>
      <c r="B529" s="110" t="s">
        <v>9212</v>
      </c>
      <c r="C529" s="111" t="s">
        <v>9213</v>
      </c>
      <c r="D529" s="28" t="s">
        <v>9214</v>
      </c>
      <c r="E529" s="28" t="str">
        <f>IFERROR(__xludf.DUMMYFUNCTION("GOOGLETRANSLATE(D529,""zh-CN"",""vi"")"),"Vi khuẩn sinh sôi nảy nở trong điều kiện thích hợp.")</f>
        <v>Vi khuẩn sinh sôi nảy nở trong điều kiện thích hợp.</v>
      </c>
      <c r="F529" s="128"/>
      <c r="G529" s="36" t="b">
        <f t="shared" si="1"/>
        <v>0</v>
      </c>
      <c r="H529" s="35" t="b">
        <v>1</v>
      </c>
      <c r="I529" s="35" t="b">
        <v>0</v>
      </c>
      <c r="J529" s="35" t="b">
        <v>0</v>
      </c>
      <c r="K529" s="35" t="b">
        <v>0</v>
      </c>
      <c r="L529" s="35" t="b">
        <v>0</v>
      </c>
      <c r="M529" s="35" t="b">
        <v>0</v>
      </c>
      <c r="N529" s="35" t="b">
        <v>0</v>
      </c>
      <c r="O529" s="35" t="b">
        <v>0</v>
      </c>
      <c r="P529" s="35" t="b">
        <v>0</v>
      </c>
      <c r="Q529" s="35" t="b">
        <v>0</v>
      </c>
      <c r="R529" s="14"/>
      <c r="S529" s="14"/>
      <c r="T529" s="14"/>
      <c r="U529" s="14"/>
      <c r="V529" s="14"/>
      <c r="W529" s="14"/>
    </row>
    <row r="530" ht="31.5" customHeight="1">
      <c r="A530" s="109" t="s">
        <v>9219</v>
      </c>
      <c r="B530" s="110" t="s">
        <v>9220</v>
      </c>
      <c r="C530" s="111" t="s">
        <v>9221</v>
      </c>
      <c r="D530" s="28" t="s">
        <v>9222</v>
      </c>
      <c r="E530" s="28" t="str">
        <f>IFERROR(__xludf.DUMMYFUNCTION("GOOGLETRANSLATE(D530,""zh-CN"",""vi"")"),"Ông ta bác bỏ quan điểm của phía bên kia.")</f>
        <v>Ông ta bác bỏ quan điểm của phía bên kia.</v>
      </c>
      <c r="F530" s="128"/>
      <c r="G530" s="36" t="b">
        <f t="shared" si="1"/>
        <v>0</v>
      </c>
      <c r="H530" s="35" t="b">
        <v>1</v>
      </c>
      <c r="I530" s="35" t="b">
        <v>0</v>
      </c>
      <c r="J530" s="35" t="b">
        <v>0</v>
      </c>
      <c r="K530" s="35" t="b">
        <v>0</v>
      </c>
      <c r="L530" s="35" t="b">
        <v>0</v>
      </c>
      <c r="M530" s="35" t="b">
        <v>0</v>
      </c>
      <c r="N530" s="35" t="b">
        <v>0</v>
      </c>
      <c r="O530" s="35" t="b">
        <v>0</v>
      </c>
      <c r="P530" s="35" t="b">
        <v>0</v>
      </c>
      <c r="Q530" s="35" t="b">
        <v>0</v>
      </c>
      <c r="R530" s="14"/>
      <c r="S530" s="14"/>
      <c r="T530" s="14"/>
      <c r="U530" s="14"/>
      <c r="V530" s="14"/>
      <c r="W530" s="14"/>
    </row>
    <row r="531" ht="31.5" customHeight="1">
      <c r="A531" s="109" t="s">
        <v>9227</v>
      </c>
      <c r="B531" s="110" t="s">
        <v>9228</v>
      </c>
      <c r="C531" s="111" t="s">
        <v>9229</v>
      </c>
      <c r="D531" s="28" t="s">
        <v>9230</v>
      </c>
      <c r="E531" s="28" t="str">
        <f>IFERROR(__xludf.DUMMYFUNCTION("GOOGLETRANSLATE(D531,""zh-CN"",""vi"")"),"Hôm nay thời tiết nóng bất thường.")</f>
        <v>Hôm nay thời tiết nóng bất thường.</v>
      </c>
      <c r="F531" s="128"/>
      <c r="G531" s="36" t="b">
        <f t="shared" si="1"/>
        <v>0</v>
      </c>
      <c r="H531" s="35" t="b">
        <v>1</v>
      </c>
      <c r="I531" s="35" t="b">
        <v>0</v>
      </c>
      <c r="J531" s="35" t="b">
        <v>0</v>
      </c>
      <c r="K531" s="35" t="b">
        <v>0</v>
      </c>
      <c r="L531" s="35" t="b">
        <v>0</v>
      </c>
      <c r="M531" s="35" t="b">
        <v>0</v>
      </c>
      <c r="N531" s="35" t="b">
        <v>0</v>
      </c>
      <c r="O531" s="35" t="b">
        <v>0</v>
      </c>
      <c r="P531" s="35" t="b">
        <v>0</v>
      </c>
      <c r="Q531" s="35" t="b">
        <v>0</v>
      </c>
      <c r="R531" s="14"/>
      <c r="S531" s="14"/>
      <c r="T531" s="14"/>
      <c r="U531" s="14"/>
      <c r="V531" s="14"/>
      <c r="W531" s="14"/>
    </row>
    <row r="532" ht="31.5" customHeight="1">
      <c r="A532" s="109" t="s">
        <v>9235</v>
      </c>
      <c r="B532" s="110" t="s">
        <v>9236</v>
      </c>
      <c r="C532" s="111" t="s">
        <v>9237</v>
      </c>
      <c r="D532" s="28" t="s">
        <v>9238</v>
      </c>
      <c r="E532" s="28" t="str">
        <f>IFERROR(__xludf.DUMMYFUNCTION("GOOGLETRANSLATE(D532,""zh-CN"",""vi"")"),"Tình hình thực tế còn tồi tệ hơn.")</f>
        <v>Tình hình thực tế còn tồi tệ hơn.</v>
      </c>
      <c r="F532" s="128"/>
      <c r="G532" s="36" t="b">
        <f t="shared" si="1"/>
        <v>0</v>
      </c>
      <c r="H532" s="35" t="b">
        <v>1</v>
      </c>
      <c r="I532" s="35" t="b">
        <v>0</v>
      </c>
      <c r="J532" s="35" t="b">
        <v>0</v>
      </c>
      <c r="K532" s="35" t="b">
        <v>0</v>
      </c>
      <c r="L532" s="35" t="b">
        <v>0</v>
      </c>
      <c r="M532" s="35" t="b">
        <v>0</v>
      </c>
      <c r="N532" s="35" t="b">
        <v>0</v>
      </c>
      <c r="O532" s="35" t="b">
        <v>0</v>
      </c>
      <c r="P532" s="35" t="b">
        <v>0</v>
      </c>
      <c r="Q532" s="35" t="b">
        <v>0</v>
      </c>
      <c r="R532" s="14"/>
      <c r="S532" s="14"/>
      <c r="T532" s="14"/>
      <c r="U532" s="14"/>
      <c r="V532" s="14"/>
      <c r="W532" s="14"/>
    </row>
    <row r="533" ht="31.5" customHeight="1">
      <c r="A533" s="109" t="s">
        <v>9243</v>
      </c>
      <c r="B533" s="110" t="s">
        <v>9244</v>
      </c>
      <c r="C533" s="111" t="s">
        <v>9245</v>
      </c>
      <c r="D533" s="28" t="s">
        <v>9246</v>
      </c>
      <c r="E533" s="28" t="str">
        <f>IFERROR(__xludf.DUMMYFUNCTION("GOOGLETRANSLATE(D533,""zh-CN"",""vi"")"),"Họ là một tổ chức phản động.")</f>
        <v>Họ là một tổ chức phản động.</v>
      </c>
      <c r="F533" s="128"/>
      <c r="G533" s="36" t="b">
        <f t="shared" si="1"/>
        <v>0</v>
      </c>
      <c r="H533" s="35" t="b">
        <v>1</v>
      </c>
      <c r="I533" s="35" t="b">
        <v>0</v>
      </c>
      <c r="J533" s="35" t="b">
        <v>0</v>
      </c>
      <c r="K533" s="35" t="b">
        <v>0</v>
      </c>
      <c r="L533" s="35" t="b">
        <v>0</v>
      </c>
      <c r="M533" s="35" t="b">
        <v>0</v>
      </c>
      <c r="N533" s="35" t="b">
        <v>0</v>
      </c>
      <c r="O533" s="35" t="b">
        <v>0</v>
      </c>
      <c r="P533" s="35" t="b">
        <v>0</v>
      </c>
      <c r="Q533" s="35" t="b">
        <v>0</v>
      </c>
      <c r="R533" s="14"/>
      <c r="S533" s="14"/>
      <c r="T533" s="14"/>
      <c r="U533" s="14"/>
      <c r="V533" s="14"/>
      <c r="W533" s="14"/>
    </row>
    <row r="534" ht="31.5" customHeight="1">
      <c r="A534" s="109" t="s">
        <v>9251</v>
      </c>
      <c r="B534" s="110" t="s">
        <v>9252</v>
      </c>
      <c r="C534" s="111" t="s">
        <v>9253</v>
      </c>
      <c r="D534" s="28" t="s">
        <v>9254</v>
      </c>
      <c r="E534" s="28" t="str">
        <f>IFERROR(__xludf.DUMMYFUNCTION("GOOGLETRANSLATE(D534,""zh-CN"",""vi"")"),"Hành vi của anh ta thật xúc phạm.")</f>
        <v>Hành vi của anh ta thật xúc phạm.</v>
      </c>
      <c r="F534" s="128"/>
      <c r="G534" s="36" t="b">
        <f t="shared" si="1"/>
        <v>0</v>
      </c>
      <c r="H534" s="35" t="b">
        <v>1</v>
      </c>
      <c r="I534" s="35" t="b">
        <v>0</v>
      </c>
      <c r="J534" s="35" t="b">
        <v>0</v>
      </c>
      <c r="K534" s="35" t="b">
        <v>0</v>
      </c>
      <c r="L534" s="35" t="b">
        <v>0</v>
      </c>
      <c r="M534" s="35" t="b">
        <v>0</v>
      </c>
      <c r="N534" s="35" t="b">
        <v>0</v>
      </c>
      <c r="O534" s="35" t="b">
        <v>0</v>
      </c>
      <c r="P534" s="35" t="b">
        <v>0</v>
      </c>
      <c r="Q534" s="35" t="b">
        <v>0</v>
      </c>
      <c r="R534" s="14"/>
      <c r="S534" s="14"/>
      <c r="T534" s="14"/>
      <c r="U534" s="14"/>
      <c r="V534" s="14"/>
      <c r="W534" s="14"/>
    </row>
    <row r="535" ht="31.5" customHeight="1">
      <c r="A535" s="109" t="s">
        <v>9259</v>
      </c>
      <c r="B535" s="110" t="s">
        <v>9260</v>
      </c>
      <c r="C535" s="111" t="s">
        <v>9261</v>
      </c>
      <c r="D535" s="28" t="s">
        <v>9262</v>
      </c>
      <c r="E535" s="28" t="str">
        <f>IFERROR(__xludf.DUMMYFUNCTION("GOOGLETRANSLATE(D535,""zh-CN"",""vi"")"),"Người dân đã nổi dậy chống lại chế độ độc tài.")</f>
        <v>Người dân đã nổi dậy chống lại chế độ độc tài.</v>
      </c>
      <c r="F535" s="128"/>
      <c r="G535" s="36" t="b">
        <f t="shared" si="1"/>
        <v>0</v>
      </c>
      <c r="H535" s="35" t="b">
        <v>1</v>
      </c>
      <c r="I535" s="35" t="b">
        <v>0</v>
      </c>
      <c r="J535" s="35" t="b">
        <v>0</v>
      </c>
      <c r="K535" s="35" t="b">
        <v>0</v>
      </c>
      <c r="L535" s="35" t="b">
        <v>0</v>
      </c>
      <c r="M535" s="35" t="b">
        <v>0</v>
      </c>
      <c r="N535" s="35" t="b">
        <v>0</v>
      </c>
      <c r="O535" s="35" t="b">
        <v>0</v>
      </c>
      <c r="P535" s="35" t="b">
        <v>0</v>
      </c>
      <c r="Q535" s="35" t="b">
        <v>0</v>
      </c>
      <c r="R535" s="14"/>
      <c r="S535" s="14"/>
      <c r="T535" s="14"/>
      <c r="U535" s="14"/>
      <c r="V535" s="14"/>
      <c r="W535" s="14"/>
    </row>
    <row r="536" ht="31.5" customHeight="1">
      <c r="A536" s="109" t="s">
        <v>9267</v>
      </c>
      <c r="B536" s="110" t="s">
        <v>9268</v>
      </c>
      <c r="C536" s="111" t="s">
        <v>9269</v>
      </c>
      <c r="D536" s="28" t="s">
        <v>9270</v>
      </c>
      <c r="E536" s="28" t="str">
        <f>IFERROR(__xludf.DUMMYFUNCTION("GOOGLETRANSLATE(D536,""zh-CN"",""vi"")"),"Sản phẩm này đã nhận được rất nhiều phản hồi tích cực.")</f>
        <v>Sản phẩm này đã nhận được rất nhiều phản hồi tích cực.</v>
      </c>
      <c r="F536" s="128"/>
      <c r="G536" s="36" t="b">
        <f t="shared" si="1"/>
        <v>0</v>
      </c>
      <c r="H536" s="35" t="b">
        <v>1</v>
      </c>
      <c r="I536" s="35" t="b">
        <v>0</v>
      </c>
      <c r="J536" s="35" t="b">
        <v>0</v>
      </c>
      <c r="K536" s="35" t="b">
        <v>0</v>
      </c>
      <c r="L536" s="35" t="b">
        <v>0</v>
      </c>
      <c r="M536" s="35" t="b">
        <v>0</v>
      </c>
      <c r="N536" s="35" t="b">
        <v>0</v>
      </c>
      <c r="O536" s="35" t="b">
        <v>0</v>
      </c>
      <c r="P536" s="35" t="b">
        <v>0</v>
      </c>
      <c r="Q536" s="35" t="b">
        <v>0</v>
      </c>
      <c r="R536" s="14"/>
      <c r="S536" s="14"/>
      <c r="T536" s="14"/>
      <c r="U536" s="14"/>
      <c r="V536" s="14"/>
      <c r="W536" s="14"/>
    </row>
    <row r="537" ht="31.5" customHeight="1">
      <c r="A537" s="109" t="s">
        <v>9275</v>
      </c>
      <c r="B537" s="110" t="s">
        <v>9276</v>
      </c>
      <c r="C537" s="111" t="s">
        <v>9277</v>
      </c>
      <c r="D537" s="28" t="s">
        <v>9278</v>
      </c>
      <c r="E537" s="28" t="str">
        <f>IFERROR(__xludf.DUMMYFUNCTION("GOOGLETRANSLATE(D537,""zh-CN"",""vi"")"),"Mọi thứ đều có mặt trái.")</f>
        <v>Mọi thứ đều có mặt trái.</v>
      </c>
      <c r="F537" s="128"/>
      <c r="G537" s="36" t="b">
        <f t="shared" si="1"/>
        <v>0</v>
      </c>
      <c r="H537" s="35" t="b">
        <v>1</v>
      </c>
      <c r="I537" s="35" t="b">
        <v>0</v>
      </c>
      <c r="J537" s="35" t="b">
        <v>0</v>
      </c>
      <c r="K537" s="35" t="b">
        <v>0</v>
      </c>
      <c r="L537" s="35" t="b">
        <v>0</v>
      </c>
      <c r="M537" s="35" t="b">
        <v>0</v>
      </c>
      <c r="N537" s="35" t="b">
        <v>0</v>
      </c>
      <c r="O537" s="35" t="b">
        <v>0</v>
      </c>
      <c r="P537" s="35" t="b">
        <v>0</v>
      </c>
      <c r="Q537" s="35" t="b">
        <v>0</v>
      </c>
      <c r="R537" s="14"/>
      <c r="S537" s="14"/>
      <c r="T537" s="14"/>
      <c r="U537" s="14"/>
      <c r="V537" s="14"/>
      <c r="W537" s="14"/>
    </row>
    <row r="538" ht="31.5" customHeight="1">
      <c r="A538" s="109" t="s">
        <v>9283</v>
      </c>
      <c r="B538" s="110" t="s">
        <v>9284</v>
      </c>
      <c r="C538" s="111" t="s">
        <v>9285</v>
      </c>
      <c r="D538" s="28" t="s">
        <v>9286</v>
      </c>
      <c r="E538" s="28" t="str">
        <f>IFERROR(__xludf.DUMMYFUNCTION("GOOGLETRANSLATE(D538,""zh-CN"",""vi"")"),"Gương có thể phản chiếu ánh sáng.")</f>
        <v>Gương có thể phản chiếu ánh sáng.</v>
      </c>
      <c r="F538" s="128"/>
      <c r="G538" s="36" t="b">
        <f t="shared" si="1"/>
        <v>0</v>
      </c>
      <c r="H538" s="35" t="b">
        <v>1</v>
      </c>
      <c r="I538" s="35" t="b">
        <v>0</v>
      </c>
      <c r="J538" s="35" t="b">
        <v>0</v>
      </c>
      <c r="K538" s="35" t="b">
        <v>0</v>
      </c>
      <c r="L538" s="35" t="b">
        <v>0</v>
      </c>
      <c r="M538" s="35" t="b">
        <v>0</v>
      </c>
      <c r="N538" s="35" t="b">
        <v>0</v>
      </c>
      <c r="O538" s="35" t="b">
        <v>0</v>
      </c>
      <c r="P538" s="35" t="b">
        <v>0</v>
      </c>
      <c r="Q538" s="35" t="b">
        <v>0</v>
      </c>
      <c r="R538" s="14"/>
      <c r="S538" s="14"/>
      <c r="T538" s="14"/>
      <c r="U538" s="14"/>
      <c r="V538" s="14"/>
      <c r="W538" s="14"/>
    </row>
    <row r="539" ht="31.5" customHeight="1">
      <c r="A539" s="109" t="s">
        <v>9290</v>
      </c>
      <c r="B539" s="110" t="s">
        <v>9291</v>
      </c>
      <c r="C539" s="111" t="s">
        <v>9292</v>
      </c>
      <c r="D539" s="28" t="s">
        <v>9293</v>
      </c>
      <c r="E539" s="28" t="str">
        <f>IFERROR(__xludf.DUMMYFUNCTION("GOOGLETRANSLATE(D539,""zh-CN"",""vi"")"),"Chúng ta cần nhìn nhận lại những sai lầm của mình.")</f>
        <v>Chúng ta cần nhìn nhận lại những sai lầm của mình.</v>
      </c>
      <c r="F539" s="128"/>
      <c r="G539" s="36" t="b">
        <f t="shared" si="1"/>
        <v>0</v>
      </c>
      <c r="H539" s="35" t="b">
        <v>1</v>
      </c>
      <c r="I539" s="35" t="b">
        <v>0</v>
      </c>
      <c r="J539" s="35" t="b">
        <v>0</v>
      </c>
      <c r="K539" s="35" t="b">
        <v>0</v>
      </c>
      <c r="L539" s="35" t="b">
        <v>0</v>
      </c>
      <c r="M539" s="35" t="b">
        <v>0</v>
      </c>
      <c r="N539" s="35" t="b">
        <v>0</v>
      </c>
      <c r="O539" s="35" t="b">
        <v>0</v>
      </c>
      <c r="P539" s="35" t="b">
        <v>0</v>
      </c>
      <c r="Q539" s="35" t="b">
        <v>0</v>
      </c>
      <c r="R539" s="14"/>
      <c r="S539" s="14"/>
      <c r="T539" s="14"/>
      <c r="U539" s="14"/>
      <c r="V539" s="14"/>
      <c r="W539" s="14"/>
    </row>
    <row r="540" ht="31.5" customHeight="1">
      <c r="A540" s="109" t="s">
        <v>9297</v>
      </c>
      <c r="B540" s="110" t="s">
        <v>9298</v>
      </c>
      <c r="C540" s="111" t="s">
        <v>9299</v>
      </c>
      <c r="D540" s="28" t="s">
        <v>9300</v>
      </c>
      <c r="E540" s="28" t="str">
        <f>IFERROR(__xludf.DUMMYFUNCTION("GOOGLETRANSLATE(D540,""zh-CN"",""vi"")"),"Anh ta đáp lại, ""Sao bạn không thử xem?""")</f>
        <v>Anh ta đáp lại, "Sao bạn không thử xem?"</v>
      </c>
      <c r="F540" s="128"/>
      <c r="G540" s="36" t="b">
        <f t="shared" si="1"/>
        <v>0</v>
      </c>
      <c r="H540" s="35" t="b">
        <v>1</v>
      </c>
      <c r="I540" s="35" t="b">
        <v>0</v>
      </c>
      <c r="J540" s="35" t="b">
        <v>0</v>
      </c>
      <c r="K540" s="35" t="b">
        <v>0</v>
      </c>
      <c r="L540" s="35" t="b">
        <v>0</v>
      </c>
      <c r="M540" s="35" t="b">
        <v>0</v>
      </c>
      <c r="N540" s="35" t="b">
        <v>0</v>
      </c>
      <c r="O540" s="35" t="b">
        <v>0</v>
      </c>
      <c r="P540" s="35" t="b">
        <v>0</v>
      </c>
      <c r="Q540" s="35" t="b">
        <v>0</v>
      </c>
      <c r="R540" s="14"/>
      <c r="S540" s="14"/>
      <c r="T540" s="14"/>
      <c r="U540" s="14"/>
      <c r="V540" s="14"/>
      <c r="W540" s="14"/>
    </row>
    <row r="541" ht="31.5" customHeight="1">
      <c r="A541" s="109" t="s">
        <v>9308</v>
      </c>
      <c r="B541" s="110" t="s">
        <v>9309</v>
      </c>
      <c r="C541" s="111" t="s">
        <v>4125</v>
      </c>
      <c r="D541" s="28" t="s">
        <v>9310</v>
      </c>
      <c r="E541" s="28" t="str">
        <f>IFERROR(__xludf.DUMMYFUNCTION("GOOGLETRANSLATE(D541,""zh-CN"",""vi"")"),"Ngược lại, kết quả có thể khác.")</f>
        <v>Ngược lại, kết quả có thể khác.</v>
      </c>
      <c r="F541" s="128"/>
      <c r="G541" s="36" t="b">
        <f t="shared" si="1"/>
        <v>0</v>
      </c>
      <c r="H541" s="35" t="b">
        <v>1</v>
      </c>
      <c r="I541" s="35" t="b">
        <v>0</v>
      </c>
      <c r="J541" s="35" t="b">
        <v>0</v>
      </c>
      <c r="K541" s="35" t="b">
        <v>0</v>
      </c>
      <c r="L541" s="35" t="b">
        <v>0</v>
      </c>
      <c r="M541" s="35" t="b">
        <v>0</v>
      </c>
      <c r="N541" s="35" t="b">
        <v>0</v>
      </c>
      <c r="O541" s="35" t="b">
        <v>0</v>
      </c>
      <c r="P541" s="35" t="b">
        <v>0</v>
      </c>
      <c r="Q541" s="35" t="b">
        <v>0</v>
      </c>
      <c r="R541" s="14"/>
      <c r="S541" s="14"/>
      <c r="T541" s="14"/>
      <c r="U541" s="14"/>
      <c r="V541" s="14"/>
      <c r="W541" s="14"/>
    </row>
    <row r="542" ht="31.5" customHeight="1">
      <c r="A542" s="109" t="s">
        <v>9315</v>
      </c>
      <c r="B542" s="110" t="s">
        <v>9316</v>
      </c>
      <c r="C542" s="111" t="s">
        <v>9317</v>
      </c>
      <c r="D542" s="28" t="s">
        <v>9318</v>
      </c>
      <c r="E542" s="28" t="str">
        <f>IFERROR(__xludf.DUMMYFUNCTION("GOOGLETRANSLATE(D542,""zh-CN"",""vi"")"),"Điều này thuộc phạm trù triết học.")</f>
        <v>Điều này thuộc phạm trù triết học.</v>
      </c>
      <c r="F542" s="128"/>
      <c r="G542" s="36" t="b">
        <f t="shared" si="1"/>
        <v>0</v>
      </c>
      <c r="H542" s="35" t="b">
        <v>1</v>
      </c>
      <c r="I542" s="35" t="b">
        <v>0</v>
      </c>
      <c r="J542" s="35" t="b">
        <v>0</v>
      </c>
      <c r="K542" s="35" t="b">
        <v>0</v>
      </c>
      <c r="L542" s="35" t="b">
        <v>0</v>
      </c>
      <c r="M542" s="35" t="b">
        <v>0</v>
      </c>
      <c r="N542" s="35" t="b">
        <v>0</v>
      </c>
      <c r="O542" s="35" t="b">
        <v>0</v>
      </c>
      <c r="P542" s="35" t="b">
        <v>0</v>
      </c>
      <c r="Q542" s="35" t="b">
        <v>0</v>
      </c>
      <c r="R542" s="14"/>
      <c r="S542" s="14"/>
      <c r="T542" s="14"/>
      <c r="U542" s="14"/>
      <c r="V542" s="14"/>
      <c r="W542" s="14"/>
    </row>
    <row r="543" ht="31.5" customHeight="1">
      <c r="A543" s="109" t="s">
        <v>9319</v>
      </c>
      <c r="B543" s="110" t="s">
        <v>9320</v>
      </c>
      <c r="C543" s="111" t="s">
        <v>9321</v>
      </c>
      <c r="D543" s="28" t="s">
        <v>9322</v>
      </c>
      <c r="E543" s="28" t="str">
        <f>IFERROR(__xludf.DUMMYFUNCTION("GOOGLETRANSLATE(D543,""zh-CN"",""vi"")"),"Trận lũ lụt đã gây ra sự tàn phá trên diện rộng.")</f>
        <v>Trận lũ lụt đã gây ra sự tàn phá trên diện rộng.</v>
      </c>
      <c r="F543" s="128"/>
      <c r="G543" s="36" t="b">
        <f t="shared" si="1"/>
        <v>0</v>
      </c>
      <c r="H543" s="35" t="b">
        <v>1</v>
      </c>
      <c r="I543" s="35" t="b">
        <v>0</v>
      </c>
      <c r="J543" s="35" t="b">
        <v>0</v>
      </c>
      <c r="K543" s="35" t="b">
        <v>0</v>
      </c>
      <c r="L543" s="35" t="b">
        <v>0</v>
      </c>
      <c r="M543" s="35" t="b">
        <v>0</v>
      </c>
      <c r="N543" s="35" t="b">
        <v>0</v>
      </c>
      <c r="O543" s="35" t="b">
        <v>0</v>
      </c>
      <c r="P543" s="35" t="b">
        <v>0</v>
      </c>
      <c r="Q543" s="35" t="b">
        <v>0</v>
      </c>
      <c r="R543" s="14"/>
      <c r="S543" s="14"/>
      <c r="T543" s="14"/>
      <c r="U543" s="14"/>
      <c r="V543" s="14"/>
      <c r="W543" s="14"/>
    </row>
    <row r="544" ht="31.5" customHeight="1">
      <c r="A544" s="109" t="s">
        <v>9327</v>
      </c>
      <c r="B544" s="110" t="s">
        <v>9328</v>
      </c>
      <c r="C544" s="111" t="s">
        <v>9329</v>
      </c>
      <c r="D544" s="28" t="s">
        <v>9330</v>
      </c>
      <c r="E544" s="28" t="str">
        <f>IFERROR(__xludf.DUMMYFUNCTION("GOOGLETRANSLATE(D544,""zh-CN"",""vi"")"),"Ông ta bị buộc tội buôn bán ma túy.")</f>
        <v>Ông ta bị buộc tội buôn bán ma túy.</v>
      </c>
      <c r="F544" s="128"/>
      <c r="G544" s="36" t="b">
        <f t="shared" si="1"/>
        <v>0</v>
      </c>
      <c r="H544" s="35" t="b">
        <v>1</v>
      </c>
      <c r="I544" s="35" t="b">
        <v>0</v>
      </c>
      <c r="J544" s="35" t="b">
        <v>0</v>
      </c>
      <c r="K544" s="35" t="b">
        <v>0</v>
      </c>
      <c r="L544" s="35" t="b">
        <v>0</v>
      </c>
      <c r="M544" s="35" t="b">
        <v>0</v>
      </c>
      <c r="N544" s="35" t="b">
        <v>0</v>
      </c>
      <c r="O544" s="35" t="b">
        <v>0</v>
      </c>
      <c r="P544" s="35" t="b">
        <v>0</v>
      </c>
      <c r="Q544" s="35" t="b">
        <v>0</v>
      </c>
      <c r="R544" s="14"/>
      <c r="S544" s="14"/>
      <c r="T544" s="14"/>
      <c r="U544" s="14"/>
      <c r="V544" s="14"/>
      <c r="W544" s="14"/>
    </row>
    <row r="545" ht="31.5" customHeight="1">
      <c r="A545" s="109" t="s">
        <v>9335</v>
      </c>
      <c r="B545" s="110" t="s">
        <v>9336</v>
      </c>
      <c r="C545" s="111" t="s">
        <v>9337</v>
      </c>
      <c r="D545" s="28" t="s">
        <v>9338</v>
      </c>
      <c r="E545" s="28" t="str">
        <f>IFERROR(__xludf.DUMMYFUNCTION("GOOGLETRANSLATE(D545,""zh-CN"",""vi"")"),"Vui lòng cho tôi biết vị trí của tòa nhà này.")</f>
        <v>Vui lòng cho tôi biết vị trí của tòa nhà này.</v>
      </c>
      <c r="F545" s="128"/>
      <c r="G545" s="36" t="b">
        <f t="shared" si="1"/>
        <v>0</v>
      </c>
      <c r="H545" s="35" t="b">
        <v>1</v>
      </c>
      <c r="I545" s="35" t="b">
        <v>0</v>
      </c>
      <c r="J545" s="35" t="b">
        <v>0</v>
      </c>
      <c r="K545" s="35" t="b">
        <v>0</v>
      </c>
      <c r="L545" s="35" t="b">
        <v>0</v>
      </c>
      <c r="M545" s="35" t="b">
        <v>0</v>
      </c>
      <c r="N545" s="35" t="b">
        <v>0</v>
      </c>
      <c r="O545" s="35" t="b">
        <v>0</v>
      </c>
      <c r="P545" s="35" t="b">
        <v>0</v>
      </c>
      <c r="Q545" s="35" t="b">
        <v>0</v>
      </c>
      <c r="R545" s="14"/>
      <c r="S545" s="14"/>
      <c r="T545" s="14"/>
      <c r="U545" s="14"/>
      <c r="V545" s="14"/>
      <c r="W545" s="14"/>
    </row>
    <row r="546" ht="31.5" customHeight="1">
      <c r="A546" s="109" t="s">
        <v>9343</v>
      </c>
      <c r="B546" s="110" t="s">
        <v>9344</v>
      </c>
      <c r="C546" s="111" t="s">
        <v>9345</v>
      </c>
      <c r="D546" s="28" t="s">
        <v>9346</v>
      </c>
      <c r="E546" s="28" t="str">
        <f>IFERROR(__xludf.DUMMYFUNCTION("GOOGLETRANSLATE(D546,""zh-CN"",""vi"")"),"Tôi không hiểu được phương ngữ mà anh ấy nói.")</f>
        <v>Tôi không hiểu được phương ngữ mà anh ấy nói.</v>
      </c>
      <c r="F546" s="128"/>
      <c r="G546" s="36" t="b">
        <f t="shared" si="1"/>
        <v>0</v>
      </c>
      <c r="H546" s="35" t="b">
        <v>1</v>
      </c>
      <c r="I546" s="35" t="b">
        <v>0</v>
      </c>
      <c r="J546" s="35" t="b">
        <v>0</v>
      </c>
      <c r="K546" s="35" t="b">
        <v>0</v>
      </c>
      <c r="L546" s="35" t="b">
        <v>0</v>
      </c>
      <c r="M546" s="35" t="b">
        <v>0</v>
      </c>
      <c r="N546" s="35" t="b">
        <v>0</v>
      </c>
      <c r="O546" s="35" t="b">
        <v>0</v>
      </c>
      <c r="P546" s="35" t="b">
        <v>0</v>
      </c>
      <c r="Q546" s="35" t="b">
        <v>0</v>
      </c>
      <c r="R546" s="14"/>
      <c r="S546" s="14"/>
      <c r="T546" s="14"/>
      <c r="U546" s="14"/>
      <c r="V546" s="14"/>
      <c r="W546" s="14"/>
    </row>
    <row r="547" ht="31.5" customHeight="1">
      <c r="A547" s="109" t="s">
        <v>9350</v>
      </c>
      <c r="B547" s="110" t="s">
        <v>9352</v>
      </c>
      <c r="C547" s="111" t="s">
        <v>9353</v>
      </c>
      <c r="D547" s="28" t="s">
        <v>9354</v>
      </c>
      <c r="E547" s="28" t="str">
        <f>IFERROR(__xludf.DUMMYFUNCTION("GOOGLETRANSLATE(D547,""zh-CN"",""vi"")"),"Công ty đã xây dựng một chính sách mới.")</f>
        <v>Công ty đã xây dựng một chính sách mới.</v>
      </c>
      <c r="F547" s="128"/>
      <c r="G547" s="36" t="b">
        <f t="shared" si="1"/>
        <v>0</v>
      </c>
      <c r="H547" s="35" t="b">
        <v>1</v>
      </c>
      <c r="I547" s="35" t="b">
        <v>0</v>
      </c>
      <c r="J547" s="35" t="b">
        <v>0</v>
      </c>
      <c r="K547" s="35" t="b">
        <v>0</v>
      </c>
      <c r="L547" s="35" t="b">
        <v>0</v>
      </c>
      <c r="M547" s="35" t="b">
        <v>0</v>
      </c>
      <c r="N547" s="35" t="b">
        <v>0</v>
      </c>
      <c r="O547" s="35" t="b">
        <v>0</v>
      </c>
      <c r="P547" s="35" t="b">
        <v>0</v>
      </c>
      <c r="Q547" s="35" t="b">
        <v>0</v>
      </c>
      <c r="R547" s="14"/>
      <c r="S547" s="14"/>
      <c r="T547" s="14"/>
      <c r="U547" s="14"/>
      <c r="V547" s="14"/>
      <c r="W547" s="14"/>
    </row>
    <row r="548" ht="31.5" customHeight="1">
      <c r="A548" s="109" t="s">
        <v>9357</v>
      </c>
      <c r="B548" s="110" t="s">
        <v>9359</v>
      </c>
      <c r="C548" s="111" t="s">
        <v>9361</v>
      </c>
      <c r="D548" s="28" t="s">
        <v>9362</v>
      </c>
      <c r="E548" s="28" t="str">
        <f>IFERROR(__xludf.DUMMYFUNCTION("GOOGLETRANSLATE(D548,""zh-CN"",""vi"")"),"Thủ môn có trách nhiệm bảo vệ khung thành.")</f>
        <v>Thủ môn có trách nhiệm bảo vệ khung thành.</v>
      </c>
      <c r="F548" s="128"/>
      <c r="G548" s="36" t="b">
        <f t="shared" si="1"/>
        <v>0</v>
      </c>
      <c r="H548" s="35" t="b">
        <v>1</v>
      </c>
      <c r="I548" s="35" t="b">
        <v>0</v>
      </c>
      <c r="J548" s="35" t="b">
        <v>0</v>
      </c>
      <c r="K548" s="35" t="b">
        <v>0</v>
      </c>
      <c r="L548" s="35" t="b">
        <v>0</v>
      </c>
      <c r="M548" s="35" t="b">
        <v>0</v>
      </c>
      <c r="N548" s="35" t="b">
        <v>0</v>
      </c>
      <c r="O548" s="35" t="b">
        <v>0</v>
      </c>
      <c r="P548" s="35" t="b">
        <v>0</v>
      </c>
      <c r="Q548" s="35" t="b">
        <v>0</v>
      </c>
      <c r="R548" s="14"/>
      <c r="S548" s="14"/>
      <c r="T548" s="14"/>
      <c r="U548" s="14"/>
      <c r="V548" s="14"/>
      <c r="W548" s="14"/>
    </row>
    <row r="549" ht="31.5" customHeight="1">
      <c r="A549" s="109" t="s">
        <v>9367</v>
      </c>
      <c r="B549" s="110" t="s">
        <v>9368</v>
      </c>
      <c r="C549" s="111" t="s">
        <v>9369</v>
      </c>
      <c r="D549" s="28" t="s">
        <v>9370</v>
      </c>
      <c r="E549" s="28" t="str">
        <f>IFERROR(__xludf.DUMMYFUNCTION("GOOGLETRANSLATE(D549,""zh-CN"",""vi"")"),"Chúng ta cần tăng cường các biện pháp phòng chống dịch bệnh.")</f>
        <v>Chúng ta cần tăng cường các biện pháp phòng chống dịch bệnh.</v>
      </c>
      <c r="F549" s="128"/>
      <c r="G549" s="36" t="b">
        <f t="shared" si="1"/>
        <v>0</v>
      </c>
      <c r="H549" s="35" t="b">
        <v>1</v>
      </c>
      <c r="I549" s="35" t="b">
        <v>0</v>
      </c>
      <c r="J549" s="35" t="b">
        <v>0</v>
      </c>
      <c r="K549" s="35" t="b">
        <v>0</v>
      </c>
      <c r="L549" s="35" t="b">
        <v>0</v>
      </c>
      <c r="M549" s="35" t="b">
        <v>0</v>
      </c>
      <c r="N549" s="35" t="b">
        <v>0</v>
      </c>
      <c r="O549" s="35" t="b">
        <v>0</v>
      </c>
      <c r="P549" s="35" t="b">
        <v>0</v>
      </c>
      <c r="Q549" s="35" t="b">
        <v>0</v>
      </c>
      <c r="R549" s="14"/>
      <c r="S549" s="14"/>
      <c r="T549" s="14"/>
      <c r="U549" s="14"/>
      <c r="V549" s="14"/>
      <c r="W549" s="14"/>
    </row>
    <row r="550" ht="31.5" customHeight="1">
      <c r="A550" s="109" t="s">
        <v>9375</v>
      </c>
      <c r="B550" s="110" t="s">
        <v>9376</v>
      </c>
      <c r="C550" s="111" t="s">
        <v>9377</v>
      </c>
      <c r="D550" s="28" t="s">
        <v>9378</v>
      </c>
      <c r="E550" s="28" t="str">
        <f>IFERROR(__xludf.DUMMYFUNCTION("GOOGLETRANSLATE(D550,""zh-CN"",""vi"")"),"Các bức tường thành được sử dụng để phòng thủ chống lại kẻ thù.")</f>
        <v>Các bức tường thành được sử dụng để phòng thủ chống lại kẻ thù.</v>
      </c>
      <c r="F550" s="128"/>
      <c r="G550" s="36" t="b">
        <f t="shared" si="1"/>
        <v>0</v>
      </c>
      <c r="H550" s="35" t="b">
        <v>1</v>
      </c>
      <c r="I550" s="35" t="b">
        <v>0</v>
      </c>
      <c r="J550" s="35" t="b">
        <v>0</v>
      </c>
      <c r="K550" s="35" t="b">
        <v>0</v>
      </c>
      <c r="L550" s="35" t="b">
        <v>0</v>
      </c>
      <c r="M550" s="35" t="b">
        <v>0</v>
      </c>
      <c r="N550" s="35" t="b">
        <v>0</v>
      </c>
      <c r="O550" s="35" t="b">
        <v>0</v>
      </c>
      <c r="P550" s="35" t="b">
        <v>0</v>
      </c>
      <c r="Q550" s="35" t="b">
        <v>0</v>
      </c>
      <c r="R550" s="14"/>
      <c r="S550" s="14"/>
      <c r="T550" s="14"/>
      <c r="U550" s="14"/>
      <c r="V550" s="14"/>
      <c r="W550" s="14"/>
    </row>
    <row r="551" ht="31.5" customHeight="1">
      <c r="A551" s="109" t="s">
        <v>9382</v>
      </c>
      <c r="B551" s="110" t="s">
        <v>9383</v>
      </c>
      <c r="C551" s="111" t="s">
        <v>9384</v>
      </c>
      <c r="D551" s="28" t="s">
        <v>9385</v>
      </c>
      <c r="E551" s="28" t="str">
        <f>IFERROR(__xludf.DUMMYFUNCTION("GOOGLETRANSLATE(D551,""zh-CN"",""vi"")"),"Hãy ngăn chặn điều này xảy ra.")</f>
        <v>Hãy ngăn chặn điều này xảy ra.</v>
      </c>
      <c r="F551" s="128"/>
      <c r="G551" s="36" t="b">
        <f t="shared" si="1"/>
        <v>0</v>
      </c>
      <c r="H551" s="35" t="b">
        <v>1</v>
      </c>
      <c r="I551" s="35" t="b">
        <v>0</v>
      </c>
      <c r="J551" s="35" t="b">
        <v>0</v>
      </c>
      <c r="K551" s="35" t="b">
        <v>0</v>
      </c>
      <c r="L551" s="35" t="b">
        <v>0</v>
      </c>
      <c r="M551" s="35" t="b">
        <v>0</v>
      </c>
      <c r="N551" s="35" t="b">
        <v>0</v>
      </c>
      <c r="O551" s="35" t="b">
        <v>0</v>
      </c>
      <c r="P551" s="35" t="b">
        <v>0</v>
      </c>
      <c r="Q551" s="35" t="b">
        <v>0</v>
      </c>
      <c r="R551" s="14"/>
      <c r="S551" s="14"/>
      <c r="T551" s="14"/>
      <c r="U551" s="14"/>
      <c r="V551" s="14"/>
      <c r="W551" s="14"/>
    </row>
    <row r="552" ht="31.5" customHeight="1">
      <c r="A552" s="109" t="s">
        <v>9389</v>
      </c>
      <c r="B552" s="110" t="s">
        <v>9390</v>
      </c>
      <c r="C552" s="111" t="s">
        <v>9391</v>
      </c>
      <c r="D552" s="28" t="s">
        <v>9392</v>
      </c>
      <c r="E552" s="28" t="str">
        <f>IFERROR(__xludf.DUMMYFUNCTION("GOOGLETRANSLATE(D552,""zh-CN"",""vi"")"),"Chúng ta cần ngăn ngừa và kiểm soát căn bệnh này.")</f>
        <v>Chúng ta cần ngăn ngừa và kiểm soát căn bệnh này.</v>
      </c>
      <c r="F552" s="128"/>
      <c r="G552" s="36" t="b">
        <f t="shared" si="1"/>
        <v>0</v>
      </c>
      <c r="H552" s="35" t="b">
        <v>1</v>
      </c>
      <c r="I552" s="35" t="b">
        <v>0</v>
      </c>
      <c r="J552" s="35" t="b">
        <v>0</v>
      </c>
      <c r="K552" s="35" t="b">
        <v>0</v>
      </c>
      <c r="L552" s="35" t="b">
        <v>0</v>
      </c>
      <c r="M552" s="35" t="b">
        <v>0</v>
      </c>
      <c r="N552" s="35" t="b">
        <v>0</v>
      </c>
      <c r="O552" s="35" t="b">
        <v>0</v>
      </c>
      <c r="P552" s="35" t="b">
        <v>0</v>
      </c>
      <c r="Q552" s="35" t="b">
        <v>0</v>
      </c>
      <c r="R552" s="14"/>
      <c r="S552" s="14"/>
      <c r="T552" s="14"/>
      <c r="U552" s="14"/>
      <c r="V552" s="14"/>
      <c r="W552" s="14"/>
    </row>
    <row r="553" ht="31.5" customHeight="1">
      <c r="A553" s="109" t="s">
        <v>9394</v>
      </c>
      <c r="B553" s="110" t="s">
        <v>9396</v>
      </c>
      <c r="C553" s="111" t="s">
        <v>9398</v>
      </c>
      <c r="D553" s="28" t="s">
        <v>9400</v>
      </c>
      <c r="E553" s="28" t="str">
        <f>IFERROR(__xludf.DUMMYFUNCTION("GOOGLETRANSLATE(D553,""zh-CN"",""vi"")"),"Ngành công nghiệp dệt may ở khu vực này rất phát triển.")</f>
        <v>Ngành công nghiệp dệt may ở khu vực này rất phát triển.</v>
      </c>
      <c r="F553" s="128"/>
      <c r="G553" s="36" t="b">
        <f t="shared" si="1"/>
        <v>0</v>
      </c>
      <c r="H553" s="35" t="b">
        <v>1</v>
      </c>
      <c r="I553" s="35" t="b">
        <v>0</v>
      </c>
      <c r="J553" s="35" t="b">
        <v>0</v>
      </c>
      <c r="K553" s="35" t="b">
        <v>0</v>
      </c>
      <c r="L553" s="35" t="b">
        <v>0</v>
      </c>
      <c r="M553" s="35" t="b">
        <v>0</v>
      </c>
      <c r="N553" s="35" t="b">
        <v>0</v>
      </c>
      <c r="O553" s="35" t="b">
        <v>0</v>
      </c>
      <c r="P553" s="35" t="b">
        <v>0</v>
      </c>
      <c r="Q553" s="35" t="b">
        <v>0</v>
      </c>
      <c r="R553" s="14"/>
      <c r="S553" s="14"/>
      <c r="T553" s="14"/>
      <c r="U553" s="14"/>
      <c r="V553" s="14"/>
      <c r="W553" s="14"/>
    </row>
    <row r="554" ht="31.5" customHeight="1">
      <c r="A554" s="109" t="s">
        <v>9402</v>
      </c>
      <c r="B554" s="110" t="s">
        <v>9404</v>
      </c>
      <c r="C554" s="111" t="s">
        <v>9406</v>
      </c>
      <c r="D554" s="28" t="s">
        <v>9408</v>
      </c>
      <c r="E554" s="28" t="str">
        <f>IFERROR(__xludf.DUMMYFUNCTION("GOOGLETRANSLATE(D554,""zh-CN"",""vi"")"),"Các nhà khoa học đã phóng đại hình ảnh của vi khuẩn.")</f>
        <v>Các nhà khoa học đã phóng đại hình ảnh của vi khuẩn.</v>
      </c>
      <c r="F554" s="128"/>
      <c r="G554" s="36" t="b">
        <f t="shared" si="1"/>
        <v>0</v>
      </c>
      <c r="H554" s="35" t="b">
        <v>1</v>
      </c>
      <c r="I554" s="35" t="b">
        <v>0</v>
      </c>
      <c r="J554" s="35" t="b">
        <v>0</v>
      </c>
      <c r="K554" s="35" t="b">
        <v>0</v>
      </c>
      <c r="L554" s="35" t="b">
        <v>0</v>
      </c>
      <c r="M554" s="35" t="b">
        <v>0</v>
      </c>
      <c r="N554" s="35" t="b">
        <v>0</v>
      </c>
      <c r="O554" s="35" t="b">
        <v>0</v>
      </c>
      <c r="P554" s="35" t="b">
        <v>0</v>
      </c>
      <c r="Q554" s="35" t="b">
        <v>0</v>
      </c>
      <c r="R554" s="14"/>
      <c r="S554" s="14"/>
      <c r="T554" s="14"/>
      <c r="U554" s="14"/>
      <c r="V554" s="14"/>
      <c r="W554" s="14"/>
    </row>
    <row r="555" ht="31.5" customHeight="1">
      <c r="A555" s="109" t="s">
        <v>9410</v>
      </c>
      <c r="B555" s="110" t="s">
        <v>9412</v>
      </c>
      <c r="C555" s="111" t="s">
        <v>9414</v>
      </c>
      <c r="D555" s="28" t="s">
        <v>9416</v>
      </c>
      <c r="E555" s="28" t="str">
        <f>IFERROR(__xludf.DUMMYFUNCTION("GOOGLETRANSLATE(D555,""zh-CN"",""vi"")"),"Chất này có thể phát ra bức xạ có hại.")</f>
        <v>Chất này có thể phát ra bức xạ có hại.</v>
      </c>
      <c r="F555" s="128"/>
      <c r="G555" s="36" t="b">
        <f t="shared" si="1"/>
        <v>0</v>
      </c>
      <c r="H555" s="35" t="b">
        <v>1</v>
      </c>
      <c r="I555" s="35" t="b">
        <v>0</v>
      </c>
      <c r="J555" s="35" t="b">
        <v>0</v>
      </c>
      <c r="K555" s="35" t="b">
        <v>0</v>
      </c>
      <c r="L555" s="35" t="b">
        <v>0</v>
      </c>
      <c r="M555" s="35" t="b">
        <v>0</v>
      </c>
      <c r="N555" s="35" t="b">
        <v>0</v>
      </c>
      <c r="O555" s="35" t="b">
        <v>0</v>
      </c>
      <c r="P555" s="35" t="b">
        <v>0</v>
      </c>
      <c r="Q555" s="35" t="b">
        <v>0</v>
      </c>
      <c r="R555" s="14"/>
      <c r="S555" s="14"/>
      <c r="T555" s="14"/>
      <c r="U555" s="14"/>
      <c r="V555" s="14"/>
      <c r="W555" s="14"/>
    </row>
    <row r="556" ht="31.5" customHeight="1">
      <c r="A556" s="109" t="s">
        <v>9417</v>
      </c>
      <c r="B556" s="110" t="s">
        <v>9419</v>
      </c>
      <c r="C556" s="111" t="s">
        <v>9421</v>
      </c>
      <c r="D556" s="28" t="s">
        <v>9423</v>
      </c>
      <c r="E556" s="28" t="str">
        <f>IFERROR(__xludf.DUMMYFUNCTION("GOOGLETRANSLATE(D556,""zh-CN"",""vi"")"),"Hãy buông tay ra, tôi có thể tự xoay xở được.")</f>
        <v>Hãy buông tay ra, tôi có thể tự xoay xở được.</v>
      </c>
      <c r="F556" s="128"/>
      <c r="G556" s="36" t="b">
        <f t="shared" si="1"/>
        <v>0</v>
      </c>
      <c r="H556" s="35" t="b">
        <v>1</v>
      </c>
      <c r="I556" s="35" t="b">
        <v>0</v>
      </c>
      <c r="J556" s="35" t="b">
        <v>0</v>
      </c>
      <c r="K556" s="35" t="b">
        <v>0</v>
      </c>
      <c r="L556" s="35" t="b">
        <v>0</v>
      </c>
      <c r="M556" s="35" t="b">
        <v>0</v>
      </c>
      <c r="N556" s="35" t="b">
        <v>0</v>
      </c>
      <c r="O556" s="35" t="b">
        <v>0</v>
      </c>
      <c r="P556" s="35" t="b">
        <v>0</v>
      </c>
      <c r="Q556" s="35" t="b">
        <v>0</v>
      </c>
      <c r="R556" s="14"/>
      <c r="S556" s="14"/>
      <c r="T556" s="14"/>
      <c r="U556" s="14"/>
      <c r="V556" s="14"/>
      <c r="W556" s="14"/>
    </row>
    <row r="557" ht="31.5" customHeight="1">
      <c r="A557" s="109" t="s">
        <v>9425</v>
      </c>
      <c r="B557" s="110" t="s">
        <v>9426</v>
      </c>
      <c r="C557" s="111" t="s">
        <v>9427</v>
      </c>
      <c r="D557" s="28" t="s">
        <v>9429</v>
      </c>
      <c r="E557" s="28" t="str">
        <f>IFERROR(__xludf.DUMMYFUNCTION("GOOGLETRANSLATE(D557,""zh-CN"",""vi"")"),"Buôn bán ma túy là bất hợp pháp.")</f>
        <v>Buôn bán ma túy là bất hợp pháp.</v>
      </c>
      <c r="F557" s="128"/>
      <c r="G557" s="36" t="b">
        <f t="shared" si="1"/>
        <v>0</v>
      </c>
      <c r="H557" s="35" t="b">
        <v>1</v>
      </c>
      <c r="I557" s="35" t="b">
        <v>0</v>
      </c>
      <c r="J557" s="35" t="b">
        <v>0</v>
      </c>
      <c r="K557" s="35" t="b">
        <v>0</v>
      </c>
      <c r="L557" s="35" t="b">
        <v>0</v>
      </c>
      <c r="M557" s="35" t="b">
        <v>0</v>
      </c>
      <c r="N557" s="35" t="b">
        <v>0</v>
      </c>
      <c r="O557" s="35" t="b">
        <v>0</v>
      </c>
      <c r="P557" s="35" t="b">
        <v>0</v>
      </c>
      <c r="Q557" s="35" t="b">
        <v>0</v>
      </c>
      <c r="R557" s="14"/>
      <c r="S557" s="14"/>
      <c r="T557" s="14"/>
      <c r="U557" s="14"/>
      <c r="V557" s="14"/>
      <c r="W557" s="14"/>
    </row>
    <row r="558" ht="31.5" customHeight="1">
      <c r="A558" s="109" t="s">
        <v>9433</v>
      </c>
      <c r="B558" s="110" t="s">
        <v>9434</v>
      </c>
      <c r="C558" s="111" t="s">
        <v>9435</v>
      </c>
      <c r="D558" s="28" t="s">
        <v>9436</v>
      </c>
      <c r="E558" s="28" t="str">
        <f>IFERROR(__xludf.DUMMYFUNCTION("GOOGLETRANSLATE(D558,""zh-CN"",""vi"")"),"Nơi này có rất nhiều chim và thú.")</f>
        <v>Nơi này có rất nhiều chim và thú.</v>
      </c>
      <c r="F558" s="128"/>
      <c r="G558" s="36" t="b">
        <f t="shared" si="1"/>
        <v>0</v>
      </c>
      <c r="H558" s="35" t="b">
        <v>1</v>
      </c>
      <c r="I558" s="35" t="b">
        <v>0</v>
      </c>
      <c r="J558" s="35" t="b">
        <v>0</v>
      </c>
      <c r="K558" s="35" t="b">
        <v>0</v>
      </c>
      <c r="L558" s="35" t="b">
        <v>0</v>
      </c>
      <c r="M558" s="35" t="b">
        <v>0</v>
      </c>
      <c r="N558" s="35" t="b">
        <v>0</v>
      </c>
      <c r="O558" s="35" t="b">
        <v>0</v>
      </c>
      <c r="P558" s="35" t="b">
        <v>0</v>
      </c>
      <c r="Q558" s="35" t="b">
        <v>0</v>
      </c>
      <c r="R558" s="14"/>
      <c r="S558" s="14"/>
      <c r="T558" s="14"/>
      <c r="U558" s="14"/>
      <c r="V558" s="14"/>
      <c r="W558" s="14"/>
    </row>
    <row r="559" ht="31.5" customHeight="1">
      <c r="A559" s="109" t="s">
        <v>9437</v>
      </c>
      <c r="B559" s="110" t="s">
        <v>9438</v>
      </c>
      <c r="C559" s="111" t="s">
        <v>9439</v>
      </c>
      <c r="D559" s="28" t="s">
        <v>9440</v>
      </c>
      <c r="E559" s="28" t="str">
        <f>IFERROR(__xludf.DUMMYFUNCTION("GOOGLETRANSLATE(D559,""zh-CN"",""vi"")"),"Đại bàng sải cánh tự do trên bầu trời.")</f>
        <v>Đại bàng sải cánh tự do trên bầu trời.</v>
      </c>
      <c r="F559" s="128"/>
      <c r="G559" s="36" t="b">
        <f t="shared" si="1"/>
        <v>0</v>
      </c>
      <c r="H559" s="35" t="b">
        <v>1</v>
      </c>
      <c r="I559" s="35" t="b">
        <v>0</v>
      </c>
      <c r="J559" s="35" t="b">
        <v>0</v>
      </c>
      <c r="K559" s="35" t="b">
        <v>0</v>
      </c>
      <c r="L559" s="35" t="b">
        <v>0</v>
      </c>
      <c r="M559" s="35" t="b">
        <v>0</v>
      </c>
      <c r="N559" s="35" t="b">
        <v>0</v>
      </c>
      <c r="O559" s="35" t="b">
        <v>0</v>
      </c>
      <c r="P559" s="35" t="b">
        <v>0</v>
      </c>
      <c r="Q559" s="35" t="b">
        <v>0</v>
      </c>
      <c r="R559" s="14"/>
      <c r="S559" s="14"/>
      <c r="T559" s="14"/>
      <c r="U559" s="14"/>
      <c r="V559" s="14"/>
      <c r="W559" s="14"/>
    </row>
    <row r="560" ht="31.5" customHeight="1">
      <c r="A560" s="109" t="s">
        <v>9444</v>
      </c>
      <c r="B560" s="110" t="s">
        <v>9445</v>
      </c>
      <c r="C560" s="111" t="s">
        <v>9446</v>
      </c>
      <c r="D560" s="28" t="s">
        <v>9447</v>
      </c>
      <c r="E560" s="28" t="str">
        <f>IFERROR(__xludf.DUMMYFUNCTION("GOOGLETRANSLATE(D560,""zh-CN"",""vi"")"),"Công nghệ này đã có một bước tiến vượt bậc.")</f>
        <v>Công nghệ này đã có một bước tiến vượt bậc.</v>
      </c>
      <c r="F560" s="128"/>
      <c r="G560" s="36" t="b">
        <f t="shared" si="1"/>
        <v>0</v>
      </c>
      <c r="H560" s="35" t="b">
        <v>1</v>
      </c>
      <c r="I560" s="35" t="b">
        <v>0</v>
      </c>
      <c r="J560" s="35" t="b">
        <v>0</v>
      </c>
      <c r="K560" s="35" t="b">
        <v>0</v>
      </c>
      <c r="L560" s="35" t="b">
        <v>0</v>
      </c>
      <c r="M560" s="35" t="b">
        <v>0</v>
      </c>
      <c r="N560" s="35" t="b">
        <v>0</v>
      </c>
      <c r="O560" s="35" t="b">
        <v>0</v>
      </c>
      <c r="P560" s="35" t="b">
        <v>0</v>
      </c>
      <c r="Q560" s="35" t="b">
        <v>0</v>
      </c>
      <c r="R560" s="14"/>
      <c r="S560" s="14"/>
      <c r="T560" s="14"/>
      <c r="U560" s="14"/>
      <c r="V560" s="14"/>
      <c r="W560" s="14"/>
    </row>
    <row r="561" ht="31.5" customHeight="1">
      <c r="A561" s="109" t="s">
        <v>9452</v>
      </c>
      <c r="B561" s="110" t="s">
        <v>9453</v>
      </c>
      <c r="C561" s="111" t="s">
        <v>9454</v>
      </c>
      <c r="D561" s="28" t="s">
        <v>9455</v>
      </c>
      <c r="E561" s="28" t="str">
        <f>IFERROR(__xludf.DUMMYFUNCTION("GOOGLETRANSLATE(D561,""zh-CN"",""vi"")"),"Vùng đất này rất màu mỡ.")</f>
        <v>Vùng đất này rất màu mỡ.</v>
      </c>
      <c r="F561" s="128"/>
      <c r="G561" s="36" t="b">
        <f t="shared" si="1"/>
        <v>0</v>
      </c>
      <c r="H561" s="35" t="b">
        <v>1</v>
      </c>
      <c r="I561" s="35" t="b">
        <v>0</v>
      </c>
      <c r="J561" s="35" t="b">
        <v>0</v>
      </c>
      <c r="K561" s="35" t="b">
        <v>0</v>
      </c>
      <c r="L561" s="35" t="b">
        <v>0</v>
      </c>
      <c r="M561" s="35" t="b">
        <v>0</v>
      </c>
      <c r="N561" s="35" t="b">
        <v>0</v>
      </c>
      <c r="O561" s="35" t="b">
        <v>0</v>
      </c>
      <c r="P561" s="35" t="b">
        <v>0</v>
      </c>
      <c r="Q561" s="35" t="b">
        <v>0</v>
      </c>
      <c r="R561" s="14"/>
      <c r="S561" s="14"/>
      <c r="T561" s="14"/>
      <c r="U561" s="14"/>
      <c r="V561" s="14"/>
      <c r="W561" s="14"/>
    </row>
    <row r="562" ht="31.5" customHeight="1">
      <c r="A562" s="109" t="s">
        <v>9460</v>
      </c>
      <c r="B562" s="110" t="s">
        <v>9461</v>
      </c>
      <c r="C562" s="111" t="s">
        <v>9462</v>
      </c>
      <c r="D562" s="28" t="s">
        <v>9463</v>
      </c>
      <c r="E562" s="28" t="str">
        <f>IFERROR(__xludf.DUMMYFUNCTION("GOOGLETRANSLATE(D562,""zh-CN"",""vi"")"),"Ông ta bị kiện vì tội phỉ báng.")</f>
        <v>Ông ta bị kiện vì tội phỉ báng.</v>
      </c>
      <c r="F562" s="128"/>
      <c r="G562" s="36" t="b">
        <f t="shared" si="1"/>
        <v>0</v>
      </c>
      <c r="H562" s="35" t="b">
        <v>1</v>
      </c>
      <c r="I562" s="35" t="b">
        <v>0</v>
      </c>
      <c r="J562" s="35" t="b">
        <v>0</v>
      </c>
      <c r="K562" s="35" t="b">
        <v>0</v>
      </c>
      <c r="L562" s="35" t="b">
        <v>0</v>
      </c>
      <c r="M562" s="35" t="b">
        <v>0</v>
      </c>
      <c r="N562" s="35" t="b">
        <v>0</v>
      </c>
      <c r="O562" s="35" t="b">
        <v>0</v>
      </c>
      <c r="P562" s="35" t="b">
        <v>0</v>
      </c>
      <c r="Q562" s="35" t="b">
        <v>0</v>
      </c>
      <c r="R562" s="14"/>
      <c r="S562" s="14"/>
      <c r="T562" s="14"/>
      <c r="U562" s="14"/>
      <c r="V562" s="14"/>
      <c r="W562" s="14"/>
    </row>
    <row r="563" ht="31.5" customHeight="1">
      <c r="A563" s="109" t="s">
        <v>9466</v>
      </c>
      <c r="B563" s="110" t="s">
        <v>9468</v>
      </c>
      <c r="C563" s="111" t="s">
        <v>9470</v>
      </c>
      <c r="D563" s="28" t="s">
        <v>9471</v>
      </c>
      <c r="E563" s="28" t="str">
        <f>IFERROR(__xludf.DUMMYFUNCTION("GOOGLETRANSLATE(D563,""zh-CN"",""vi"")"),"Bọn cướp đã cướp ngân hàng.")</f>
        <v>Bọn cướp đã cướp ngân hàng.</v>
      </c>
      <c r="F563" s="128"/>
      <c r="G563" s="36" t="b">
        <f t="shared" si="1"/>
        <v>0</v>
      </c>
      <c r="H563" s="35" t="b">
        <v>1</v>
      </c>
      <c r="I563" s="35" t="b">
        <v>0</v>
      </c>
      <c r="J563" s="35" t="b">
        <v>0</v>
      </c>
      <c r="K563" s="35" t="b">
        <v>0</v>
      </c>
      <c r="L563" s="35" t="b">
        <v>0</v>
      </c>
      <c r="M563" s="35" t="b">
        <v>0</v>
      </c>
      <c r="N563" s="35" t="b">
        <v>0</v>
      </c>
      <c r="O563" s="35" t="b">
        <v>0</v>
      </c>
      <c r="P563" s="35" t="b">
        <v>0</v>
      </c>
      <c r="Q563" s="35" t="b">
        <v>0</v>
      </c>
      <c r="R563" s="14"/>
      <c r="S563" s="14"/>
      <c r="T563" s="14"/>
      <c r="U563" s="14"/>
      <c r="V563" s="14"/>
      <c r="W563" s="14"/>
    </row>
    <row r="564" ht="31.5" customHeight="1">
      <c r="A564" s="109" t="s">
        <v>9472</v>
      </c>
      <c r="B564" s="110" t="s">
        <v>9473</v>
      </c>
      <c r="C564" s="111" t="s">
        <v>9474</v>
      </c>
      <c r="D564" s="28" t="s">
        <v>9475</v>
      </c>
      <c r="E564" s="28" t="str">
        <f>IFERROR(__xludf.DUMMYFUNCTION("GOOGLETRANSLATE(D564,""zh-CN"",""vi"")"),"Chính phủ đã quyết định bãi bỏ luật này.")</f>
        <v>Chính phủ đã quyết định bãi bỏ luật này.</v>
      </c>
      <c r="F564" s="128"/>
      <c r="G564" s="36" t="b">
        <f t="shared" si="1"/>
        <v>0</v>
      </c>
      <c r="H564" s="35" t="b">
        <v>1</v>
      </c>
      <c r="I564" s="35" t="b">
        <v>0</v>
      </c>
      <c r="J564" s="35" t="b">
        <v>0</v>
      </c>
      <c r="K564" s="35" t="b">
        <v>0</v>
      </c>
      <c r="L564" s="35" t="b">
        <v>0</v>
      </c>
      <c r="M564" s="35" t="b">
        <v>0</v>
      </c>
      <c r="N564" s="35" t="b">
        <v>0</v>
      </c>
      <c r="O564" s="35" t="b">
        <v>0</v>
      </c>
      <c r="P564" s="35" t="b">
        <v>0</v>
      </c>
      <c r="Q564" s="35" t="b">
        <v>0</v>
      </c>
      <c r="R564" s="14"/>
      <c r="S564" s="14"/>
      <c r="T564" s="14"/>
      <c r="U564" s="14"/>
      <c r="V564" s="14"/>
      <c r="W564" s="14"/>
    </row>
    <row r="565" ht="31.5" customHeight="1">
      <c r="A565" s="109" t="s">
        <v>9476</v>
      </c>
      <c r="B565" s="110" t="s">
        <v>9477</v>
      </c>
      <c r="C565" s="111" t="s">
        <v>9478</v>
      </c>
      <c r="D565" s="28" t="s">
        <v>9479</v>
      </c>
      <c r="E565" s="28" t="str">
        <f>IFERROR(__xludf.DUMMYFUNCTION("GOOGLETRANSLATE(D565,""zh-CN"",""vi"")"),"Nước đang sôi.")</f>
        <v>Nước đang sôi.</v>
      </c>
      <c r="F565" s="128"/>
      <c r="G565" s="36" t="b">
        <f t="shared" si="1"/>
        <v>0</v>
      </c>
      <c r="H565" s="35" t="b">
        <v>1</v>
      </c>
      <c r="I565" s="35" t="b">
        <v>0</v>
      </c>
      <c r="J565" s="35" t="b">
        <v>0</v>
      </c>
      <c r="K565" s="35" t="b">
        <v>0</v>
      </c>
      <c r="L565" s="35" t="b">
        <v>0</v>
      </c>
      <c r="M565" s="35" t="b">
        <v>0</v>
      </c>
      <c r="N565" s="35" t="b">
        <v>0</v>
      </c>
      <c r="O565" s="35" t="b">
        <v>0</v>
      </c>
      <c r="P565" s="35" t="b">
        <v>0</v>
      </c>
      <c r="Q565" s="35" t="b">
        <v>0</v>
      </c>
      <c r="R565" s="14"/>
      <c r="S565" s="14"/>
      <c r="T565" s="14"/>
      <c r="U565" s="14"/>
      <c r="V565" s="14"/>
      <c r="W565" s="14"/>
    </row>
    <row r="566" ht="31.5" customHeight="1">
      <c r="A566" s="109" t="s">
        <v>9484</v>
      </c>
      <c r="B566" s="110" t="s">
        <v>9485</v>
      </c>
      <c r="C566" s="111" t="s">
        <v>9486</v>
      </c>
      <c r="D566" s="28" t="s">
        <v>9487</v>
      </c>
      <c r="E566" s="28" t="str">
        <f>IFERROR(__xludf.DUMMYFUNCTION("GOOGLETRANSLATE(D566,""zh-CN"",""vi"")"),"Sau trận động đất, thành phố đã bị tàn phá hoàn toàn.")</f>
        <v>Sau trận động đất, thành phố đã bị tàn phá hoàn toàn.</v>
      </c>
      <c r="F566" s="128"/>
      <c r="G566" s="36" t="b">
        <f t="shared" si="1"/>
        <v>0</v>
      </c>
      <c r="H566" s="35" t="b">
        <v>1</v>
      </c>
      <c r="I566" s="35" t="b">
        <v>0</v>
      </c>
      <c r="J566" s="35" t="b">
        <v>0</v>
      </c>
      <c r="K566" s="35" t="b">
        <v>0</v>
      </c>
      <c r="L566" s="35" t="b">
        <v>0</v>
      </c>
      <c r="M566" s="35" t="b">
        <v>0</v>
      </c>
      <c r="N566" s="35" t="b">
        <v>0</v>
      </c>
      <c r="O566" s="35" t="b">
        <v>0</v>
      </c>
      <c r="P566" s="35" t="b">
        <v>0</v>
      </c>
      <c r="Q566" s="35" t="b">
        <v>0</v>
      </c>
      <c r="R566" s="14"/>
      <c r="S566" s="14"/>
      <c r="T566" s="14"/>
      <c r="U566" s="14"/>
      <c r="V566" s="14"/>
      <c r="W566" s="14"/>
    </row>
    <row r="567" ht="31.5" customHeight="1">
      <c r="A567" s="109" t="s">
        <v>9490</v>
      </c>
      <c r="B567" s="110" t="s">
        <v>9492</v>
      </c>
      <c r="C567" s="111" t="s">
        <v>9494</v>
      </c>
      <c r="D567" s="28" t="s">
        <v>9495</v>
      </c>
      <c r="E567" s="28" t="str">
        <f>IFERROR(__xludf.DUMMYFUNCTION("GOOGLETRANSLATE(D567,""zh-CN"",""vi"")"),"Tôi có thể phân biệt được hai màu này.")</f>
        <v>Tôi có thể phân biệt được hai màu này.</v>
      </c>
      <c r="F567" s="128"/>
      <c r="G567" s="36" t="b">
        <f t="shared" si="1"/>
        <v>0</v>
      </c>
      <c r="H567" s="35" t="b">
        <v>1</v>
      </c>
      <c r="I567" s="35" t="b">
        <v>0</v>
      </c>
      <c r="J567" s="35" t="b">
        <v>0</v>
      </c>
      <c r="K567" s="35" t="b">
        <v>0</v>
      </c>
      <c r="L567" s="35" t="b">
        <v>0</v>
      </c>
      <c r="M567" s="35" t="b">
        <v>0</v>
      </c>
      <c r="N567" s="35" t="b">
        <v>0</v>
      </c>
      <c r="O567" s="35" t="b">
        <v>0</v>
      </c>
      <c r="P567" s="35" t="b">
        <v>0</v>
      </c>
      <c r="Q567" s="35" t="b">
        <v>0</v>
      </c>
      <c r="R567" s="14"/>
      <c r="S567" s="14"/>
      <c r="T567" s="14"/>
      <c r="U567" s="14"/>
      <c r="V567" s="14"/>
      <c r="W567" s="14"/>
    </row>
    <row r="568" ht="31.5" customHeight="1">
      <c r="A568" s="109" t="s">
        <v>9496</v>
      </c>
      <c r="B568" s="110" t="s">
        <v>9497</v>
      </c>
      <c r="C568" s="111" t="s">
        <v>9502</v>
      </c>
      <c r="D568" s="28" t="s">
        <v>9503</v>
      </c>
      <c r="E568" s="28" t="str">
        <f>IFERROR(__xludf.DUMMYFUNCTION("GOOGLETRANSLATE(D568,""zh-CN"",""vi"")"),"Người ta phải biết cách cư xử cho đúng mực.")</f>
        <v>Người ta phải biết cách cư xử cho đúng mực.</v>
      </c>
      <c r="F568" s="128"/>
      <c r="G568" s="36" t="b">
        <f t="shared" si="1"/>
        <v>0</v>
      </c>
      <c r="H568" s="35" t="b">
        <v>1</v>
      </c>
      <c r="I568" s="35" t="b">
        <v>0</v>
      </c>
      <c r="J568" s="35" t="b">
        <v>0</v>
      </c>
      <c r="K568" s="35" t="b">
        <v>0</v>
      </c>
      <c r="L568" s="35" t="b">
        <v>0</v>
      </c>
      <c r="M568" s="35" t="b">
        <v>0</v>
      </c>
      <c r="N568" s="35" t="b">
        <v>0</v>
      </c>
      <c r="O568" s="35" t="b">
        <v>0</v>
      </c>
      <c r="P568" s="35" t="b">
        <v>0</v>
      </c>
      <c r="Q568" s="35" t="b">
        <v>0</v>
      </c>
      <c r="R568" s="14"/>
      <c r="S568" s="14"/>
      <c r="T568" s="14"/>
      <c r="U568" s="14"/>
      <c r="V568" s="14"/>
      <c r="W568" s="14"/>
    </row>
    <row r="569" ht="31.5" customHeight="1">
      <c r="A569" s="109" t="s">
        <v>9508</v>
      </c>
      <c r="B569" s="110" t="s">
        <v>9509</v>
      </c>
      <c r="C569" s="111" t="s">
        <v>9510</v>
      </c>
      <c r="D569" s="28" t="s">
        <v>9511</v>
      </c>
      <c r="E569" s="28" t="str">
        <f>IFERROR(__xludf.DUMMYFUNCTION("GOOGLETRANSLATE(D569,""zh-CN"",""vi"")"),"Anh ấy bảo tôi đi mua một ít trái cây.")</f>
        <v>Anh ấy bảo tôi đi mua một ít trái cây.</v>
      </c>
      <c r="F569" s="128"/>
      <c r="G569" s="36" t="b">
        <f t="shared" si="1"/>
        <v>0</v>
      </c>
      <c r="H569" s="35" t="b">
        <v>1</v>
      </c>
      <c r="I569" s="35" t="b">
        <v>0</v>
      </c>
      <c r="J569" s="35" t="b">
        <v>0</v>
      </c>
      <c r="K569" s="35" t="b">
        <v>0</v>
      </c>
      <c r="L569" s="35" t="b">
        <v>0</v>
      </c>
      <c r="M569" s="35" t="b">
        <v>0</v>
      </c>
      <c r="N569" s="35" t="b">
        <v>0</v>
      </c>
      <c r="O569" s="35" t="b">
        <v>0</v>
      </c>
      <c r="P569" s="35" t="b">
        <v>0</v>
      </c>
      <c r="Q569" s="35" t="b">
        <v>0</v>
      </c>
      <c r="R569" s="14"/>
      <c r="S569" s="14"/>
      <c r="T569" s="14"/>
      <c r="U569" s="14"/>
      <c r="V569" s="14"/>
      <c r="W569" s="14"/>
    </row>
    <row r="570" ht="31.5" customHeight="1">
      <c r="A570" s="109" t="s">
        <v>9512</v>
      </c>
      <c r="B570" s="110" t="s">
        <v>9513</v>
      </c>
      <c r="C570" s="111" t="s">
        <v>9514</v>
      </c>
      <c r="D570" s="28" t="s">
        <v>9515</v>
      </c>
      <c r="E570" s="28" t="str">
        <f>IFERROR(__xludf.DUMMYFUNCTION("GOOGLETRANSLATE(D570,""zh-CN"",""vi"")"),"Công ty chia cổ tức cho mỗi nhân viên.")</f>
        <v>Công ty chia cổ tức cho mỗi nhân viên.</v>
      </c>
      <c r="F570" s="128"/>
      <c r="G570" s="36" t="b">
        <f t="shared" si="1"/>
        <v>0</v>
      </c>
      <c r="H570" s="35" t="b">
        <v>1</v>
      </c>
      <c r="I570" s="35" t="b">
        <v>0</v>
      </c>
      <c r="J570" s="35" t="b">
        <v>0</v>
      </c>
      <c r="K570" s="35" t="b">
        <v>0</v>
      </c>
      <c r="L570" s="35" t="b">
        <v>0</v>
      </c>
      <c r="M570" s="35" t="b">
        <v>0</v>
      </c>
      <c r="N570" s="35" t="b">
        <v>0</v>
      </c>
      <c r="O570" s="35" t="b">
        <v>0</v>
      </c>
      <c r="P570" s="35" t="b">
        <v>0</v>
      </c>
      <c r="Q570" s="35" t="b">
        <v>0</v>
      </c>
      <c r="R570" s="14"/>
      <c r="S570" s="14"/>
      <c r="T570" s="14"/>
      <c r="U570" s="14"/>
      <c r="V570" s="14"/>
      <c r="W570" s="14"/>
    </row>
    <row r="571" ht="31.5" customHeight="1">
      <c r="A571" s="109" t="s">
        <v>9516</v>
      </c>
      <c r="B571" s="110" t="s">
        <v>9517</v>
      </c>
      <c r="C571" s="111" t="s">
        <v>9518</v>
      </c>
      <c r="D571" s="28" t="s">
        <v>9519</v>
      </c>
      <c r="E571" s="28" t="str">
        <f>IFERROR(__xludf.DUMMYFUNCTION("GOOGLETRANSLATE(D571,""zh-CN"",""vi"")"),"Các nhà khoa học đã phân tích thành phần hóa học này.")</f>
        <v>Các nhà khoa học đã phân tích thành phần hóa học này.</v>
      </c>
      <c r="F571" s="128"/>
      <c r="G571" s="36" t="b">
        <f t="shared" si="1"/>
        <v>0</v>
      </c>
      <c r="H571" s="35" t="b">
        <v>1</v>
      </c>
      <c r="I571" s="35" t="b">
        <v>0</v>
      </c>
      <c r="J571" s="35" t="b">
        <v>0</v>
      </c>
      <c r="K571" s="35" t="b">
        <v>0</v>
      </c>
      <c r="L571" s="35" t="b">
        <v>0</v>
      </c>
      <c r="M571" s="35" t="b">
        <v>0</v>
      </c>
      <c r="N571" s="35" t="b">
        <v>0</v>
      </c>
      <c r="O571" s="35" t="b">
        <v>0</v>
      </c>
      <c r="P571" s="35" t="b">
        <v>0</v>
      </c>
      <c r="Q571" s="35" t="b">
        <v>0</v>
      </c>
      <c r="R571" s="14"/>
      <c r="S571" s="14"/>
      <c r="T571" s="14"/>
      <c r="U571" s="14"/>
      <c r="V571" s="14"/>
      <c r="W571" s="14"/>
    </row>
    <row r="572" ht="31.5" customHeight="1">
      <c r="A572" s="109" t="s">
        <v>9523</v>
      </c>
      <c r="B572" s="110" t="s">
        <v>9524</v>
      </c>
      <c r="C572" s="111" t="s">
        <v>9525</v>
      </c>
      <c r="D572" s="28" t="s">
        <v>9526</v>
      </c>
      <c r="E572" s="28" t="str">
        <f>IFERROR(__xludf.DUMMYFUNCTION("GOOGLETRANSLATE(D572,""zh-CN"",""vi"")"),"Đất nước này đang đối mặt với cuộc khủng hoảng chia rẽ.")</f>
        <v>Đất nước này đang đối mặt với cuộc khủng hoảng chia rẽ.</v>
      </c>
      <c r="F572" s="128"/>
      <c r="G572" s="36" t="b">
        <f t="shared" si="1"/>
        <v>0</v>
      </c>
      <c r="H572" s="35" t="b">
        <v>1</v>
      </c>
      <c r="I572" s="35" t="b">
        <v>0</v>
      </c>
      <c r="J572" s="35" t="b">
        <v>0</v>
      </c>
      <c r="K572" s="35" t="b">
        <v>0</v>
      </c>
      <c r="L572" s="35" t="b">
        <v>0</v>
      </c>
      <c r="M572" s="35" t="b">
        <v>0</v>
      </c>
      <c r="N572" s="35" t="b">
        <v>0</v>
      </c>
      <c r="O572" s="35" t="b">
        <v>0</v>
      </c>
      <c r="P572" s="35" t="b">
        <v>0</v>
      </c>
      <c r="Q572" s="35" t="b">
        <v>0</v>
      </c>
      <c r="R572" s="14"/>
      <c r="S572" s="14"/>
      <c r="T572" s="14"/>
      <c r="U572" s="14"/>
      <c r="V572" s="14"/>
      <c r="W572" s="14"/>
    </row>
    <row r="573" ht="31.5" customHeight="1">
      <c r="A573" s="109" t="s">
        <v>9531</v>
      </c>
      <c r="B573" s="110" t="s">
        <v>9532</v>
      </c>
      <c r="C573" s="111" t="s">
        <v>9533</v>
      </c>
      <c r="D573" s="28" t="s">
        <v>9534</v>
      </c>
      <c r="E573" s="28" t="str">
        <f>IFERROR(__xludf.DUMMYFUNCTION("GOOGLETRANSLATE(D573,""zh-CN"",""vi"")"),"Cơ thể tiết ra hormone.")</f>
        <v>Cơ thể tiết ra hormone.</v>
      </c>
      <c r="F573" s="128"/>
      <c r="G573" s="36" t="b">
        <f t="shared" si="1"/>
        <v>0</v>
      </c>
      <c r="H573" s="35" t="b">
        <v>1</v>
      </c>
      <c r="I573" s="35" t="b">
        <v>0</v>
      </c>
      <c r="J573" s="35" t="b">
        <v>0</v>
      </c>
      <c r="K573" s="35" t="b">
        <v>0</v>
      </c>
      <c r="L573" s="35" t="b">
        <v>0</v>
      </c>
      <c r="M573" s="35" t="b">
        <v>0</v>
      </c>
      <c r="N573" s="35" t="b">
        <v>0</v>
      </c>
      <c r="O573" s="35" t="b">
        <v>0</v>
      </c>
      <c r="P573" s="35" t="b">
        <v>0</v>
      </c>
      <c r="Q573" s="35" t="b">
        <v>0</v>
      </c>
      <c r="R573" s="14"/>
      <c r="S573" s="14"/>
      <c r="T573" s="14"/>
      <c r="U573" s="14"/>
      <c r="V573" s="14"/>
      <c r="W573" s="14"/>
    </row>
    <row r="574" ht="31.5" customHeight="1">
      <c r="A574" s="109" t="s">
        <v>9539</v>
      </c>
      <c r="B574" s="110" t="s">
        <v>9540</v>
      </c>
      <c r="C574" s="111" t="s">
        <v>9541</v>
      </c>
      <c r="D574" s="28" t="s">
        <v>9542</v>
      </c>
      <c r="E574" s="28" t="str">
        <f>IFERROR(__xludf.DUMMYFUNCTION("GOOGLETRANSLATE(D574,""zh-CN"",""vi"")"),"Sự thật đã quá rõ ràng: anh ta nói dối.")</f>
        <v>Sự thật đã quá rõ ràng: anh ta nói dối.</v>
      </c>
      <c r="F574" s="128"/>
      <c r="G574" s="36" t="b">
        <f t="shared" si="1"/>
        <v>0</v>
      </c>
      <c r="H574" s="35" t="b">
        <v>1</v>
      </c>
      <c r="I574" s="35" t="b">
        <v>0</v>
      </c>
      <c r="J574" s="35" t="b">
        <v>0</v>
      </c>
      <c r="K574" s="35" t="b">
        <v>0</v>
      </c>
      <c r="L574" s="35" t="b">
        <v>0</v>
      </c>
      <c r="M574" s="35" t="b">
        <v>0</v>
      </c>
      <c r="N574" s="35" t="b">
        <v>0</v>
      </c>
      <c r="O574" s="35" t="b">
        <v>0</v>
      </c>
      <c r="P574" s="35" t="b">
        <v>0</v>
      </c>
      <c r="Q574" s="35" t="b">
        <v>0</v>
      </c>
      <c r="R574" s="14"/>
      <c r="S574" s="14"/>
      <c r="T574" s="14"/>
      <c r="U574" s="14"/>
      <c r="V574" s="14"/>
      <c r="W574" s="14"/>
    </row>
    <row r="575" ht="31.5" customHeight="1">
      <c r="A575" s="109" t="s">
        <v>9547</v>
      </c>
      <c r="B575" s="110" t="s">
        <v>9548</v>
      </c>
      <c r="C575" s="111" t="s">
        <v>9549</v>
      </c>
      <c r="D575" s="28" t="s">
        <v>9550</v>
      </c>
      <c r="E575" s="28" t="str">
        <f>IFERROR(__xludf.DUMMYFUNCTION("GOOGLETRANSLATE(D575,""zh-CN"",""vi"")"),"Chúng tôi không đồng ý về vấn đề này.")</f>
        <v>Chúng tôi không đồng ý về vấn đề này.</v>
      </c>
      <c r="F575" s="128"/>
      <c r="G575" s="36" t="b">
        <f t="shared" si="1"/>
        <v>0</v>
      </c>
      <c r="H575" s="35" t="b">
        <v>1</v>
      </c>
      <c r="I575" s="35" t="b">
        <v>0</v>
      </c>
      <c r="J575" s="35" t="b">
        <v>0</v>
      </c>
      <c r="K575" s="35" t="b">
        <v>0</v>
      </c>
      <c r="L575" s="35" t="b">
        <v>0</v>
      </c>
      <c r="M575" s="35" t="b">
        <v>0</v>
      </c>
      <c r="N575" s="35" t="b">
        <v>0</v>
      </c>
      <c r="O575" s="35" t="b">
        <v>0</v>
      </c>
      <c r="P575" s="35" t="b">
        <v>0</v>
      </c>
      <c r="Q575" s="35" t="b">
        <v>0</v>
      </c>
      <c r="R575" s="14"/>
      <c r="S575" s="14"/>
      <c r="T575" s="14"/>
      <c r="U575" s="14"/>
      <c r="V575" s="14"/>
      <c r="W575" s="14"/>
    </row>
    <row r="576" ht="31.5" customHeight="1">
      <c r="A576" s="109" t="s">
        <v>9555</v>
      </c>
      <c r="B576" s="110" t="s">
        <v>9556</v>
      </c>
      <c r="C576" s="111" t="s">
        <v>9557</v>
      </c>
      <c r="D576" s="28" t="s">
        <v>9558</v>
      </c>
      <c r="E576" s="28" t="str">
        <f>IFERROR(__xludf.DUMMYFUNCTION("GOOGLETRANSLATE(D576,""zh-CN"",""vi"")"),"Anh ấy cần được phân tâm vì công việc của mình.")</f>
        <v>Anh ấy cần được phân tâm vì công việc của mình.</v>
      </c>
      <c r="F576" s="128"/>
      <c r="G576" s="36" t="b">
        <f t="shared" si="1"/>
        <v>0</v>
      </c>
      <c r="H576" s="35" t="b">
        <v>1</v>
      </c>
      <c r="I576" s="35" t="b">
        <v>0</v>
      </c>
      <c r="J576" s="35" t="b">
        <v>0</v>
      </c>
      <c r="K576" s="35" t="b">
        <v>0</v>
      </c>
      <c r="L576" s="35" t="b">
        <v>0</v>
      </c>
      <c r="M576" s="35" t="b">
        <v>0</v>
      </c>
      <c r="N576" s="35" t="b">
        <v>0</v>
      </c>
      <c r="O576" s="35" t="b">
        <v>0</v>
      </c>
      <c r="P576" s="35" t="b">
        <v>0</v>
      </c>
      <c r="Q576" s="35" t="b">
        <v>0</v>
      </c>
      <c r="R576" s="14"/>
      <c r="S576" s="14"/>
      <c r="T576" s="14"/>
      <c r="U576" s="14"/>
      <c r="V576" s="14"/>
      <c r="W576" s="14"/>
    </row>
    <row r="577" ht="31.5" customHeight="1">
      <c r="A577" s="109" t="s">
        <v>6205</v>
      </c>
      <c r="B577" s="110" t="s">
        <v>6207</v>
      </c>
      <c r="C577" s="111" t="s">
        <v>9563</v>
      </c>
      <c r="D577" s="28" t="s">
        <v>9564</v>
      </c>
      <c r="E577" s="28" t="str">
        <f>IFERROR(__xludf.DUMMYFUNCTION("GOOGLETRANSLATE(D577,""zh-CN"",""vi"")"),"Họ quyết định chia tay.")</f>
        <v>Họ quyết định chia tay.</v>
      </c>
      <c r="F577" s="128"/>
      <c r="G577" s="36" t="b">
        <f t="shared" si="1"/>
        <v>0</v>
      </c>
      <c r="H577" s="35" t="b">
        <v>1</v>
      </c>
      <c r="I577" s="35" t="b">
        <v>0</v>
      </c>
      <c r="J577" s="35" t="b">
        <v>0</v>
      </c>
      <c r="K577" s="35" t="b">
        <v>0</v>
      </c>
      <c r="L577" s="35" t="b">
        <v>0</v>
      </c>
      <c r="M577" s="35" t="b">
        <v>0</v>
      </c>
      <c r="N577" s="35" t="b">
        <v>0</v>
      </c>
      <c r="O577" s="35" t="b">
        <v>0</v>
      </c>
      <c r="P577" s="35" t="b">
        <v>0</v>
      </c>
      <c r="Q577" s="35" t="b">
        <v>0</v>
      </c>
      <c r="R577" s="14"/>
      <c r="S577" s="14"/>
      <c r="T577" s="14"/>
      <c r="U577" s="14"/>
      <c r="V577" s="14"/>
      <c r="W577" s="14"/>
    </row>
    <row r="578" ht="31.5" customHeight="1">
      <c r="A578" s="109" t="s">
        <v>9569</v>
      </c>
      <c r="B578" s="110" t="s">
        <v>9570</v>
      </c>
      <c r="C578" s="111" t="s">
        <v>9571</v>
      </c>
      <c r="D578" s="28" t="s">
        <v>9572</v>
      </c>
      <c r="E578" s="28" t="str">
        <f>IFERROR(__xludf.DUMMYFUNCTION("GOOGLETRANSLATE(D578,""zh-CN"",""vi"")"),"Ngôi mộ này đã hơn trăm năm tuổi.")</f>
        <v>Ngôi mộ này đã hơn trăm năm tuổi.</v>
      </c>
      <c r="F578" s="128"/>
      <c r="G578" s="36" t="b">
        <f t="shared" si="1"/>
        <v>0</v>
      </c>
      <c r="H578" s="35" t="b">
        <v>1</v>
      </c>
      <c r="I578" s="35" t="b">
        <v>0</v>
      </c>
      <c r="J578" s="35" t="b">
        <v>0</v>
      </c>
      <c r="K578" s="35" t="b">
        <v>0</v>
      </c>
      <c r="L578" s="35" t="b">
        <v>0</v>
      </c>
      <c r="M578" s="35" t="b">
        <v>0</v>
      </c>
      <c r="N578" s="35" t="b">
        <v>0</v>
      </c>
      <c r="O578" s="35" t="b">
        <v>0</v>
      </c>
      <c r="P578" s="35" t="b">
        <v>0</v>
      </c>
      <c r="Q578" s="35" t="b">
        <v>0</v>
      </c>
      <c r="R578" s="14"/>
      <c r="S578" s="14"/>
      <c r="T578" s="14"/>
      <c r="U578" s="14"/>
      <c r="V578" s="14"/>
      <c r="W578" s="14"/>
    </row>
    <row r="579" ht="31.5" customHeight="1">
      <c r="A579" s="109" t="s">
        <v>9577</v>
      </c>
      <c r="B579" s="110" t="s">
        <v>9578</v>
      </c>
      <c r="C579" s="111" t="s">
        <v>9579</v>
      </c>
      <c r="D579" s="28" t="s">
        <v>9580</v>
      </c>
      <c r="E579" s="28" t="str">
        <f>IFERROR(__xludf.DUMMYFUNCTION("GOOGLETRANSLATE(D579,""zh-CN"",""vi"")"),"Viên thuốc này có thể được nghiền thành bột.")</f>
        <v>Viên thuốc này có thể được nghiền thành bột.</v>
      </c>
      <c r="F579" s="128"/>
      <c r="G579" s="36" t="b">
        <f t="shared" si="1"/>
        <v>0</v>
      </c>
      <c r="H579" s="35" t="b">
        <v>1</v>
      </c>
      <c r="I579" s="35" t="b">
        <v>0</v>
      </c>
      <c r="J579" s="35" t="b">
        <v>0</v>
      </c>
      <c r="K579" s="35" t="b">
        <v>0</v>
      </c>
      <c r="L579" s="35" t="b">
        <v>0</v>
      </c>
      <c r="M579" s="35" t="b">
        <v>0</v>
      </c>
      <c r="N579" s="35" t="b">
        <v>0</v>
      </c>
      <c r="O579" s="35" t="b">
        <v>0</v>
      </c>
      <c r="P579" s="35" t="b">
        <v>0</v>
      </c>
      <c r="Q579" s="35" t="b">
        <v>0</v>
      </c>
      <c r="R579" s="14"/>
      <c r="S579" s="14"/>
      <c r="T579" s="14"/>
      <c r="U579" s="14"/>
      <c r="V579" s="14"/>
      <c r="W579" s="14"/>
    </row>
    <row r="580" ht="31.5" customHeight="1">
      <c r="A580" s="109" t="s">
        <v>9583</v>
      </c>
      <c r="B580" s="110" t="s">
        <v>9585</v>
      </c>
      <c r="C580" s="111" t="s">
        <v>9586</v>
      </c>
      <c r="D580" s="28" t="s">
        <v>9587</v>
      </c>
      <c r="E580" s="28" t="str">
        <f>IFERROR(__xludf.DUMMYFUNCTION("GOOGLETRANSLATE(D580,""zh-CN"",""vi"")"),"Cô ấy thích quần áo màu hồng.")</f>
        <v>Cô ấy thích quần áo màu hồng.</v>
      </c>
      <c r="F580" s="128"/>
      <c r="G580" s="36" t="b">
        <f t="shared" si="1"/>
        <v>0</v>
      </c>
      <c r="H580" s="35" t="b">
        <v>1</v>
      </c>
      <c r="I580" s="35" t="b">
        <v>0</v>
      </c>
      <c r="J580" s="35" t="b">
        <v>0</v>
      </c>
      <c r="K580" s="35" t="b">
        <v>0</v>
      </c>
      <c r="L580" s="35" t="b">
        <v>0</v>
      </c>
      <c r="M580" s="35" t="b">
        <v>0</v>
      </c>
      <c r="N580" s="35" t="b">
        <v>0</v>
      </c>
      <c r="O580" s="35" t="b">
        <v>0</v>
      </c>
      <c r="P580" s="35" t="b">
        <v>0</v>
      </c>
      <c r="Q580" s="35" t="b">
        <v>0</v>
      </c>
      <c r="R580" s="14"/>
      <c r="S580" s="14"/>
      <c r="T580" s="14"/>
      <c r="U580" s="14"/>
      <c r="V580" s="14"/>
      <c r="W580" s="14"/>
    </row>
    <row r="581" ht="31.5" customHeight="1">
      <c r="A581" s="109" t="s">
        <v>9588</v>
      </c>
      <c r="B581" s="110" t="s">
        <v>9589</v>
      </c>
      <c r="C581" s="111" t="s">
        <v>9590</v>
      </c>
      <c r="D581" s="28" t="s">
        <v>9591</v>
      </c>
      <c r="E581" s="28" t="str">
        <f>IFERROR(__xludf.DUMMYFUNCTION("GOOGLETRANSLATE(D581,""zh-CN"",""vi"")"),"Máy này có thể nghiền rác.")</f>
        <v>Máy này có thể nghiền rác.</v>
      </c>
      <c r="F581" s="128"/>
      <c r="G581" s="36" t="b">
        <f t="shared" si="1"/>
        <v>0</v>
      </c>
      <c r="H581" s="35" t="b">
        <v>1</v>
      </c>
      <c r="I581" s="35" t="b">
        <v>0</v>
      </c>
      <c r="J581" s="35" t="b">
        <v>0</v>
      </c>
      <c r="K581" s="35" t="b">
        <v>0</v>
      </c>
      <c r="L581" s="35" t="b">
        <v>0</v>
      </c>
      <c r="M581" s="35" t="b">
        <v>0</v>
      </c>
      <c r="N581" s="35" t="b">
        <v>0</v>
      </c>
      <c r="O581" s="35" t="b">
        <v>0</v>
      </c>
      <c r="P581" s="35" t="b">
        <v>0</v>
      </c>
      <c r="Q581" s="35" t="b">
        <v>0</v>
      </c>
      <c r="R581" s="14"/>
      <c r="S581" s="14"/>
      <c r="T581" s="14"/>
      <c r="U581" s="14"/>
      <c r="V581" s="14"/>
      <c r="W581" s="14"/>
    </row>
    <row r="582" ht="31.5" customHeight="1">
      <c r="A582" s="109" t="s">
        <v>9592</v>
      </c>
      <c r="B582" s="110" t="s">
        <v>9593</v>
      </c>
      <c r="C582" s="111" t="s">
        <v>9594</v>
      </c>
      <c r="D582" s="28" t="s">
        <v>9595</v>
      </c>
      <c r="E582" s="28" t="str">
        <f>IFERROR(__xludf.DUMMYFUNCTION("GOOGLETRANSLATE(D582,""zh-CN"",""vi"")"),"Gói hàng này chứa một lượng sản phẩm khá lớn.")</f>
        <v>Gói hàng này chứa một lượng sản phẩm khá lớn.</v>
      </c>
      <c r="F582" s="128"/>
      <c r="G582" s="36" t="b">
        <f t="shared" si="1"/>
        <v>0</v>
      </c>
      <c r="H582" s="35" t="b">
        <v>1</v>
      </c>
      <c r="I582" s="35" t="b">
        <v>0</v>
      </c>
      <c r="J582" s="35" t="b">
        <v>0</v>
      </c>
      <c r="K582" s="35" t="b">
        <v>0</v>
      </c>
      <c r="L582" s="35" t="b">
        <v>0</v>
      </c>
      <c r="M582" s="35" t="b">
        <v>0</v>
      </c>
      <c r="N582" s="35" t="b">
        <v>0</v>
      </c>
      <c r="O582" s="35" t="b">
        <v>0</v>
      </c>
      <c r="P582" s="35" t="b">
        <v>0</v>
      </c>
      <c r="Q582" s="35" t="b">
        <v>0</v>
      </c>
      <c r="R582" s="14"/>
      <c r="S582" s="14"/>
      <c r="T582" s="14"/>
      <c r="U582" s="14"/>
      <c r="V582" s="14"/>
      <c r="W582" s="14"/>
    </row>
    <row r="583" ht="31.5" customHeight="1">
      <c r="A583" s="109" t="s">
        <v>9600</v>
      </c>
      <c r="B583" s="110" t="s">
        <v>9601</v>
      </c>
      <c r="C583" s="111" t="s">
        <v>9602</v>
      </c>
      <c r="D583" s="28" t="s">
        <v>9603</v>
      </c>
      <c r="E583" s="28" t="str">
        <f>IFERROR(__xludf.DUMMYFUNCTION("GOOGLETRANSLATE(D583,""zh-CN"",""vi"")"),"Một cơn bão đang đến gần trên biển.")</f>
        <v>Một cơn bão đang đến gần trên biển.</v>
      </c>
      <c r="F583" s="128"/>
      <c r="G583" s="36" t="b">
        <f t="shared" si="1"/>
        <v>0</v>
      </c>
      <c r="H583" s="35" t="b">
        <v>1</v>
      </c>
      <c r="I583" s="35" t="b">
        <v>0</v>
      </c>
      <c r="J583" s="35" t="b">
        <v>0</v>
      </c>
      <c r="K583" s="35" t="b">
        <v>0</v>
      </c>
      <c r="L583" s="35" t="b">
        <v>0</v>
      </c>
      <c r="M583" s="35" t="b">
        <v>0</v>
      </c>
      <c r="N583" s="35" t="b">
        <v>0</v>
      </c>
      <c r="O583" s="35" t="b">
        <v>0</v>
      </c>
      <c r="P583" s="35" t="b">
        <v>0</v>
      </c>
      <c r="Q583" s="35" t="b">
        <v>0</v>
      </c>
      <c r="R583" s="14"/>
      <c r="S583" s="14"/>
      <c r="T583" s="14"/>
      <c r="U583" s="14"/>
      <c r="V583" s="14"/>
      <c r="W583" s="14"/>
    </row>
    <row r="584" ht="31.5" customHeight="1">
      <c r="A584" s="109" t="s">
        <v>9608</v>
      </c>
      <c r="B584" s="110" t="s">
        <v>9609</v>
      </c>
      <c r="C584" s="111" t="s">
        <v>9610</v>
      </c>
      <c r="D584" s="28" t="s">
        <v>9611</v>
      </c>
      <c r="E584" s="28" t="str">
        <f>IFERROR(__xludf.DUMMYFUNCTION("GOOGLETRANSLATE(D584,""zh-CN"",""vi"")"),"Anh ta đóng cửa và cửa sổ lại.")</f>
        <v>Anh ta đóng cửa và cửa sổ lại.</v>
      </c>
      <c r="F584" s="128"/>
      <c r="G584" s="36" t="b">
        <f t="shared" si="1"/>
        <v>0</v>
      </c>
      <c r="H584" s="35" t="b">
        <v>1</v>
      </c>
      <c r="I584" s="35" t="b">
        <v>0</v>
      </c>
      <c r="J584" s="35" t="b">
        <v>0</v>
      </c>
      <c r="K584" s="35" t="b">
        <v>0</v>
      </c>
      <c r="L584" s="35" t="b">
        <v>0</v>
      </c>
      <c r="M584" s="35" t="b">
        <v>0</v>
      </c>
      <c r="N584" s="35" t="b">
        <v>0</v>
      </c>
      <c r="O584" s="35" t="b">
        <v>0</v>
      </c>
      <c r="P584" s="35" t="b">
        <v>0</v>
      </c>
      <c r="Q584" s="35" t="b">
        <v>0</v>
      </c>
      <c r="R584" s="14"/>
      <c r="S584" s="14"/>
      <c r="T584" s="14"/>
      <c r="U584" s="14"/>
      <c r="V584" s="14"/>
      <c r="W584" s="14"/>
    </row>
    <row r="585" ht="31.5" customHeight="1">
      <c r="A585" s="109" t="s">
        <v>9623</v>
      </c>
      <c r="B585" s="110" t="s">
        <v>9624</v>
      </c>
      <c r="C585" s="111" t="s">
        <v>9626</v>
      </c>
      <c r="D585" s="28" t="s">
        <v>9628</v>
      </c>
      <c r="E585" s="28" t="str">
        <f>IFERROR(__xludf.DUMMYFUNCTION("GOOGLETRANSLATE(D585,""zh-CN"",""vi"")"),"Anh ấy có phong thái rất lịch lãm.")</f>
        <v>Anh ấy có phong thái rất lịch lãm.</v>
      </c>
      <c r="F585" s="128"/>
      <c r="G585" s="36" t="b">
        <f t="shared" si="1"/>
        <v>0</v>
      </c>
      <c r="H585" s="35" t="b">
        <v>1</v>
      </c>
      <c r="I585" s="35" t="b">
        <v>0</v>
      </c>
      <c r="J585" s="35" t="b">
        <v>0</v>
      </c>
      <c r="K585" s="35" t="b">
        <v>0</v>
      </c>
      <c r="L585" s="35" t="b">
        <v>0</v>
      </c>
      <c r="M585" s="35" t="b">
        <v>0</v>
      </c>
      <c r="N585" s="35" t="b">
        <v>0</v>
      </c>
      <c r="O585" s="35" t="b">
        <v>0</v>
      </c>
      <c r="P585" s="35" t="b">
        <v>0</v>
      </c>
      <c r="Q585" s="35" t="b">
        <v>0</v>
      </c>
      <c r="R585" s="14"/>
      <c r="S585" s="14"/>
      <c r="T585" s="14"/>
      <c r="U585" s="14"/>
      <c r="V585" s="14"/>
      <c r="W585" s="14"/>
    </row>
    <row r="586" ht="31.5" customHeight="1">
      <c r="A586" s="109" t="s">
        <v>9631</v>
      </c>
      <c r="B586" s="110" t="s">
        <v>9632</v>
      </c>
      <c r="C586" s="111" t="s">
        <v>9634</v>
      </c>
      <c r="D586" s="28" t="s">
        <v>9636</v>
      </c>
      <c r="E586" s="28" t="str">
        <f>IFERROR(__xludf.DUMMYFUNCTION("GOOGLETRANSLATE(D586,""zh-CN"",""vi"")"),"Chúng tôi đã tận hưởng khung cảnh từ đỉnh núi.")</f>
        <v>Chúng tôi đã tận hưởng khung cảnh từ đỉnh núi.</v>
      </c>
      <c r="F586" s="128"/>
      <c r="G586" s="36" t="b">
        <f t="shared" si="1"/>
        <v>0</v>
      </c>
      <c r="H586" s="35" t="b">
        <v>1</v>
      </c>
      <c r="I586" s="35" t="b">
        <v>0</v>
      </c>
      <c r="J586" s="35" t="b">
        <v>0</v>
      </c>
      <c r="K586" s="35" t="b">
        <v>0</v>
      </c>
      <c r="L586" s="35" t="b">
        <v>0</v>
      </c>
      <c r="M586" s="35" t="b">
        <v>0</v>
      </c>
      <c r="N586" s="35" t="b">
        <v>0</v>
      </c>
      <c r="O586" s="35" t="b">
        <v>0</v>
      </c>
      <c r="P586" s="35" t="b">
        <v>0</v>
      </c>
      <c r="Q586" s="35" t="b">
        <v>0</v>
      </c>
      <c r="R586" s="14"/>
      <c r="S586" s="14"/>
      <c r="T586" s="14"/>
      <c r="U586" s="14"/>
      <c r="V586" s="14"/>
      <c r="W586" s="14"/>
    </row>
    <row r="587" ht="31.5" customHeight="1">
      <c r="A587" s="109" t="s">
        <v>9639</v>
      </c>
      <c r="B587" s="110" t="s">
        <v>9640</v>
      </c>
      <c r="C587" s="111" t="s">
        <v>9642</v>
      </c>
      <c r="D587" s="28" t="s">
        <v>9644</v>
      </c>
      <c r="E587" s="28" t="str">
        <f>IFERROR(__xludf.DUMMYFUNCTION("GOOGLETRANSLATE(D587,""zh-CN"",""vi"")"),"Cuốn sách này bàn về xã hội phong kiến.")</f>
        <v>Cuốn sách này bàn về xã hội phong kiến.</v>
      </c>
      <c r="F587" s="128"/>
      <c r="G587" s="36" t="b">
        <f t="shared" si="1"/>
        <v>0</v>
      </c>
      <c r="H587" s="35" t="b">
        <v>1</v>
      </c>
      <c r="I587" s="35" t="b">
        <v>0</v>
      </c>
      <c r="J587" s="35" t="b">
        <v>0</v>
      </c>
      <c r="K587" s="35" t="b">
        <v>0</v>
      </c>
      <c r="L587" s="35" t="b">
        <v>0</v>
      </c>
      <c r="M587" s="35" t="b">
        <v>0</v>
      </c>
      <c r="N587" s="35" t="b">
        <v>0</v>
      </c>
      <c r="O587" s="35" t="b">
        <v>0</v>
      </c>
      <c r="P587" s="35" t="b">
        <v>0</v>
      </c>
      <c r="Q587" s="35" t="b">
        <v>0</v>
      </c>
      <c r="R587" s="14"/>
      <c r="S587" s="14"/>
      <c r="T587" s="14"/>
      <c r="U587" s="14"/>
      <c r="V587" s="14"/>
      <c r="W587" s="14"/>
    </row>
    <row r="588" ht="31.5" customHeight="1">
      <c r="A588" s="109" t="s">
        <v>9647</v>
      </c>
      <c r="B588" s="110" t="s">
        <v>9648</v>
      </c>
      <c r="C588" s="111" t="s">
        <v>9650</v>
      </c>
      <c r="D588" s="28" t="s">
        <v>9652</v>
      </c>
      <c r="E588" s="28" t="str">
        <f>IFERROR(__xludf.DUMMYFUNCTION("GOOGLETRANSLATE(D588,""zh-CN"",""vi"")"),"Con dao này rất sắc.")</f>
        <v>Con dao này rất sắc.</v>
      </c>
      <c r="F588" s="128"/>
      <c r="G588" s="36" t="b">
        <f t="shared" si="1"/>
        <v>0</v>
      </c>
      <c r="H588" s="35" t="b">
        <v>1</v>
      </c>
      <c r="I588" s="35" t="b">
        <v>0</v>
      </c>
      <c r="J588" s="35" t="b">
        <v>0</v>
      </c>
      <c r="K588" s="35" t="b">
        <v>0</v>
      </c>
      <c r="L588" s="35" t="b">
        <v>0</v>
      </c>
      <c r="M588" s="35" t="b">
        <v>0</v>
      </c>
      <c r="N588" s="35" t="b">
        <v>0</v>
      </c>
      <c r="O588" s="35" t="b">
        <v>0</v>
      </c>
      <c r="P588" s="35" t="b">
        <v>0</v>
      </c>
      <c r="Q588" s="35" t="b">
        <v>0</v>
      </c>
      <c r="R588" s="14"/>
      <c r="S588" s="14"/>
      <c r="T588" s="14"/>
      <c r="U588" s="14"/>
      <c r="V588" s="14"/>
      <c r="W588" s="14"/>
    </row>
    <row r="589" ht="31.5" customHeight="1">
      <c r="A589" s="109" t="s">
        <v>9655</v>
      </c>
      <c r="B589" s="110" t="s">
        <v>9656</v>
      </c>
      <c r="C589" s="111" t="s">
        <v>9657</v>
      </c>
      <c r="D589" s="28" t="s">
        <v>9659</v>
      </c>
      <c r="E589" s="28" t="str">
        <f>IFERROR(__xludf.DUMMYFUNCTION("GOOGLETRANSLATE(D589,""zh-CN"",""vi"")"),"Anh ta có thân hình đầy đặn.")</f>
        <v>Anh ta có thân hình đầy đặn.</v>
      </c>
      <c r="F589" s="128"/>
      <c r="G589" s="36" t="b">
        <f t="shared" si="1"/>
        <v>0</v>
      </c>
      <c r="H589" s="35" t="b">
        <v>1</v>
      </c>
      <c r="I589" s="35" t="b">
        <v>0</v>
      </c>
      <c r="J589" s="35" t="b">
        <v>0</v>
      </c>
      <c r="K589" s="35" t="b">
        <v>0</v>
      </c>
      <c r="L589" s="35" t="b">
        <v>0</v>
      </c>
      <c r="M589" s="35" t="b">
        <v>0</v>
      </c>
      <c r="N589" s="35" t="b">
        <v>0</v>
      </c>
      <c r="O589" s="35" t="b">
        <v>0</v>
      </c>
      <c r="P589" s="35" t="b">
        <v>0</v>
      </c>
      <c r="Q589" s="35" t="b">
        <v>0</v>
      </c>
      <c r="R589" s="14"/>
      <c r="S589" s="14"/>
      <c r="T589" s="14"/>
      <c r="U589" s="14"/>
      <c r="V589" s="14"/>
      <c r="W589" s="14"/>
    </row>
    <row r="590" ht="31.5" customHeight="1">
      <c r="A590" s="109" t="s">
        <v>9662</v>
      </c>
      <c r="B590" s="110" t="s">
        <v>9663</v>
      </c>
      <c r="C590" s="111" t="s">
        <v>9664</v>
      </c>
      <c r="D590" s="28" t="s">
        <v>9666</v>
      </c>
      <c r="E590" s="28" t="str">
        <f>IFERROR(__xludf.DUMMYFUNCTION("GOOGLETRANSLATE(D590,""zh-CN"",""vi"")"),"Không khí ở đây rất tuyệt.")</f>
        <v>Không khí ở đây rất tuyệt.</v>
      </c>
      <c r="F590" s="128"/>
      <c r="G590" s="36" t="b">
        <f t="shared" si="1"/>
        <v>0</v>
      </c>
      <c r="H590" s="35" t="b">
        <v>1</v>
      </c>
      <c r="I590" s="35" t="b">
        <v>0</v>
      </c>
      <c r="J590" s="35" t="b">
        <v>0</v>
      </c>
      <c r="K590" s="35" t="b">
        <v>0</v>
      </c>
      <c r="L590" s="35" t="b">
        <v>0</v>
      </c>
      <c r="M590" s="35" t="b">
        <v>0</v>
      </c>
      <c r="N590" s="35" t="b">
        <v>0</v>
      </c>
      <c r="O590" s="35" t="b">
        <v>0</v>
      </c>
      <c r="P590" s="35" t="b">
        <v>0</v>
      </c>
      <c r="Q590" s="35" t="b">
        <v>0</v>
      </c>
      <c r="R590" s="14"/>
      <c r="S590" s="14"/>
      <c r="T590" s="14"/>
      <c r="U590" s="14"/>
      <c r="V590" s="14"/>
      <c r="W590" s="14"/>
    </row>
    <row r="591" ht="31.5" customHeight="1">
      <c r="A591" s="109" t="s">
        <v>9670</v>
      </c>
      <c r="B591" s="110" t="s">
        <v>9671</v>
      </c>
      <c r="C591" s="111" t="s">
        <v>9672</v>
      </c>
      <c r="D591" s="28" t="s">
        <v>9674</v>
      </c>
      <c r="E591" s="28" t="str">
        <f>IFERROR(__xludf.DUMMYFUNCTION("GOOGLETRANSLATE(D591,""zh-CN"",""vi"")"),"Anh ấy kể chuyện rất hài hước.")</f>
        <v>Anh ấy kể chuyện rất hài hước.</v>
      </c>
      <c r="F591" s="128"/>
      <c r="G591" s="36" t="b">
        <f t="shared" si="1"/>
        <v>0</v>
      </c>
      <c r="H591" s="35" t="b">
        <v>1</v>
      </c>
      <c r="I591" s="35" t="b">
        <v>0</v>
      </c>
      <c r="J591" s="35" t="b">
        <v>0</v>
      </c>
      <c r="K591" s="35" t="b">
        <v>0</v>
      </c>
      <c r="L591" s="35" t="b">
        <v>0</v>
      </c>
      <c r="M591" s="35" t="b">
        <v>0</v>
      </c>
      <c r="N591" s="35" t="b">
        <v>0</v>
      </c>
      <c r="O591" s="35" t="b">
        <v>0</v>
      </c>
      <c r="P591" s="35" t="b">
        <v>0</v>
      </c>
      <c r="Q591" s="35" t="b">
        <v>0</v>
      </c>
      <c r="R591" s="14"/>
      <c r="S591" s="14"/>
      <c r="T591" s="14"/>
      <c r="U591" s="14"/>
      <c r="V591" s="14"/>
      <c r="W591" s="14"/>
    </row>
    <row r="592" ht="31.5" customHeight="1">
      <c r="A592" s="124" t="s">
        <v>9678</v>
      </c>
      <c r="B592" s="125" t="s">
        <v>9680</v>
      </c>
      <c r="C592" s="126" t="s">
        <v>9683</v>
      </c>
      <c r="D592" s="127" t="s">
        <v>9685</v>
      </c>
      <c r="E592" s="28" t="str">
        <f>IFERROR(__xludf.DUMMYFUNCTION("GOOGLETRANSLATE(D592,""zh-CN"",""vi"")"),"Mẹ nấu một bữa tối rất ngon.")</f>
        <v>Mẹ nấu một bữa tối rất ngon.</v>
      </c>
      <c r="F592" s="128"/>
      <c r="G592" s="36" t="b">
        <f t="shared" si="1"/>
        <v>0</v>
      </c>
      <c r="H592" s="35" t="b">
        <v>1</v>
      </c>
      <c r="I592" s="35" t="b">
        <v>0</v>
      </c>
      <c r="J592" s="35" t="b">
        <v>0</v>
      </c>
      <c r="K592" s="35" t="b">
        <v>0</v>
      </c>
      <c r="L592" s="35" t="b">
        <v>0</v>
      </c>
      <c r="M592" s="35" t="b">
        <v>0</v>
      </c>
      <c r="N592" s="35" t="b">
        <v>0</v>
      </c>
      <c r="O592" s="35" t="b">
        <v>0</v>
      </c>
      <c r="P592" s="35" t="b">
        <v>0</v>
      </c>
      <c r="Q592" s="35" t="b">
        <v>0</v>
      </c>
      <c r="R592" s="14"/>
      <c r="S592" s="14"/>
      <c r="T592" s="14"/>
      <c r="U592" s="14"/>
      <c r="V592" s="14"/>
      <c r="W592" s="14"/>
    </row>
    <row r="593" ht="31.5" customHeight="1">
      <c r="A593" s="109" t="s">
        <v>9686</v>
      </c>
      <c r="B593" s="110" t="s">
        <v>9688</v>
      </c>
      <c r="C593" s="111" t="s">
        <v>9690</v>
      </c>
      <c r="D593" s="28" t="s">
        <v>9692</v>
      </c>
      <c r="E593" s="28" t="str">
        <f>IFERROR(__xludf.DUMMYFUNCTION("GOOGLETRANSLATE(D593,""zh-CN"",""vi"")"),"Vụ mùa bội thu năm nay là một lý do để ăn mừng.")</f>
        <v>Vụ mùa bội thu năm nay là một lý do để ăn mừng.</v>
      </c>
      <c r="F593" s="128"/>
      <c r="G593" s="36" t="b">
        <f t="shared" si="1"/>
        <v>0</v>
      </c>
      <c r="H593" s="35" t="b">
        <v>1</v>
      </c>
      <c r="I593" s="35" t="b">
        <v>0</v>
      </c>
      <c r="J593" s="35" t="b">
        <v>0</v>
      </c>
      <c r="K593" s="35" t="b">
        <v>0</v>
      </c>
      <c r="L593" s="35" t="b">
        <v>0</v>
      </c>
      <c r="M593" s="35" t="b">
        <v>0</v>
      </c>
      <c r="N593" s="35" t="b">
        <v>0</v>
      </c>
      <c r="O593" s="35" t="b">
        <v>0</v>
      </c>
      <c r="P593" s="35" t="b">
        <v>0</v>
      </c>
      <c r="Q593" s="35" t="b">
        <v>0</v>
      </c>
      <c r="R593" s="14"/>
      <c r="S593" s="14"/>
      <c r="T593" s="14"/>
      <c r="U593" s="14"/>
      <c r="V593" s="14"/>
      <c r="W593" s="14"/>
    </row>
    <row r="594" ht="31.5" customHeight="1">
      <c r="A594" s="109" t="s">
        <v>9697</v>
      </c>
      <c r="B594" s="110" t="s">
        <v>9699</v>
      </c>
      <c r="C594" s="111" t="s">
        <v>9700</v>
      </c>
      <c r="D594" s="28" t="s">
        <v>9701</v>
      </c>
      <c r="E594" s="28" t="str">
        <f>IFERROR(__xludf.DUMMYFUNCTION("GOOGLETRANSLATE(D594,""zh-CN"",""vi"")"),"Chúng ta phải đóng cửa biên giới.")</f>
        <v>Chúng ta phải đóng cửa biên giới.</v>
      </c>
      <c r="F594" s="128"/>
      <c r="G594" s="36" t="b">
        <f t="shared" si="1"/>
        <v>0</v>
      </c>
      <c r="H594" s="35" t="b">
        <v>1</v>
      </c>
      <c r="I594" s="35" t="b">
        <v>0</v>
      </c>
      <c r="J594" s="35" t="b">
        <v>0</v>
      </c>
      <c r="K594" s="35" t="b">
        <v>0</v>
      </c>
      <c r="L594" s="35" t="b">
        <v>0</v>
      </c>
      <c r="M594" s="35" t="b">
        <v>0</v>
      </c>
      <c r="N594" s="35" t="b">
        <v>0</v>
      </c>
      <c r="O594" s="35" t="b">
        <v>0</v>
      </c>
      <c r="P594" s="35" t="b">
        <v>0</v>
      </c>
      <c r="Q594" s="35" t="b">
        <v>0</v>
      </c>
      <c r="R594" s="14"/>
      <c r="S594" s="14"/>
      <c r="T594" s="14"/>
      <c r="U594" s="14"/>
      <c r="V594" s="14"/>
      <c r="W594" s="14"/>
    </row>
    <row r="595" ht="31.5" customHeight="1">
      <c r="A595" s="109" t="s">
        <v>9705</v>
      </c>
      <c r="B595" s="110" t="s">
        <v>9707</v>
      </c>
      <c r="C595" s="111" t="s">
        <v>9708</v>
      </c>
      <c r="D595" s="28" t="s">
        <v>9709</v>
      </c>
      <c r="E595" s="28" t="str">
        <f>IFERROR(__xludf.DUMMYFUNCTION("GOOGLETRANSLATE(D595,""zh-CN"",""vi"")"),"Các phong tục và truyền thống địa phương ở đây rất độc đáo.")</f>
        <v>Các phong tục và truyền thống địa phương ở đây rất độc đáo.</v>
      </c>
      <c r="F595" s="128"/>
      <c r="G595" s="36" t="b">
        <f t="shared" si="1"/>
        <v>0</v>
      </c>
      <c r="H595" s="35" t="b">
        <v>1</v>
      </c>
      <c r="I595" s="35" t="b">
        <v>0</v>
      </c>
      <c r="J595" s="35" t="b">
        <v>0</v>
      </c>
      <c r="K595" s="35" t="b">
        <v>0</v>
      </c>
      <c r="L595" s="35" t="b">
        <v>0</v>
      </c>
      <c r="M595" s="35" t="b">
        <v>0</v>
      </c>
      <c r="N595" s="35" t="b">
        <v>0</v>
      </c>
      <c r="O595" s="35" t="b">
        <v>0</v>
      </c>
      <c r="P595" s="35" t="b">
        <v>0</v>
      </c>
      <c r="Q595" s="35" t="b">
        <v>0</v>
      </c>
      <c r="R595" s="14"/>
      <c r="S595" s="14"/>
      <c r="T595" s="14"/>
      <c r="U595" s="14"/>
      <c r="V595" s="14"/>
      <c r="W595" s="14"/>
    </row>
    <row r="596" ht="31.5" customHeight="1">
      <c r="A596" s="109" t="s">
        <v>9711</v>
      </c>
      <c r="B596" s="110" t="s">
        <v>9713</v>
      </c>
      <c r="C596" s="111" t="s">
        <v>9715</v>
      </c>
      <c r="D596" s="28" t="s">
        <v>9716</v>
      </c>
      <c r="E596" s="28" t="str">
        <f>IFERROR(__xludf.DUMMYFUNCTION("GOOGLETRANSLATE(D596,""zh-CN"",""vi"")"),"Nhà hàng này có hương vị độc đáo.")</f>
        <v>Nhà hàng này có hương vị độc đáo.</v>
      </c>
      <c r="F596" s="128"/>
      <c r="G596" s="36" t="b">
        <f t="shared" si="1"/>
        <v>0</v>
      </c>
      <c r="H596" s="35" t="b">
        <v>1</v>
      </c>
      <c r="I596" s="35" t="b">
        <v>0</v>
      </c>
      <c r="J596" s="35" t="b">
        <v>0</v>
      </c>
      <c r="K596" s="35" t="b">
        <v>0</v>
      </c>
      <c r="L596" s="35" t="b">
        <v>0</v>
      </c>
      <c r="M596" s="35" t="b">
        <v>0</v>
      </c>
      <c r="N596" s="35" t="b">
        <v>0</v>
      </c>
      <c r="O596" s="35" t="b">
        <v>0</v>
      </c>
      <c r="P596" s="35" t="b">
        <v>0</v>
      </c>
      <c r="Q596" s="35" t="b">
        <v>0</v>
      </c>
      <c r="R596" s="14"/>
      <c r="S596" s="14"/>
      <c r="T596" s="14"/>
      <c r="U596" s="14"/>
      <c r="V596" s="14"/>
      <c r="W596" s="14"/>
    </row>
    <row r="597" ht="31.5" customHeight="1">
      <c r="A597" s="109" t="s">
        <v>9719</v>
      </c>
      <c r="B597" s="110" t="s">
        <v>9720</v>
      </c>
      <c r="C597" s="111" t="s">
        <v>9722</v>
      </c>
      <c r="D597" s="28" t="s">
        <v>9723</v>
      </c>
      <c r="E597" s="28" t="str">
        <f>IFERROR(__xludf.DUMMYFUNCTION("GOOGLETRANSLATE(D597,""zh-CN"",""vi"")"),"Chúng tôi về nhà vào mỗi dịp Tết Nguyên đán.")</f>
        <v>Chúng tôi về nhà vào mỗi dịp Tết Nguyên đán.</v>
      </c>
      <c r="F597" s="128"/>
      <c r="G597" s="36" t="b">
        <f t="shared" si="1"/>
        <v>0</v>
      </c>
      <c r="H597" s="35" t="b">
        <v>1</v>
      </c>
      <c r="I597" s="35" t="b">
        <v>0</v>
      </c>
      <c r="J597" s="35" t="b">
        <v>0</v>
      </c>
      <c r="K597" s="35" t="b">
        <v>0</v>
      </c>
      <c r="L597" s="35" t="b">
        <v>0</v>
      </c>
      <c r="M597" s="35" t="b">
        <v>0</v>
      </c>
      <c r="N597" s="35" t="b">
        <v>0</v>
      </c>
      <c r="O597" s="35" t="b">
        <v>0</v>
      </c>
      <c r="P597" s="35" t="b">
        <v>0</v>
      </c>
      <c r="Q597" s="35" t="b">
        <v>0</v>
      </c>
      <c r="R597" s="14"/>
      <c r="S597" s="14"/>
      <c r="T597" s="14"/>
      <c r="U597" s="14"/>
      <c r="V597" s="14"/>
      <c r="W597" s="14"/>
    </row>
    <row r="598" ht="31.5" customHeight="1">
      <c r="A598" s="109" t="s">
        <v>9728</v>
      </c>
      <c r="B598" s="110" t="s">
        <v>9729</v>
      </c>
      <c r="C598" s="111" t="s">
        <v>9730</v>
      </c>
      <c r="D598" s="28" t="s">
        <v>9731</v>
      </c>
      <c r="E598" s="28" t="str">
        <f>IFERROR(__xludf.DUMMYFUNCTION("GOOGLETRANSLATE(D598,""zh-CN"",""vi"")"),"Ông đã cống hiến cả cuộc đời mình cho khoa học.")</f>
        <v>Ông đã cống hiến cả cuộc đời mình cho khoa học.</v>
      </c>
      <c r="F598" s="128"/>
      <c r="G598" s="36" t="b">
        <f t="shared" si="1"/>
        <v>0</v>
      </c>
      <c r="H598" s="35" t="b">
        <v>1</v>
      </c>
      <c r="I598" s="35" t="b">
        <v>0</v>
      </c>
      <c r="J598" s="35" t="b">
        <v>0</v>
      </c>
      <c r="K598" s="35" t="b">
        <v>0</v>
      </c>
      <c r="L598" s="35" t="b">
        <v>0</v>
      </c>
      <c r="M598" s="35" t="b">
        <v>0</v>
      </c>
      <c r="N598" s="35" t="b">
        <v>0</v>
      </c>
      <c r="O598" s="35" t="b">
        <v>0</v>
      </c>
      <c r="P598" s="35" t="b">
        <v>0</v>
      </c>
      <c r="Q598" s="35" t="b">
        <v>0</v>
      </c>
      <c r="R598" s="14"/>
      <c r="S598" s="14"/>
      <c r="T598" s="14"/>
      <c r="U598" s="14"/>
      <c r="V598" s="14"/>
      <c r="W598" s="14"/>
    </row>
    <row r="599" ht="31.5" customHeight="1">
      <c r="A599" s="109" t="s">
        <v>9736</v>
      </c>
      <c r="B599" s="110" t="s">
        <v>9737</v>
      </c>
      <c r="C599" s="111" t="s">
        <v>9738</v>
      </c>
      <c r="D599" s="28" t="s">
        <v>9739</v>
      </c>
      <c r="E599" s="28" t="str">
        <f>IFERROR(__xludf.DUMMYFUNCTION("GOOGLETRANSLATE(D599,""zh-CN"",""vi"")"),"Đề xuất đã bị bác bỏ.")</f>
        <v>Đề xuất đã bị bác bỏ.</v>
      </c>
      <c r="F599" s="128"/>
      <c r="G599" s="36" t="b">
        <f t="shared" si="1"/>
        <v>0</v>
      </c>
      <c r="H599" s="35" t="b">
        <v>1</v>
      </c>
      <c r="I599" s="35" t="b">
        <v>0</v>
      </c>
      <c r="J599" s="35" t="b">
        <v>0</v>
      </c>
      <c r="K599" s="35" t="b">
        <v>0</v>
      </c>
      <c r="L599" s="35" t="b">
        <v>0</v>
      </c>
      <c r="M599" s="35" t="b">
        <v>0</v>
      </c>
      <c r="N599" s="35" t="b">
        <v>0</v>
      </c>
      <c r="O599" s="35" t="b">
        <v>0</v>
      </c>
      <c r="P599" s="35" t="b">
        <v>0</v>
      </c>
      <c r="Q599" s="35" t="b">
        <v>0</v>
      </c>
      <c r="R599" s="14"/>
      <c r="S599" s="14"/>
      <c r="T599" s="14"/>
      <c r="U599" s="14"/>
      <c r="V599" s="14"/>
      <c r="W599" s="14"/>
    </row>
    <row r="600" ht="31.5" customHeight="1">
      <c r="A600" s="109" t="s">
        <v>9744</v>
      </c>
      <c r="B600" s="110" t="s">
        <v>9745</v>
      </c>
      <c r="C600" s="111" t="s">
        <v>9746</v>
      </c>
      <c r="D600" s="28" t="s">
        <v>9747</v>
      </c>
      <c r="E600" s="28" t="str">
        <f>IFERROR(__xludf.DUMMYFUNCTION("GOOGLETRANSLATE(D600,""zh-CN"",""vi"")"),"Họ là một cặp đôi hạnh phúc.")</f>
        <v>Họ là một cặp đôi hạnh phúc.</v>
      </c>
      <c r="F600" s="128"/>
      <c r="G600" s="36" t="b">
        <f t="shared" si="1"/>
        <v>0</v>
      </c>
      <c r="H600" s="35" t="b">
        <v>1</v>
      </c>
      <c r="I600" s="35" t="b">
        <v>0</v>
      </c>
      <c r="J600" s="35" t="b">
        <v>0</v>
      </c>
      <c r="K600" s="35" t="b">
        <v>0</v>
      </c>
      <c r="L600" s="35" t="b">
        <v>0</v>
      </c>
      <c r="M600" s="35" t="b">
        <v>0</v>
      </c>
      <c r="N600" s="35" t="b">
        <v>0</v>
      </c>
      <c r="O600" s="35" t="b">
        <v>0</v>
      </c>
      <c r="P600" s="35" t="b">
        <v>0</v>
      </c>
      <c r="Q600" s="35" t="b">
        <v>0</v>
      </c>
      <c r="R600" s="14"/>
      <c r="S600" s="14"/>
      <c r="T600" s="14"/>
      <c r="U600" s="14"/>
      <c r="V600" s="14"/>
      <c r="W600" s="14"/>
    </row>
    <row r="601" ht="31.5" customHeight="1">
      <c r="A601" s="109" t="s">
        <v>9753</v>
      </c>
      <c r="B601" s="110" t="s">
        <v>9755</v>
      </c>
      <c r="C601" s="111" t="s">
        <v>9757</v>
      </c>
      <c r="D601" s="28" t="s">
        <v>9759</v>
      </c>
      <c r="E601" s="28" t="str">
        <f>IFERROR(__xludf.DUMMYFUNCTION("GOOGLETRANSLATE(D601,""zh-CN"",""vi"")"),"Vợ ông ấy rất thanh lịch.")</f>
        <v>Vợ ông ấy rất thanh lịch.</v>
      </c>
      <c r="F601" s="128"/>
      <c r="G601" s="36" t="b">
        <f t="shared" si="1"/>
        <v>0</v>
      </c>
      <c r="H601" s="35" t="b">
        <v>1</v>
      </c>
      <c r="I601" s="35" t="b">
        <v>0</v>
      </c>
      <c r="J601" s="35" t="b">
        <v>0</v>
      </c>
      <c r="K601" s="35" t="b">
        <v>0</v>
      </c>
      <c r="L601" s="35" t="b">
        <v>0</v>
      </c>
      <c r="M601" s="35" t="b">
        <v>0</v>
      </c>
      <c r="N601" s="35" t="b">
        <v>0</v>
      </c>
      <c r="O601" s="35" t="b">
        <v>0</v>
      </c>
      <c r="P601" s="35" t="b">
        <v>0</v>
      </c>
      <c r="Q601" s="35" t="b">
        <v>0</v>
      </c>
      <c r="R601" s="14"/>
      <c r="S601" s="14"/>
      <c r="T601" s="14"/>
      <c r="U601" s="14"/>
      <c r="V601" s="14"/>
      <c r="W601" s="14"/>
    </row>
    <row r="602" ht="31.5" customHeight="1">
      <c r="A602" s="109" t="s">
        <v>9761</v>
      </c>
      <c r="B602" s="110" t="s">
        <v>9763</v>
      </c>
      <c r="C602" s="111" t="s">
        <v>6855</v>
      </c>
      <c r="D602" s="28" t="s">
        <v>9766</v>
      </c>
      <c r="E602" s="28" t="str">
        <f>IFERROR(__xludf.DUMMYFUNCTION("GOOGLETRANSLATE(D602,""zh-CN"",""vi"")"),"Anh ta luôn làm mọi việc một cách hời hợt.")</f>
        <v>Anh ta luôn làm mọi việc một cách hời hợt.</v>
      </c>
      <c r="F602" s="128"/>
      <c r="G602" s="36" t="b">
        <f t="shared" si="1"/>
        <v>0</v>
      </c>
      <c r="H602" s="35" t="b">
        <v>1</v>
      </c>
      <c r="I602" s="35" t="b">
        <v>0</v>
      </c>
      <c r="J602" s="35" t="b">
        <v>0</v>
      </c>
      <c r="K602" s="35" t="b">
        <v>0</v>
      </c>
      <c r="L602" s="35" t="b">
        <v>0</v>
      </c>
      <c r="M602" s="35" t="b">
        <v>0</v>
      </c>
      <c r="N602" s="35" t="b">
        <v>0</v>
      </c>
      <c r="O602" s="35" t="b">
        <v>0</v>
      </c>
      <c r="P602" s="35" t="b">
        <v>0</v>
      </c>
      <c r="Q602" s="35" t="b">
        <v>0</v>
      </c>
      <c r="R602" s="14"/>
      <c r="S602" s="14"/>
      <c r="T602" s="14"/>
      <c r="U602" s="14"/>
      <c r="V602" s="14"/>
      <c r="W602" s="14"/>
    </row>
    <row r="603" ht="31.5" customHeight="1">
      <c r="A603" s="109" t="s">
        <v>9768</v>
      </c>
      <c r="B603" s="110" t="s">
        <v>9770</v>
      </c>
      <c r="C603" s="111" t="s">
        <v>9772</v>
      </c>
      <c r="D603" s="28" t="s">
        <v>9773</v>
      </c>
      <c r="E603" s="28" t="str">
        <f>IFERROR(__xludf.DUMMYFUNCTION("GOOGLETRANSLATE(D603,""zh-CN"",""vi"")"),"Thu nhập năm nay tăng lên.")</f>
        <v>Thu nhập năm nay tăng lên.</v>
      </c>
      <c r="F603" s="128"/>
      <c r="G603" s="36" t="b">
        <f t="shared" si="1"/>
        <v>0</v>
      </c>
      <c r="H603" s="35" t="b">
        <v>0</v>
      </c>
      <c r="I603" s="35" t="b">
        <v>0</v>
      </c>
      <c r="J603" s="35" t="b">
        <v>0</v>
      </c>
      <c r="K603" s="35" t="b">
        <v>0</v>
      </c>
      <c r="L603" s="35" t="b">
        <v>0</v>
      </c>
      <c r="M603" s="35" t="b">
        <v>0</v>
      </c>
      <c r="N603" s="35" t="b">
        <v>0</v>
      </c>
      <c r="O603" s="35" t="b">
        <v>0</v>
      </c>
      <c r="P603" s="35" t="b">
        <v>0</v>
      </c>
      <c r="Q603" s="35" t="b">
        <v>0</v>
      </c>
      <c r="R603" s="14"/>
      <c r="S603" s="14"/>
      <c r="T603" s="14"/>
      <c r="U603" s="14"/>
      <c r="V603" s="14"/>
      <c r="W603" s="14"/>
    </row>
    <row r="604" ht="31.5" customHeight="1">
      <c r="A604" s="109" t="s">
        <v>9775</v>
      </c>
      <c r="B604" s="110" t="s">
        <v>9776</v>
      </c>
      <c r="C604" s="111" t="s">
        <v>6210</v>
      </c>
      <c r="D604" s="28" t="s">
        <v>9777</v>
      </c>
      <c r="E604" s="28" t="str">
        <f>IFERROR(__xludf.DUMMYFUNCTION("GOOGLETRANSLATE(D604,""zh-CN"",""vi"")"),"Các ký hiệu toán học rất quan trọng.")</f>
        <v>Các ký hiệu toán học rất quan trọng.</v>
      </c>
      <c r="F604" s="128"/>
      <c r="G604" s="36" t="b">
        <f t="shared" si="1"/>
        <v>0</v>
      </c>
      <c r="H604" s="35" t="b">
        <v>0</v>
      </c>
      <c r="I604" s="35" t="b">
        <v>0</v>
      </c>
      <c r="J604" s="35" t="b">
        <v>0</v>
      </c>
      <c r="K604" s="35" t="b">
        <v>0</v>
      </c>
      <c r="L604" s="35" t="b">
        <v>0</v>
      </c>
      <c r="M604" s="35" t="b">
        <v>0</v>
      </c>
      <c r="N604" s="35" t="b">
        <v>0</v>
      </c>
      <c r="O604" s="35" t="b">
        <v>0</v>
      </c>
      <c r="P604" s="35" t="b">
        <v>0</v>
      </c>
      <c r="Q604" s="35" t="b">
        <v>0</v>
      </c>
      <c r="R604" s="14"/>
      <c r="S604" s="14"/>
      <c r="T604" s="14"/>
      <c r="U604" s="14"/>
      <c r="V604" s="14"/>
      <c r="W604" s="14"/>
    </row>
    <row r="605" ht="31.5" customHeight="1">
      <c r="A605" s="109" t="s">
        <v>9782</v>
      </c>
      <c r="B605" s="110" t="s">
        <v>9783</v>
      </c>
      <c r="C605" s="111" t="s">
        <v>9784</v>
      </c>
      <c r="D605" s="28" t="s">
        <v>9785</v>
      </c>
      <c r="E605" s="28" t="str">
        <f>IFERROR(__xludf.DUMMYFUNCTION("GOOGLETRANSLATE(D605,""zh-CN"",""vi"")"),"Công ty này cung cấp nhiều phúc lợi.")</f>
        <v>Công ty này cung cấp nhiều phúc lợi.</v>
      </c>
      <c r="F605" s="128"/>
      <c r="G605" s="36" t="b">
        <f t="shared" si="1"/>
        <v>0</v>
      </c>
      <c r="H605" s="35" t="b">
        <v>0</v>
      </c>
      <c r="I605" s="35" t="b">
        <v>0</v>
      </c>
      <c r="J605" s="35" t="b">
        <v>0</v>
      </c>
      <c r="K605" s="35" t="b">
        <v>0</v>
      </c>
      <c r="L605" s="35" t="b">
        <v>0</v>
      </c>
      <c r="M605" s="35" t="b">
        <v>0</v>
      </c>
      <c r="N605" s="35" t="b">
        <v>0</v>
      </c>
      <c r="O605" s="35" t="b">
        <v>0</v>
      </c>
      <c r="P605" s="35" t="b">
        <v>0</v>
      </c>
      <c r="Q605" s="35" t="b">
        <v>0</v>
      </c>
      <c r="R605" s="14"/>
      <c r="S605" s="14"/>
      <c r="T605" s="14"/>
      <c r="U605" s="14"/>
      <c r="V605" s="14"/>
      <c r="W605" s="14"/>
    </row>
    <row r="606" ht="31.5" customHeight="1">
      <c r="A606" s="109" t="s">
        <v>9790</v>
      </c>
      <c r="B606" s="110" t="s">
        <v>9791</v>
      </c>
      <c r="C606" s="111" t="s">
        <v>9792</v>
      </c>
      <c r="D606" s="28" t="s">
        <v>9793</v>
      </c>
      <c r="E606" s="28" t="str">
        <f>IFERROR(__xludf.DUMMYFUNCTION("GOOGLETRANSLATE(D606,""zh-CN"",""vi"")"),"Có rất nhiều tù binh chiến tranh.")</f>
        <v>Có rất nhiều tù binh chiến tranh.</v>
      </c>
      <c r="F606" s="128"/>
      <c r="G606" s="36" t="b">
        <f t="shared" si="1"/>
        <v>0</v>
      </c>
      <c r="H606" s="35" t="b">
        <v>0</v>
      </c>
      <c r="I606" s="35" t="b">
        <v>0</v>
      </c>
      <c r="J606" s="35" t="b">
        <v>0</v>
      </c>
      <c r="K606" s="35" t="b">
        <v>0</v>
      </c>
      <c r="L606" s="35" t="b">
        <v>0</v>
      </c>
      <c r="M606" s="35" t="b">
        <v>0</v>
      </c>
      <c r="N606" s="35" t="b">
        <v>0</v>
      </c>
      <c r="O606" s="35" t="b">
        <v>0</v>
      </c>
      <c r="P606" s="35" t="b">
        <v>0</v>
      </c>
      <c r="Q606" s="35" t="b">
        <v>0</v>
      </c>
      <c r="R606" s="14"/>
      <c r="S606" s="14"/>
      <c r="T606" s="14"/>
      <c r="U606" s="14"/>
      <c r="V606" s="14"/>
      <c r="W606" s="14"/>
    </row>
    <row r="607" ht="31.5" customHeight="1">
      <c r="A607" s="109" t="s">
        <v>9798</v>
      </c>
      <c r="B607" s="110" t="s">
        <v>9799</v>
      </c>
      <c r="C607" s="111" t="s">
        <v>9800</v>
      </c>
      <c r="D607" s="28" t="s">
        <v>9801</v>
      </c>
      <c r="E607" s="28" t="str">
        <f>IFERROR(__xludf.DUMMYFUNCTION("GOOGLETRANSLATE(D607,""zh-CN"",""vi"")"),"Ông ấy rất hài lòng với kết quả đạt được.")</f>
        <v>Ông ấy rất hài lòng với kết quả đạt được.</v>
      </c>
      <c r="F607" s="128"/>
      <c r="G607" s="36" t="b">
        <f t="shared" si="1"/>
        <v>0</v>
      </c>
      <c r="H607" s="35" t="b">
        <v>0</v>
      </c>
      <c r="I607" s="35" t="b">
        <v>0</v>
      </c>
      <c r="J607" s="35" t="b">
        <v>0</v>
      </c>
      <c r="K607" s="35" t="b">
        <v>0</v>
      </c>
      <c r="L607" s="35" t="b">
        <v>0</v>
      </c>
      <c r="M607" s="35" t="b">
        <v>0</v>
      </c>
      <c r="N607" s="35" t="b">
        <v>0</v>
      </c>
      <c r="O607" s="35" t="b">
        <v>0</v>
      </c>
      <c r="P607" s="35" t="b">
        <v>0</v>
      </c>
      <c r="Q607" s="35" t="b">
        <v>0</v>
      </c>
      <c r="R607" s="14"/>
      <c r="S607" s="14"/>
      <c r="T607" s="14"/>
      <c r="U607" s="14"/>
      <c r="V607" s="14"/>
      <c r="W607" s="14"/>
    </row>
    <row r="608" ht="31.5" customHeight="1">
      <c r="A608" s="109" t="s">
        <v>9806</v>
      </c>
      <c r="B608" s="110" t="s">
        <v>9799</v>
      </c>
      <c r="C608" s="111" t="s">
        <v>9808</v>
      </c>
      <c r="D608" s="28" t="s">
        <v>9809</v>
      </c>
      <c r="E608" s="28" t="str">
        <f>IFERROR(__xludf.DUMMYFUNCTION("GOOGLETRANSLATE(D608,""zh-CN"",""vi"")"),"Gia đình anh ấy rất may mắn.")</f>
        <v>Gia đình anh ấy rất may mắn.</v>
      </c>
      <c r="F608" s="128"/>
      <c r="G608" s="36" t="b">
        <f t="shared" si="1"/>
        <v>0</v>
      </c>
      <c r="H608" s="35" t="b">
        <v>0</v>
      </c>
      <c r="I608" s="35" t="b">
        <v>0</v>
      </c>
      <c r="J608" s="35" t="b">
        <v>0</v>
      </c>
      <c r="K608" s="35" t="b">
        <v>0</v>
      </c>
      <c r="L608" s="35" t="b">
        <v>0</v>
      </c>
      <c r="M608" s="35" t="b">
        <v>0</v>
      </c>
      <c r="N608" s="35" t="b">
        <v>0</v>
      </c>
      <c r="O608" s="35" t="b">
        <v>0</v>
      </c>
      <c r="P608" s="35" t="b">
        <v>0</v>
      </c>
      <c r="Q608" s="35" t="b">
        <v>0</v>
      </c>
      <c r="R608" s="14"/>
      <c r="S608" s="14"/>
      <c r="T608" s="14"/>
      <c r="U608" s="14"/>
      <c r="V608" s="14"/>
      <c r="W608" s="14"/>
    </row>
    <row r="609" ht="31.5" customHeight="1">
      <c r="A609" s="109" t="s">
        <v>9812</v>
      </c>
      <c r="B609" s="110" t="s">
        <v>9813</v>
      </c>
      <c r="C609" s="111" t="s">
        <v>9814</v>
      </c>
      <c r="D609" s="28" t="s">
        <v>9815</v>
      </c>
      <c r="E609" s="28" t="str">
        <f>IFERROR(__xludf.DUMMYFUNCTION("GOOGLETRANSLATE(D609,""zh-CN"",""vi"")"),"Chất này phát ra bức xạ có hại.")</f>
        <v>Chất này phát ra bức xạ có hại.</v>
      </c>
      <c r="F609" s="128"/>
      <c r="G609" s="36" t="b">
        <f t="shared" si="1"/>
        <v>0</v>
      </c>
      <c r="H609" s="35" t="b">
        <v>0</v>
      </c>
      <c r="I609" s="35" t="b">
        <v>0</v>
      </c>
      <c r="J609" s="35" t="b">
        <v>0</v>
      </c>
      <c r="K609" s="35" t="b">
        <v>0</v>
      </c>
      <c r="L609" s="35" t="b">
        <v>0</v>
      </c>
      <c r="M609" s="35" t="b">
        <v>0</v>
      </c>
      <c r="N609" s="35" t="b">
        <v>0</v>
      </c>
      <c r="O609" s="35" t="b">
        <v>0</v>
      </c>
      <c r="P609" s="35" t="b">
        <v>0</v>
      </c>
      <c r="Q609" s="35" t="b">
        <v>0</v>
      </c>
      <c r="R609" s="14"/>
      <c r="S609" s="14"/>
      <c r="T609" s="14"/>
      <c r="U609" s="14"/>
      <c r="V609" s="14"/>
      <c r="W609" s="14"/>
    </row>
    <row r="610" ht="31.5" customHeight="1">
      <c r="A610" s="109" t="s">
        <v>9820</v>
      </c>
      <c r="B610" s="110" t="s">
        <v>9821</v>
      </c>
      <c r="C610" s="111" t="s">
        <v>9822</v>
      </c>
      <c r="D610" s="28" t="s">
        <v>9823</v>
      </c>
      <c r="E610" s="28" t="str">
        <f>IFERROR(__xludf.DUMMYFUNCTION("GOOGLETRANSLATE(D610,""zh-CN"",""vi"")"),"Những quan chức tham nhũng phải bị trừng phạt.")</f>
        <v>Những quan chức tham nhũng phải bị trừng phạt.</v>
      </c>
      <c r="F610" s="128"/>
      <c r="G610" s="36" t="b">
        <f t="shared" si="1"/>
        <v>0</v>
      </c>
      <c r="H610" s="35" t="b">
        <v>0</v>
      </c>
      <c r="I610" s="35" t="b">
        <v>0</v>
      </c>
      <c r="J610" s="35" t="b">
        <v>0</v>
      </c>
      <c r="K610" s="35" t="b">
        <v>0</v>
      </c>
      <c r="L610" s="35" t="b">
        <v>0</v>
      </c>
      <c r="M610" s="35" t="b">
        <v>0</v>
      </c>
      <c r="N610" s="35" t="b">
        <v>0</v>
      </c>
      <c r="O610" s="35" t="b">
        <v>0</v>
      </c>
      <c r="P610" s="35" t="b">
        <v>0</v>
      </c>
      <c r="Q610" s="35" t="b">
        <v>0</v>
      </c>
      <c r="R610" s="14"/>
      <c r="S610" s="14"/>
      <c r="T610" s="14"/>
      <c r="U610" s="14"/>
      <c r="V610" s="14"/>
      <c r="W610" s="14"/>
    </row>
    <row r="611" ht="31.5" customHeight="1">
      <c r="A611" s="109" t="s">
        <v>9828</v>
      </c>
      <c r="B611" s="110" t="s">
        <v>9829</v>
      </c>
      <c r="C611" s="111" t="s">
        <v>9830</v>
      </c>
      <c r="D611" s="28" t="s">
        <v>9831</v>
      </c>
      <c r="E611" s="28" t="str">
        <f>IFERROR(__xludf.DUMMYFUNCTION("GOOGLETRANSLATE(D611,""zh-CN"",""vi"")"),"Quả táo đã bắt đầu thối rữa.")</f>
        <v>Quả táo đã bắt đầu thối rữa.</v>
      </c>
      <c r="F611" s="128"/>
      <c r="G611" s="36" t="b">
        <f t="shared" si="1"/>
        <v>0</v>
      </c>
      <c r="H611" s="35" t="b">
        <v>0</v>
      </c>
      <c r="I611" s="35" t="b">
        <v>0</v>
      </c>
      <c r="J611" s="35" t="b">
        <v>0</v>
      </c>
      <c r="K611" s="35" t="b">
        <v>0</v>
      </c>
      <c r="L611" s="35" t="b">
        <v>0</v>
      </c>
      <c r="M611" s="35" t="b">
        <v>0</v>
      </c>
      <c r="N611" s="35" t="b">
        <v>0</v>
      </c>
      <c r="O611" s="35" t="b">
        <v>0</v>
      </c>
      <c r="P611" s="35" t="b">
        <v>0</v>
      </c>
      <c r="Q611" s="35" t="b">
        <v>0</v>
      </c>
      <c r="R611" s="14"/>
      <c r="S611" s="14"/>
      <c r="T611" s="14"/>
      <c r="U611" s="14"/>
      <c r="V611" s="14"/>
      <c r="W611" s="14"/>
    </row>
    <row r="612" ht="31.5" customHeight="1">
      <c r="A612" s="109" t="s">
        <v>9836</v>
      </c>
      <c r="B612" s="110" t="s">
        <v>9837</v>
      </c>
      <c r="C612" s="111" t="s">
        <v>9838</v>
      </c>
      <c r="D612" s="28" t="s">
        <v>9839</v>
      </c>
      <c r="E612" s="28" t="str">
        <f>IFERROR(__xludf.DUMMYFUNCTION("GOOGLETRANSLATE(D612,""zh-CN"",""vi"")"),"Bề mặt kim loại bị ăn mòn.")</f>
        <v>Bề mặt kim loại bị ăn mòn.</v>
      </c>
      <c r="F612" s="128"/>
      <c r="G612" s="36" t="b">
        <f t="shared" si="1"/>
        <v>0</v>
      </c>
      <c r="H612" s="35" t="b">
        <v>0</v>
      </c>
      <c r="I612" s="35" t="b">
        <v>0</v>
      </c>
      <c r="J612" s="35" t="b">
        <v>0</v>
      </c>
      <c r="K612" s="35" t="b">
        <v>0</v>
      </c>
      <c r="L612" s="35" t="b">
        <v>0</v>
      </c>
      <c r="M612" s="35" t="b">
        <v>0</v>
      </c>
      <c r="N612" s="35" t="b">
        <v>0</v>
      </c>
      <c r="O612" s="35" t="b">
        <v>0</v>
      </c>
      <c r="P612" s="35" t="b">
        <v>0</v>
      </c>
      <c r="Q612" s="35" t="b">
        <v>0</v>
      </c>
      <c r="R612" s="14"/>
      <c r="S612" s="14"/>
      <c r="T612" s="14"/>
      <c r="U612" s="14"/>
      <c r="V612" s="14"/>
      <c r="W612" s="14"/>
    </row>
    <row r="613" ht="31.5" customHeight="1">
      <c r="A613" s="109" t="s">
        <v>9844</v>
      </c>
      <c r="B613" s="110" t="s">
        <v>9845</v>
      </c>
      <c r="C613" s="111" t="s">
        <v>9846</v>
      </c>
      <c r="D613" s="28" t="s">
        <v>9847</v>
      </c>
      <c r="E613" s="28" t="str">
        <f>IFERROR(__xludf.DUMMYFUNCTION("GOOGLETRANSLATE(D613,""zh-CN"",""vi"")"),"Mảnh gỗ này đã bị mục rồi.")</f>
        <v>Mảnh gỗ này đã bị mục rồi.</v>
      </c>
      <c r="F613" s="128"/>
      <c r="G613" s="36" t="b">
        <f t="shared" si="1"/>
        <v>0</v>
      </c>
      <c r="H613" s="35" t="b">
        <v>0</v>
      </c>
      <c r="I613" s="35" t="b">
        <v>0</v>
      </c>
      <c r="J613" s="35" t="b">
        <v>0</v>
      </c>
      <c r="K613" s="35" t="b">
        <v>0</v>
      </c>
      <c r="L613" s="35" t="b">
        <v>0</v>
      </c>
      <c r="M613" s="35" t="b">
        <v>0</v>
      </c>
      <c r="N613" s="35" t="b">
        <v>0</v>
      </c>
      <c r="O613" s="35" t="b">
        <v>0</v>
      </c>
      <c r="P613" s="35" t="b">
        <v>0</v>
      </c>
      <c r="Q613" s="35" t="b">
        <v>0</v>
      </c>
      <c r="R613" s="14"/>
      <c r="S613" s="14"/>
      <c r="T613" s="14"/>
      <c r="U613" s="14"/>
      <c r="V613" s="14"/>
      <c r="W613" s="14"/>
    </row>
    <row r="614" ht="31.5" customHeight="1">
      <c r="A614" s="109" t="s">
        <v>9852</v>
      </c>
      <c r="B614" s="110" t="s">
        <v>9853</v>
      </c>
      <c r="C614" s="111" t="s">
        <v>9854</v>
      </c>
      <c r="D614" s="28" t="s">
        <v>9855</v>
      </c>
      <c r="E614" s="28" t="str">
        <f>IFERROR(__xludf.DUMMYFUNCTION("GOOGLETRANSLATE(D614,""zh-CN"",""vi"")"),"Cha mẹ có trách nhiệm nuôi dạy con cái.")</f>
        <v>Cha mẹ có trách nhiệm nuôi dạy con cái.</v>
      </c>
      <c r="F614" s="128"/>
      <c r="G614" s="36" t="b">
        <f t="shared" si="1"/>
        <v>0</v>
      </c>
      <c r="H614" s="35" t="b">
        <v>0</v>
      </c>
      <c r="I614" s="35" t="b">
        <v>0</v>
      </c>
      <c r="J614" s="35" t="b">
        <v>0</v>
      </c>
      <c r="K614" s="35" t="b">
        <v>0</v>
      </c>
      <c r="L614" s="35" t="b">
        <v>0</v>
      </c>
      <c r="M614" s="35" t="b">
        <v>0</v>
      </c>
      <c r="N614" s="35" t="b">
        <v>0</v>
      </c>
      <c r="O614" s="35" t="b">
        <v>0</v>
      </c>
      <c r="P614" s="35" t="b">
        <v>0</v>
      </c>
      <c r="Q614" s="35" t="b">
        <v>0</v>
      </c>
      <c r="R614" s="14"/>
      <c r="S614" s="14"/>
      <c r="T614" s="14"/>
      <c r="U614" s="14"/>
      <c r="V614" s="14"/>
      <c r="W614" s="14"/>
    </row>
    <row r="615" ht="31.5" customHeight="1">
      <c r="A615" s="124" t="s">
        <v>9860</v>
      </c>
      <c r="B615" s="125" t="s">
        <v>9853</v>
      </c>
      <c r="C615" s="126" t="s">
        <v>9861</v>
      </c>
      <c r="D615" s="127" t="s">
        <v>9862</v>
      </c>
      <c r="E615" s="28" t="str">
        <f>IFERROR(__xludf.DUMMYFUNCTION("GOOGLETRANSLATE(D615,""zh-CN"",""vi"")"),"Ý chí của nhân dân")</f>
        <v>Ý chí của nhân dân</v>
      </c>
      <c r="F615" s="128"/>
      <c r="G615" s="36" t="b">
        <f t="shared" si="1"/>
        <v>0</v>
      </c>
      <c r="H615" s="35" t="b">
        <v>0</v>
      </c>
      <c r="I615" s="35" t="b">
        <v>0</v>
      </c>
      <c r="J615" s="35" t="b">
        <v>0</v>
      </c>
      <c r="K615" s="35" t="b">
        <v>0</v>
      </c>
      <c r="L615" s="35" t="b">
        <v>0</v>
      </c>
      <c r="M615" s="35" t="b">
        <v>0</v>
      </c>
      <c r="N615" s="35" t="b">
        <v>0</v>
      </c>
      <c r="O615" s="35" t="b">
        <v>0</v>
      </c>
      <c r="P615" s="35" t="b">
        <v>0</v>
      </c>
      <c r="Q615" s="35" t="b">
        <v>0</v>
      </c>
      <c r="R615" s="14"/>
      <c r="S615" s="14"/>
      <c r="T615" s="14"/>
      <c r="U615" s="14"/>
      <c r="V615" s="14"/>
      <c r="W615" s="14"/>
    </row>
    <row r="616" ht="31.5" customHeight="1">
      <c r="A616" s="109" t="s">
        <v>9866</v>
      </c>
      <c r="B616" s="110" t="s">
        <v>9868</v>
      </c>
      <c r="C616" s="111" t="s">
        <v>9869</v>
      </c>
      <c r="D616" s="28" t="s">
        <v>9870</v>
      </c>
      <c r="E616" s="28" t="str">
        <f>IFERROR(__xludf.DUMMYFUNCTION("GOOGLETRANSLATE(D616,""zh-CN"",""vi"")"),"Chúng ta cần một số công cụ hỗ trợ.")</f>
        <v>Chúng ta cần một số công cụ hỗ trợ.</v>
      </c>
      <c r="F616" s="128"/>
      <c r="G616" s="36" t="b">
        <f t="shared" si="1"/>
        <v>0</v>
      </c>
      <c r="H616" s="35" t="b">
        <v>0</v>
      </c>
      <c r="I616" s="35" t="b">
        <v>0</v>
      </c>
      <c r="J616" s="35" t="b">
        <v>0</v>
      </c>
      <c r="K616" s="35" t="b">
        <v>0</v>
      </c>
      <c r="L616" s="35" t="b">
        <v>0</v>
      </c>
      <c r="M616" s="35" t="b">
        <v>0</v>
      </c>
      <c r="N616" s="35" t="b">
        <v>0</v>
      </c>
      <c r="O616" s="35" t="b">
        <v>0</v>
      </c>
      <c r="P616" s="35" t="b">
        <v>0</v>
      </c>
      <c r="Q616" s="35" t="b">
        <v>0</v>
      </c>
      <c r="R616" s="14"/>
      <c r="S616" s="14"/>
      <c r="T616" s="14"/>
      <c r="U616" s="14"/>
      <c r="V616" s="14"/>
      <c r="W616" s="14"/>
    </row>
    <row r="617" ht="31.5" customHeight="1">
      <c r="A617" s="109" t="s">
        <v>9873</v>
      </c>
      <c r="B617" s="110" t="s">
        <v>1591</v>
      </c>
      <c r="C617" s="111" t="s">
        <v>9876</v>
      </c>
      <c r="D617" s="28" t="s">
        <v>9877</v>
      </c>
      <c r="E617" s="28" t="str">
        <f>IFERROR(__xludf.DUMMYFUNCTION("GOOGLETRANSLATE(D617,""zh-CN"",""vi"")"),"Anh ấy là phó quản lý.")</f>
        <v>Anh ấy là phó quản lý.</v>
      </c>
      <c r="F617" s="128"/>
      <c r="G617" s="36" t="b">
        <f t="shared" si="1"/>
        <v>0</v>
      </c>
      <c r="H617" s="35" t="b">
        <v>0</v>
      </c>
      <c r="I617" s="35" t="b">
        <v>0</v>
      </c>
      <c r="J617" s="35" t="b">
        <v>0</v>
      </c>
      <c r="K617" s="35" t="b">
        <v>0</v>
      </c>
      <c r="L617" s="35" t="b">
        <v>0</v>
      </c>
      <c r="M617" s="35" t="b">
        <v>0</v>
      </c>
      <c r="N617" s="35" t="b">
        <v>0</v>
      </c>
      <c r="O617" s="35" t="b">
        <v>0</v>
      </c>
      <c r="P617" s="35" t="b">
        <v>0</v>
      </c>
      <c r="Q617" s="35" t="b">
        <v>0</v>
      </c>
      <c r="R617" s="14"/>
      <c r="S617" s="14"/>
      <c r="T617" s="14"/>
      <c r="U617" s="14"/>
      <c r="V617" s="14"/>
      <c r="W617" s="14"/>
    </row>
    <row r="618" ht="31.5" customHeight="1">
      <c r="A618" s="109" t="s">
        <v>9881</v>
      </c>
      <c r="B618" s="110" t="s">
        <v>9883</v>
      </c>
      <c r="C618" s="111" t="s">
        <v>9884</v>
      </c>
      <c r="D618" s="28" t="s">
        <v>9885</v>
      </c>
      <c r="E618" s="28" t="str">
        <f>IFERROR(__xludf.DUMMYFUNCTION("GOOGLETRANSLATE(D618,""zh-CN"",""vi"")"),"Dự án này là một gánh nặng đối với chúng tôi.")</f>
        <v>Dự án này là một gánh nặng đối với chúng tôi.</v>
      </c>
      <c r="F618" s="128"/>
      <c r="G618" s="36" t="b">
        <f t="shared" si="1"/>
        <v>0</v>
      </c>
      <c r="H618" s="35" t="b">
        <v>0</v>
      </c>
      <c r="I618" s="35" t="b">
        <v>0</v>
      </c>
      <c r="J618" s="35" t="b">
        <v>0</v>
      </c>
      <c r="K618" s="35" t="b">
        <v>0</v>
      </c>
      <c r="L618" s="35" t="b">
        <v>0</v>
      </c>
      <c r="M618" s="35" t="b">
        <v>0</v>
      </c>
      <c r="N618" s="35" t="b">
        <v>0</v>
      </c>
      <c r="O618" s="35" t="b">
        <v>0</v>
      </c>
      <c r="P618" s="35" t="b">
        <v>0</v>
      </c>
      <c r="Q618" s="35" t="b">
        <v>0</v>
      </c>
      <c r="R618" s="14"/>
      <c r="S618" s="14"/>
      <c r="T618" s="14"/>
      <c r="U618" s="14"/>
      <c r="V618" s="14"/>
      <c r="W618" s="14"/>
    </row>
    <row r="619" ht="31.5" customHeight="1">
      <c r="A619" s="109" t="s">
        <v>9889</v>
      </c>
      <c r="B619" s="110" t="s">
        <v>9890</v>
      </c>
      <c r="C619" s="111" t="s">
        <v>9891</v>
      </c>
      <c r="D619" s="28" t="s">
        <v>9892</v>
      </c>
      <c r="E619" s="28" t="str">
        <f>IFERROR(__xludf.DUMMYFUNCTION("GOOGLETRANSLATE(D619,""zh-CN"",""vi"")"),"Ngọn núi được bao phủ bởi một lớp tuyết dày.")</f>
        <v>Ngọn núi được bao phủ bởi một lớp tuyết dày.</v>
      </c>
      <c r="F619" s="128"/>
      <c r="G619" s="36" t="b">
        <f t="shared" si="1"/>
        <v>0</v>
      </c>
      <c r="H619" s="35" t="b">
        <v>0</v>
      </c>
      <c r="I619" s="35" t="b">
        <v>0</v>
      </c>
      <c r="J619" s="35" t="b">
        <v>0</v>
      </c>
      <c r="K619" s="35" t="b">
        <v>0</v>
      </c>
      <c r="L619" s="35" t="b">
        <v>0</v>
      </c>
      <c r="M619" s="35" t="b">
        <v>0</v>
      </c>
      <c r="N619" s="35" t="b">
        <v>0</v>
      </c>
      <c r="O619" s="35" t="b">
        <v>0</v>
      </c>
      <c r="P619" s="35" t="b">
        <v>0</v>
      </c>
      <c r="Q619" s="35" t="b">
        <v>0</v>
      </c>
      <c r="R619" s="14"/>
      <c r="S619" s="14"/>
      <c r="T619" s="14"/>
      <c r="U619" s="14"/>
      <c r="V619" s="14"/>
      <c r="W619" s="14"/>
    </row>
    <row r="620" ht="31.5" customHeight="1">
      <c r="A620" s="109" t="s">
        <v>9897</v>
      </c>
      <c r="B620" s="110" t="s">
        <v>9898</v>
      </c>
      <c r="C620" s="111" t="s">
        <v>9899</v>
      </c>
      <c r="D620" s="28" t="s">
        <v>9900</v>
      </c>
      <c r="E620" s="28" t="str">
        <f>IFERROR(__xludf.DUMMYFUNCTION("GOOGLETRANSLATE(D620,""zh-CN"",""vi"")"),"Họ luôn đồng ý với sếp.")</f>
        <v>Họ luôn đồng ý với sếp.</v>
      </c>
      <c r="F620" s="128"/>
      <c r="G620" s="36" t="b">
        <f t="shared" si="1"/>
        <v>0</v>
      </c>
      <c r="H620" s="35" t="b">
        <v>0</v>
      </c>
      <c r="I620" s="35" t="b">
        <v>0</v>
      </c>
      <c r="J620" s="35" t="b">
        <v>0</v>
      </c>
      <c r="K620" s="35" t="b">
        <v>0</v>
      </c>
      <c r="L620" s="35" t="b">
        <v>0</v>
      </c>
      <c r="M620" s="35" t="b">
        <v>0</v>
      </c>
      <c r="N620" s="35" t="b">
        <v>0</v>
      </c>
      <c r="O620" s="35" t="b">
        <v>0</v>
      </c>
      <c r="P620" s="35" t="b">
        <v>0</v>
      </c>
      <c r="Q620" s="35" t="b">
        <v>0</v>
      </c>
      <c r="R620" s="14"/>
      <c r="S620" s="14"/>
      <c r="T620" s="14"/>
      <c r="U620" s="14"/>
      <c r="V620" s="14"/>
      <c r="W620" s="14"/>
    </row>
    <row r="621" ht="31.5" customHeight="1">
      <c r="A621" s="109" t="s">
        <v>9905</v>
      </c>
      <c r="B621" s="110" t="s">
        <v>9906</v>
      </c>
      <c r="C621" s="111" t="s">
        <v>9907</v>
      </c>
      <c r="D621" s="28" t="s">
        <v>9908</v>
      </c>
      <c r="E621" s="28" t="str">
        <f>IFERROR(__xludf.DUMMYFUNCTION("GOOGLETRANSLATE(D621,""zh-CN"",""vi"")"),"Lễ hội truyền thống này đã được khôi phục.")</f>
        <v>Lễ hội truyền thống này đã được khôi phục.</v>
      </c>
      <c r="F621" s="128"/>
      <c r="G621" s="36" t="b">
        <f t="shared" si="1"/>
        <v>0</v>
      </c>
      <c r="H621" s="35" t="b">
        <v>0</v>
      </c>
      <c r="I621" s="35" t="b">
        <v>0</v>
      </c>
      <c r="J621" s="35" t="b">
        <v>0</v>
      </c>
      <c r="K621" s="35" t="b">
        <v>0</v>
      </c>
      <c r="L621" s="35" t="b">
        <v>0</v>
      </c>
      <c r="M621" s="35" t="b">
        <v>0</v>
      </c>
      <c r="N621" s="35" t="b">
        <v>0</v>
      </c>
      <c r="O621" s="35" t="b">
        <v>0</v>
      </c>
      <c r="P621" s="35" t="b">
        <v>0</v>
      </c>
      <c r="Q621" s="35" t="b">
        <v>0</v>
      </c>
      <c r="R621" s="14"/>
      <c r="S621" s="14"/>
      <c r="T621" s="14"/>
      <c r="U621" s="14"/>
      <c r="V621" s="14"/>
      <c r="W621" s="14"/>
    </row>
    <row r="622" ht="31.5" customHeight="1">
      <c r="A622" s="109" t="s">
        <v>9913</v>
      </c>
      <c r="B622" s="110" t="s">
        <v>9914</v>
      </c>
      <c r="C622" s="111" t="s">
        <v>9915</v>
      </c>
      <c r="D622" s="28" t="s">
        <v>9916</v>
      </c>
      <c r="E622" s="28" t="str">
        <f>IFERROR(__xludf.DUMMYFUNCTION("GOOGLETRANSLATE(D622,""zh-CN"",""vi"")"),"Tôi đã gửi tệp đính kèm cho bạn.")</f>
        <v>Tôi đã gửi tệp đính kèm cho bạn.</v>
      </c>
      <c r="F622" s="128"/>
      <c r="G622" s="36" t="b">
        <f t="shared" si="1"/>
        <v>0</v>
      </c>
      <c r="H622" s="35" t="b">
        <v>0</v>
      </c>
      <c r="I622" s="35" t="b">
        <v>0</v>
      </c>
      <c r="J622" s="35" t="b">
        <v>0</v>
      </c>
      <c r="K622" s="35" t="b">
        <v>0</v>
      </c>
      <c r="L622" s="35" t="b">
        <v>0</v>
      </c>
      <c r="M622" s="35" t="b">
        <v>0</v>
      </c>
      <c r="N622" s="35" t="b">
        <v>0</v>
      </c>
      <c r="O622" s="35" t="b">
        <v>0</v>
      </c>
      <c r="P622" s="35" t="b">
        <v>0</v>
      </c>
      <c r="Q622" s="35" t="b">
        <v>0</v>
      </c>
      <c r="R622" s="14"/>
      <c r="S622" s="14"/>
      <c r="T622" s="14"/>
      <c r="U622" s="14"/>
      <c r="V622" s="14"/>
      <c r="W622" s="14"/>
    </row>
    <row r="623" ht="31.5" customHeight="1">
      <c r="A623" s="109" t="s">
        <v>9921</v>
      </c>
      <c r="B623" s="110" t="s">
        <v>9922</v>
      </c>
      <c r="C623" s="111" t="s">
        <v>9923</v>
      </c>
      <c r="D623" s="28" t="s">
        <v>9924</v>
      </c>
      <c r="E623" s="28" t="str">
        <f>IFERROR(__xludf.DUMMYFUNCTION("GOOGLETRANSLATE(D623,""zh-CN"",""vi"")"),"Trường này là một cơ sở trực thuộc trường đại học.")</f>
        <v>Trường này là một cơ sở trực thuộc trường đại học.</v>
      </c>
      <c r="F623" s="128"/>
      <c r="G623" s="36" t="b">
        <f t="shared" si="1"/>
        <v>0</v>
      </c>
      <c r="H623" s="35" t="b">
        <v>0</v>
      </c>
      <c r="I623" s="35" t="b">
        <v>0</v>
      </c>
      <c r="J623" s="35" t="b">
        <v>0</v>
      </c>
      <c r="K623" s="35" t="b">
        <v>0</v>
      </c>
      <c r="L623" s="35" t="b">
        <v>0</v>
      </c>
      <c r="M623" s="35" t="b">
        <v>0</v>
      </c>
      <c r="N623" s="35" t="b">
        <v>0</v>
      </c>
      <c r="O623" s="35" t="b">
        <v>0</v>
      </c>
      <c r="P623" s="35" t="b">
        <v>0</v>
      </c>
      <c r="Q623" s="35" t="b">
        <v>0</v>
      </c>
      <c r="R623" s="14"/>
      <c r="S623" s="14"/>
      <c r="T623" s="14"/>
      <c r="U623" s="14"/>
      <c r="V623" s="14"/>
      <c r="W623" s="14"/>
    </row>
    <row r="624" ht="31.5" customHeight="1">
      <c r="A624" s="109" t="s">
        <v>9929</v>
      </c>
      <c r="B624" s="110" t="s">
        <v>9930</v>
      </c>
      <c r="C624" s="111" t="s">
        <v>9931</v>
      </c>
      <c r="D624" s="28" t="s">
        <v>9932</v>
      </c>
      <c r="E624" s="28" t="str">
        <f>IFERROR(__xludf.DUMMYFUNCTION("GOOGLETRANSLATE(D624,""zh-CN"",""vi"")"),"Anh ta ăn thức ăn không sạch và bị tiêu chảy.")</f>
        <v>Anh ta ăn thức ăn không sạch và bị tiêu chảy.</v>
      </c>
      <c r="F624" s="128"/>
      <c r="G624" s="36" t="b">
        <f t="shared" si="1"/>
        <v>0</v>
      </c>
      <c r="H624" s="35" t="b">
        <v>0</v>
      </c>
      <c r="I624" s="35" t="b">
        <v>0</v>
      </c>
      <c r="J624" s="35" t="b">
        <v>0</v>
      </c>
      <c r="K624" s="35" t="b">
        <v>0</v>
      </c>
      <c r="L624" s="35" t="b">
        <v>0</v>
      </c>
      <c r="M624" s="35" t="b">
        <v>0</v>
      </c>
      <c r="N624" s="35" t="b">
        <v>0</v>
      </c>
      <c r="O624" s="35" t="b">
        <v>0</v>
      </c>
      <c r="P624" s="35" t="b">
        <v>0</v>
      </c>
      <c r="Q624" s="35" t="b">
        <v>0</v>
      </c>
      <c r="R624" s="14"/>
      <c r="S624" s="14"/>
      <c r="T624" s="14"/>
      <c r="U624" s="14"/>
      <c r="V624" s="14"/>
      <c r="W624" s="14"/>
    </row>
    <row r="625" ht="31.5" customHeight="1">
      <c r="A625" s="109" t="s">
        <v>9937</v>
      </c>
      <c r="B625" s="110" t="s">
        <v>9938</v>
      </c>
      <c r="C625" s="111" t="s">
        <v>9939</v>
      </c>
      <c r="D625" s="28" t="s">
        <v>9940</v>
      </c>
      <c r="E625" s="28" t="str">
        <f>IFERROR(__xludf.DUMMYFUNCTION("GOOGLETRANSLATE(D625,""zh-CN"",""vi"")"),"Đất nước này đang hồi sinh.")</f>
        <v>Đất nước này đang hồi sinh.</v>
      </c>
      <c r="F625" s="128"/>
      <c r="G625" s="36" t="b">
        <f t="shared" si="1"/>
        <v>0</v>
      </c>
      <c r="H625" s="35" t="b">
        <v>0</v>
      </c>
      <c r="I625" s="35" t="b">
        <v>0</v>
      </c>
      <c r="J625" s="35" t="b">
        <v>0</v>
      </c>
      <c r="K625" s="35" t="b">
        <v>0</v>
      </c>
      <c r="L625" s="35" t="b">
        <v>0</v>
      </c>
      <c r="M625" s="35" t="b">
        <v>0</v>
      </c>
      <c r="N625" s="35" t="b">
        <v>0</v>
      </c>
      <c r="O625" s="35" t="b">
        <v>0</v>
      </c>
      <c r="P625" s="35" t="b">
        <v>0</v>
      </c>
      <c r="Q625" s="35" t="b">
        <v>0</v>
      </c>
      <c r="R625" s="14"/>
      <c r="S625" s="14"/>
      <c r="T625" s="14"/>
      <c r="U625" s="14"/>
      <c r="V625" s="14"/>
      <c r="W625" s="14"/>
    </row>
    <row r="626" ht="31.5" customHeight="1">
      <c r="A626" s="109" t="s">
        <v>9944</v>
      </c>
      <c r="B626" s="110" t="s">
        <v>9945</v>
      </c>
      <c r="C626" s="111" t="s">
        <v>9946</v>
      </c>
      <c r="D626" s="28" t="s">
        <v>9947</v>
      </c>
      <c r="E626" s="28" t="str">
        <f>IFERROR(__xludf.DUMMYFUNCTION("GOOGLETRANSLATE(D626,""zh-CN"",""vi"")"),"Chúng tôi đã giao cho anh ấy những nhiệm vụ mới.")</f>
        <v>Chúng tôi đã giao cho anh ấy những nhiệm vụ mới.</v>
      </c>
      <c r="F626" s="128"/>
      <c r="G626" s="36" t="b">
        <f t="shared" si="1"/>
        <v>0</v>
      </c>
      <c r="H626" s="35" t="b">
        <v>0</v>
      </c>
      <c r="I626" s="35" t="b">
        <v>0</v>
      </c>
      <c r="J626" s="35" t="b">
        <v>0</v>
      </c>
      <c r="K626" s="35" t="b">
        <v>0</v>
      </c>
      <c r="L626" s="35" t="b">
        <v>0</v>
      </c>
      <c r="M626" s="35" t="b">
        <v>0</v>
      </c>
      <c r="N626" s="35" t="b">
        <v>0</v>
      </c>
      <c r="O626" s="35" t="b">
        <v>0</v>
      </c>
      <c r="P626" s="35" t="b">
        <v>0</v>
      </c>
      <c r="Q626" s="35" t="b">
        <v>0</v>
      </c>
      <c r="R626" s="14"/>
      <c r="S626" s="14"/>
      <c r="T626" s="14"/>
      <c r="U626" s="14"/>
      <c r="V626" s="14"/>
      <c r="W626" s="14"/>
    </row>
    <row r="627" ht="31.5" customHeight="1">
      <c r="A627" s="109" t="s">
        <v>9952</v>
      </c>
      <c r="B627" s="110" t="s">
        <v>9953</v>
      </c>
      <c r="C627" s="111" t="s">
        <v>9954</v>
      </c>
      <c r="D627" s="28" t="s">
        <v>9955</v>
      </c>
      <c r="E627" s="28" t="str">
        <f>IFERROR(__xludf.DUMMYFUNCTION("GOOGLETRANSLATE(D627,""zh-CN"",""vi"")"),"Gia đình anh ấy rất giàu có.")</f>
        <v>Gia đình anh ấy rất giàu có.</v>
      </c>
      <c r="F627" s="128"/>
      <c r="G627" s="36" t="b">
        <f t="shared" si="1"/>
        <v>0</v>
      </c>
      <c r="H627" s="35" t="b">
        <v>0</v>
      </c>
      <c r="I627" s="35" t="b">
        <v>0</v>
      </c>
      <c r="J627" s="35" t="b">
        <v>0</v>
      </c>
      <c r="K627" s="35" t="b">
        <v>0</v>
      </c>
      <c r="L627" s="35" t="b">
        <v>0</v>
      </c>
      <c r="M627" s="35" t="b">
        <v>0</v>
      </c>
      <c r="N627" s="35" t="b">
        <v>0</v>
      </c>
      <c r="O627" s="35" t="b">
        <v>0</v>
      </c>
      <c r="P627" s="35" t="b">
        <v>0</v>
      </c>
      <c r="Q627" s="35" t="b">
        <v>0</v>
      </c>
      <c r="R627" s="14"/>
      <c r="S627" s="14"/>
      <c r="T627" s="14"/>
      <c r="U627" s="14"/>
      <c r="V627" s="14"/>
      <c r="W627" s="14"/>
    </row>
    <row r="628" ht="31.5" customHeight="1">
      <c r="A628" s="109" t="s">
        <v>9960</v>
      </c>
      <c r="B628" s="110" t="s">
        <v>9961</v>
      </c>
      <c r="C628" s="111" t="s">
        <v>9962</v>
      </c>
      <c r="D628" s="28" t="s">
        <v>9963</v>
      </c>
      <c r="E628" s="28" t="str">
        <f>IFERROR(__xludf.DUMMYFUNCTION("GOOGLETRANSLATE(D628,""zh-CN"",""vi"")"),"Thuốc này có tác dụng phụ.")</f>
        <v>Thuốc này có tác dụng phụ.</v>
      </c>
      <c r="F628" s="128"/>
      <c r="G628" s="36" t="b">
        <f t="shared" si="1"/>
        <v>0</v>
      </c>
      <c r="H628" s="35" t="b">
        <v>0</v>
      </c>
      <c r="I628" s="35" t="b">
        <v>0</v>
      </c>
      <c r="J628" s="35" t="b">
        <v>0</v>
      </c>
      <c r="K628" s="35" t="b">
        <v>0</v>
      </c>
      <c r="L628" s="35" t="b">
        <v>0</v>
      </c>
      <c r="M628" s="35" t="b">
        <v>0</v>
      </c>
      <c r="N628" s="35" t="b">
        <v>0</v>
      </c>
      <c r="O628" s="35" t="b">
        <v>0</v>
      </c>
      <c r="P628" s="35" t="b">
        <v>0</v>
      </c>
      <c r="Q628" s="35" t="b">
        <v>0</v>
      </c>
      <c r="R628" s="14"/>
      <c r="S628" s="14"/>
      <c r="T628" s="14"/>
      <c r="U628" s="14"/>
      <c r="V628" s="14"/>
      <c r="W628" s="14"/>
    </row>
    <row r="629" ht="31.5" customHeight="1">
      <c r="A629" s="109" t="s">
        <v>9968</v>
      </c>
      <c r="B629" s="110" t="s">
        <v>9969</v>
      </c>
      <c r="C629" s="111" t="s">
        <v>9970</v>
      </c>
      <c r="D629" s="28" t="s">
        <v>9971</v>
      </c>
      <c r="E629" s="28" t="str">
        <f>IFERROR(__xludf.DUMMYFUNCTION("GOOGLETRANSLATE(D629,""zh-CN"",""vi"")"),"Chúng ta cần cải thiện hệ thống này.")</f>
        <v>Chúng ta cần cải thiện hệ thống này.</v>
      </c>
      <c r="F629" s="128"/>
      <c r="G629" s="36" t="b">
        <f t="shared" si="1"/>
        <v>0</v>
      </c>
      <c r="H629" s="35" t="b">
        <v>0</v>
      </c>
      <c r="I629" s="35" t="b">
        <v>0</v>
      </c>
      <c r="J629" s="35" t="b">
        <v>0</v>
      </c>
      <c r="K629" s="35" t="b">
        <v>0</v>
      </c>
      <c r="L629" s="35" t="b">
        <v>0</v>
      </c>
      <c r="M629" s="35" t="b">
        <v>0</v>
      </c>
      <c r="N629" s="35" t="b">
        <v>0</v>
      </c>
      <c r="O629" s="35" t="b">
        <v>0</v>
      </c>
      <c r="P629" s="35" t="b">
        <v>0</v>
      </c>
      <c r="Q629" s="35" t="b">
        <v>0</v>
      </c>
      <c r="R629" s="14"/>
      <c r="S629" s="14"/>
      <c r="T629" s="14"/>
      <c r="U629" s="14"/>
      <c r="V629" s="14"/>
      <c r="W629" s="14"/>
    </row>
    <row r="630" ht="31.5" customHeight="1">
      <c r="A630" s="109" t="s">
        <v>9976</v>
      </c>
      <c r="B630" s="110" t="s">
        <v>9977</v>
      </c>
      <c r="C630" s="111" t="s">
        <v>9978</v>
      </c>
      <c r="D630" s="28" t="s">
        <v>9979</v>
      </c>
      <c r="E630" s="28" t="str">
        <f>IFERROR(__xludf.DUMMYFUNCTION("GOOGLETRANSLATE(D630,""zh-CN"",""vi"")"),"Vui lòng đóng dấu vào tài liệu.")</f>
        <v>Vui lòng đóng dấu vào tài liệu.</v>
      </c>
      <c r="F630" s="128"/>
      <c r="G630" s="36" t="b">
        <f t="shared" si="1"/>
        <v>0</v>
      </c>
      <c r="H630" s="35" t="b">
        <v>0</v>
      </c>
      <c r="I630" s="35" t="b">
        <v>0</v>
      </c>
      <c r="J630" s="35" t="b">
        <v>0</v>
      </c>
      <c r="K630" s="35" t="b">
        <v>0</v>
      </c>
      <c r="L630" s="35" t="b">
        <v>0</v>
      </c>
      <c r="M630" s="35" t="b">
        <v>0</v>
      </c>
      <c r="N630" s="35" t="b">
        <v>0</v>
      </c>
      <c r="O630" s="35" t="b">
        <v>0</v>
      </c>
      <c r="P630" s="35" t="b">
        <v>0</v>
      </c>
      <c r="Q630" s="35" t="b">
        <v>0</v>
      </c>
      <c r="R630" s="14"/>
      <c r="S630" s="14"/>
      <c r="T630" s="14"/>
      <c r="U630" s="14"/>
      <c r="V630" s="14"/>
      <c r="W630" s="14"/>
    </row>
    <row r="631" ht="31.5" customHeight="1">
      <c r="A631" s="109" t="s">
        <v>9984</v>
      </c>
      <c r="B631" s="110" t="s">
        <v>9985</v>
      </c>
      <c r="C631" s="111" t="s">
        <v>9986</v>
      </c>
      <c r="D631" s="28" t="s">
        <v>9987</v>
      </c>
      <c r="E631" s="28" t="str">
        <f>IFERROR(__xludf.DUMMYFUNCTION("GOOGLETRANSLATE(D631,""zh-CN"",""vi"")"),"Anh ấy cảm thấy vô cùng xấu hổ.")</f>
        <v>Anh ấy cảm thấy vô cùng xấu hổ.</v>
      </c>
      <c r="F631" s="128"/>
      <c r="G631" s="36" t="b">
        <f t="shared" si="1"/>
        <v>0</v>
      </c>
      <c r="H631" s="35" t="b">
        <v>0</v>
      </c>
      <c r="I631" s="35" t="b">
        <v>0</v>
      </c>
      <c r="J631" s="35" t="b">
        <v>0</v>
      </c>
      <c r="K631" s="35" t="b">
        <v>0</v>
      </c>
      <c r="L631" s="35" t="b">
        <v>0</v>
      </c>
      <c r="M631" s="35" t="b">
        <v>0</v>
      </c>
      <c r="N631" s="35" t="b">
        <v>0</v>
      </c>
      <c r="O631" s="35" t="b">
        <v>0</v>
      </c>
      <c r="P631" s="35" t="b">
        <v>0</v>
      </c>
      <c r="Q631" s="35" t="b">
        <v>0</v>
      </c>
      <c r="R631" s="14"/>
      <c r="S631" s="14"/>
      <c r="T631" s="14"/>
      <c r="U631" s="14"/>
      <c r="V631" s="14"/>
      <c r="W631" s="14"/>
    </row>
    <row r="632" ht="31.5" customHeight="1">
      <c r="A632" s="109" t="s">
        <v>9992</v>
      </c>
      <c r="B632" s="110" t="s">
        <v>9993</v>
      </c>
      <c r="C632" s="111" t="s">
        <v>9994</v>
      </c>
      <c r="D632" s="28" t="s">
        <v>9995</v>
      </c>
      <c r="E632" s="28" t="str">
        <f>IFERROR(__xludf.DUMMYFUNCTION("GOOGLETRANSLATE(D632,""zh-CN"",""vi"")"),"Khu vực này đã trải qua hạn hán trong nhiều năm.")</f>
        <v>Khu vực này đã trải qua hạn hán trong nhiều năm.</v>
      </c>
      <c r="F632" s="128"/>
      <c r="G632" s="36" t="b">
        <f t="shared" si="1"/>
        <v>0</v>
      </c>
      <c r="H632" s="35" t="b">
        <v>0</v>
      </c>
      <c r="I632" s="35" t="b">
        <v>0</v>
      </c>
      <c r="J632" s="35" t="b">
        <v>0</v>
      </c>
      <c r="K632" s="35" t="b">
        <v>0</v>
      </c>
      <c r="L632" s="35" t="b">
        <v>0</v>
      </c>
      <c r="M632" s="35" t="b">
        <v>0</v>
      </c>
      <c r="N632" s="35" t="b">
        <v>0</v>
      </c>
      <c r="O632" s="35" t="b">
        <v>0</v>
      </c>
      <c r="P632" s="35" t="b">
        <v>0</v>
      </c>
      <c r="Q632" s="35" t="b">
        <v>0</v>
      </c>
      <c r="R632" s="14"/>
      <c r="S632" s="14"/>
      <c r="T632" s="14"/>
      <c r="U632" s="14"/>
      <c r="V632" s="14"/>
      <c r="W632" s="14"/>
    </row>
    <row r="633" ht="31.5" customHeight="1">
      <c r="A633" s="109" t="s">
        <v>9999</v>
      </c>
      <c r="B633" s="110" t="s">
        <v>10000</v>
      </c>
      <c r="C633" s="111" t="s">
        <v>10001</v>
      </c>
      <c r="D633" s="28" t="s">
        <v>10002</v>
      </c>
      <c r="E633" s="28" t="str">
        <f>IFERROR(__xludf.DUMMYFUNCTION("GOOGLETRANSLATE(D633,""zh-CN"",""vi"")"),"Đừng can thiệp vào công việc của anh ấy.")</f>
        <v>Đừng can thiệp vào công việc của anh ấy.</v>
      </c>
      <c r="F633" s="128"/>
      <c r="G633" s="36" t="b">
        <f t="shared" si="1"/>
        <v>0</v>
      </c>
      <c r="H633" s="35" t="b">
        <v>0</v>
      </c>
      <c r="I633" s="35" t="b">
        <v>0</v>
      </c>
      <c r="J633" s="35" t="b">
        <v>0</v>
      </c>
      <c r="K633" s="35" t="b">
        <v>0</v>
      </c>
      <c r="L633" s="35" t="b">
        <v>0</v>
      </c>
      <c r="M633" s="35" t="b">
        <v>0</v>
      </c>
      <c r="N633" s="35" t="b">
        <v>0</v>
      </c>
      <c r="O633" s="35" t="b">
        <v>0</v>
      </c>
      <c r="P633" s="35" t="b">
        <v>0</v>
      </c>
      <c r="Q633" s="35" t="b">
        <v>0</v>
      </c>
      <c r="R633" s="14"/>
      <c r="S633" s="14"/>
      <c r="T633" s="14"/>
      <c r="U633" s="14"/>
      <c r="V633" s="14"/>
      <c r="W633" s="14"/>
    </row>
    <row r="634" ht="31.5" customHeight="1">
      <c r="A634" s="109" t="s">
        <v>10007</v>
      </c>
      <c r="B634" s="110" t="s">
        <v>10008</v>
      </c>
      <c r="C634" s="111" t="s">
        <v>10009</v>
      </c>
      <c r="D634" s="28" t="s">
        <v>10010</v>
      </c>
      <c r="E634" s="28" t="str">
        <f>IFERROR(__xludf.DUMMYFUNCTION("GOOGLETRANSLATE(D634,""zh-CN"",""vi"")"),"Họ đã can thiệp vào kế hoạch của chúng tôi.")</f>
        <v>Họ đã can thiệp vào kế hoạch của chúng tôi.</v>
      </c>
      <c r="F634" s="128"/>
      <c r="G634" s="36" t="b">
        <f t="shared" si="1"/>
        <v>0</v>
      </c>
      <c r="H634" s="35" t="b">
        <v>0</v>
      </c>
      <c r="I634" s="35" t="b">
        <v>0</v>
      </c>
      <c r="J634" s="35" t="b">
        <v>0</v>
      </c>
      <c r="K634" s="35" t="b">
        <v>0</v>
      </c>
      <c r="L634" s="35" t="b">
        <v>0</v>
      </c>
      <c r="M634" s="35" t="b">
        <v>0</v>
      </c>
      <c r="N634" s="35" t="b">
        <v>0</v>
      </c>
      <c r="O634" s="35" t="b">
        <v>0</v>
      </c>
      <c r="P634" s="35" t="b">
        <v>0</v>
      </c>
      <c r="Q634" s="35" t="b">
        <v>0</v>
      </c>
      <c r="R634" s="14"/>
      <c r="S634" s="14"/>
      <c r="T634" s="14"/>
      <c r="U634" s="14"/>
      <c r="V634" s="14"/>
      <c r="W634" s="14"/>
    </row>
    <row r="635" ht="31.5" customHeight="1">
      <c r="A635" s="109" t="s">
        <v>10014</v>
      </c>
      <c r="B635" s="110" t="s">
        <v>10015</v>
      </c>
      <c r="C635" s="111" t="s">
        <v>10016</v>
      </c>
      <c r="D635" s="28" t="s">
        <v>10017</v>
      </c>
      <c r="E635" s="28" t="str">
        <f>IFERROR(__xludf.DUMMYFUNCTION("GOOGLETRANSLATE(D635,""zh-CN"",""vi"")"),"Anh ấy rất vui khi được làm công việc này.")</f>
        <v>Anh ấy rất vui khi được làm công việc này.</v>
      </c>
      <c r="F635" s="128"/>
      <c r="G635" s="36" t="b">
        <f t="shared" si="1"/>
        <v>0</v>
      </c>
      <c r="H635" s="35" t="b">
        <v>0</v>
      </c>
      <c r="I635" s="35" t="b">
        <v>0</v>
      </c>
      <c r="J635" s="35" t="b">
        <v>0</v>
      </c>
      <c r="K635" s="35" t="b">
        <v>0</v>
      </c>
      <c r="L635" s="35" t="b">
        <v>0</v>
      </c>
      <c r="M635" s="35" t="b">
        <v>0</v>
      </c>
      <c r="N635" s="35" t="b">
        <v>0</v>
      </c>
      <c r="O635" s="35" t="b">
        <v>0</v>
      </c>
      <c r="P635" s="35" t="b">
        <v>0</v>
      </c>
      <c r="Q635" s="35" t="b">
        <v>0</v>
      </c>
      <c r="R635" s="14"/>
      <c r="S635" s="14"/>
      <c r="T635" s="14"/>
      <c r="U635" s="14"/>
      <c r="V635" s="14"/>
      <c r="W635" s="14"/>
    </row>
    <row r="636" ht="31.5" customHeight="1">
      <c r="A636" s="109" t="s">
        <v>10022</v>
      </c>
      <c r="B636" s="110" t="s">
        <v>10023</v>
      </c>
      <c r="C636" s="111" t="s">
        <v>10024</v>
      </c>
      <c r="D636" s="28" t="s">
        <v>10025</v>
      </c>
      <c r="E636" s="28" t="str">
        <f>IFERROR(__xludf.DUMMYFUNCTION("GOOGLETRANSLATE(D636,""zh-CN"",""vi"")"),"Chúng ta không thể can thiệp vào sự lựa chọn của anh ấy.")</f>
        <v>Chúng ta không thể can thiệp vào sự lựa chọn của anh ấy.</v>
      </c>
      <c r="F636" s="128"/>
      <c r="G636" s="36" t="b">
        <f t="shared" si="1"/>
        <v>0</v>
      </c>
      <c r="H636" s="35" t="b">
        <v>0</v>
      </c>
      <c r="I636" s="35" t="b">
        <v>0</v>
      </c>
      <c r="J636" s="35" t="b">
        <v>0</v>
      </c>
      <c r="K636" s="35" t="b">
        <v>0</v>
      </c>
      <c r="L636" s="35" t="b">
        <v>0</v>
      </c>
      <c r="M636" s="35" t="b">
        <v>0</v>
      </c>
      <c r="N636" s="35" t="b">
        <v>0</v>
      </c>
      <c r="O636" s="35" t="b">
        <v>0</v>
      </c>
      <c r="P636" s="35" t="b">
        <v>0</v>
      </c>
      <c r="Q636" s="35" t="b">
        <v>0</v>
      </c>
      <c r="R636" s="14"/>
      <c r="S636" s="14"/>
      <c r="T636" s="14"/>
      <c r="U636" s="14"/>
      <c r="V636" s="14"/>
      <c r="W636" s="14"/>
    </row>
    <row r="637" ht="31.5" customHeight="1">
      <c r="A637" s="109" t="s">
        <v>10030</v>
      </c>
      <c r="B637" s="110" t="s">
        <v>10031</v>
      </c>
      <c r="C637" s="111" t="s">
        <v>10032</v>
      </c>
      <c r="D637" s="28" t="s">
        <v>10033</v>
      </c>
      <c r="E637" s="28" t="str">
        <f>IFERROR(__xludf.DUMMYFUNCTION("GOOGLETRANSLATE(D637,""zh-CN"",""vi"")"),"Ông xúc động nhận xét rằng cuộc sống không hề dễ dàng.")</f>
        <v>Ông xúc động nhận xét rằng cuộc sống không hề dễ dàng.</v>
      </c>
      <c r="F637" s="128"/>
      <c r="G637" s="36" t="b">
        <f t="shared" si="1"/>
        <v>0</v>
      </c>
      <c r="H637" s="35" t="b">
        <v>0</v>
      </c>
      <c r="I637" s="35" t="b">
        <v>0</v>
      </c>
      <c r="J637" s="35" t="b">
        <v>0</v>
      </c>
      <c r="K637" s="35" t="b">
        <v>0</v>
      </c>
      <c r="L637" s="35" t="b">
        <v>0</v>
      </c>
      <c r="M637" s="35" t="b">
        <v>0</v>
      </c>
      <c r="N637" s="35" t="b">
        <v>0</v>
      </c>
      <c r="O637" s="35" t="b">
        <v>0</v>
      </c>
      <c r="P637" s="35" t="b">
        <v>0</v>
      </c>
      <c r="Q637" s="35" t="b">
        <v>0</v>
      </c>
      <c r="R637" s="14"/>
      <c r="S637" s="14"/>
      <c r="T637" s="14"/>
      <c r="U637" s="14"/>
      <c r="V637" s="14"/>
      <c r="W637" s="14"/>
    </row>
    <row r="638" ht="31.5" customHeight="1">
      <c r="A638" s="109" t="s">
        <v>10038</v>
      </c>
      <c r="B638" s="110" t="s">
        <v>10039</v>
      </c>
      <c r="C638" s="111" t="s">
        <v>10040</v>
      </c>
      <c r="D638" s="28" t="s">
        <v>10041</v>
      </c>
      <c r="E638" s="28" t="str">
        <f>IFERROR(__xludf.DUMMYFUNCTION("GOOGLETRANSLATE(D638,""zh-CN"",""vi"")"),"Anh ấy bị cúm.")</f>
        <v>Anh ấy bị cúm.</v>
      </c>
      <c r="F638" s="128"/>
      <c r="G638" s="36" t="b">
        <f t="shared" si="1"/>
        <v>0</v>
      </c>
      <c r="H638" s="35" t="b">
        <v>0</v>
      </c>
      <c r="I638" s="35" t="b">
        <v>0</v>
      </c>
      <c r="J638" s="35" t="b">
        <v>0</v>
      </c>
      <c r="K638" s="35" t="b">
        <v>0</v>
      </c>
      <c r="L638" s="35" t="b">
        <v>0</v>
      </c>
      <c r="M638" s="35" t="b">
        <v>0</v>
      </c>
      <c r="N638" s="35" t="b">
        <v>0</v>
      </c>
      <c r="O638" s="35" t="b">
        <v>0</v>
      </c>
      <c r="P638" s="35" t="b">
        <v>0</v>
      </c>
      <c r="Q638" s="35" t="b">
        <v>0</v>
      </c>
      <c r="R638" s="14"/>
      <c r="S638" s="14"/>
      <c r="T638" s="14"/>
      <c r="U638" s="14"/>
      <c r="V638" s="14"/>
      <c r="W638" s="14"/>
    </row>
    <row r="639" ht="31.5" customHeight="1">
      <c r="A639" s="109" t="s">
        <v>10045</v>
      </c>
      <c r="B639" s="110" t="s">
        <v>10046</v>
      </c>
      <c r="C639" s="111" t="s">
        <v>10047</v>
      </c>
      <c r="D639" s="28" t="s">
        <v>10048</v>
      </c>
      <c r="E639" s="28" t="str">
        <f>IFERROR(__xludf.DUMMYFUNCTION("GOOGLETRANSLATE(D639,""zh-CN"",""vi"")"),"Các công nhân làm việc với tinh thần rất hăng hái.")</f>
        <v>Các công nhân làm việc với tinh thần rất hăng hái.</v>
      </c>
      <c r="F639" s="128"/>
      <c r="G639" s="36" t="b">
        <f t="shared" si="1"/>
        <v>0</v>
      </c>
      <c r="H639" s="35" t="b">
        <v>0</v>
      </c>
      <c r="I639" s="35" t="b">
        <v>0</v>
      </c>
      <c r="J639" s="35" t="b">
        <v>0</v>
      </c>
      <c r="K639" s="35" t="b">
        <v>0</v>
      </c>
      <c r="L639" s="35" t="b">
        <v>0</v>
      </c>
      <c r="M639" s="35" t="b">
        <v>0</v>
      </c>
      <c r="N639" s="35" t="b">
        <v>0</v>
      </c>
      <c r="O639" s="35" t="b">
        <v>0</v>
      </c>
      <c r="P639" s="35" t="b">
        <v>0</v>
      </c>
      <c r="Q639" s="35" t="b">
        <v>0</v>
      </c>
      <c r="R639" s="14"/>
      <c r="S639" s="14"/>
      <c r="T639" s="14"/>
      <c r="U639" s="14"/>
      <c r="V639" s="14"/>
      <c r="W639" s="14"/>
    </row>
    <row r="640" ht="31.5" customHeight="1">
      <c r="A640" s="109" t="s">
        <v>10053</v>
      </c>
      <c r="B640" s="110" t="s">
        <v>10054</v>
      </c>
      <c r="C640" s="111" t="s">
        <v>10055</v>
      </c>
      <c r="D640" s="28" t="s">
        <v>10056</v>
      </c>
      <c r="E640" s="28" t="str">
        <f>IFERROR(__xludf.DUMMYFUNCTION("GOOGLETRANSLATE(D640,""zh-CN"",""vi"")"),"Anh ấy mang một bao gạo về nhà.")</f>
        <v>Anh ấy mang một bao gạo về nhà.</v>
      </c>
      <c r="F640" s="128"/>
      <c r="G640" s="36" t="b">
        <f t="shared" si="1"/>
        <v>0</v>
      </c>
      <c r="H640" s="35" t="b">
        <v>0</v>
      </c>
      <c r="I640" s="35" t="b">
        <v>0</v>
      </c>
      <c r="J640" s="35" t="b">
        <v>0</v>
      </c>
      <c r="K640" s="35" t="b">
        <v>0</v>
      </c>
      <c r="L640" s="35" t="b">
        <v>0</v>
      </c>
      <c r="M640" s="35" t="b">
        <v>0</v>
      </c>
      <c r="N640" s="35" t="b">
        <v>0</v>
      </c>
      <c r="O640" s="35" t="b">
        <v>0</v>
      </c>
      <c r="P640" s="35" t="b">
        <v>0</v>
      </c>
      <c r="Q640" s="35" t="b">
        <v>0</v>
      </c>
      <c r="R640" s="14"/>
      <c r="S640" s="14"/>
      <c r="T640" s="14"/>
      <c r="U640" s="14"/>
      <c r="V640" s="14"/>
      <c r="W640" s="14"/>
    </row>
    <row r="641" ht="31.5" customHeight="1">
      <c r="A641" s="109" t="s">
        <v>10060</v>
      </c>
      <c r="B641" s="110" t="s">
        <v>10062</v>
      </c>
      <c r="C641" s="111" t="s">
        <v>10063</v>
      </c>
      <c r="D641" s="28" t="s">
        <v>10064</v>
      </c>
      <c r="E641" s="28" t="str">
        <f>IFERROR(__xludf.DUMMYFUNCTION("GOOGLETRANSLATE(D641,""zh-CN"",""vi"")"),"Tôi vừa hoàn thành nhiệm vụ của mình.")</f>
        <v>Tôi vừa hoàn thành nhiệm vụ của mình.</v>
      </c>
      <c r="F641" s="128"/>
      <c r="G641" s="36" t="b">
        <f t="shared" si="1"/>
        <v>0</v>
      </c>
      <c r="H641" s="35" t="b">
        <v>0</v>
      </c>
      <c r="I641" s="35" t="b">
        <v>0</v>
      </c>
      <c r="J641" s="35" t="b">
        <v>0</v>
      </c>
      <c r="K641" s="35" t="b">
        <v>0</v>
      </c>
      <c r="L641" s="35" t="b">
        <v>0</v>
      </c>
      <c r="M641" s="35" t="b">
        <v>0</v>
      </c>
      <c r="N641" s="35" t="b">
        <v>0</v>
      </c>
      <c r="O641" s="35" t="b">
        <v>0</v>
      </c>
      <c r="P641" s="35" t="b">
        <v>0</v>
      </c>
      <c r="Q641" s="35" t="b">
        <v>0</v>
      </c>
      <c r="R641" s="14"/>
      <c r="S641" s="14"/>
      <c r="T641" s="14"/>
      <c r="U641" s="14"/>
      <c r="V641" s="14"/>
      <c r="W641" s="14"/>
    </row>
    <row r="642" ht="31.5" customHeight="1">
      <c r="A642" s="109" t="s">
        <v>10067</v>
      </c>
      <c r="B642" s="110" t="s">
        <v>10069</v>
      </c>
      <c r="C642" s="111" t="s">
        <v>10071</v>
      </c>
      <c r="D642" s="28" t="s">
        <v>10072</v>
      </c>
      <c r="E642" s="28" t="str">
        <f>IFERROR(__xludf.DUMMYFUNCTION("GOOGLETRANSLATE(D642,""zh-CN"",""vi"")"),"Chương trình của Đảng rất rõ ràng.")</f>
        <v>Chương trình của Đảng rất rõ ràng.</v>
      </c>
      <c r="F642" s="128"/>
      <c r="G642" s="36" t="b">
        <f t="shared" si="1"/>
        <v>0</v>
      </c>
      <c r="H642" s="35" t="b">
        <v>0</v>
      </c>
      <c r="I642" s="35" t="b">
        <v>0</v>
      </c>
      <c r="J642" s="35" t="b">
        <v>0</v>
      </c>
      <c r="K642" s="35" t="b">
        <v>0</v>
      </c>
      <c r="L642" s="35" t="b">
        <v>0</v>
      </c>
      <c r="M642" s="35" t="b">
        <v>0</v>
      </c>
      <c r="N642" s="35" t="b">
        <v>0</v>
      </c>
      <c r="O642" s="35" t="b">
        <v>0</v>
      </c>
      <c r="P642" s="35" t="b">
        <v>0</v>
      </c>
      <c r="Q642" s="35" t="b">
        <v>0</v>
      </c>
      <c r="R642" s="14"/>
      <c r="S642" s="14"/>
      <c r="T642" s="14"/>
      <c r="U642" s="14"/>
      <c r="V642" s="14"/>
      <c r="W642" s="14"/>
    </row>
    <row r="643" ht="31.5" customHeight="1">
      <c r="A643" s="109" t="s">
        <v>10073</v>
      </c>
      <c r="B643" s="110" t="s">
        <v>10074</v>
      </c>
      <c r="C643" s="111" t="s">
        <v>10075</v>
      </c>
      <c r="D643" s="28" t="s">
        <v>10076</v>
      </c>
      <c r="E643" s="28" t="str">
        <f>IFERROR(__xludf.DUMMYFUNCTION("GOOGLETRANSLATE(D643,""zh-CN"",""vi"")"),"Cảng này rất nhộn nhịp.")</f>
        <v>Cảng này rất nhộn nhịp.</v>
      </c>
      <c r="F643" s="128"/>
      <c r="G643" s="36" t="b">
        <f t="shared" si="1"/>
        <v>0</v>
      </c>
      <c r="H643" s="35" t="b">
        <v>0</v>
      </c>
      <c r="I643" s="35" t="b">
        <v>0</v>
      </c>
      <c r="J643" s="35" t="b">
        <v>0</v>
      </c>
      <c r="K643" s="35" t="b">
        <v>0</v>
      </c>
      <c r="L643" s="35" t="b">
        <v>0</v>
      </c>
      <c r="M643" s="35" t="b">
        <v>0</v>
      </c>
      <c r="N643" s="35" t="b">
        <v>0</v>
      </c>
      <c r="O643" s="35" t="b">
        <v>0</v>
      </c>
      <c r="P643" s="35" t="b">
        <v>0</v>
      </c>
      <c r="Q643" s="35" t="b">
        <v>0</v>
      </c>
      <c r="R643" s="14"/>
      <c r="S643" s="14"/>
      <c r="T643" s="14"/>
      <c r="U643" s="14"/>
      <c r="V643" s="14"/>
      <c r="W643" s="14"/>
    </row>
    <row r="644" ht="31.5" customHeight="1">
      <c r="A644" s="109" t="s">
        <v>10077</v>
      </c>
      <c r="B644" s="110" t="s">
        <v>10078</v>
      </c>
      <c r="C644" s="111" t="s">
        <v>10079</v>
      </c>
      <c r="D644" s="28" t="s">
        <v>10080</v>
      </c>
      <c r="E644" s="28" t="str">
        <f>IFERROR(__xludf.DUMMYFUNCTION("GOOGLETRANSLATE(D644,""zh-CN"",""vi"")"),"Cảng này là một nơi trú ẩn an toàn tự nhiên.")</f>
        <v>Cảng này là một nơi trú ẩn an toàn tự nhiên.</v>
      </c>
      <c r="F644" s="128"/>
      <c r="G644" s="36" t="b">
        <f t="shared" si="1"/>
        <v>0</v>
      </c>
      <c r="H644" s="35" t="b">
        <v>0</v>
      </c>
      <c r="I644" s="35" t="b">
        <v>0</v>
      </c>
      <c r="J644" s="35" t="b">
        <v>0</v>
      </c>
      <c r="K644" s="35" t="b">
        <v>0</v>
      </c>
      <c r="L644" s="35" t="b">
        <v>0</v>
      </c>
      <c r="M644" s="35" t="b">
        <v>0</v>
      </c>
      <c r="N644" s="35" t="b">
        <v>0</v>
      </c>
      <c r="O644" s="35" t="b">
        <v>0</v>
      </c>
      <c r="P644" s="35" t="b">
        <v>0</v>
      </c>
      <c r="Q644" s="35" t="b">
        <v>0</v>
      </c>
      <c r="R644" s="14"/>
      <c r="S644" s="14"/>
      <c r="T644" s="14"/>
      <c r="U644" s="14"/>
      <c r="V644" s="14"/>
      <c r="W644" s="14"/>
    </row>
    <row r="645" ht="31.5" customHeight="1">
      <c r="A645" s="109" t="s">
        <v>10081</v>
      </c>
      <c r="B645" s="110" t="s">
        <v>10082</v>
      </c>
      <c r="C645" s="111" t="s">
        <v>10083</v>
      </c>
      <c r="D645" s="28" t="s">
        <v>10084</v>
      </c>
      <c r="E645" s="28" t="str">
        <f>IFERROR(__xludf.DUMMYFUNCTION("GOOGLETRANSLATE(D645,""zh-CN"",""vi"")"),"Ông ấy đã làm việc ở vị trí này trong mười năm.")</f>
        <v>Ông ấy đã làm việc ở vị trí này trong mười năm.</v>
      </c>
      <c r="F645" s="128"/>
      <c r="G645" s="36" t="b">
        <f t="shared" si="1"/>
        <v>0</v>
      </c>
      <c r="H645" s="35" t="b">
        <v>0</v>
      </c>
      <c r="I645" s="35" t="b">
        <v>0</v>
      </c>
      <c r="J645" s="35" t="b">
        <v>0</v>
      </c>
      <c r="K645" s="35" t="b">
        <v>0</v>
      </c>
      <c r="L645" s="35" t="b">
        <v>0</v>
      </c>
      <c r="M645" s="35" t="b">
        <v>0</v>
      </c>
      <c r="N645" s="35" t="b">
        <v>0</v>
      </c>
      <c r="O645" s="35" t="b">
        <v>0</v>
      </c>
      <c r="P645" s="35" t="b">
        <v>0</v>
      </c>
      <c r="Q645" s="35" t="b">
        <v>0</v>
      </c>
      <c r="R645" s="14"/>
      <c r="S645" s="14"/>
      <c r="T645" s="14"/>
      <c r="U645" s="14"/>
      <c r="V645" s="14"/>
      <c r="W645" s="14"/>
    </row>
    <row r="646" ht="31.5" customHeight="1">
      <c r="A646" s="109" t="s">
        <v>10088</v>
      </c>
      <c r="B646" s="110" t="s">
        <v>10089</v>
      </c>
      <c r="C646" s="111" t="s">
        <v>10090</v>
      </c>
      <c r="D646" s="28" t="s">
        <v>10091</v>
      </c>
      <c r="E646" s="28" t="str">
        <f>IFERROR(__xludf.DUMMYFUNCTION("GOOGLETRANSLATE(D646,""zh-CN"",""vi"")"),"Nguyên tắc đòn bẩy rất quan trọng.")</f>
        <v>Nguyên tắc đòn bẩy rất quan trọng.</v>
      </c>
      <c r="F646" s="128"/>
      <c r="G646" s="36" t="b">
        <f t="shared" si="1"/>
        <v>0</v>
      </c>
      <c r="H646" s="35" t="b">
        <v>0</v>
      </c>
      <c r="I646" s="35" t="b">
        <v>0</v>
      </c>
      <c r="J646" s="35" t="b">
        <v>0</v>
      </c>
      <c r="K646" s="35" t="b">
        <v>0</v>
      </c>
      <c r="L646" s="35" t="b">
        <v>0</v>
      </c>
      <c r="M646" s="35" t="b">
        <v>0</v>
      </c>
      <c r="N646" s="35" t="b">
        <v>0</v>
      </c>
      <c r="O646" s="35" t="b">
        <v>0</v>
      </c>
      <c r="P646" s="35" t="b">
        <v>0</v>
      </c>
      <c r="Q646" s="35" t="b">
        <v>0</v>
      </c>
      <c r="R646" s="14"/>
      <c r="S646" s="14"/>
      <c r="T646" s="14"/>
      <c r="U646" s="14"/>
      <c r="V646" s="14"/>
      <c r="W646" s="14"/>
    </row>
    <row r="647" ht="31.5" customHeight="1">
      <c r="A647" s="109" t="s">
        <v>10092</v>
      </c>
      <c r="B647" s="110" t="s">
        <v>10093</v>
      </c>
      <c r="C647" s="111" t="s">
        <v>10094</v>
      </c>
      <c r="D647" s="28" t="s">
        <v>10095</v>
      </c>
      <c r="E647" s="28" t="str">
        <f>IFERROR(__xludf.DUMMYFUNCTION("GOOGLETRANSLATE(D647,""zh-CN"",""vi"")"),"Kỹ năng của anh ấy cực kỳ cao.")</f>
        <v>Kỹ năng của anh ấy cực kỳ cao.</v>
      </c>
      <c r="F647" s="128"/>
      <c r="G647" s="36" t="b">
        <f t="shared" si="1"/>
        <v>0</v>
      </c>
      <c r="H647" s="35" t="b">
        <v>1</v>
      </c>
      <c r="I647" s="35" t="b">
        <v>0</v>
      </c>
      <c r="J647" s="35" t="b">
        <v>0</v>
      </c>
      <c r="K647" s="35" t="b">
        <v>0</v>
      </c>
      <c r="L647" s="35" t="b">
        <v>0</v>
      </c>
      <c r="M647" s="35" t="b">
        <v>0</v>
      </c>
      <c r="N647" s="35" t="b">
        <v>0</v>
      </c>
      <c r="O647" s="35" t="b">
        <v>0</v>
      </c>
      <c r="P647" s="35" t="b">
        <v>0</v>
      </c>
      <c r="Q647" s="35" t="b">
        <v>0</v>
      </c>
      <c r="R647" s="14"/>
      <c r="S647" s="14"/>
      <c r="T647" s="14"/>
      <c r="U647" s="14"/>
      <c r="V647" s="14"/>
      <c r="W647" s="14"/>
    </row>
    <row r="648" ht="31.5" customHeight="1">
      <c r="A648" s="109" t="s">
        <v>10100</v>
      </c>
      <c r="B648" s="110" t="s">
        <v>10101</v>
      </c>
      <c r="C648" s="111" t="s">
        <v>10102</v>
      </c>
      <c r="D648" s="28" t="s">
        <v>10103</v>
      </c>
      <c r="E648" s="28" t="str">
        <f>IFERROR(__xludf.DUMMYFUNCTION("GOOGLETRANSLATE(D648,""zh-CN"",""vi"")"),"Cuộc họp đã đạt đến cao trào.")</f>
        <v>Cuộc họp đã đạt đến cao trào.</v>
      </c>
      <c r="F648" s="128"/>
      <c r="G648" s="36" t="b">
        <f t="shared" si="1"/>
        <v>0</v>
      </c>
      <c r="H648" s="35" t="b">
        <v>1</v>
      </c>
      <c r="I648" s="35" t="b">
        <v>0</v>
      </c>
      <c r="J648" s="35" t="b">
        <v>0</v>
      </c>
      <c r="K648" s="35" t="b">
        <v>0</v>
      </c>
      <c r="L648" s="35" t="b">
        <v>0</v>
      </c>
      <c r="M648" s="35" t="b">
        <v>0</v>
      </c>
      <c r="N648" s="35" t="b">
        <v>0</v>
      </c>
      <c r="O648" s="35" t="b">
        <v>0</v>
      </c>
      <c r="P648" s="35" t="b">
        <v>0</v>
      </c>
      <c r="Q648" s="35" t="b">
        <v>0</v>
      </c>
      <c r="R648" s="14"/>
      <c r="S648" s="14"/>
      <c r="T648" s="14"/>
      <c r="U648" s="14"/>
      <c r="V648" s="14"/>
      <c r="W648" s="14"/>
    </row>
    <row r="649" ht="31.5" customHeight="1">
      <c r="A649" s="109" t="s">
        <v>10108</v>
      </c>
      <c r="B649" s="110" t="s">
        <v>10109</v>
      </c>
      <c r="C649" s="111" t="s">
        <v>10110</v>
      </c>
      <c r="D649" s="34" t="s">
        <v>10114</v>
      </c>
      <c r="E649" s="28" t="str">
        <f>IFERROR(__xludf.DUMMYFUNCTION("GOOGLETRANSLATE(D649,""zh-CN"",""vi"")"),"Chinh phục đỉnh núi cao nhất thế giới.")</f>
        <v>Chinh phục đỉnh núi cao nhất thế giới.</v>
      </c>
      <c r="F649" s="128"/>
      <c r="G649" s="36" t="b">
        <f t="shared" si="1"/>
        <v>0</v>
      </c>
      <c r="H649" s="35" t="b">
        <v>1</v>
      </c>
      <c r="I649" s="35" t="b">
        <v>0</v>
      </c>
      <c r="J649" s="35" t="b">
        <v>0</v>
      </c>
      <c r="K649" s="35" t="b">
        <v>0</v>
      </c>
      <c r="L649" s="35" t="b">
        <v>0</v>
      </c>
      <c r="M649" s="35" t="b">
        <v>0</v>
      </c>
      <c r="N649" s="35" t="b">
        <v>0</v>
      </c>
      <c r="O649" s="35" t="b">
        <v>0</v>
      </c>
      <c r="P649" s="35" t="b">
        <v>0</v>
      </c>
      <c r="Q649" s="35" t="b">
        <v>0</v>
      </c>
      <c r="R649" s="14"/>
      <c r="S649" s="14"/>
      <c r="T649" s="14"/>
      <c r="U649" s="14"/>
      <c r="V649" s="14"/>
      <c r="W649" s="14"/>
    </row>
    <row r="650" ht="31.5" customHeight="1">
      <c r="A650" s="124" t="s">
        <v>10119</v>
      </c>
      <c r="B650" s="125" t="s">
        <v>10120</v>
      </c>
      <c r="C650" s="126" t="s">
        <v>10121</v>
      </c>
      <c r="D650" s="127" t="s">
        <v>10122</v>
      </c>
      <c r="E650" s="28" t="str">
        <f>IFERROR(__xludf.DUMMYFUNCTION("GOOGLETRANSLATE(D650,""zh-CN"",""vi"")"),"Anh ấy đã vượt qua kỳ thi tuyển sinh đại học.")</f>
        <v>Anh ấy đã vượt qua kỳ thi tuyển sinh đại học.</v>
      </c>
      <c r="F650" s="128"/>
      <c r="G650" s="36" t="b">
        <f t="shared" si="1"/>
        <v>0</v>
      </c>
      <c r="H650" s="35" t="b">
        <v>1</v>
      </c>
      <c r="I650" s="35" t="b">
        <v>0</v>
      </c>
      <c r="J650" s="35" t="b">
        <v>0</v>
      </c>
      <c r="K650" s="35" t="b">
        <v>0</v>
      </c>
      <c r="L650" s="35" t="b">
        <v>0</v>
      </c>
      <c r="M650" s="35" t="b">
        <v>0</v>
      </c>
      <c r="N650" s="35" t="b">
        <v>0</v>
      </c>
      <c r="O650" s="35" t="b">
        <v>0</v>
      </c>
      <c r="P650" s="35" t="b">
        <v>0</v>
      </c>
      <c r="Q650" s="35" t="b">
        <v>0</v>
      </c>
      <c r="R650" s="14"/>
      <c r="S650" s="14"/>
      <c r="T650" s="14"/>
      <c r="U650" s="14"/>
      <c r="V650" s="14"/>
      <c r="W650" s="14"/>
    </row>
    <row r="651" ht="31.5" customHeight="1">
      <c r="A651" s="109" t="s">
        <v>10127</v>
      </c>
      <c r="B651" s="110" t="s">
        <v>10128</v>
      </c>
      <c r="C651" s="111" t="s">
        <v>10129</v>
      </c>
      <c r="D651" s="28" t="s">
        <v>10130</v>
      </c>
      <c r="E651" s="28" t="str">
        <f>IFERROR(__xludf.DUMMYFUNCTION("GOOGLETRANSLATE(D651,""zh-CN"",""vi"")"),"Những nhận định của ông ấy rất sâu sắc.")</f>
        <v>Những nhận định của ông ấy rất sâu sắc.</v>
      </c>
      <c r="F651" s="128"/>
      <c r="G651" s="36" t="b">
        <f t="shared" si="1"/>
        <v>0</v>
      </c>
      <c r="H651" s="35" t="b">
        <v>1</v>
      </c>
      <c r="I651" s="35" t="b">
        <v>0</v>
      </c>
      <c r="J651" s="35" t="b">
        <v>0</v>
      </c>
      <c r="K651" s="35" t="b">
        <v>0</v>
      </c>
      <c r="L651" s="35" t="b">
        <v>0</v>
      </c>
      <c r="M651" s="35" t="b">
        <v>0</v>
      </c>
      <c r="N651" s="35" t="b">
        <v>0</v>
      </c>
      <c r="O651" s="35" t="b">
        <v>0</v>
      </c>
      <c r="P651" s="35" t="b">
        <v>0</v>
      </c>
      <c r="Q651" s="35" t="b">
        <v>0</v>
      </c>
      <c r="R651" s="14"/>
      <c r="S651" s="14"/>
      <c r="T651" s="14"/>
      <c r="U651" s="14"/>
      <c r="V651" s="14"/>
      <c r="W651" s="14"/>
    </row>
    <row r="652" ht="31.5" customHeight="1">
      <c r="A652" s="109" t="s">
        <v>10131</v>
      </c>
      <c r="B652" s="110" t="s">
        <v>10132</v>
      </c>
      <c r="C652" s="111" t="s">
        <v>10134</v>
      </c>
      <c r="D652" s="28" t="s">
        <v>10136</v>
      </c>
      <c r="E652" s="28" t="str">
        <f>IFERROR(__xludf.DUMMYFUNCTION("GOOGLETRANSLATE(D652,""zh-CN"",""vi"")"),"Ông ấy là một người cao thượng.")</f>
        <v>Ông ấy là một người cao thượng.</v>
      </c>
      <c r="F652" s="128"/>
      <c r="G652" s="36" t="b">
        <f t="shared" si="1"/>
        <v>0</v>
      </c>
      <c r="H652" s="35" t="b">
        <v>1</v>
      </c>
      <c r="I652" s="35" t="b">
        <v>0</v>
      </c>
      <c r="J652" s="35" t="b">
        <v>0</v>
      </c>
      <c r="K652" s="35" t="b">
        <v>0</v>
      </c>
      <c r="L652" s="35" t="b">
        <v>0</v>
      </c>
      <c r="M652" s="35" t="b">
        <v>0</v>
      </c>
      <c r="N652" s="35" t="b">
        <v>0</v>
      </c>
      <c r="O652" s="35" t="b">
        <v>0</v>
      </c>
      <c r="P652" s="35" t="b">
        <v>0</v>
      </c>
      <c r="Q652" s="35" t="b">
        <v>0</v>
      </c>
      <c r="R652" s="14"/>
      <c r="S652" s="14"/>
      <c r="T652" s="14"/>
      <c r="U652" s="14"/>
      <c r="V652" s="14"/>
      <c r="W652" s="14"/>
    </row>
    <row r="653" ht="31.5" customHeight="1">
      <c r="A653" s="109" t="s">
        <v>10139</v>
      </c>
      <c r="B653" s="110" t="s">
        <v>10140</v>
      </c>
      <c r="C653" s="111" t="s">
        <v>10141</v>
      </c>
      <c r="D653" s="28" t="s">
        <v>10143</v>
      </c>
      <c r="E653" s="28" t="str">
        <f>IFERROR(__xludf.DUMMYFUNCTION("GOOGLETRANSLATE(D653,""zh-CN"",""vi"")"),"Giá cả gần đây đã tăng lên.")</f>
        <v>Giá cả gần đây đã tăng lên.</v>
      </c>
      <c r="F653" s="128"/>
      <c r="G653" s="36" t="b">
        <f t="shared" si="1"/>
        <v>0</v>
      </c>
      <c r="H653" s="35" t="b">
        <v>1</v>
      </c>
      <c r="I653" s="35" t="b">
        <v>0</v>
      </c>
      <c r="J653" s="35" t="b">
        <v>0</v>
      </c>
      <c r="K653" s="35" t="b">
        <v>0</v>
      </c>
      <c r="L653" s="35" t="b">
        <v>0</v>
      </c>
      <c r="M653" s="35" t="b">
        <v>0</v>
      </c>
      <c r="N653" s="35" t="b">
        <v>0</v>
      </c>
      <c r="O653" s="35" t="b">
        <v>0</v>
      </c>
      <c r="P653" s="35" t="b">
        <v>0</v>
      </c>
      <c r="Q653" s="35" t="b">
        <v>0</v>
      </c>
      <c r="R653" s="14"/>
      <c r="S653" s="14"/>
      <c r="T653" s="14"/>
      <c r="U653" s="14"/>
      <c r="V653" s="14"/>
      <c r="W653" s="14"/>
    </row>
    <row r="654" ht="31.5" customHeight="1">
      <c r="A654" s="109" t="s">
        <v>10147</v>
      </c>
      <c r="B654" s="110" t="s">
        <v>10148</v>
      </c>
      <c r="C654" s="111" t="s">
        <v>10149</v>
      </c>
      <c r="D654" s="28" t="s">
        <v>10150</v>
      </c>
      <c r="E654" s="28" t="str">
        <f>IFERROR(__xludf.DUMMYFUNCTION("GOOGLETRANSLATE(D654,""zh-CN"",""vi"")"),"Anh ấy đã nộp một bản thảo.")</f>
        <v>Anh ấy đã nộp một bản thảo.</v>
      </c>
      <c r="F654" s="128"/>
      <c r="G654" s="36" t="b">
        <f t="shared" si="1"/>
        <v>0</v>
      </c>
      <c r="H654" s="35" t="b">
        <v>1</v>
      </c>
      <c r="I654" s="35" t="b">
        <v>0</v>
      </c>
      <c r="J654" s="35" t="b">
        <v>0</v>
      </c>
      <c r="K654" s="35" t="b">
        <v>0</v>
      </c>
      <c r="L654" s="35" t="b">
        <v>0</v>
      </c>
      <c r="M654" s="35" t="b">
        <v>0</v>
      </c>
      <c r="N654" s="35" t="b">
        <v>0</v>
      </c>
      <c r="O654" s="35" t="b">
        <v>0</v>
      </c>
      <c r="P654" s="35" t="b">
        <v>0</v>
      </c>
      <c r="Q654" s="35" t="b">
        <v>0</v>
      </c>
      <c r="R654" s="14"/>
      <c r="S654" s="14"/>
      <c r="T654" s="14"/>
      <c r="U654" s="14"/>
      <c r="V654" s="14"/>
      <c r="W654" s="14"/>
    </row>
    <row r="655" ht="31.5" customHeight="1">
      <c r="A655" s="109" t="s">
        <v>10155</v>
      </c>
      <c r="B655" s="110" t="s">
        <v>10156</v>
      </c>
      <c r="C655" s="111" t="s">
        <v>10157</v>
      </c>
      <c r="D655" s="28" t="s">
        <v>10158</v>
      </c>
      <c r="E655" s="28" t="str">
        <f>IFERROR(__xludf.DUMMYFUNCTION("GOOGLETRANSLATE(D655,""zh-CN"",""vi"")"),"Chúng tôi chào tạm biệt chủ nhà.")</f>
        <v>Chúng tôi chào tạm biệt chủ nhà.</v>
      </c>
      <c r="F655" s="128"/>
      <c r="G655" s="36" t="b">
        <f t="shared" si="1"/>
        <v>0</v>
      </c>
      <c r="H655" s="35" t="b">
        <v>1</v>
      </c>
      <c r="I655" s="35" t="b">
        <v>0</v>
      </c>
      <c r="J655" s="35" t="b">
        <v>0</v>
      </c>
      <c r="K655" s="35" t="b">
        <v>0</v>
      </c>
      <c r="L655" s="35" t="b">
        <v>0</v>
      </c>
      <c r="M655" s="35" t="b">
        <v>0</v>
      </c>
      <c r="N655" s="35" t="b">
        <v>0</v>
      </c>
      <c r="O655" s="35" t="b">
        <v>0</v>
      </c>
      <c r="P655" s="35" t="b">
        <v>0</v>
      </c>
      <c r="Q655" s="35" t="b">
        <v>0</v>
      </c>
      <c r="R655" s="14"/>
      <c r="S655" s="14"/>
      <c r="T655" s="14"/>
      <c r="U655" s="14"/>
      <c r="V655" s="14"/>
      <c r="W655" s="14"/>
    </row>
    <row r="656" ht="31.5" customHeight="1">
      <c r="A656" s="109" t="s">
        <v>10163</v>
      </c>
      <c r="B656" s="110" t="s">
        <v>10164</v>
      </c>
      <c r="C656" s="111" t="s">
        <v>10165</v>
      </c>
      <c r="D656" s="28" t="s">
        <v>10166</v>
      </c>
      <c r="E656" s="28" t="str">
        <f>IFERROR(__xludf.DUMMYFUNCTION("GOOGLETRANSLATE(D656,""zh-CN"",""vi"")"),"Cô giáo khuyên chúng tôi nên học hành chăm chỉ.")</f>
        <v>Cô giáo khuyên chúng tôi nên học hành chăm chỉ.</v>
      </c>
      <c r="F656" s="128"/>
      <c r="G656" s="36" t="b">
        <f t="shared" si="1"/>
        <v>0</v>
      </c>
      <c r="H656" s="35" t="b">
        <v>1</v>
      </c>
      <c r="I656" s="35" t="b">
        <v>0</v>
      </c>
      <c r="J656" s="35" t="b">
        <v>0</v>
      </c>
      <c r="K656" s="35" t="b">
        <v>0</v>
      </c>
      <c r="L656" s="35" t="b">
        <v>0</v>
      </c>
      <c r="M656" s="35" t="b">
        <v>0</v>
      </c>
      <c r="N656" s="35" t="b">
        <v>0</v>
      </c>
      <c r="O656" s="35" t="b">
        <v>0</v>
      </c>
      <c r="P656" s="35" t="b">
        <v>0</v>
      </c>
      <c r="Q656" s="35" t="b">
        <v>0</v>
      </c>
      <c r="R656" s="14"/>
      <c r="S656" s="14"/>
      <c r="T656" s="14"/>
      <c r="U656" s="14"/>
      <c r="V656" s="14"/>
      <c r="W656" s="14"/>
    </row>
    <row r="657" ht="31.5" customHeight="1">
      <c r="A657" s="109" t="s">
        <v>10171</v>
      </c>
      <c r="B657" s="110" t="s">
        <v>10172</v>
      </c>
      <c r="C657" s="111" t="s">
        <v>10173</v>
      </c>
      <c r="D657" s="28" t="s">
        <v>10174</v>
      </c>
      <c r="E657" s="28" t="str">
        <f>IFERROR(__xludf.DUMMYFUNCTION("GOOGLETRANSLATE(D657,""zh-CN"",""vi"")"),"Anh ấy bị đứt tay.")</f>
        <v>Anh ấy bị đứt tay.</v>
      </c>
      <c r="F657" s="128"/>
      <c r="G657" s="36" t="b">
        <f t="shared" si="1"/>
        <v>0</v>
      </c>
      <c r="H657" s="35" t="b">
        <v>1</v>
      </c>
      <c r="I657" s="35" t="b">
        <v>0</v>
      </c>
      <c r="J657" s="35" t="b">
        <v>0</v>
      </c>
      <c r="K657" s="35" t="b">
        <v>0</v>
      </c>
      <c r="L657" s="35" t="b">
        <v>0</v>
      </c>
      <c r="M657" s="35" t="b">
        <v>0</v>
      </c>
      <c r="N657" s="35" t="b">
        <v>0</v>
      </c>
      <c r="O657" s="35" t="b">
        <v>0</v>
      </c>
      <c r="P657" s="35" t="b">
        <v>0</v>
      </c>
      <c r="Q657" s="35" t="b">
        <v>0</v>
      </c>
      <c r="R657" s="14"/>
      <c r="S657" s="14"/>
      <c r="T657" s="14"/>
      <c r="U657" s="14"/>
      <c r="V657" s="14"/>
      <c r="W657" s="14"/>
    </row>
    <row r="658" ht="31.5" customHeight="1">
      <c r="A658" s="109" t="s">
        <v>10179</v>
      </c>
      <c r="B658" s="110" t="s">
        <v>10172</v>
      </c>
      <c r="C658" s="111" t="s">
        <v>1088</v>
      </c>
      <c r="D658" s="28" t="s">
        <v>10180</v>
      </c>
      <c r="E658" s="28" t="str">
        <f>IFERROR(__xludf.DUMMYFUNCTION("GOOGLETRANSLATE(D658,""zh-CN"",""vi"")"),"Hãy đặt đồ đạc của bạn lên bàn.")</f>
        <v>Hãy đặt đồ đạc của bạn lên bàn.</v>
      </c>
      <c r="F658" s="128"/>
      <c r="G658" s="36" t="b">
        <f t="shared" si="1"/>
        <v>0</v>
      </c>
      <c r="H658" s="35" t="b">
        <v>1</v>
      </c>
      <c r="I658" s="35" t="b">
        <v>0</v>
      </c>
      <c r="J658" s="35" t="b">
        <v>0</v>
      </c>
      <c r="K658" s="35" t="b">
        <v>0</v>
      </c>
      <c r="L658" s="35" t="b">
        <v>0</v>
      </c>
      <c r="M658" s="35" t="b">
        <v>0</v>
      </c>
      <c r="N658" s="35" t="b">
        <v>0</v>
      </c>
      <c r="O658" s="35" t="b">
        <v>0</v>
      </c>
      <c r="P658" s="35" t="b">
        <v>0</v>
      </c>
      <c r="Q658" s="35" t="b">
        <v>0</v>
      </c>
      <c r="R658" s="14"/>
      <c r="S658" s="14"/>
      <c r="T658" s="14"/>
      <c r="U658" s="14"/>
      <c r="V658" s="14"/>
      <c r="W658" s="14"/>
    </row>
    <row r="659" ht="31.5" customHeight="1">
      <c r="A659" s="109" t="s">
        <v>10185</v>
      </c>
      <c r="B659" s="110" t="s">
        <v>10186</v>
      </c>
      <c r="C659" s="111" t="s">
        <v>10187</v>
      </c>
      <c r="D659" s="28" t="s">
        <v>10188</v>
      </c>
      <c r="E659" s="28" t="str">
        <f>IFERROR(__xludf.DUMMYFUNCTION("GOOGLETRANSLATE(D659,""zh-CN"",""vi"")"),"Anh ta có một nốt mụn trên mặt.")</f>
        <v>Anh ta có một nốt mụn trên mặt.</v>
      </c>
      <c r="F659" s="128"/>
      <c r="G659" s="36" t="b">
        <f t="shared" si="1"/>
        <v>0</v>
      </c>
      <c r="H659" s="35" t="b">
        <v>1</v>
      </c>
      <c r="I659" s="35" t="b">
        <v>0</v>
      </c>
      <c r="J659" s="35" t="b">
        <v>0</v>
      </c>
      <c r="K659" s="35" t="b">
        <v>0</v>
      </c>
      <c r="L659" s="35" t="b">
        <v>0</v>
      </c>
      <c r="M659" s="35" t="b">
        <v>0</v>
      </c>
      <c r="N659" s="35" t="b">
        <v>0</v>
      </c>
      <c r="O659" s="35" t="b">
        <v>0</v>
      </c>
      <c r="P659" s="35" t="b">
        <v>0</v>
      </c>
      <c r="Q659" s="35" t="b">
        <v>0</v>
      </c>
      <c r="R659" s="14"/>
      <c r="S659" s="14"/>
      <c r="T659" s="14"/>
      <c r="U659" s="14"/>
      <c r="V659" s="14"/>
      <c r="W659" s="14"/>
    </row>
    <row r="660" ht="31.5" customHeight="1">
      <c r="A660" s="109" t="s">
        <v>10193</v>
      </c>
      <c r="B660" s="110" t="s">
        <v>10194</v>
      </c>
      <c r="C660" s="111" t="s">
        <v>10195</v>
      </c>
      <c r="D660" s="28" t="s">
        <v>10196</v>
      </c>
      <c r="E660" s="28" t="str">
        <f>IFERROR(__xludf.DUMMYFUNCTION("GOOGLETRANSLATE(D660,""zh-CN"",""vi"")"),"Chúng ta ca ngợi những chiến công của các anh hùng.")</f>
        <v>Chúng ta ca ngợi những chiến công của các anh hùng.</v>
      </c>
      <c r="F660" s="128"/>
      <c r="G660" s="36" t="b">
        <f t="shared" si="1"/>
        <v>0</v>
      </c>
      <c r="H660" s="35" t="b">
        <v>1</v>
      </c>
      <c r="I660" s="35" t="b">
        <v>0</v>
      </c>
      <c r="J660" s="35" t="b">
        <v>0</v>
      </c>
      <c r="K660" s="35" t="b">
        <v>0</v>
      </c>
      <c r="L660" s="35" t="b">
        <v>0</v>
      </c>
      <c r="M660" s="35" t="b">
        <v>0</v>
      </c>
      <c r="N660" s="35" t="b">
        <v>0</v>
      </c>
      <c r="O660" s="35" t="b">
        <v>0</v>
      </c>
      <c r="P660" s="35" t="b">
        <v>0</v>
      </c>
      <c r="Q660" s="35" t="b">
        <v>0</v>
      </c>
      <c r="R660" s="14"/>
      <c r="S660" s="14"/>
      <c r="T660" s="14"/>
      <c r="U660" s="14"/>
      <c r="V660" s="14"/>
      <c r="W660" s="14"/>
    </row>
    <row r="661" ht="31.5" customHeight="1">
      <c r="A661" s="109" t="s">
        <v>10201</v>
      </c>
      <c r="B661" s="110" t="s">
        <v>10202</v>
      </c>
      <c r="C661" s="111" t="s">
        <v>10203</v>
      </c>
      <c r="D661" s="28" t="s">
        <v>10204</v>
      </c>
      <c r="E661" s="28" t="str">
        <f>IFERROR(__xludf.DUMMYFUNCTION("GOOGLETRANSLATE(D661,""zh-CN"",""vi"")"),"Giữa họ có một rào cản.")</f>
        <v>Giữa họ có một rào cản.</v>
      </c>
      <c r="F661" s="128"/>
      <c r="G661" s="36" t="b">
        <f t="shared" si="1"/>
        <v>0</v>
      </c>
      <c r="H661" s="35" t="b">
        <v>1</v>
      </c>
      <c r="I661" s="35" t="b">
        <v>0</v>
      </c>
      <c r="J661" s="35" t="b">
        <v>0</v>
      </c>
      <c r="K661" s="35" t="b">
        <v>0</v>
      </c>
      <c r="L661" s="35" t="b">
        <v>0</v>
      </c>
      <c r="M661" s="35" t="b">
        <v>0</v>
      </c>
      <c r="N661" s="35" t="b">
        <v>0</v>
      </c>
      <c r="O661" s="35" t="b">
        <v>0</v>
      </c>
      <c r="P661" s="35" t="b">
        <v>0</v>
      </c>
      <c r="Q661" s="35" t="b">
        <v>0</v>
      </c>
      <c r="R661" s="14"/>
      <c r="S661" s="14"/>
      <c r="T661" s="14"/>
      <c r="U661" s="14"/>
      <c r="V661" s="14"/>
      <c r="W661" s="14"/>
    </row>
    <row r="662" ht="31.5" customHeight="1">
      <c r="A662" s="109" t="s">
        <v>10207</v>
      </c>
      <c r="B662" s="110" t="s">
        <v>10209</v>
      </c>
      <c r="C662" s="111" t="s">
        <v>10211</v>
      </c>
      <c r="D662" s="28" t="s">
        <v>10212</v>
      </c>
      <c r="E662" s="28" t="str">
        <f>IFERROR(__xludf.DUMMYFUNCTION("GOOGLETRANSLATE(D662,""zh-CN"",""vi"")"),"Ngôi nhà có thiết kế rất tuyệt.")</f>
        <v>Ngôi nhà có thiết kế rất tuyệt.</v>
      </c>
      <c r="F662" s="128"/>
      <c r="G662" s="36" t="b">
        <f t="shared" si="1"/>
        <v>0</v>
      </c>
      <c r="H662" s="35" t="b">
        <v>1</v>
      </c>
      <c r="I662" s="35" t="b">
        <v>0</v>
      </c>
      <c r="J662" s="35" t="b">
        <v>0</v>
      </c>
      <c r="K662" s="35" t="b">
        <v>0</v>
      </c>
      <c r="L662" s="35" t="b">
        <v>0</v>
      </c>
      <c r="M662" s="35" t="b">
        <v>0</v>
      </c>
      <c r="N662" s="35" t="b">
        <v>0</v>
      </c>
      <c r="O662" s="35" t="b">
        <v>0</v>
      </c>
      <c r="P662" s="35" t="b">
        <v>0</v>
      </c>
      <c r="Q662" s="35" t="b">
        <v>0</v>
      </c>
      <c r="R662" s="14"/>
      <c r="S662" s="14"/>
      <c r="T662" s="14"/>
      <c r="U662" s="14"/>
      <c r="V662" s="14"/>
      <c r="W662" s="14"/>
    </row>
    <row r="663" ht="31.5" customHeight="1">
      <c r="A663" s="109" t="s">
        <v>10213</v>
      </c>
      <c r="B663" s="110" t="s">
        <v>10215</v>
      </c>
      <c r="C663" s="111" t="s">
        <v>10217</v>
      </c>
      <c r="D663" s="28" t="s">
        <v>10219</v>
      </c>
      <c r="E663" s="28" t="str">
        <f>IFERROR(__xludf.DUMMYFUNCTION("GOOGLETRANSLATE(D663,""zh-CN"",""vi"")"),"Bệnh nhân cần được cách ly.")</f>
        <v>Bệnh nhân cần được cách ly.</v>
      </c>
      <c r="F663" s="128"/>
      <c r="G663" s="36" t="b">
        <f t="shared" si="1"/>
        <v>0</v>
      </c>
      <c r="H663" s="35" t="b">
        <v>1</v>
      </c>
      <c r="I663" s="35" t="b">
        <v>0</v>
      </c>
      <c r="J663" s="35" t="b">
        <v>0</v>
      </c>
      <c r="K663" s="35" t="b">
        <v>0</v>
      </c>
      <c r="L663" s="35" t="b">
        <v>0</v>
      </c>
      <c r="M663" s="35" t="b">
        <v>0</v>
      </c>
      <c r="N663" s="35" t="b">
        <v>0</v>
      </c>
      <c r="O663" s="35" t="b">
        <v>0</v>
      </c>
      <c r="P663" s="35" t="b">
        <v>0</v>
      </c>
      <c r="Q663" s="35" t="b">
        <v>0</v>
      </c>
      <c r="R663" s="14"/>
      <c r="S663" s="14"/>
      <c r="T663" s="14"/>
      <c r="U663" s="14"/>
      <c r="V663" s="14"/>
      <c r="W663" s="14"/>
    </row>
    <row r="664" ht="31.5" customHeight="1">
      <c r="A664" s="109" t="s">
        <v>10221</v>
      </c>
      <c r="B664" s="110" t="s">
        <v>10222</v>
      </c>
      <c r="C664" s="111" t="s">
        <v>10224</v>
      </c>
      <c r="D664" s="28" t="s">
        <v>10226</v>
      </c>
      <c r="E664" s="28" t="str">
        <f>IFERROR(__xludf.DUMMYFUNCTION("GOOGLETRANSLATE(D664,""zh-CN"",""vi"")"),"Vui lòng điền vào mẫu đơn theo đúng định dạng quy định.")</f>
        <v>Vui lòng điền vào mẫu đơn theo đúng định dạng quy định.</v>
      </c>
      <c r="F664" s="128"/>
      <c r="G664" s="36" t="b">
        <f t="shared" si="1"/>
        <v>0</v>
      </c>
      <c r="H664" s="35" t="b">
        <v>1</v>
      </c>
      <c r="I664" s="35" t="b">
        <v>0</v>
      </c>
      <c r="J664" s="35" t="b">
        <v>0</v>
      </c>
      <c r="K664" s="35" t="b">
        <v>0</v>
      </c>
      <c r="L664" s="35" t="b">
        <v>0</v>
      </c>
      <c r="M664" s="35" t="b">
        <v>0</v>
      </c>
      <c r="N664" s="35" t="b">
        <v>0</v>
      </c>
      <c r="O664" s="35" t="b">
        <v>0</v>
      </c>
      <c r="P664" s="35" t="b">
        <v>0</v>
      </c>
      <c r="Q664" s="35" t="b">
        <v>0</v>
      </c>
      <c r="R664" s="14"/>
      <c r="S664" s="14"/>
      <c r="T664" s="14"/>
      <c r="U664" s="14"/>
      <c r="V664" s="14"/>
      <c r="W664" s="14"/>
    </row>
    <row r="665" ht="31.5" customHeight="1">
      <c r="A665" s="109" t="s">
        <v>10229</v>
      </c>
      <c r="B665" s="110" t="s">
        <v>10230</v>
      </c>
      <c r="C665" s="111" t="s">
        <v>10231</v>
      </c>
      <c r="D665" s="28" t="s">
        <v>10232</v>
      </c>
      <c r="E665" s="28" t="str">
        <f>IFERROR(__xludf.DUMMYFUNCTION("GOOGLETRANSLATE(D665,""zh-CN"",""vi"")"),"Trong cuộc họp, mọi người đều bày tỏ ý kiến ​​của mình.")</f>
        <v>Trong cuộc họp, mọi người đều bày tỏ ý kiến ​​của mình.</v>
      </c>
      <c r="F665" s="128"/>
      <c r="G665" s="36" t="b">
        <f t="shared" si="1"/>
        <v>0</v>
      </c>
      <c r="H665" s="35" t="b">
        <v>1</v>
      </c>
      <c r="I665" s="35" t="b">
        <v>0</v>
      </c>
      <c r="J665" s="35" t="b">
        <v>0</v>
      </c>
      <c r="K665" s="35" t="b">
        <v>0</v>
      </c>
      <c r="L665" s="35" t="b">
        <v>0</v>
      </c>
      <c r="M665" s="35" t="b">
        <v>0</v>
      </c>
      <c r="N665" s="35" t="b">
        <v>0</v>
      </c>
      <c r="O665" s="35" t="b">
        <v>0</v>
      </c>
      <c r="P665" s="35" t="b">
        <v>0</v>
      </c>
      <c r="Q665" s="35" t="b">
        <v>0</v>
      </c>
      <c r="R665" s="14"/>
      <c r="S665" s="14"/>
      <c r="T665" s="14"/>
      <c r="U665" s="14"/>
      <c r="V665" s="14"/>
      <c r="W665" s="14"/>
    </row>
    <row r="666" ht="31.5" customHeight="1">
      <c r="A666" s="109" t="s">
        <v>10233</v>
      </c>
      <c r="B666" s="110" t="s">
        <v>10234</v>
      </c>
      <c r="C666" s="111" t="s">
        <v>10235</v>
      </c>
      <c r="D666" s="28" t="s">
        <v>10236</v>
      </c>
      <c r="E666" s="28" t="str">
        <f>IFERROR(__xludf.DUMMYFUNCTION("GOOGLETRANSLATE(D666,""zh-CN"",""vi"")"),"Cửa hàng này thuộc sở hữu cá nhân.")</f>
        <v>Cửa hàng này thuộc sở hữu cá nhân.</v>
      </c>
      <c r="F666" s="128"/>
      <c r="G666" s="36" t="b">
        <f t="shared" si="1"/>
        <v>0</v>
      </c>
      <c r="H666" s="35" t="b">
        <v>1</v>
      </c>
      <c r="I666" s="35" t="b">
        <v>0</v>
      </c>
      <c r="J666" s="35" t="b">
        <v>0</v>
      </c>
      <c r="K666" s="35" t="b">
        <v>0</v>
      </c>
      <c r="L666" s="35" t="b">
        <v>0</v>
      </c>
      <c r="M666" s="35" t="b">
        <v>0</v>
      </c>
      <c r="N666" s="35" t="b">
        <v>0</v>
      </c>
      <c r="O666" s="35" t="b">
        <v>0</v>
      </c>
      <c r="P666" s="35" t="b">
        <v>0</v>
      </c>
      <c r="Q666" s="35" t="b">
        <v>0</v>
      </c>
      <c r="R666" s="14"/>
      <c r="S666" s="14"/>
      <c r="T666" s="14"/>
      <c r="U666" s="14"/>
      <c r="V666" s="14"/>
      <c r="W666" s="14"/>
    </row>
    <row r="667" ht="31.5" customHeight="1">
      <c r="A667" s="109" t="s">
        <v>6522</v>
      </c>
      <c r="B667" s="110" t="s">
        <v>6523</v>
      </c>
      <c r="C667" s="111" t="s">
        <v>10240</v>
      </c>
      <c r="D667" s="28" t="s">
        <v>10241</v>
      </c>
      <c r="E667" s="28" t="str">
        <f>IFERROR(__xludf.DUMMYFUNCTION("GOOGLETRANSLATE(D667,""zh-CN"",""vi"")"),"Mỗi người đều trở về nhà.")</f>
        <v>Mỗi người đều trở về nhà.</v>
      </c>
      <c r="F667" s="128"/>
      <c r="G667" s="36" t="b">
        <f t="shared" si="1"/>
        <v>0</v>
      </c>
      <c r="H667" s="35" t="b">
        <v>1</v>
      </c>
      <c r="I667" s="35" t="b">
        <v>0</v>
      </c>
      <c r="J667" s="35" t="b">
        <v>0</v>
      </c>
      <c r="K667" s="35" t="b">
        <v>0</v>
      </c>
      <c r="L667" s="35" t="b">
        <v>0</v>
      </c>
      <c r="M667" s="35" t="b">
        <v>0</v>
      </c>
      <c r="N667" s="35" t="b">
        <v>0</v>
      </c>
      <c r="O667" s="35" t="b">
        <v>0</v>
      </c>
      <c r="P667" s="35" t="b">
        <v>0</v>
      </c>
      <c r="Q667" s="35" t="b">
        <v>0</v>
      </c>
      <c r="R667" s="14"/>
      <c r="S667" s="14"/>
      <c r="T667" s="14"/>
      <c r="U667" s="14"/>
      <c r="V667" s="14"/>
      <c r="W667" s="14"/>
    </row>
    <row r="668" ht="31.5" customHeight="1">
      <c r="A668" s="109" t="s">
        <v>10245</v>
      </c>
      <c r="B668" s="110" t="s">
        <v>10247</v>
      </c>
      <c r="C668" s="111" t="s">
        <v>10248</v>
      </c>
      <c r="D668" s="28" t="s">
        <v>10249</v>
      </c>
      <c r="E668" s="28" t="str">
        <f>IFERROR(__xludf.DUMMYFUNCTION("GOOGLETRANSLATE(D668,""zh-CN"",""vi"")"),"Cô ấy đứng trước mặt tôi.")</f>
        <v>Cô ấy đứng trước mặt tôi.</v>
      </c>
      <c r="F668" s="128"/>
      <c r="G668" s="36" t="b">
        <f t="shared" si="1"/>
        <v>0</v>
      </c>
      <c r="H668" s="35" t="b">
        <v>1</v>
      </c>
      <c r="I668" s="35" t="b">
        <v>0</v>
      </c>
      <c r="J668" s="35" t="b">
        <v>0</v>
      </c>
      <c r="K668" s="35" t="b">
        <v>0</v>
      </c>
      <c r="L668" s="35" t="b">
        <v>0</v>
      </c>
      <c r="M668" s="35" t="b">
        <v>0</v>
      </c>
      <c r="N668" s="35" t="b">
        <v>0</v>
      </c>
      <c r="O668" s="35" t="b">
        <v>0</v>
      </c>
      <c r="P668" s="35" t="b">
        <v>0</v>
      </c>
      <c r="Q668" s="35" t="b">
        <v>0</v>
      </c>
      <c r="R668" s="14"/>
      <c r="S668" s="14"/>
      <c r="T668" s="14"/>
      <c r="U668" s="14"/>
      <c r="V668" s="14"/>
      <c r="W668" s="14"/>
    </row>
    <row r="669" ht="31.5" customHeight="1">
      <c r="A669" s="109" t="s">
        <v>10253</v>
      </c>
      <c r="B669" s="110" t="s">
        <v>10254</v>
      </c>
      <c r="C669" s="111" t="s">
        <v>10255</v>
      </c>
      <c r="D669" s="28" t="s">
        <v>10256</v>
      </c>
      <c r="E669" s="28" t="str">
        <f>IFERROR(__xludf.DUMMYFUNCTION("GOOGLETRANSLATE(D669,""zh-CN"",""vi"")"),"Ý tưởng này đã ăn sâu vào tiềm thức.")</f>
        <v>Ý tưởng này đã ăn sâu vào tiềm thức.</v>
      </c>
      <c r="F669" s="128"/>
      <c r="G669" s="36" t="b">
        <f t="shared" si="1"/>
        <v>0</v>
      </c>
      <c r="H669" s="35" t="b">
        <v>1</v>
      </c>
      <c r="I669" s="35" t="b">
        <v>0</v>
      </c>
      <c r="J669" s="35" t="b">
        <v>0</v>
      </c>
      <c r="K669" s="35" t="b">
        <v>0</v>
      </c>
      <c r="L669" s="35" t="b">
        <v>0</v>
      </c>
      <c r="M669" s="35" t="b">
        <v>0</v>
      </c>
      <c r="N669" s="35" t="b">
        <v>0</v>
      </c>
      <c r="O669" s="35" t="b">
        <v>0</v>
      </c>
      <c r="P669" s="35" t="b">
        <v>0</v>
      </c>
      <c r="Q669" s="35" t="b">
        <v>0</v>
      </c>
      <c r="R669" s="14"/>
      <c r="S669" s="14"/>
      <c r="T669" s="14"/>
      <c r="U669" s="14"/>
      <c r="V669" s="14"/>
      <c r="W669" s="14"/>
    </row>
    <row r="670" ht="31.5" customHeight="1">
      <c r="A670" s="109" t="s">
        <v>10261</v>
      </c>
      <c r="B670" s="110" t="s">
        <v>10262</v>
      </c>
      <c r="C670" s="111" t="s">
        <v>10263</v>
      </c>
      <c r="D670" s="28" t="s">
        <v>10264</v>
      </c>
      <c r="E670" s="28" t="str">
        <f>IFERROR(__xludf.DUMMYFUNCTION("GOOGLETRANSLATE(D670,""zh-CN"",""vi"")"),"Các em nhỏ đi theo cô giáo của mình.")</f>
        <v>Các em nhỏ đi theo cô giáo của mình.</v>
      </c>
      <c r="F670" s="128"/>
      <c r="G670" s="36" t="b">
        <f t="shared" si="1"/>
        <v>0</v>
      </c>
      <c r="H670" s="35" t="b">
        <v>1</v>
      </c>
      <c r="I670" s="35" t="b">
        <v>0</v>
      </c>
      <c r="J670" s="35" t="b">
        <v>0</v>
      </c>
      <c r="K670" s="35" t="b">
        <v>0</v>
      </c>
      <c r="L670" s="35" t="b">
        <v>0</v>
      </c>
      <c r="M670" s="35" t="b">
        <v>0</v>
      </c>
      <c r="N670" s="35" t="b">
        <v>0</v>
      </c>
      <c r="O670" s="35" t="b">
        <v>0</v>
      </c>
      <c r="P670" s="35" t="b">
        <v>0</v>
      </c>
      <c r="Q670" s="35" t="b">
        <v>0</v>
      </c>
      <c r="R670" s="14"/>
      <c r="S670" s="14"/>
      <c r="T670" s="14"/>
      <c r="U670" s="14"/>
      <c r="V670" s="14"/>
      <c r="W670" s="14"/>
    </row>
    <row r="671" ht="31.5" customHeight="1">
      <c r="A671" s="109" t="s">
        <v>10269</v>
      </c>
      <c r="B671" s="110" t="s">
        <v>10270</v>
      </c>
      <c r="C671" s="111" t="s">
        <v>10271</v>
      </c>
      <c r="D671" s="28" t="s">
        <v>10272</v>
      </c>
      <c r="E671" s="28" t="str">
        <f>IFERROR(__xludf.DUMMYFUNCTION("GOOGLETRANSLATE(D671,""zh-CN"",""vi"")"),"Nguồn gốc của vấn đề này rất phức tạp.")</f>
        <v>Nguồn gốc của vấn đề này rất phức tạp.</v>
      </c>
      <c r="F671" s="128"/>
      <c r="G671" s="36" t="b">
        <f t="shared" si="1"/>
        <v>0</v>
      </c>
      <c r="H671" s="35" t="b">
        <v>1</v>
      </c>
      <c r="I671" s="35" t="b">
        <v>0</v>
      </c>
      <c r="J671" s="35" t="b">
        <v>0</v>
      </c>
      <c r="K671" s="35" t="b">
        <v>0</v>
      </c>
      <c r="L671" s="35" t="b">
        <v>0</v>
      </c>
      <c r="M671" s="35" t="b">
        <v>0</v>
      </c>
      <c r="N671" s="35" t="b">
        <v>0</v>
      </c>
      <c r="O671" s="35" t="b">
        <v>0</v>
      </c>
      <c r="P671" s="35" t="b">
        <v>0</v>
      </c>
      <c r="Q671" s="35" t="b">
        <v>0</v>
      </c>
      <c r="R671" s="14"/>
      <c r="S671" s="14"/>
      <c r="T671" s="14"/>
      <c r="U671" s="14"/>
      <c r="V671" s="14"/>
      <c r="W671" s="14"/>
    </row>
    <row r="672" ht="31.5" customHeight="1">
      <c r="A672" s="109" t="s">
        <v>10277</v>
      </c>
      <c r="B672" s="110" t="s">
        <v>10278</v>
      </c>
      <c r="C672" s="111" t="s">
        <v>10279</v>
      </c>
      <c r="D672" s="28" t="s">
        <v>10280</v>
      </c>
      <c r="E672" s="28" t="str">
        <f>IFERROR(__xludf.DUMMYFUNCTION("GOOGLETRANSLATE(D672,""zh-CN"",""vi"")"),"Chúng tôi đang tiếp tục theo dõi cuộc điều tra.")</f>
        <v>Chúng tôi đang tiếp tục theo dõi cuộc điều tra.</v>
      </c>
      <c r="F672" s="128"/>
      <c r="G672" s="36" t="b">
        <f t="shared" si="1"/>
        <v>0</v>
      </c>
      <c r="H672" s="35" t="b">
        <v>1</v>
      </c>
      <c r="I672" s="35" t="b">
        <v>0</v>
      </c>
      <c r="J672" s="35" t="b">
        <v>0</v>
      </c>
      <c r="K672" s="35" t="b">
        <v>0</v>
      </c>
      <c r="L672" s="35" t="b">
        <v>0</v>
      </c>
      <c r="M672" s="35" t="b">
        <v>0</v>
      </c>
      <c r="N672" s="35" t="b">
        <v>0</v>
      </c>
      <c r="O672" s="35" t="b">
        <v>0</v>
      </c>
      <c r="P672" s="35" t="b">
        <v>0</v>
      </c>
      <c r="Q672" s="35" t="b">
        <v>0</v>
      </c>
      <c r="R672" s="14"/>
      <c r="S672" s="14"/>
      <c r="T672" s="14"/>
      <c r="U672" s="14"/>
      <c r="V672" s="14"/>
      <c r="W672" s="14"/>
    </row>
    <row r="673" ht="31.5" customHeight="1">
      <c r="A673" s="109" t="s">
        <v>10285</v>
      </c>
      <c r="B673" s="110" t="s">
        <v>10286</v>
      </c>
      <c r="C673" s="111" t="s">
        <v>10287</v>
      </c>
      <c r="D673" s="28" t="s">
        <v>10288</v>
      </c>
      <c r="E673" s="28" t="str">
        <f>IFERROR(__xludf.DUMMYFUNCTION("GOOGLETRANSLATE(D673,""zh-CN"",""vi"")"),"Nông dân đang cày ruộng.")</f>
        <v>Nông dân đang cày ruộng.</v>
      </c>
      <c r="F673" s="128"/>
      <c r="G673" s="36" t="b">
        <f t="shared" si="1"/>
        <v>0</v>
      </c>
      <c r="H673" s="35" t="b">
        <v>1</v>
      </c>
      <c r="I673" s="35" t="b">
        <v>0</v>
      </c>
      <c r="J673" s="35" t="b">
        <v>0</v>
      </c>
      <c r="K673" s="35" t="b">
        <v>0</v>
      </c>
      <c r="L673" s="35" t="b">
        <v>0</v>
      </c>
      <c r="M673" s="35" t="b">
        <v>0</v>
      </c>
      <c r="N673" s="35" t="b">
        <v>0</v>
      </c>
      <c r="O673" s="35" t="b">
        <v>0</v>
      </c>
      <c r="P673" s="35" t="b">
        <v>0</v>
      </c>
      <c r="Q673" s="35" t="b">
        <v>0</v>
      </c>
      <c r="R673" s="14"/>
      <c r="S673" s="14"/>
      <c r="T673" s="14"/>
      <c r="U673" s="14"/>
      <c r="V673" s="14"/>
      <c r="W673" s="14"/>
    </row>
    <row r="674" ht="31.5" customHeight="1">
      <c r="A674" s="109" t="s">
        <v>10293</v>
      </c>
      <c r="B674" s="110" t="s">
        <v>10294</v>
      </c>
      <c r="C674" s="111" t="s">
        <v>10295</v>
      </c>
      <c r="D674" s="28" t="s">
        <v>10296</v>
      </c>
      <c r="E674" s="28" t="str">
        <f>IFERROR(__xludf.DUMMYFUNCTION("GOOGLETRANSLATE(D674,""zh-CN"",""vi"")"),"Họ quyết định nâng cấp thiết bị của mình.")</f>
        <v>Họ quyết định nâng cấp thiết bị của mình.</v>
      </c>
      <c r="F674" s="128"/>
      <c r="G674" s="36" t="b">
        <f t="shared" si="1"/>
        <v>0</v>
      </c>
      <c r="H674" s="35" t="b">
        <v>1</v>
      </c>
      <c r="I674" s="35" t="b">
        <v>0</v>
      </c>
      <c r="J674" s="35" t="b">
        <v>0</v>
      </c>
      <c r="K674" s="35" t="b">
        <v>0</v>
      </c>
      <c r="L674" s="35" t="b">
        <v>0</v>
      </c>
      <c r="M674" s="35" t="b">
        <v>0</v>
      </c>
      <c r="N674" s="35" t="b">
        <v>0</v>
      </c>
      <c r="O674" s="35" t="b">
        <v>0</v>
      </c>
      <c r="P674" s="35" t="b">
        <v>0</v>
      </c>
      <c r="Q674" s="35" t="b">
        <v>0</v>
      </c>
      <c r="R674" s="14"/>
      <c r="S674" s="14"/>
      <c r="T674" s="14"/>
      <c r="U674" s="14"/>
      <c r="V674" s="14"/>
      <c r="W674" s="14"/>
    </row>
    <row r="675" ht="31.5" customHeight="1">
      <c r="A675" s="109" t="s">
        <v>10300</v>
      </c>
      <c r="B675" s="110" t="s">
        <v>10301</v>
      </c>
      <c r="C675" s="111" t="s">
        <v>10302</v>
      </c>
      <c r="D675" s="28" t="s">
        <v>10303</v>
      </c>
      <c r="E675" s="28" t="str">
        <f>IFERROR(__xludf.DUMMYFUNCTION("GOOGLETRANSLATE(D675,""zh-CN"",""vi"")"),"Vui lòng sửa lỗi này.")</f>
        <v>Vui lòng sửa lỗi này.</v>
      </c>
      <c r="F675" s="128"/>
      <c r="G675" s="36" t="b">
        <f t="shared" si="1"/>
        <v>0</v>
      </c>
      <c r="H675" s="35" t="b">
        <v>1</v>
      </c>
      <c r="I675" s="35" t="b">
        <v>0</v>
      </c>
      <c r="J675" s="35" t="b">
        <v>0</v>
      </c>
      <c r="K675" s="35" t="b">
        <v>0</v>
      </c>
      <c r="L675" s="35" t="b">
        <v>0</v>
      </c>
      <c r="M675" s="35" t="b">
        <v>0</v>
      </c>
      <c r="N675" s="35" t="b">
        <v>0</v>
      </c>
      <c r="O675" s="35" t="b">
        <v>0</v>
      </c>
      <c r="P675" s="35" t="b">
        <v>0</v>
      </c>
      <c r="Q675" s="35" t="b">
        <v>0</v>
      </c>
      <c r="R675" s="14"/>
      <c r="S675" s="14"/>
      <c r="T675" s="14"/>
      <c r="U675" s="14"/>
      <c r="V675" s="14"/>
      <c r="W675" s="14"/>
    </row>
    <row r="676" ht="31.5" customHeight="1">
      <c r="A676" s="109" t="s">
        <v>10307</v>
      </c>
      <c r="B676" s="110" t="s">
        <v>10308</v>
      </c>
      <c r="C676" s="111" t="s">
        <v>10309</v>
      </c>
      <c r="D676" s="28" t="s">
        <v>10310</v>
      </c>
      <c r="E676" s="28" t="str">
        <f>IFERROR(__xludf.DUMMYFUNCTION("GOOGLETRANSLATE(D676,""zh-CN"",""vi"")"),"Chúng ta cần đến Cục Công an để hoàn tất các thủ tục.")</f>
        <v>Chúng ta cần đến Cục Công an để hoàn tất các thủ tục.</v>
      </c>
      <c r="F676" s="128"/>
      <c r="G676" s="36" t="b">
        <f t="shared" si="1"/>
        <v>0</v>
      </c>
      <c r="H676" s="35" t="b">
        <v>1</v>
      </c>
      <c r="I676" s="35" t="b">
        <v>0</v>
      </c>
      <c r="J676" s="35" t="b">
        <v>0</v>
      </c>
      <c r="K676" s="35" t="b">
        <v>0</v>
      </c>
      <c r="L676" s="35" t="b">
        <v>0</v>
      </c>
      <c r="M676" s="35" t="b">
        <v>0</v>
      </c>
      <c r="N676" s="35" t="b">
        <v>0</v>
      </c>
      <c r="O676" s="35" t="b">
        <v>0</v>
      </c>
      <c r="P676" s="35" t="b">
        <v>0</v>
      </c>
      <c r="Q676" s="35" t="b">
        <v>0</v>
      </c>
      <c r="R676" s="14"/>
      <c r="S676" s="14"/>
      <c r="T676" s="14"/>
      <c r="U676" s="14"/>
      <c r="V676" s="14"/>
      <c r="W676" s="14"/>
    </row>
    <row r="677" ht="31.5" customHeight="1">
      <c r="A677" s="109" t="s">
        <v>10315</v>
      </c>
      <c r="B677" s="110" t="s">
        <v>10316</v>
      </c>
      <c r="C677" s="111" t="s">
        <v>10317</v>
      </c>
      <c r="D677" s="28" t="s">
        <v>10318</v>
      </c>
      <c r="E677" s="28" t="str">
        <f>IFERROR(__xludf.DUMMYFUNCTION("GOOGLETRANSLATE(D677,""zh-CN"",""vi"")"),"Sản phẩm này đang khan hiếm.")</f>
        <v>Sản phẩm này đang khan hiếm.</v>
      </c>
      <c r="F677" s="128"/>
      <c r="G677" s="36" t="b">
        <f t="shared" si="1"/>
        <v>0</v>
      </c>
      <c r="H677" s="35" t="b">
        <v>1</v>
      </c>
      <c r="I677" s="35" t="b">
        <v>0</v>
      </c>
      <c r="J677" s="35" t="b">
        <v>0</v>
      </c>
      <c r="K677" s="35" t="b">
        <v>0</v>
      </c>
      <c r="L677" s="35" t="b">
        <v>0</v>
      </c>
      <c r="M677" s="35" t="b">
        <v>0</v>
      </c>
      <c r="N677" s="35" t="b">
        <v>0</v>
      </c>
      <c r="O677" s="35" t="b">
        <v>0</v>
      </c>
      <c r="P677" s="35" t="b">
        <v>0</v>
      </c>
      <c r="Q677" s="35" t="b">
        <v>0</v>
      </c>
      <c r="R677" s="14"/>
      <c r="S677" s="14"/>
      <c r="T677" s="14"/>
      <c r="U677" s="14"/>
      <c r="V677" s="14"/>
      <c r="W677" s="14"/>
    </row>
    <row r="678" ht="31.5" customHeight="1">
      <c r="A678" s="109" t="s">
        <v>10323</v>
      </c>
      <c r="B678" s="110" t="s">
        <v>10324</v>
      </c>
      <c r="C678" s="111" t="s">
        <v>10325</v>
      </c>
      <c r="D678" s="28" t="s">
        <v>10326</v>
      </c>
      <c r="E678" s="28" t="str">
        <f>IFERROR(__xludf.DUMMYFUNCTION("GOOGLETRANSLATE(D678,""zh-CN"",""vi"")"),"Đề xuất này là hợp lý.")</f>
        <v>Đề xuất này là hợp lý.</v>
      </c>
      <c r="F678" s="128"/>
      <c r="G678" s="36" t="b">
        <f t="shared" si="1"/>
        <v>0</v>
      </c>
      <c r="H678" s="35" t="b">
        <v>1</v>
      </c>
      <c r="I678" s="35" t="b">
        <v>0</v>
      </c>
      <c r="J678" s="35" t="b">
        <v>0</v>
      </c>
      <c r="K678" s="35" t="b">
        <v>0</v>
      </c>
      <c r="L678" s="35" t="b">
        <v>0</v>
      </c>
      <c r="M678" s="35" t="b">
        <v>0</v>
      </c>
      <c r="N678" s="35" t="b">
        <v>0</v>
      </c>
      <c r="O678" s="35" t="b">
        <v>0</v>
      </c>
      <c r="P678" s="35" t="b">
        <v>0</v>
      </c>
      <c r="Q678" s="35" t="b">
        <v>0</v>
      </c>
      <c r="R678" s="14"/>
      <c r="S678" s="14"/>
      <c r="T678" s="14"/>
      <c r="U678" s="14"/>
      <c r="V678" s="14"/>
      <c r="W678" s="14"/>
    </row>
    <row r="679" ht="31.5" customHeight="1">
      <c r="A679" s="109" t="s">
        <v>10329</v>
      </c>
      <c r="B679" s="110" t="s">
        <v>10331</v>
      </c>
      <c r="C679" s="111" t="s">
        <v>10333</v>
      </c>
      <c r="D679" s="28" t="s">
        <v>10334</v>
      </c>
      <c r="E679" s="28" t="str">
        <f>IFERROR(__xludf.DUMMYFUNCTION("GOOGLETRANSLATE(D679,""zh-CN"",""vi"")"),"Cung điện này thật tráng lệ.")</f>
        <v>Cung điện này thật tráng lệ.</v>
      </c>
      <c r="F679" s="128"/>
      <c r="G679" s="36" t="b">
        <f t="shared" si="1"/>
        <v>0</v>
      </c>
      <c r="H679" s="35" t="b">
        <v>1</v>
      </c>
      <c r="I679" s="35" t="b">
        <v>0</v>
      </c>
      <c r="J679" s="35" t="b">
        <v>0</v>
      </c>
      <c r="K679" s="35" t="b">
        <v>0</v>
      </c>
      <c r="L679" s="35" t="b">
        <v>0</v>
      </c>
      <c r="M679" s="35" t="b">
        <v>0</v>
      </c>
      <c r="N679" s="35" t="b">
        <v>0</v>
      </c>
      <c r="O679" s="35" t="b">
        <v>0</v>
      </c>
      <c r="P679" s="35" t="b">
        <v>0</v>
      </c>
      <c r="Q679" s="35" t="b">
        <v>0</v>
      </c>
      <c r="R679" s="14"/>
      <c r="S679" s="14"/>
      <c r="T679" s="14"/>
      <c r="U679" s="14"/>
      <c r="V679" s="14"/>
      <c r="W679" s="14"/>
    </row>
    <row r="680" ht="31.5" customHeight="1">
      <c r="A680" s="109" t="s">
        <v>10335</v>
      </c>
      <c r="B680" s="110" t="s">
        <v>10336</v>
      </c>
      <c r="C680" s="111" t="s">
        <v>10337</v>
      </c>
      <c r="D680" s="28" t="s">
        <v>10340</v>
      </c>
      <c r="E680" s="28" t="str">
        <f>IFERROR(__xludf.DUMMYFUNCTION("GOOGLETRANSLATE(D680,""zh-CN"",""vi"")"),"Anh ấy đã học bơi chỉ trong ba ngày.")</f>
        <v>Anh ấy đã học bơi chỉ trong ba ngày.</v>
      </c>
      <c r="F680" s="128"/>
      <c r="G680" s="36" t="b">
        <f t="shared" si="1"/>
        <v>0</v>
      </c>
      <c r="H680" s="35" t="b">
        <v>1</v>
      </c>
      <c r="I680" s="35" t="b">
        <v>0</v>
      </c>
      <c r="J680" s="35" t="b">
        <v>0</v>
      </c>
      <c r="K680" s="35" t="b">
        <v>0</v>
      </c>
      <c r="L680" s="35" t="b">
        <v>0</v>
      </c>
      <c r="M680" s="35" t="b">
        <v>0</v>
      </c>
      <c r="N680" s="35" t="b">
        <v>0</v>
      </c>
      <c r="O680" s="35" t="b">
        <v>0</v>
      </c>
      <c r="P680" s="35" t="b">
        <v>0</v>
      </c>
      <c r="Q680" s="35" t="b">
        <v>0</v>
      </c>
      <c r="R680" s="14"/>
      <c r="S680" s="14"/>
      <c r="T680" s="14"/>
      <c r="U680" s="14"/>
      <c r="V680" s="14"/>
      <c r="W680" s="14"/>
    </row>
    <row r="681" ht="31.5" customHeight="1">
      <c r="A681" s="109" t="s">
        <v>10343</v>
      </c>
      <c r="B681" s="110" t="s">
        <v>10344</v>
      </c>
      <c r="C681" s="111" t="s">
        <v>4024</v>
      </c>
      <c r="D681" s="28" t="s">
        <v>10345</v>
      </c>
      <c r="E681" s="28" t="str">
        <f>IFERROR(__xludf.DUMMYFUNCTION("GOOGLETRANSLATE(D681,""zh-CN"",""vi"")"),"Họ đã đưa ra một tuyên bố.")</f>
        <v>Họ đã đưa ra một tuyên bố.</v>
      </c>
      <c r="F681" s="128"/>
      <c r="G681" s="36" t="b">
        <f t="shared" si="1"/>
        <v>0</v>
      </c>
      <c r="H681" s="35" t="b">
        <v>1</v>
      </c>
      <c r="I681" s="35" t="b">
        <v>0</v>
      </c>
      <c r="J681" s="35" t="b">
        <v>0</v>
      </c>
      <c r="K681" s="35" t="b">
        <v>0</v>
      </c>
      <c r="L681" s="35" t="b">
        <v>0</v>
      </c>
      <c r="M681" s="35" t="b">
        <v>0</v>
      </c>
      <c r="N681" s="35" t="b">
        <v>0</v>
      </c>
      <c r="O681" s="35" t="b">
        <v>0</v>
      </c>
      <c r="P681" s="35" t="b">
        <v>0</v>
      </c>
      <c r="Q681" s="35" t="b">
        <v>0</v>
      </c>
      <c r="R681" s="14"/>
      <c r="S681" s="14"/>
      <c r="T681" s="14"/>
      <c r="U681" s="14"/>
      <c r="V681" s="14"/>
      <c r="W681" s="14"/>
    </row>
    <row r="682" ht="31.5" customHeight="1">
      <c r="A682" s="109" t="s">
        <v>10350</v>
      </c>
      <c r="B682" s="110" t="s">
        <v>10351</v>
      </c>
      <c r="C682" s="111" t="s">
        <v>10352</v>
      </c>
      <c r="D682" s="28" t="s">
        <v>10353</v>
      </c>
      <c r="E682" s="28" t="str">
        <f>IFERROR(__xludf.DUMMYFUNCTION("GOOGLETRANSLATE(D682,""zh-CN"",""vi"")"),"Bộ phận quan hệ công chúng đang xử lý vấn đề này.")</f>
        <v>Bộ phận quan hệ công chúng đang xử lý vấn đề này.</v>
      </c>
      <c r="F682" s="128"/>
      <c r="G682" s="36" t="b">
        <f t="shared" si="1"/>
        <v>0</v>
      </c>
      <c r="H682" s="35" t="b">
        <v>1</v>
      </c>
      <c r="I682" s="35" t="b">
        <v>0</v>
      </c>
      <c r="J682" s="35" t="b">
        <v>0</v>
      </c>
      <c r="K682" s="35" t="b">
        <v>0</v>
      </c>
      <c r="L682" s="35" t="b">
        <v>0</v>
      </c>
      <c r="M682" s="35" t="b">
        <v>0</v>
      </c>
      <c r="N682" s="35" t="b">
        <v>0</v>
      </c>
      <c r="O682" s="35" t="b">
        <v>0</v>
      </c>
      <c r="P682" s="35" t="b">
        <v>0</v>
      </c>
      <c r="Q682" s="35" t="b">
        <v>0</v>
      </c>
      <c r="R682" s="14"/>
      <c r="S682" s="14"/>
      <c r="T682" s="14"/>
      <c r="U682" s="14"/>
      <c r="V682" s="14"/>
      <c r="W682" s="14"/>
    </row>
    <row r="683" ht="31.5" customHeight="1">
      <c r="A683" s="109" t="s">
        <v>10358</v>
      </c>
      <c r="B683" s="110" t="s">
        <v>10359</v>
      </c>
      <c r="C683" s="111" t="s">
        <v>10360</v>
      </c>
      <c r="D683" s="28" t="s">
        <v>10361</v>
      </c>
      <c r="E683" s="28" t="str">
        <f>IFERROR(__xludf.DUMMYFUNCTION("GOOGLETRANSLATE(D683,""zh-CN"",""vi"")"),"Chúng ta phải tấn công kẻ thù.")</f>
        <v>Chúng ta phải tấn công kẻ thù.</v>
      </c>
      <c r="F683" s="128"/>
      <c r="G683" s="36" t="b">
        <f t="shared" si="1"/>
        <v>0</v>
      </c>
      <c r="H683" s="35" t="b">
        <v>1</v>
      </c>
      <c r="I683" s="35" t="b">
        <v>0</v>
      </c>
      <c r="J683" s="35" t="b">
        <v>0</v>
      </c>
      <c r="K683" s="35" t="b">
        <v>0</v>
      </c>
      <c r="L683" s="35" t="b">
        <v>0</v>
      </c>
      <c r="M683" s="35" t="b">
        <v>0</v>
      </c>
      <c r="N683" s="35" t="b">
        <v>0</v>
      </c>
      <c r="O683" s="35" t="b">
        <v>0</v>
      </c>
      <c r="P683" s="35" t="b">
        <v>0</v>
      </c>
      <c r="Q683" s="35" t="b">
        <v>0</v>
      </c>
      <c r="R683" s="14"/>
      <c r="S683" s="14"/>
      <c r="T683" s="14"/>
      <c r="U683" s="14"/>
      <c r="V683" s="14"/>
      <c r="W683" s="14"/>
    </row>
    <row r="684" ht="31.5" customHeight="1">
      <c r="A684" s="109" t="s">
        <v>10365</v>
      </c>
      <c r="B684" s="110" t="s">
        <v>10366</v>
      </c>
      <c r="C684" s="111" t="s">
        <v>3993</v>
      </c>
      <c r="D684" s="28" t="s">
        <v>10367</v>
      </c>
      <c r="E684" s="28" t="str">
        <f>IFERROR(__xludf.DUMMYFUNCTION("GOOGLETRANSLATE(D684,""zh-CN"",""vi"")"),"Chúng tôi sẽ cung cấp vật liệu đúng thời hạn.")</f>
        <v>Chúng tôi sẽ cung cấp vật liệu đúng thời hạn.</v>
      </c>
      <c r="F684" s="128"/>
      <c r="G684" s="36" t="b">
        <f t="shared" si="1"/>
        <v>0</v>
      </c>
      <c r="H684" s="35" t="b">
        <v>1</v>
      </c>
      <c r="I684" s="35" t="b">
        <v>0</v>
      </c>
      <c r="J684" s="35" t="b">
        <v>0</v>
      </c>
      <c r="K684" s="35" t="b">
        <v>0</v>
      </c>
      <c r="L684" s="35" t="b">
        <v>0</v>
      </c>
      <c r="M684" s="35" t="b">
        <v>0</v>
      </c>
      <c r="N684" s="35" t="b">
        <v>0</v>
      </c>
      <c r="O684" s="35" t="b">
        <v>0</v>
      </c>
      <c r="P684" s="35" t="b">
        <v>0</v>
      </c>
      <c r="Q684" s="35" t="b">
        <v>0</v>
      </c>
      <c r="R684" s="14"/>
      <c r="S684" s="14"/>
      <c r="T684" s="14"/>
      <c r="U684" s="14"/>
      <c r="V684" s="14"/>
      <c r="W684" s="14"/>
    </row>
    <row r="685" ht="31.5" customHeight="1">
      <c r="A685" s="109" t="s">
        <v>10372</v>
      </c>
      <c r="B685" s="110" t="s">
        <v>10373</v>
      </c>
      <c r="C685" s="111" t="s">
        <v>10374</v>
      </c>
      <c r="D685" s="28" t="s">
        <v>10375</v>
      </c>
      <c r="E685" s="28" t="str">
        <f>IFERROR(__xludf.DUMMYFUNCTION("GOOGLETRANSLATE(D685,""zh-CN"",""vi"")"),"Anh ấy rất kính trọng người lớn tuổi.")</f>
        <v>Anh ấy rất kính trọng người lớn tuổi.</v>
      </c>
      <c r="F685" s="128"/>
      <c r="G685" s="36" t="b">
        <f t="shared" si="1"/>
        <v>0</v>
      </c>
      <c r="H685" s="35" t="b">
        <v>1</v>
      </c>
      <c r="I685" s="35" t="b">
        <v>0</v>
      </c>
      <c r="J685" s="35" t="b">
        <v>0</v>
      </c>
      <c r="K685" s="35" t="b">
        <v>0</v>
      </c>
      <c r="L685" s="35" t="b">
        <v>0</v>
      </c>
      <c r="M685" s="35" t="b">
        <v>0</v>
      </c>
      <c r="N685" s="35" t="b">
        <v>0</v>
      </c>
      <c r="O685" s="35" t="b">
        <v>0</v>
      </c>
      <c r="P685" s="35" t="b">
        <v>0</v>
      </c>
      <c r="Q685" s="35" t="b">
        <v>0</v>
      </c>
      <c r="R685" s="14"/>
      <c r="S685" s="14"/>
      <c r="T685" s="14"/>
      <c r="U685" s="14"/>
      <c r="V685" s="14"/>
      <c r="W685" s="14"/>
    </row>
    <row r="686" ht="31.5" customHeight="1">
      <c r="A686" s="109" t="s">
        <v>10380</v>
      </c>
      <c r="B686" s="110" t="s">
        <v>10381</v>
      </c>
      <c r="C686" s="111" t="s">
        <v>10382</v>
      </c>
      <c r="D686" s="28" t="s">
        <v>10383</v>
      </c>
      <c r="E686" s="28" t="str">
        <f>IFERROR(__xludf.DUMMYFUNCTION("GOOGLETRANSLATE(D686,""zh-CN"",""vi"")"),"Tôi có rất nhiều bài tập về nhà mỗi ngày.")</f>
        <v>Tôi có rất nhiều bài tập về nhà mỗi ngày.</v>
      </c>
      <c r="F686" s="128"/>
      <c r="G686" s="36" t="b">
        <f t="shared" si="1"/>
        <v>0</v>
      </c>
      <c r="H686" s="35" t="b">
        <v>1</v>
      </c>
      <c r="I686" s="35" t="b">
        <v>0</v>
      </c>
      <c r="J686" s="35" t="b">
        <v>0</v>
      </c>
      <c r="K686" s="35" t="b">
        <v>0</v>
      </c>
      <c r="L686" s="35" t="b">
        <v>0</v>
      </c>
      <c r="M686" s="35" t="b">
        <v>0</v>
      </c>
      <c r="N686" s="35" t="b">
        <v>0</v>
      </c>
      <c r="O686" s="35" t="b">
        <v>0</v>
      </c>
      <c r="P686" s="35" t="b">
        <v>0</v>
      </c>
      <c r="Q686" s="35" t="b">
        <v>0</v>
      </c>
      <c r="R686" s="14"/>
      <c r="S686" s="14"/>
      <c r="T686" s="14"/>
      <c r="U686" s="14"/>
      <c r="V686" s="14"/>
      <c r="W686" s="14"/>
    </row>
    <row r="687" ht="31.5" customHeight="1">
      <c r="A687" s="109" t="s">
        <v>10384</v>
      </c>
      <c r="B687" s="110" t="s">
        <v>10381</v>
      </c>
      <c r="C687" s="111" t="s">
        <v>10385</v>
      </c>
      <c r="D687" s="28" t="s">
        <v>10386</v>
      </c>
      <c r="E687" s="28" t="str">
        <f>IFERROR(__xludf.DUMMYFUNCTION("GOOGLETRANSLATE(D687,""zh-CN"",""vi"")"),"Chúng tôi đã khắc phục được các khó khăn kỹ thuật.")</f>
        <v>Chúng tôi đã khắc phục được các khó khăn kỹ thuật.</v>
      </c>
      <c r="F687" s="128"/>
      <c r="G687" s="36" t="b">
        <f t="shared" si="1"/>
        <v>0</v>
      </c>
      <c r="H687" s="35" t="b">
        <v>1</v>
      </c>
      <c r="I687" s="35" t="b">
        <v>0</v>
      </c>
      <c r="J687" s="35" t="b">
        <v>0</v>
      </c>
      <c r="K687" s="35" t="b">
        <v>0</v>
      </c>
      <c r="L687" s="35" t="b">
        <v>0</v>
      </c>
      <c r="M687" s="35" t="b">
        <v>0</v>
      </c>
      <c r="N687" s="35" t="b">
        <v>0</v>
      </c>
      <c r="O687" s="35" t="b">
        <v>0</v>
      </c>
      <c r="P687" s="35" t="b">
        <v>0</v>
      </c>
      <c r="Q687" s="35" t="b">
        <v>0</v>
      </c>
      <c r="R687" s="14"/>
      <c r="S687" s="14"/>
      <c r="T687" s="14"/>
      <c r="U687" s="14"/>
      <c r="V687" s="14"/>
      <c r="W687" s="14"/>
    </row>
    <row r="688" ht="31.5" customHeight="1">
      <c r="A688" s="109" t="s">
        <v>10387</v>
      </c>
      <c r="B688" s="110" t="s">
        <v>10388</v>
      </c>
      <c r="C688" s="111" t="s">
        <v>10390</v>
      </c>
      <c r="D688" s="28" t="s">
        <v>10392</v>
      </c>
      <c r="E688" s="28" t="str">
        <f>IFERROR(__xludf.DUMMYFUNCTION("GOOGLETRANSLATE(D688,""zh-CN"",""vi"")"),"Đóng góp của ông ấy rất đáng kể.")</f>
        <v>Đóng góp của ông ấy rất đáng kể.</v>
      </c>
      <c r="F688" s="128"/>
      <c r="G688" s="36" t="b">
        <f t="shared" si="1"/>
        <v>0</v>
      </c>
      <c r="H688" s="35" t="b">
        <v>1</v>
      </c>
      <c r="I688" s="35" t="b">
        <v>0</v>
      </c>
      <c r="J688" s="35" t="b">
        <v>0</v>
      </c>
      <c r="K688" s="35" t="b">
        <v>0</v>
      </c>
      <c r="L688" s="35" t="b">
        <v>0</v>
      </c>
      <c r="M688" s="35" t="b">
        <v>0</v>
      </c>
      <c r="N688" s="35" t="b">
        <v>0</v>
      </c>
      <c r="O688" s="35" t="b">
        <v>0</v>
      </c>
      <c r="P688" s="35" t="b">
        <v>0</v>
      </c>
      <c r="Q688" s="35" t="b">
        <v>0</v>
      </c>
      <c r="R688" s="14"/>
      <c r="S688" s="14"/>
      <c r="T688" s="14"/>
      <c r="U688" s="14"/>
      <c r="V688" s="14"/>
      <c r="W688" s="14"/>
    </row>
    <row r="689" ht="31.5" customHeight="1">
      <c r="A689" s="109" t="s">
        <v>10395</v>
      </c>
      <c r="B689" s="110" t="s">
        <v>10397</v>
      </c>
      <c r="C689" s="111" t="s">
        <v>10399</v>
      </c>
      <c r="D689" s="28" t="s">
        <v>10400</v>
      </c>
      <c r="E689" s="28" t="str">
        <f>IFERROR(__xludf.DUMMYFUNCTION("GOOGLETRANSLATE(D689,""zh-CN"",""vi"")"),"Mỗi công dân đều có trách nhiệm.")</f>
        <v>Mỗi công dân đều có trách nhiệm.</v>
      </c>
      <c r="F689" s="128"/>
      <c r="G689" s="36" t="b">
        <f t="shared" si="1"/>
        <v>0</v>
      </c>
      <c r="H689" s="35" t="b">
        <v>1</v>
      </c>
      <c r="I689" s="35" t="b">
        <v>0</v>
      </c>
      <c r="J689" s="35" t="b">
        <v>0</v>
      </c>
      <c r="K689" s="35" t="b">
        <v>0</v>
      </c>
      <c r="L689" s="35" t="b">
        <v>0</v>
      </c>
      <c r="M689" s="35" t="b">
        <v>0</v>
      </c>
      <c r="N689" s="35" t="b">
        <v>0</v>
      </c>
      <c r="O689" s="35" t="b">
        <v>0</v>
      </c>
      <c r="P689" s="35" t="b">
        <v>0</v>
      </c>
      <c r="Q689" s="35" t="b">
        <v>0</v>
      </c>
      <c r="R689" s="14"/>
      <c r="S689" s="14"/>
      <c r="T689" s="14"/>
      <c r="U689" s="14"/>
      <c r="V689" s="14"/>
      <c r="W689" s="14"/>
    </row>
    <row r="690" ht="31.5" customHeight="1">
      <c r="A690" s="109" t="s">
        <v>10402</v>
      </c>
      <c r="B690" s="110" t="s">
        <v>10403</v>
      </c>
      <c r="C690" s="111" t="s">
        <v>10405</v>
      </c>
      <c r="D690" s="28" t="s">
        <v>10407</v>
      </c>
      <c r="E690" s="28" t="str">
        <f>IFERROR(__xludf.DUMMYFUNCTION("GOOGLETRANSLATE(D690,""zh-CN"",""vi"")"),"Bố mẹ chồng tôi sống cùng tôi.")</f>
        <v>Bố mẹ chồng tôi sống cùng tôi.</v>
      </c>
      <c r="F690" s="128"/>
      <c r="G690" s="36" t="b">
        <f t="shared" si="1"/>
        <v>0</v>
      </c>
      <c r="H690" s="35" t="b">
        <v>1</v>
      </c>
      <c r="I690" s="35" t="b">
        <v>0</v>
      </c>
      <c r="J690" s="35" t="b">
        <v>0</v>
      </c>
      <c r="K690" s="35" t="b">
        <v>0</v>
      </c>
      <c r="L690" s="35" t="b">
        <v>0</v>
      </c>
      <c r="M690" s="35" t="b">
        <v>0</v>
      </c>
      <c r="N690" s="35" t="b">
        <v>0</v>
      </c>
      <c r="O690" s="35" t="b">
        <v>0</v>
      </c>
      <c r="P690" s="35" t="b">
        <v>0</v>
      </c>
      <c r="Q690" s="35" t="b">
        <v>0</v>
      </c>
      <c r="R690" s="14"/>
      <c r="S690" s="14"/>
      <c r="T690" s="14"/>
      <c r="U690" s="14"/>
      <c r="V690" s="14"/>
      <c r="W690" s="14"/>
    </row>
    <row r="691" ht="31.5" customHeight="1">
      <c r="A691" s="109" t="s">
        <v>10411</v>
      </c>
      <c r="B691" s="110" t="s">
        <v>10413</v>
      </c>
      <c r="C691" s="111" t="s">
        <v>6595</v>
      </c>
      <c r="D691" s="28" t="s">
        <v>10416</v>
      </c>
      <c r="E691" s="28" t="str">
        <f>IFERROR(__xludf.DUMMYFUNCTION("GOOGLETRANSLATE(D691,""zh-CN"",""vi"")"),"Anh ta đã ngang nhiên vi phạm các quy tắc.")</f>
        <v>Anh ta đã ngang nhiên vi phạm các quy tắc.</v>
      </c>
      <c r="F691" s="128"/>
      <c r="G691" s="36" t="b">
        <f t="shared" si="1"/>
        <v>0</v>
      </c>
      <c r="H691" s="35" t="b">
        <v>1</v>
      </c>
      <c r="I691" s="35" t="b">
        <v>0</v>
      </c>
      <c r="J691" s="35" t="b">
        <v>0</v>
      </c>
      <c r="K691" s="35" t="b">
        <v>0</v>
      </c>
      <c r="L691" s="35" t="b">
        <v>0</v>
      </c>
      <c r="M691" s="35" t="b">
        <v>0</v>
      </c>
      <c r="N691" s="35" t="b">
        <v>0</v>
      </c>
      <c r="O691" s="35" t="b">
        <v>0</v>
      </c>
      <c r="P691" s="35" t="b">
        <v>0</v>
      </c>
      <c r="Q691" s="35" t="b">
        <v>0</v>
      </c>
      <c r="R691" s="14"/>
      <c r="S691" s="14"/>
      <c r="T691" s="14"/>
      <c r="U691" s="14"/>
      <c r="V691" s="14"/>
      <c r="W691" s="14"/>
    </row>
    <row r="692" ht="31.5" customHeight="1">
      <c r="A692" s="109" t="s">
        <v>10419</v>
      </c>
      <c r="B692" s="110" t="s">
        <v>10422</v>
      </c>
      <c r="C692" s="111" t="s">
        <v>10423</v>
      </c>
      <c r="D692" s="28" t="s">
        <v>10424</v>
      </c>
      <c r="E692" s="28" t="str">
        <f>IFERROR(__xludf.DUMMYFUNCTION("GOOGLETRANSLATE(D692,""zh-CN"",""vi"")"),"Sản phẩm này đã được công nhận rộng rãi.")</f>
        <v>Sản phẩm này đã được công nhận rộng rãi.</v>
      </c>
      <c r="F692" s="128"/>
      <c r="G692" s="36" t="b">
        <f t="shared" si="1"/>
        <v>0</v>
      </c>
      <c r="H692" s="35" t="b">
        <v>1</v>
      </c>
      <c r="I692" s="35" t="b">
        <v>0</v>
      </c>
      <c r="J692" s="35" t="b">
        <v>0</v>
      </c>
      <c r="K692" s="35" t="b">
        <v>0</v>
      </c>
      <c r="L692" s="35" t="b">
        <v>0</v>
      </c>
      <c r="M692" s="35" t="b">
        <v>0</v>
      </c>
      <c r="N692" s="35" t="b">
        <v>0</v>
      </c>
      <c r="O692" s="35" t="b">
        <v>0</v>
      </c>
      <c r="P692" s="35" t="b">
        <v>0</v>
      </c>
      <c r="Q692" s="35" t="b">
        <v>0</v>
      </c>
      <c r="R692" s="14"/>
      <c r="S692" s="14"/>
      <c r="T692" s="14"/>
      <c r="U692" s="14"/>
      <c r="V692" s="14"/>
      <c r="W692" s="14"/>
    </row>
    <row r="693" ht="31.5" customHeight="1">
      <c r="A693" s="109" t="s">
        <v>10429</v>
      </c>
      <c r="B693" s="110" t="s">
        <v>10430</v>
      </c>
      <c r="C693" s="111" t="s">
        <v>10431</v>
      </c>
      <c r="D693" s="28" t="s">
        <v>10432</v>
      </c>
      <c r="E693" s="28" t="str">
        <f>IFERROR(__xludf.DUMMYFUNCTION("GOOGLETRANSLATE(D693,""zh-CN"",""vi"")"),"Các công thức toán học rất quan trọng.")</f>
        <v>Các công thức toán học rất quan trọng.</v>
      </c>
      <c r="F693" s="128"/>
      <c r="G693" s="36" t="b">
        <f t="shared" si="1"/>
        <v>0</v>
      </c>
      <c r="H693" s="35" t="b">
        <v>1</v>
      </c>
      <c r="I693" s="35" t="b">
        <v>0</v>
      </c>
      <c r="J693" s="35" t="b">
        <v>0</v>
      </c>
      <c r="K693" s="35" t="b">
        <v>0</v>
      </c>
      <c r="L693" s="35" t="b">
        <v>0</v>
      </c>
      <c r="M693" s="35" t="b">
        <v>0</v>
      </c>
      <c r="N693" s="35" t="b">
        <v>0</v>
      </c>
      <c r="O693" s="35" t="b">
        <v>0</v>
      </c>
      <c r="P693" s="35" t="b">
        <v>0</v>
      </c>
      <c r="Q693" s="35" t="b">
        <v>0</v>
      </c>
      <c r="R693" s="14"/>
      <c r="S693" s="14"/>
      <c r="T693" s="14"/>
      <c r="U693" s="14"/>
      <c r="V693" s="14"/>
      <c r="W693" s="14"/>
    </row>
    <row r="694" ht="31.5" customHeight="1">
      <c r="A694" s="109" t="s">
        <v>10437</v>
      </c>
      <c r="B694" s="110" t="s">
        <v>10438</v>
      </c>
      <c r="C694" s="111" t="s">
        <v>10439</v>
      </c>
      <c r="D694" s="28" t="s">
        <v>10440</v>
      </c>
      <c r="E694" s="28" t="str">
        <f>IFERROR(__xludf.DUMMYFUNCTION("GOOGLETRANSLATE(D694,""zh-CN"",""vi"")"),"Ông ấy là một công chức.")</f>
        <v>Ông ấy là một công chức.</v>
      </c>
      <c r="F694" s="128"/>
      <c r="G694" s="36" t="b">
        <f t="shared" si="1"/>
        <v>0</v>
      </c>
      <c r="H694" s="35" t="b">
        <v>1</v>
      </c>
      <c r="I694" s="35" t="b">
        <v>0</v>
      </c>
      <c r="J694" s="35" t="b">
        <v>0</v>
      </c>
      <c r="K694" s="35" t="b">
        <v>0</v>
      </c>
      <c r="L694" s="35" t="b">
        <v>0</v>
      </c>
      <c r="M694" s="35" t="b">
        <v>0</v>
      </c>
      <c r="N694" s="35" t="b">
        <v>0</v>
      </c>
      <c r="O694" s="35" t="b">
        <v>0</v>
      </c>
      <c r="P694" s="35" t="b">
        <v>0</v>
      </c>
      <c r="Q694" s="35" t="b">
        <v>0</v>
      </c>
      <c r="R694" s="14"/>
      <c r="S694" s="14"/>
      <c r="T694" s="14"/>
      <c r="U694" s="14"/>
      <c r="V694" s="14"/>
      <c r="W694" s="14"/>
    </row>
    <row r="695" ht="31.5" customHeight="1">
      <c r="A695" s="109" t="s">
        <v>10445</v>
      </c>
      <c r="B695" s="110" t="s">
        <v>10446</v>
      </c>
      <c r="C695" s="111" t="s">
        <v>4166</v>
      </c>
      <c r="D695" s="28" t="s">
        <v>10447</v>
      </c>
      <c r="E695" s="28" t="str">
        <f>IFERROR(__xludf.DUMMYFUNCTION("GOOGLETRANSLATE(D695,""zh-CN"",""vi"")"),"Thuốc này rất hiệu quả.")</f>
        <v>Thuốc này rất hiệu quả.</v>
      </c>
      <c r="F695" s="128"/>
      <c r="G695" s="36" t="b">
        <f t="shared" si="1"/>
        <v>0</v>
      </c>
      <c r="H695" s="35" t="b">
        <v>1</v>
      </c>
      <c r="I695" s="35" t="b">
        <v>0</v>
      </c>
      <c r="J695" s="35" t="b">
        <v>0</v>
      </c>
      <c r="K695" s="35" t="b">
        <v>0</v>
      </c>
      <c r="L695" s="35" t="b">
        <v>0</v>
      </c>
      <c r="M695" s="35" t="b">
        <v>0</v>
      </c>
      <c r="N695" s="35" t="b">
        <v>0</v>
      </c>
      <c r="O695" s="35" t="b">
        <v>0</v>
      </c>
      <c r="P695" s="35" t="b">
        <v>0</v>
      </c>
      <c r="Q695" s="35" t="b">
        <v>0</v>
      </c>
      <c r="R695" s="14"/>
      <c r="S695" s="14"/>
      <c r="T695" s="14"/>
      <c r="U695" s="14"/>
      <c r="V695" s="14"/>
      <c r="W695" s="14"/>
    </row>
    <row r="696" ht="31.5" customHeight="1">
      <c r="A696" s="109" t="s">
        <v>10452</v>
      </c>
      <c r="B696" s="110" t="s">
        <v>10453</v>
      </c>
      <c r="C696" s="111" t="s">
        <v>10454</v>
      </c>
      <c r="D696" s="28" t="s">
        <v>10455</v>
      </c>
      <c r="E696" s="28" t="str">
        <f>IFERROR(__xludf.DUMMYFUNCTION("GOOGLETRANSLATE(D696,""zh-CN"",""vi"")"),"Tôi thích sưu tầm đồ thủ công mỹ nghệ.")</f>
        <v>Tôi thích sưu tầm đồ thủ công mỹ nghệ.</v>
      </c>
      <c r="F696" s="128"/>
      <c r="G696" s="36" t="b">
        <f t="shared" si="1"/>
        <v>0</v>
      </c>
      <c r="H696" s="35" t="b">
        <v>1</v>
      </c>
      <c r="I696" s="35" t="b">
        <v>0</v>
      </c>
      <c r="J696" s="35" t="b">
        <v>0</v>
      </c>
      <c r="K696" s="35" t="b">
        <v>0</v>
      </c>
      <c r="L696" s="35" t="b">
        <v>0</v>
      </c>
      <c r="M696" s="35" t="b">
        <v>0</v>
      </c>
      <c r="N696" s="35" t="b">
        <v>0</v>
      </c>
      <c r="O696" s="35" t="b">
        <v>0</v>
      </c>
      <c r="P696" s="35" t="b">
        <v>0</v>
      </c>
      <c r="Q696" s="35" t="b">
        <v>0</v>
      </c>
      <c r="R696" s="14"/>
      <c r="S696" s="14"/>
      <c r="T696" s="14"/>
      <c r="U696" s="14"/>
      <c r="V696" s="14"/>
      <c r="W696" s="14"/>
    </row>
    <row r="697" ht="31.5" customHeight="1">
      <c r="A697" s="109" t="s">
        <v>10459</v>
      </c>
      <c r="B697" s="110" t="s">
        <v>10460</v>
      </c>
      <c r="C697" s="111" t="s">
        <v>10461</v>
      </c>
      <c r="D697" s="28" t="s">
        <v>10462</v>
      </c>
      <c r="E697" s="28" t="str">
        <f>IFERROR(__xludf.DUMMYFUNCTION("GOOGLETRANSLATE(D697,""zh-CN"",""vi"")"),"Ông ấy là một người công bằng.")</f>
        <v>Ông ấy là một người công bằng.</v>
      </c>
      <c r="F697" s="128"/>
      <c r="G697" s="36" t="b">
        <f t="shared" si="1"/>
        <v>0</v>
      </c>
      <c r="H697" s="35" t="b">
        <v>1</v>
      </c>
      <c r="I697" s="35" t="b">
        <v>0</v>
      </c>
      <c r="J697" s="35" t="b">
        <v>0</v>
      </c>
      <c r="K697" s="35" t="b">
        <v>0</v>
      </c>
      <c r="L697" s="35" t="b">
        <v>0</v>
      </c>
      <c r="M697" s="35" t="b">
        <v>0</v>
      </c>
      <c r="N697" s="35" t="b">
        <v>0</v>
      </c>
      <c r="O697" s="35" t="b">
        <v>0</v>
      </c>
      <c r="P697" s="35" t="b">
        <v>0</v>
      </c>
      <c r="Q697" s="35" t="b">
        <v>0</v>
      </c>
      <c r="R697" s="14"/>
      <c r="S697" s="14"/>
      <c r="T697" s="14"/>
      <c r="U697" s="14"/>
      <c r="V697" s="14"/>
      <c r="W697" s="14"/>
    </row>
    <row r="698" ht="31.5" customHeight="1">
      <c r="A698" s="109" t="s">
        <v>10467</v>
      </c>
      <c r="B698" s="110" t="s">
        <v>10460</v>
      </c>
      <c r="C698" s="111" t="s">
        <v>10468</v>
      </c>
      <c r="D698" s="28" t="s">
        <v>10469</v>
      </c>
      <c r="E698" s="28" t="str">
        <f>IFERROR(__xludf.DUMMYFUNCTION("GOOGLETRANSLATE(D698,""zh-CN"",""vi"")"),"Chúng ta cần đến văn phòng công chứng.")</f>
        <v>Chúng ta cần đến văn phòng công chứng.</v>
      </c>
      <c r="F698" s="128"/>
      <c r="G698" s="36" t="b">
        <f t="shared" si="1"/>
        <v>0</v>
      </c>
      <c r="H698" s="35" t="b">
        <v>1</v>
      </c>
      <c r="I698" s="35" t="b">
        <v>0</v>
      </c>
      <c r="J698" s="35" t="b">
        <v>0</v>
      </c>
      <c r="K698" s="35" t="b">
        <v>0</v>
      </c>
      <c r="L698" s="35" t="b">
        <v>0</v>
      </c>
      <c r="M698" s="35" t="b">
        <v>0</v>
      </c>
      <c r="N698" s="35" t="b">
        <v>0</v>
      </c>
      <c r="O698" s="35" t="b">
        <v>0</v>
      </c>
      <c r="P698" s="35" t="b">
        <v>0</v>
      </c>
      <c r="Q698" s="35" t="b">
        <v>0</v>
      </c>
      <c r="R698" s="14"/>
      <c r="S698" s="14"/>
      <c r="T698" s="14"/>
      <c r="U698" s="14"/>
      <c r="V698" s="14"/>
      <c r="W698" s="14"/>
    </row>
    <row r="699" ht="31.5" customHeight="1">
      <c r="A699" s="109" t="s">
        <v>10473</v>
      </c>
      <c r="B699" s="110" t="s">
        <v>10474</v>
      </c>
      <c r="C699" s="111" t="s">
        <v>10475</v>
      </c>
      <c r="D699" s="28" t="s">
        <v>10476</v>
      </c>
      <c r="E699" s="28" t="str">
        <f>IFERROR(__xludf.DUMMYFUNCTION("GOOGLETRANSLATE(D699,""zh-CN"",""vi"")"),"Chúng ta phải củng cố những thành tựu đã đạt được.")</f>
        <v>Chúng ta phải củng cố những thành tựu đã đạt được.</v>
      </c>
      <c r="F699" s="128"/>
      <c r="G699" s="36" t="b">
        <f t="shared" si="1"/>
        <v>0</v>
      </c>
      <c r="H699" s="35" t="b">
        <v>1</v>
      </c>
      <c r="I699" s="35" t="b">
        <v>0</v>
      </c>
      <c r="J699" s="35" t="b">
        <v>0</v>
      </c>
      <c r="K699" s="35" t="b">
        <v>0</v>
      </c>
      <c r="L699" s="35" t="b">
        <v>0</v>
      </c>
      <c r="M699" s="35" t="b">
        <v>0</v>
      </c>
      <c r="N699" s="35" t="b">
        <v>0</v>
      </c>
      <c r="O699" s="35" t="b">
        <v>0</v>
      </c>
      <c r="P699" s="35" t="b">
        <v>0</v>
      </c>
      <c r="Q699" s="35" t="b">
        <v>0</v>
      </c>
      <c r="R699" s="14"/>
      <c r="S699" s="14"/>
      <c r="T699" s="14"/>
      <c r="U699" s="14"/>
      <c r="V699" s="14"/>
      <c r="W699" s="14"/>
    </row>
    <row r="700" ht="31.5" customHeight="1">
      <c r="A700" s="109" t="s">
        <v>10481</v>
      </c>
      <c r="B700" s="110" t="s">
        <v>10482</v>
      </c>
      <c r="C700" s="111" t="s">
        <v>10483</v>
      </c>
      <c r="D700" s="28" t="s">
        <v>10484</v>
      </c>
      <c r="E700" s="28" t="str">
        <f>IFERROR(__xludf.DUMMYFUNCTION("GOOGLETRANSLATE(D700,""zh-CN"",""vi"")"),"Trung Quốc là Cộng hòa Nhân dân Trung Hoa.")</f>
        <v>Trung Quốc là Cộng hòa Nhân dân Trung Hoa.</v>
      </c>
      <c r="F700" s="128"/>
      <c r="G700" s="36" t="b">
        <f t="shared" si="1"/>
        <v>0</v>
      </c>
      <c r="H700" s="35" t="b">
        <v>1</v>
      </c>
      <c r="I700" s="35" t="b">
        <v>0</v>
      </c>
      <c r="J700" s="35" t="b">
        <v>0</v>
      </c>
      <c r="K700" s="35" t="b">
        <v>0</v>
      </c>
      <c r="L700" s="35" t="b">
        <v>0</v>
      </c>
      <c r="M700" s="35" t="b">
        <v>0</v>
      </c>
      <c r="N700" s="35" t="b">
        <v>0</v>
      </c>
      <c r="O700" s="35" t="b">
        <v>0</v>
      </c>
      <c r="P700" s="35" t="b">
        <v>0</v>
      </c>
      <c r="Q700" s="35" t="b">
        <v>0</v>
      </c>
      <c r="R700" s="14"/>
      <c r="S700" s="14"/>
      <c r="T700" s="14"/>
      <c r="U700" s="14"/>
      <c r="V700" s="14"/>
      <c r="W700" s="14"/>
    </row>
    <row r="701" ht="31.5" customHeight="1">
      <c r="A701" s="109" t="s">
        <v>10489</v>
      </c>
      <c r="B701" s="110" t="s">
        <v>10490</v>
      </c>
      <c r="C701" s="111" t="s">
        <v>3238</v>
      </c>
      <c r="D701" s="28" t="s">
        <v>10491</v>
      </c>
      <c r="E701" s="28" t="str">
        <f>IFERROR(__xludf.DUMMYFUNCTION("GOOGLETRANSLATE(D701,""zh-CN"",""vi"")"),"Chuyến đi của chúng tôi tốn tổng cộng năm nghìn nhân dân tệ.")</f>
        <v>Chuyến đi của chúng tôi tốn tổng cộng năm nghìn nhân dân tệ.</v>
      </c>
      <c r="F701" s="128"/>
      <c r="G701" s="36" t="b">
        <f t="shared" si="1"/>
        <v>0</v>
      </c>
      <c r="H701" s="35" t="b">
        <v>1</v>
      </c>
      <c r="I701" s="35" t="b">
        <v>0</v>
      </c>
      <c r="J701" s="35" t="b">
        <v>0</v>
      </c>
      <c r="K701" s="35" t="b">
        <v>0</v>
      </c>
      <c r="L701" s="35" t="b">
        <v>0</v>
      </c>
      <c r="M701" s="35" t="b">
        <v>0</v>
      </c>
      <c r="N701" s="35" t="b">
        <v>0</v>
      </c>
      <c r="O701" s="35" t="b">
        <v>0</v>
      </c>
      <c r="P701" s="35" t="b">
        <v>0</v>
      </c>
      <c r="Q701" s="35" t="b">
        <v>0</v>
      </c>
      <c r="R701" s="14"/>
      <c r="S701" s="14"/>
      <c r="T701" s="14"/>
      <c r="U701" s="14"/>
      <c r="V701" s="14"/>
      <c r="W701" s="14"/>
    </row>
    <row r="702" ht="31.5" customHeight="1">
      <c r="A702" s="109" t="s">
        <v>10496</v>
      </c>
      <c r="B702" s="110" t="s">
        <v>10497</v>
      </c>
      <c r="C702" s="111" t="s">
        <v>10498</v>
      </c>
      <c r="D702" s="28" t="s">
        <v>10499</v>
      </c>
      <c r="E702" s="28" t="str">
        <f>IFERROR(__xludf.DUMMYFUNCTION("GOOGLETRANSLATE(D702,""zh-CN"",""vi"")"),"Bài hát này đã gây được tiếng vang với rất nhiều người.")</f>
        <v>Bài hát này đã gây được tiếng vang với rất nhiều người.</v>
      </c>
      <c r="F702" s="128"/>
      <c r="G702" s="36" t="b">
        <f t="shared" si="1"/>
        <v>0</v>
      </c>
      <c r="H702" s="35" t="b">
        <v>1</v>
      </c>
      <c r="I702" s="35" t="b">
        <v>0</v>
      </c>
      <c r="J702" s="35" t="b">
        <v>0</v>
      </c>
      <c r="K702" s="35" t="b">
        <v>0</v>
      </c>
      <c r="L702" s="35" t="b">
        <v>0</v>
      </c>
      <c r="M702" s="35" t="b">
        <v>0</v>
      </c>
      <c r="N702" s="35" t="b">
        <v>0</v>
      </c>
      <c r="O702" s="35" t="b">
        <v>0</v>
      </c>
      <c r="P702" s="35" t="b">
        <v>0</v>
      </c>
      <c r="Q702" s="35" t="b">
        <v>0</v>
      </c>
      <c r="R702" s="14"/>
      <c r="S702" s="14"/>
      <c r="T702" s="14"/>
      <c r="U702" s="14"/>
      <c r="V702" s="14"/>
      <c r="W702" s="14"/>
    </row>
    <row r="703" ht="31.5" customHeight="1">
      <c r="A703" s="109" t="s">
        <v>10504</v>
      </c>
      <c r="B703" s="110" t="s">
        <v>10505</v>
      </c>
      <c r="C703" s="111" t="s">
        <v>10506</v>
      </c>
      <c r="D703" s="28" t="s">
        <v>10507</v>
      </c>
      <c r="E703" s="28" t="str">
        <f>IFERROR(__xludf.DUMMYFUNCTION("GOOGLETRANSLATE(D703,""zh-CN"",""vi"")"),"Họ bị phát hiện thông đồng với kẻ thù.")</f>
        <v>Họ bị phát hiện thông đồng với kẻ thù.</v>
      </c>
      <c r="F703" s="128"/>
      <c r="G703" s="36" t="b">
        <f t="shared" si="1"/>
        <v>0</v>
      </c>
      <c r="H703" s="35" t="b">
        <v>1</v>
      </c>
      <c r="I703" s="35" t="b">
        <v>0</v>
      </c>
      <c r="J703" s="35" t="b">
        <v>0</v>
      </c>
      <c r="K703" s="35" t="b">
        <v>0</v>
      </c>
      <c r="L703" s="35" t="b">
        <v>0</v>
      </c>
      <c r="M703" s="35" t="b">
        <v>0</v>
      </c>
      <c r="N703" s="35" t="b">
        <v>0</v>
      </c>
      <c r="O703" s="35" t="b">
        <v>0</v>
      </c>
      <c r="P703" s="35" t="b">
        <v>0</v>
      </c>
      <c r="Q703" s="35" t="b">
        <v>0</v>
      </c>
      <c r="R703" s="14"/>
      <c r="S703" s="14"/>
      <c r="T703" s="14"/>
      <c r="U703" s="14"/>
      <c r="V703" s="14"/>
      <c r="W703" s="14"/>
    </row>
    <row r="704" ht="31.5" customHeight="1">
      <c r="A704" s="109" t="s">
        <v>10512</v>
      </c>
      <c r="B704" s="110" t="s">
        <v>10513</v>
      </c>
      <c r="C704" s="111" t="s">
        <v>10514</v>
      </c>
      <c r="D704" s="28" t="s">
        <v>10515</v>
      </c>
      <c r="E704" s="28" t="str">
        <f>IFERROR(__xludf.DUMMYFUNCTION("GOOGLETRANSLATE(D704,""zh-CN"",""vi"")"),"Anh ta dùng một cái móc để mở khóa cửa.")</f>
        <v>Anh ta dùng một cái móc để mở khóa cửa.</v>
      </c>
      <c r="F704" s="128"/>
      <c r="G704" s="36" t="b">
        <f t="shared" si="1"/>
        <v>0</v>
      </c>
      <c r="H704" s="35" t="b">
        <v>1</v>
      </c>
      <c r="I704" s="35" t="b">
        <v>0</v>
      </c>
      <c r="J704" s="35" t="b">
        <v>0</v>
      </c>
      <c r="K704" s="35" t="b">
        <v>0</v>
      </c>
      <c r="L704" s="35" t="b">
        <v>0</v>
      </c>
      <c r="M704" s="35" t="b">
        <v>0</v>
      </c>
      <c r="N704" s="35" t="b">
        <v>0</v>
      </c>
      <c r="O704" s="35" t="b">
        <v>0</v>
      </c>
      <c r="P704" s="35" t="b">
        <v>0</v>
      </c>
      <c r="Q704" s="35" t="b">
        <v>0</v>
      </c>
      <c r="R704" s="14"/>
      <c r="S704" s="14"/>
      <c r="T704" s="14"/>
      <c r="U704" s="14"/>
      <c r="V704" s="14"/>
      <c r="W704" s="14"/>
    </row>
    <row r="705" ht="31.5" customHeight="1">
      <c r="A705" s="109" t="s">
        <v>10520</v>
      </c>
      <c r="B705" s="110" t="s">
        <v>10521</v>
      </c>
      <c r="C705" s="111" t="s">
        <v>10522</v>
      </c>
      <c r="D705" s="28" t="s">
        <v>10523</v>
      </c>
      <c r="E705" s="28" t="str">
        <f>IFERROR(__xludf.DUMMYFUNCTION("GOOGLETRANSLATE(D705,""zh-CN"",""vi"")"),"Anh ấy đang viết một cuốn tiểu thuyết mới.")</f>
        <v>Anh ấy đang viết một cuốn tiểu thuyết mới.</v>
      </c>
      <c r="F705" s="128"/>
      <c r="G705" s="36" t="b">
        <f t="shared" si="1"/>
        <v>0</v>
      </c>
      <c r="H705" s="35" t="b">
        <v>1</v>
      </c>
      <c r="I705" s="35" t="b">
        <v>0</v>
      </c>
      <c r="J705" s="35" t="b">
        <v>0</v>
      </c>
      <c r="K705" s="35" t="b">
        <v>0</v>
      </c>
      <c r="L705" s="35" t="b">
        <v>0</v>
      </c>
      <c r="M705" s="35" t="b">
        <v>0</v>
      </c>
      <c r="N705" s="35" t="b">
        <v>0</v>
      </c>
      <c r="O705" s="35" t="b">
        <v>0</v>
      </c>
      <c r="P705" s="35" t="b">
        <v>0</v>
      </c>
      <c r="Q705" s="35" t="b">
        <v>0</v>
      </c>
      <c r="R705" s="14"/>
      <c r="S705" s="14"/>
      <c r="T705" s="14"/>
      <c r="U705" s="14"/>
      <c r="V705" s="14"/>
      <c r="W705" s="14"/>
    </row>
    <row r="706" ht="31.5" customHeight="1">
      <c r="A706" s="109" t="s">
        <v>10528</v>
      </c>
      <c r="B706" s="110" t="s">
        <v>10529</v>
      </c>
      <c r="C706" s="111" t="s">
        <v>10530</v>
      </c>
      <c r="D706" s="28" t="s">
        <v>10531</v>
      </c>
      <c r="E706" s="28" t="str">
        <f>IFERROR(__xludf.DUMMYFUNCTION("GOOGLETRANSLATE(D706,""zh-CN"",""vi"")"),"Cô ấy cảm thấy rất cô đơn.")</f>
        <v>Cô ấy cảm thấy rất cô đơn.</v>
      </c>
      <c r="F706" s="128"/>
      <c r="G706" s="36" t="b">
        <f t="shared" si="1"/>
        <v>0</v>
      </c>
      <c r="H706" s="35" t="b">
        <v>1</v>
      </c>
      <c r="I706" s="35" t="b">
        <v>0</v>
      </c>
      <c r="J706" s="35" t="b">
        <v>0</v>
      </c>
      <c r="K706" s="35" t="b">
        <v>0</v>
      </c>
      <c r="L706" s="35" t="b">
        <v>0</v>
      </c>
      <c r="M706" s="35" t="b">
        <v>0</v>
      </c>
      <c r="N706" s="35" t="b">
        <v>0</v>
      </c>
      <c r="O706" s="35" t="b">
        <v>0</v>
      </c>
      <c r="P706" s="35" t="b">
        <v>0</v>
      </c>
      <c r="Q706" s="35" t="b">
        <v>0</v>
      </c>
      <c r="R706" s="14"/>
      <c r="S706" s="14"/>
      <c r="T706" s="14"/>
      <c r="U706" s="14"/>
      <c r="V706" s="14"/>
      <c r="W706" s="14"/>
    </row>
    <row r="707" ht="31.5" customHeight="1">
      <c r="A707" s="109" t="s">
        <v>10536</v>
      </c>
      <c r="B707" s="110" t="s">
        <v>10537</v>
      </c>
      <c r="C707" s="111" t="s">
        <v>10538</v>
      </c>
      <c r="D707" s="28" t="s">
        <v>10539</v>
      </c>
      <c r="E707" s="28" t="str">
        <f>IFERROR(__xludf.DUMMYFUNCTION("GOOGLETRANSLATE(D707,""zh-CN"",""vi"")"),"Anh ta đã làm chúng ta thất vọng.")</f>
        <v>Anh ta đã làm chúng ta thất vọng.</v>
      </c>
      <c r="F707" s="128"/>
      <c r="G707" s="36" t="b">
        <f t="shared" si="1"/>
        <v>0</v>
      </c>
      <c r="H707" s="35" t="b">
        <v>1</v>
      </c>
      <c r="I707" s="35" t="b">
        <v>0</v>
      </c>
      <c r="J707" s="35" t="b">
        <v>0</v>
      </c>
      <c r="K707" s="35" t="b">
        <v>0</v>
      </c>
      <c r="L707" s="35" t="b">
        <v>0</v>
      </c>
      <c r="M707" s="35" t="b">
        <v>0</v>
      </c>
      <c r="N707" s="35" t="b">
        <v>0</v>
      </c>
      <c r="O707" s="35" t="b">
        <v>0</v>
      </c>
      <c r="P707" s="35" t="b">
        <v>0</v>
      </c>
      <c r="Q707" s="35" t="b">
        <v>0</v>
      </c>
      <c r="R707" s="14"/>
      <c r="S707" s="14"/>
      <c r="T707" s="14"/>
      <c r="U707" s="14"/>
      <c r="V707" s="14"/>
      <c r="W707" s="14"/>
    </row>
    <row r="708" ht="31.5" customHeight="1">
      <c r="A708" s="109" t="s">
        <v>10543</v>
      </c>
      <c r="B708" s="110" t="s">
        <v>10544</v>
      </c>
      <c r="C708" s="111" t="s">
        <v>10545</v>
      </c>
      <c r="D708" s="28" t="s">
        <v>10546</v>
      </c>
      <c r="E708" s="28" t="str">
        <f>IFERROR(__xludf.DUMMYFUNCTION("GOOGLETRANSLATE(D708,""zh-CN"",""vi"")"),"Cô ấy bị đồng nghiệp xa lánh.")</f>
        <v>Cô ấy bị đồng nghiệp xa lánh.</v>
      </c>
      <c r="F708" s="128"/>
      <c r="G708" s="36" t="b">
        <f t="shared" si="1"/>
        <v>0</v>
      </c>
      <c r="H708" s="35" t="b">
        <v>1</v>
      </c>
      <c r="I708" s="35" t="b">
        <v>0</v>
      </c>
      <c r="J708" s="35" t="b">
        <v>0</v>
      </c>
      <c r="K708" s="35" t="b">
        <v>0</v>
      </c>
      <c r="L708" s="35" t="b">
        <v>0</v>
      </c>
      <c r="M708" s="35" t="b">
        <v>0</v>
      </c>
      <c r="N708" s="35" t="b">
        <v>0</v>
      </c>
      <c r="O708" s="35" t="b">
        <v>0</v>
      </c>
      <c r="P708" s="35" t="b">
        <v>0</v>
      </c>
      <c r="Q708" s="35" t="b">
        <v>0</v>
      </c>
      <c r="R708" s="14"/>
      <c r="S708" s="14"/>
      <c r="T708" s="14"/>
      <c r="U708" s="14"/>
      <c r="V708" s="14"/>
      <c r="W708" s="14"/>
    </row>
    <row r="709" ht="31.5" customHeight="1">
      <c r="A709" s="109" t="s">
        <v>10550</v>
      </c>
      <c r="B709" s="110" t="s">
        <v>10551</v>
      </c>
      <c r="C709" s="111" t="s">
        <v>10552</v>
      </c>
      <c r="D709" s="28" t="s">
        <v>10553</v>
      </c>
      <c r="E709" s="28" t="str">
        <f>IFERROR(__xludf.DUMMYFUNCTION("GOOGLETRANSLATE(D709,""zh-CN"",""vi"")"),"Hãy thử phương pháp này xem sao.")</f>
        <v>Hãy thử phương pháp này xem sao.</v>
      </c>
      <c r="F709" s="128"/>
      <c r="G709" s="36" t="b">
        <f t="shared" si="1"/>
        <v>0</v>
      </c>
      <c r="H709" s="35" t="b">
        <v>1</v>
      </c>
      <c r="I709" s="35" t="b">
        <v>0</v>
      </c>
      <c r="J709" s="35" t="b">
        <v>0</v>
      </c>
      <c r="K709" s="35" t="b">
        <v>0</v>
      </c>
      <c r="L709" s="35" t="b">
        <v>0</v>
      </c>
      <c r="M709" s="35" t="b">
        <v>0</v>
      </c>
      <c r="N709" s="35" t="b">
        <v>0</v>
      </c>
      <c r="O709" s="35" t="b">
        <v>0</v>
      </c>
      <c r="P709" s="35" t="b">
        <v>0</v>
      </c>
      <c r="Q709" s="35" t="b">
        <v>0</v>
      </c>
      <c r="R709" s="14"/>
      <c r="S709" s="14"/>
      <c r="T709" s="14"/>
      <c r="U709" s="14"/>
      <c r="V709" s="14"/>
      <c r="W709" s="14"/>
    </row>
    <row r="710" ht="31.5" customHeight="1">
      <c r="A710" s="109" t="s">
        <v>10570</v>
      </c>
      <c r="B710" s="110" t="s">
        <v>10571</v>
      </c>
      <c r="C710" s="111" t="s">
        <v>10572</v>
      </c>
      <c r="D710" s="28" t="s">
        <v>10573</v>
      </c>
      <c r="E710" s="28" t="str">
        <f>IFERROR(__xludf.DUMMYFUNCTION("GOOGLETRANSLATE(D710,""zh-CN"",""vi"")"),"Các cổ đông đã quyết định tăng vốn đầu tư.")</f>
        <v>Các cổ đông đã quyết định tăng vốn đầu tư.</v>
      </c>
      <c r="F710" s="128"/>
      <c r="G710" s="36" t="b">
        <f t="shared" si="1"/>
        <v>0</v>
      </c>
      <c r="H710" s="35" t="b">
        <v>1</v>
      </c>
      <c r="I710" s="35" t="b">
        <v>0</v>
      </c>
      <c r="J710" s="35" t="b">
        <v>0</v>
      </c>
      <c r="K710" s="35" t="b">
        <v>0</v>
      </c>
      <c r="L710" s="35" t="b">
        <v>0</v>
      </c>
      <c r="M710" s="35" t="b">
        <v>0</v>
      </c>
      <c r="N710" s="35" t="b">
        <v>0</v>
      </c>
      <c r="O710" s="35" t="b">
        <v>0</v>
      </c>
      <c r="P710" s="35" t="b">
        <v>0</v>
      </c>
      <c r="Q710" s="35" t="b">
        <v>0</v>
      </c>
      <c r="R710" s="14"/>
      <c r="S710" s="14"/>
      <c r="T710" s="14"/>
      <c r="U710" s="14"/>
      <c r="V710" s="14"/>
      <c r="W710" s="14"/>
    </row>
    <row r="711" ht="31.5" customHeight="1">
      <c r="A711" s="109" t="s">
        <v>10578</v>
      </c>
      <c r="B711" s="110" t="s">
        <v>10579</v>
      </c>
      <c r="C711" s="111" t="s">
        <v>10580</v>
      </c>
      <c r="D711" s="28" t="s">
        <v>10581</v>
      </c>
      <c r="E711" s="28" t="str">
        <f>IFERROR(__xludf.DUMMYFUNCTION("GOOGLETRANSLATE(D711,""zh-CN"",""vi"")"),"Món đồ cổ này vô cùng quý giá.")</f>
        <v>Món đồ cổ này vô cùng quý giá.</v>
      </c>
      <c r="F711" s="128"/>
      <c r="G711" s="36" t="b">
        <f t="shared" si="1"/>
        <v>0</v>
      </c>
      <c r="H711" s="35" t="b">
        <v>1</v>
      </c>
      <c r="I711" s="35" t="b">
        <v>0</v>
      </c>
      <c r="J711" s="35" t="b">
        <v>0</v>
      </c>
      <c r="K711" s="35" t="b">
        <v>0</v>
      </c>
      <c r="L711" s="35" t="b">
        <v>0</v>
      </c>
      <c r="M711" s="35" t="b">
        <v>0</v>
      </c>
      <c r="N711" s="35" t="b">
        <v>0</v>
      </c>
      <c r="O711" s="35" t="b">
        <v>0</v>
      </c>
      <c r="P711" s="35" t="b">
        <v>0</v>
      </c>
      <c r="Q711" s="35" t="b">
        <v>0</v>
      </c>
      <c r="R711" s="14"/>
      <c r="S711" s="14"/>
      <c r="T711" s="14"/>
      <c r="U711" s="14"/>
      <c r="V711" s="14"/>
      <c r="W711" s="14"/>
    </row>
    <row r="712" ht="31.5" customHeight="1">
      <c r="A712" s="109" t="s">
        <v>10586</v>
      </c>
      <c r="B712" s="110" t="s">
        <v>10587</v>
      </c>
      <c r="C712" s="111" t="s">
        <v>10588</v>
      </c>
      <c r="D712" s="28" t="s">
        <v>10589</v>
      </c>
      <c r="E712" s="28" t="str">
        <f>IFERROR(__xludf.DUMMYFUNCTION("GOOGLETRANSLATE(D712,""zh-CN"",""vi"")"),"Anh ấy đã cố gắng hết sức để khuyến khích mọi người tham gia các hoạt động.")</f>
        <v>Anh ấy đã cố gắng hết sức để khuyến khích mọi người tham gia các hoạt động.</v>
      </c>
      <c r="F712" s="128"/>
      <c r="G712" s="36" t="b">
        <f t="shared" si="1"/>
        <v>0</v>
      </c>
      <c r="H712" s="35" t="b">
        <v>1</v>
      </c>
      <c r="I712" s="35" t="b">
        <v>0</v>
      </c>
      <c r="J712" s="35" t="b">
        <v>0</v>
      </c>
      <c r="K712" s="35" t="b">
        <v>0</v>
      </c>
      <c r="L712" s="35" t="b">
        <v>0</v>
      </c>
      <c r="M712" s="35" t="b">
        <v>0</v>
      </c>
      <c r="N712" s="35" t="b">
        <v>0</v>
      </c>
      <c r="O712" s="35" t="b">
        <v>0</v>
      </c>
      <c r="P712" s="35" t="b">
        <v>0</v>
      </c>
      <c r="Q712" s="35" t="b">
        <v>0</v>
      </c>
      <c r="R712" s="14"/>
      <c r="S712" s="14"/>
      <c r="T712" s="14"/>
      <c r="U712" s="14"/>
      <c r="V712" s="14"/>
      <c r="W712" s="14"/>
    </row>
    <row r="713" ht="31.5" customHeight="1">
      <c r="A713" s="109" t="s">
        <v>10594</v>
      </c>
      <c r="B713" s="110" t="s">
        <v>10595</v>
      </c>
      <c r="C713" s="111" t="s">
        <v>10596</v>
      </c>
      <c r="D713" s="28" t="s">
        <v>10597</v>
      </c>
      <c r="E713" s="28" t="str">
        <f>IFERROR(__xludf.DUMMYFUNCTION("GOOGLETRANSLATE(D713,""zh-CN"",""vi"")"),"Giá cổ phiếu của công ty đã tăng lên.")</f>
        <v>Giá cổ phiếu của công ty đã tăng lên.</v>
      </c>
      <c r="F713" s="128"/>
      <c r="G713" s="36" t="b">
        <f t="shared" si="1"/>
        <v>0</v>
      </c>
      <c r="H713" s="35" t="b">
        <v>1</v>
      </c>
      <c r="I713" s="35" t="b">
        <v>0</v>
      </c>
      <c r="J713" s="35" t="b">
        <v>0</v>
      </c>
      <c r="K713" s="35" t="b">
        <v>0</v>
      </c>
      <c r="L713" s="35" t="b">
        <v>0</v>
      </c>
      <c r="M713" s="35" t="b">
        <v>0</v>
      </c>
      <c r="N713" s="35" t="b">
        <v>0</v>
      </c>
      <c r="O713" s="35" t="b">
        <v>0</v>
      </c>
      <c r="P713" s="35" t="b">
        <v>0</v>
      </c>
      <c r="Q713" s="35" t="b">
        <v>0</v>
      </c>
      <c r="R713" s="14"/>
      <c r="S713" s="14"/>
      <c r="T713" s="14"/>
      <c r="U713" s="14"/>
      <c r="V713" s="14"/>
      <c r="W713" s="14"/>
    </row>
    <row r="714" ht="31.5" customHeight="1">
      <c r="A714" s="109" t="s">
        <v>10602</v>
      </c>
      <c r="B714" s="110" t="s">
        <v>10604</v>
      </c>
      <c r="C714" s="111" t="s">
        <v>10606</v>
      </c>
      <c r="D714" s="28" t="s">
        <v>10608</v>
      </c>
      <c r="E714" s="28" t="str">
        <f>IFERROR(__xludf.DUMMYFUNCTION("GOOGLETRANSLATE(D714,""zh-CN"",""vi"")"),"Anh ấy là một nhân viên chủ chốt của công ty.")</f>
        <v>Anh ấy là một nhân viên chủ chốt của công ty.</v>
      </c>
      <c r="F714" s="128"/>
      <c r="G714" s="36" t="b">
        <f t="shared" si="1"/>
        <v>0</v>
      </c>
      <c r="H714" s="35" t="b">
        <v>1</v>
      </c>
      <c r="I714" s="35" t="b">
        <v>0</v>
      </c>
      <c r="J714" s="35" t="b">
        <v>0</v>
      </c>
      <c r="K714" s="35" t="b">
        <v>0</v>
      </c>
      <c r="L714" s="35" t="b">
        <v>0</v>
      </c>
      <c r="M714" s="35" t="b">
        <v>0</v>
      </c>
      <c r="N714" s="35" t="b">
        <v>0</v>
      </c>
      <c r="O714" s="35" t="b">
        <v>0</v>
      </c>
      <c r="P714" s="35" t="b">
        <v>0</v>
      </c>
      <c r="Q714" s="35" t="b">
        <v>0</v>
      </c>
      <c r="R714" s="14"/>
      <c r="S714" s="14"/>
      <c r="T714" s="14"/>
      <c r="U714" s="14"/>
      <c r="V714" s="14"/>
      <c r="W714" s="14"/>
    </row>
    <row r="715" ht="31.5" customHeight="1">
      <c r="A715" s="109" t="s">
        <v>10613</v>
      </c>
      <c r="B715" s="110" t="s">
        <v>10615</v>
      </c>
      <c r="C715" s="111" t="s">
        <v>10616</v>
      </c>
      <c r="D715" s="28" t="s">
        <v>10617</v>
      </c>
      <c r="E715" s="28" t="str">
        <f>IFERROR(__xludf.DUMMYFUNCTION("GOOGLETRANSLATE(D715,""zh-CN"",""vi"")"),"Hành vi của anh ta rất kỳ lạ.")</f>
        <v>Hành vi của anh ta rất kỳ lạ.</v>
      </c>
      <c r="F715" s="128"/>
      <c r="G715" s="36" t="b">
        <f t="shared" si="1"/>
        <v>0</v>
      </c>
      <c r="H715" s="35" t="b">
        <v>1</v>
      </c>
      <c r="I715" s="35" t="b">
        <v>0</v>
      </c>
      <c r="J715" s="35" t="b">
        <v>0</v>
      </c>
      <c r="K715" s="35" t="b">
        <v>0</v>
      </c>
      <c r="L715" s="35" t="b">
        <v>0</v>
      </c>
      <c r="M715" s="35" t="b">
        <v>0</v>
      </c>
      <c r="N715" s="35" t="b">
        <v>0</v>
      </c>
      <c r="O715" s="35" t="b">
        <v>0</v>
      </c>
      <c r="P715" s="35" t="b">
        <v>0</v>
      </c>
      <c r="Q715" s="35" t="b">
        <v>0</v>
      </c>
      <c r="R715" s="14"/>
      <c r="S715" s="14"/>
      <c r="T715" s="14"/>
      <c r="U715" s="14"/>
      <c r="V715" s="14"/>
      <c r="W715" s="14"/>
    </row>
    <row r="716" ht="31.5" customHeight="1">
      <c r="A716" s="109" t="s">
        <v>10622</v>
      </c>
      <c r="B716" s="110" t="s">
        <v>10623</v>
      </c>
      <c r="C716" s="111" t="s">
        <v>10624</v>
      </c>
      <c r="D716" s="28" t="s">
        <v>10625</v>
      </c>
      <c r="E716" s="28" t="str">
        <f>IFERROR(__xludf.DUMMYFUNCTION("GOOGLETRANSLATE(D716,""zh-CN"",""vi"")"),"Tôi có một số lo ngại về điều này.")</f>
        <v>Tôi có một số lo ngại về điều này.</v>
      </c>
      <c r="F716" s="128"/>
      <c r="G716" s="36" t="b">
        <f t="shared" si="1"/>
        <v>0</v>
      </c>
      <c r="H716" s="35" t="b">
        <v>1</v>
      </c>
      <c r="I716" s="35" t="b">
        <v>0</v>
      </c>
      <c r="J716" s="35" t="b">
        <v>0</v>
      </c>
      <c r="K716" s="35" t="b">
        <v>0</v>
      </c>
      <c r="L716" s="35" t="b">
        <v>0</v>
      </c>
      <c r="M716" s="35" t="b">
        <v>0</v>
      </c>
      <c r="N716" s="35" t="b">
        <v>0</v>
      </c>
      <c r="O716" s="35" t="b">
        <v>0</v>
      </c>
      <c r="P716" s="35" t="b">
        <v>0</v>
      </c>
      <c r="Q716" s="35" t="b">
        <v>0</v>
      </c>
      <c r="R716" s="14"/>
      <c r="S716" s="14"/>
      <c r="T716" s="14"/>
      <c r="U716" s="14"/>
      <c r="V716" s="14"/>
      <c r="W716" s="14"/>
    </row>
    <row r="717" ht="31.5" customHeight="1">
      <c r="A717" s="109" t="s">
        <v>10630</v>
      </c>
      <c r="B717" s="110" t="s">
        <v>10631</v>
      </c>
      <c r="C717" s="111" t="s">
        <v>10632</v>
      </c>
      <c r="D717" s="28" t="s">
        <v>10633</v>
      </c>
      <c r="E717" s="28" t="str">
        <f>IFERROR(__xludf.DUMMYFUNCTION("GOOGLETRANSLATE(D717,""zh-CN"",""vi"")"),"Anh ấy chắc chắn rất thông minh, nhưng vẫn cần phải nỗ lực hơn nữa.")</f>
        <v>Anh ấy chắc chắn rất thông minh, nhưng vẫn cần phải nỗ lực hơn nữa.</v>
      </c>
      <c r="F717" s="128"/>
      <c r="G717" s="36" t="b">
        <f t="shared" si="1"/>
        <v>0</v>
      </c>
      <c r="H717" s="35" t="b">
        <v>1</v>
      </c>
      <c r="I717" s="35" t="b">
        <v>0</v>
      </c>
      <c r="J717" s="35" t="b">
        <v>0</v>
      </c>
      <c r="K717" s="35" t="b">
        <v>0</v>
      </c>
      <c r="L717" s="35" t="b">
        <v>0</v>
      </c>
      <c r="M717" s="35" t="b">
        <v>0</v>
      </c>
      <c r="N717" s="35" t="b">
        <v>0</v>
      </c>
      <c r="O717" s="35" t="b">
        <v>0</v>
      </c>
      <c r="P717" s="35" t="b">
        <v>0</v>
      </c>
      <c r="Q717" s="35" t="b">
        <v>0</v>
      </c>
      <c r="R717" s="14"/>
      <c r="S717" s="14"/>
      <c r="T717" s="14"/>
      <c r="U717" s="14"/>
      <c r="V717" s="14"/>
      <c r="W717" s="14"/>
    </row>
    <row r="718" ht="31.5" customHeight="1">
      <c r="A718" s="109" t="s">
        <v>10638</v>
      </c>
      <c r="B718" s="110" t="s">
        <v>10639</v>
      </c>
      <c r="C718" s="111" t="s">
        <v>10640</v>
      </c>
      <c r="D718" s="28" t="s">
        <v>10641</v>
      </c>
      <c r="E718" s="28" t="str">
        <f>IFERROR(__xludf.DUMMYFUNCTION("GOOGLETRANSLATE(D718,""zh-CN"",""vi"")"),"Ông ấy là cố vấn cho công ty.")</f>
        <v>Ông ấy là cố vấn cho công ty.</v>
      </c>
      <c r="F718" s="128"/>
      <c r="G718" s="36" t="b">
        <f t="shared" si="1"/>
        <v>0</v>
      </c>
      <c r="H718" s="35" t="b">
        <v>1</v>
      </c>
      <c r="I718" s="35" t="b">
        <v>0</v>
      </c>
      <c r="J718" s="35" t="b">
        <v>0</v>
      </c>
      <c r="K718" s="35" t="b">
        <v>0</v>
      </c>
      <c r="L718" s="35" t="b">
        <v>0</v>
      </c>
      <c r="M718" s="35" t="b">
        <v>0</v>
      </c>
      <c r="N718" s="35" t="b">
        <v>0</v>
      </c>
      <c r="O718" s="35" t="b">
        <v>0</v>
      </c>
      <c r="P718" s="35" t="b">
        <v>0</v>
      </c>
      <c r="Q718" s="35" t="b">
        <v>0</v>
      </c>
      <c r="R718" s="14"/>
      <c r="S718" s="14"/>
      <c r="T718" s="14"/>
      <c r="U718" s="14"/>
      <c r="V718" s="14"/>
      <c r="W718" s="14"/>
    </row>
    <row r="719" ht="31.5" customHeight="1">
      <c r="A719" s="109" t="s">
        <v>10646</v>
      </c>
      <c r="B719" s="110" t="s">
        <v>10647</v>
      </c>
      <c r="C719" s="111" t="s">
        <v>10648</v>
      </c>
      <c r="D719" s="28" t="s">
        <v>10649</v>
      </c>
      <c r="E719" s="28" t="str">
        <f>IFERROR(__xludf.DUMMYFUNCTION("GOOGLETRANSLATE(D719,""zh-CN"",""vi"")"),"Tôi nhớ quê nhà lắm.")</f>
        <v>Tôi nhớ quê nhà lắm.</v>
      </c>
      <c r="F719" s="128"/>
      <c r="G719" s="36" t="b">
        <f t="shared" si="1"/>
        <v>0</v>
      </c>
      <c r="H719" s="35" t="b">
        <v>1</v>
      </c>
      <c r="I719" s="35" t="b">
        <v>0</v>
      </c>
      <c r="J719" s="35" t="b">
        <v>0</v>
      </c>
      <c r="K719" s="35" t="b">
        <v>0</v>
      </c>
      <c r="L719" s="35" t="b">
        <v>0</v>
      </c>
      <c r="M719" s="35" t="b">
        <v>0</v>
      </c>
      <c r="N719" s="35" t="b">
        <v>0</v>
      </c>
      <c r="O719" s="35" t="b">
        <v>0</v>
      </c>
      <c r="P719" s="35" t="b">
        <v>0</v>
      </c>
      <c r="Q719" s="35" t="b">
        <v>0</v>
      </c>
      <c r="R719" s="14"/>
      <c r="S719" s="14"/>
      <c r="T719" s="14"/>
      <c r="U719" s="14"/>
      <c r="V719" s="14"/>
      <c r="W719" s="14"/>
    </row>
    <row r="720" ht="31.5" customHeight="1">
      <c r="A720" s="109" t="s">
        <v>10654</v>
      </c>
      <c r="B720" s="110" t="s">
        <v>10655</v>
      </c>
      <c r="C720" s="111" t="s">
        <v>10656</v>
      </c>
      <c r="D720" s="28" t="s">
        <v>10657</v>
      </c>
      <c r="E720" s="28" t="str">
        <f>IFERROR(__xludf.DUMMYFUNCTION("GOOGLETRANSLATE(D720,""zh-CN"",""vi"")"),"Nền văn hóa này là truyền thống vốn có của chúng ta.")</f>
        <v>Nền văn hóa này là truyền thống vốn có của chúng ta.</v>
      </c>
      <c r="F720" s="128"/>
      <c r="G720" s="36" t="b">
        <f t="shared" si="1"/>
        <v>0</v>
      </c>
      <c r="H720" s="35" t="b">
        <v>1</v>
      </c>
      <c r="I720" s="35" t="b">
        <v>0</v>
      </c>
      <c r="J720" s="35" t="b">
        <v>0</v>
      </c>
      <c r="K720" s="35" t="b">
        <v>0</v>
      </c>
      <c r="L720" s="35" t="b">
        <v>0</v>
      </c>
      <c r="M720" s="35" t="b">
        <v>0</v>
      </c>
      <c r="N720" s="35" t="b">
        <v>0</v>
      </c>
      <c r="O720" s="35" t="b">
        <v>0</v>
      </c>
      <c r="P720" s="35" t="b">
        <v>0</v>
      </c>
      <c r="Q720" s="35" t="b">
        <v>0</v>
      </c>
      <c r="R720" s="14"/>
      <c r="S720" s="14"/>
      <c r="T720" s="14"/>
      <c r="U720" s="14"/>
      <c r="V720" s="14"/>
      <c r="W720" s="14"/>
    </row>
    <row r="721" ht="31.5" customHeight="1">
      <c r="A721" s="109" t="s">
        <v>10662</v>
      </c>
      <c r="B721" s="110" t="s">
        <v>10663</v>
      </c>
      <c r="C721" s="111" t="s">
        <v>10665</v>
      </c>
      <c r="D721" s="28" t="s">
        <v>10667</v>
      </c>
      <c r="E721" s="28" t="str">
        <f>IFERROR(__xludf.DUMMYFUNCTION("GOOGLETRANSLATE(D721,""zh-CN"",""vi"")"),"Máy bị trục trặc.")</f>
        <v>Máy bị trục trặc.</v>
      </c>
      <c r="F721" s="128"/>
      <c r="G721" s="36" t="b">
        <f t="shared" si="1"/>
        <v>0</v>
      </c>
      <c r="H721" s="35" t="b">
        <v>1</v>
      </c>
      <c r="I721" s="35" t="b">
        <v>0</v>
      </c>
      <c r="J721" s="35" t="b">
        <v>0</v>
      </c>
      <c r="K721" s="35" t="b">
        <v>0</v>
      </c>
      <c r="L721" s="35" t="b">
        <v>0</v>
      </c>
      <c r="M721" s="35" t="b">
        <v>0</v>
      </c>
      <c r="N721" s="35" t="b">
        <v>0</v>
      </c>
      <c r="O721" s="35" t="b">
        <v>0</v>
      </c>
      <c r="P721" s="35" t="b">
        <v>0</v>
      </c>
      <c r="Q721" s="35" t="b">
        <v>0</v>
      </c>
      <c r="R721" s="14"/>
      <c r="S721" s="14"/>
      <c r="T721" s="14"/>
      <c r="U721" s="14"/>
      <c r="V721" s="14"/>
      <c r="W721" s="14"/>
    </row>
    <row r="722" ht="31.5" customHeight="1">
      <c r="A722" s="109" t="s">
        <v>10673</v>
      </c>
      <c r="B722" s="110" t="s">
        <v>10674</v>
      </c>
      <c r="C722" s="111" t="s">
        <v>10675</v>
      </c>
      <c r="D722" s="28" t="s">
        <v>10676</v>
      </c>
      <c r="E722" s="28" t="str">
        <f>IFERROR(__xludf.DUMMYFUNCTION("GOOGLETRANSLATE(D722,""zh-CN"",""vi"")"),"Anh ta là một người rất bướng bỉnh.")</f>
        <v>Anh ta là một người rất bướng bỉnh.</v>
      </c>
      <c r="F722" s="128"/>
      <c r="G722" s="36" t="b">
        <f t="shared" si="1"/>
        <v>0</v>
      </c>
      <c r="H722" s="35" t="b">
        <v>1</v>
      </c>
      <c r="I722" s="35" t="b">
        <v>0</v>
      </c>
      <c r="J722" s="35" t="b">
        <v>0</v>
      </c>
      <c r="K722" s="35" t="b">
        <v>0</v>
      </c>
      <c r="L722" s="35" t="b">
        <v>0</v>
      </c>
      <c r="M722" s="35" t="b">
        <v>0</v>
      </c>
      <c r="N722" s="35" t="b">
        <v>0</v>
      </c>
      <c r="O722" s="35" t="b">
        <v>0</v>
      </c>
      <c r="P722" s="35" t="b">
        <v>0</v>
      </c>
      <c r="Q722" s="35" t="b">
        <v>0</v>
      </c>
      <c r="R722" s="14"/>
      <c r="S722" s="14"/>
      <c r="T722" s="14"/>
      <c r="U722" s="14"/>
      <c r="V722" s="14"/>
      <c r="W722" s="14"/>
    </row>
    <row r="723" ht="31.5" customHeight="1">
      <c r="A723" s="109" t="s">
        <v>10681</v>
      </c>
      <c r="B723" s="110" t="s">
        <v>10682</v>
      </c>
      <c r="C723" s="111" t="s">
        <v>10683</v>
      </c>
      <c r="D723" s="28" t="s">
        <v>10684</v>
      </c>
      <c r="E723" s="28" t="str">
        <f>IFERROR(__xludf.DUMMYFUNCTION("GOOGLETRANSLATE(D723,""zh-CN"",""vi"")"),"Ông ấy cần gậy để đi lại.")</f>
        <v>Ông ấy cần gậy để đi lại.</v>
      </c>
      <c r="F723" s="128"/>
      <c r="G723" s="36" t="b">
        <f t="shared" si="1"/>
        <v>0</v>
      </c>
      <c r="H723" s="35" t="b">
        <v>1</v>
      </c>
      <c r="I723" s="35" t="b">
        <v>0</v>
      </c>
      <c r="J723" s="35" t="b">
        <v>0</v>
      </c>
      <c r="K723" s="35" t="b">
        <v>0</v>
      </c>
      <c r="L723" s="35" t="b">
        <v>0</v>
      </c>
      <c r="M723" s="35" t="b">
        <v>0</v>
      </c>
      <c r="N723" s="35" t="b">
        <v>0</v>
      </c>
      <c r="O723" s="35" t="b">
        <v>0</v>
      </c>
      <c r="P723" s="35" t="b">
        <v>0</v>
      </c>
      <c r="Q723" s="35" t="b">
        <v>0</v>
      </c>
      <c r="R723" s="14"/>
      <c r="S723" s="14"/>
      <c r="T723" s="14"/>
      <c r="U723" s="14"/>
      <c r="V723" s="14"/>
      <c r="W723" s="14"/>
    </row>
    <row r="724" ht="31.5" customHeight="1">
      <c r="A724" s="109" t="s">
        <v>10689</v>
      </c>
      <c r="B724" s="110" t="s">
        <v>10690</v>
      </c>
      <c r="C724" s="111" t="s">
        <v>10691</v>
      </c>
      <c r="D724" s="28" t="s">
        <v>10692</v>
      </c>
      <c r="E724" s="28" t="str">
        <f>IFERROR(__xludf.DUMMYFUNCTION("GOOGLETRANSLATE(D724,""zh-CN"",""vi"")"),"Đây là thông cáo chính thức.")</f>
        <v>Đây là thông cáo chính thức.</v>
      </c>
      <c r="F724" s="128"/>
      <c r="G724" s="36" t="b">
        <f t="shared" si="1"/>
        <v>0</v>
      </c>
      <c r="H724" s="35" t="b">
        <v>1</v>
      </c>
      <c r="I724" s="35" t="b">
        <v>0</v>
      </c>
      <c r="J724" s="35" t="b">
        <v>0</v>
      </c>
      <c r="K724" s="35" t="b">
        <v>0</v>
      </c>
      <c r="L724" s="35" t="b">
        <v>0</v>
      </c>
      <c r="M724" s="35" t="b">
        <v>0</v>
      </c>
      <c r="N724" s="35" t="b">
        <v>0</v>
      </c>
      <c r="O724" s="35" t="b">
        <v>0</v>
      </c>
      <c r="P724" s="35" t="b">
        <v>0</v>
      </c>
      <c r="Q724" s="35" t="b">
        <v>0</v>
      </c>
      <c r="R724" s="14"/>
      <c r="S724" s="14"/>
      <c r="T724" s="14"/>
      <c r="U724" s="14"/>
      <c r="V724" s="14"/>
      <c r="W724" s="14"/>
    </row>
    <row r="725" ht="31.5" customHeight="1">
      <c r="A725" s="109" t="s">
        <v>10700</v>
      </c>
      <c r="B725" s="110" t="s">
        <v>10701</v>
      </c>
      <c r="C725" s="111" t="s">
        <v>10702</v>
      </c>
      <c r="D725" s="28" t="s">
        <v>10703</v>
      </c>
      <c r="E725" s="28" t="str">
        <f>IFERROR(__xludf.DUMMYFUNCTION("GOOGLETRANSLATE(D725,""zh-CN"",""vi"")"),"Chúng tôi dự định đến thăm Bắc Kinh.")</f>
        <v>Chúng tôi dự định đến thăm Bắc Kinh.</v>
      </c>
      <c r="F725" s="128"/>
      <c r="G725" s="36" t="b">
        <f t="shared" si="1"/>
        <v>0</v>
      </c>
      <c r="H725" s="35" t="b">
        <v>1</v>
      </c>
      <c r="I725" s="35" t="b">
        <v>0</v>
      </c>
      <c r="J725" s="35" t="b">
        <v>0</v>
      </c>
      <c r="K725" s="35" t="b">
        <v>0</v>
      </c>
      <c r="L725" s="35" t="b">
        <v>0</v>
      </c>
      <c r="M725" s="35" t="b">
        <v>0</v>
      </c>
      <c r="N725" s="35" t="b">
        <v>0</v>
      </c>
      <c r="O725" s="35" t="b">
        <v>0</v>
      </c>
      <c r="P725" s="35" t="b">
        <v>0</v>
      </c>
      <c r="Q725" s="35" t="b">
        <v>0</v>
      </c>
      <c r="R725" s="14"/>
      <c r="S725" s="14"/>
      <c r="T725" s="14"/>
      <c r="U725" s="14"/>
      <c r="V725" s="14"/>
      <c r="W725" s="14"/>
    </row>
    <row r="726" ht="31.5" customHeight="1">
      <c r="A726" s="109" t="s">
        <v>10708</v>
      </c>
      <c r="B726" s="110" t="s">
        <v>10709</v>
      </c>
      <c r="C726" s="111" t="s">
        <v>10710</v>
      </c>
      <c r="D726" s="28" t="s">
        <v>10711</v>
      </c>
      <c r="E726" s="28" t="str">
        <f>IFERROR(__xludf.DUMMYFUNCTION("GOOGLETRANSLATE(D726,""zh-CN"",""vi"")"),"Cảm ơn bạn đã xem xét.")</f>
        <v>Cảm ơn bạn đã xem xét.</v>
      </c>
      <c r="F726" s="128"/>
      <c r="G726" s="36" t="b">
        <f t="shared" si="1"/>
        <v>0</v>
      </c>
      <c r="H726" s="35" t="b">
        <v>1</v>
      </c>
      <c r="I726" s="35" t="b">
        <v>0</v>
      </c>
      <c r="J726" s="35" t="b">
        <v>0</v>
      </c>
      <c r="K726" s="35" t="b">
        <v>0</v>
      </c>
      <c r="L726" s="35" t="b">
        <v>0</v>
      </c>
      <c r="M726" s="35" t="b">
        <v>0</v>
      </c>
      <c r="N726" s="35" t="b">
        <v>0</v>
      </c>
      <c r="O726" s="35" t="b">
        <v>0</v>
      </c>
      <c r="P726" s="35" t="b">
        <v>0</v>
      </c>
      <c r="Q726" s="35" t="b">
        <v>0</v>
      </c>
      <c r="R726" s="14"/>
      <c r="S726" s="14"/>
      <c r="T726" s="14"/>
      <c r="U726" s="14"/>
      <c r="V726" s="14"/>
      <c r="W726" s="14"/>
    </row>
    <row r="727" ht="31.5" customHeight="1">
      <c r="A727" s="109" t="s">
        <v>10716</v>
      </c>
      <c r="B727" s="110" t="s">
        <v>10717</v>
      </c>
      <c r="C727" s="111" t="s">
        <v>10718</v>
      </c>
      <c r="D727" s="28" t="s">
        <v>10719</v>
      </c>
      <c r="E727" s="28" t="str">
        <f>IFERROR(__xludf.DUMMYFUNCTION("GOOGLETRANSLATE(D727,""zh-CN"",""vi"")"),"Ông ấy phụ trách khu vực này.")</f>
        <v>Ông ấy phụ trách khu vực này.</v>
      </c>
      <c r="F727" s="128"/>
      <c r="G727" s="36" t="b">
        <f t="shared" si="1"/>
        <v>0</v>
      </c>
      <c r="H727" s="35" t="b">
        <v>1</v>
      </c>
      <c r="I727" s="35" t="b">
        <v>0</v>
      </c>
      <c r="J727" s="35" t="b">
        <v>0</v>
      </c>
      <c r="K727" s="35" t="b">
        <v>0</v>
      </c>
      <c r="L727" s="35" t="b">
        <v>0</v>
      </c>
      <c r="M727" s="35" t="b">
        <v>0</v>
      </c>
      <c r="N727" s="35" t="b">
        <v>0</v>
      </c>
      <c r="O727" s="35" t="b">
        <v>0</v>
      </c>
      <c r="P727" s="35" t="b">
        <v>0</v>
      </c>
      <c r="Q727" s="35" t="b">
        <v>0</v>
      </c>
      <c r="R727" s="14"/>
      <c r="S727" s="14"/>
      <c r="T727" s="14"/>
      <c r="U727" s="14"/>
      <c r="V727" s="14"/>
      <c r="W727" s="14"/>
    </row>
    <row r="728" ht="31.5" customHeight="1">
      <c r="A728" s="109" t="s">
        <v>10724</v>
      </c>
      <c r="B728" s="110" t="s">
        <v>10725</v>
      </c>
      <c r="C728" s="111" t="s">
        <v>10726</v>
      </c>
      <c r="D728" s="28" t="s">
        <v>10727</v>
      </c>
      <c r="E728" s="28" t="str">
        <f>IFERROR(__xludf.DUMMYFUNCTION("GOOGLETRANSLATE(D728,""zh-CN"",""vi"")"),"Anh ta uống một lon bia.")</f>
        <v>Anh ta uống một lon bia.</v>
      </c>
      <c r="F728" s="128"/>
      <c r="G728" s="36" t="b">
        <f t="shared" si="1"/>
        <v>0</v>
      </c>
      <c r="H728" s="35" t="b">
        <v>1</v>
      </c>
      <c r="I728" s="35" t="b">
        <v>0</v>
      </c>
      <c r="J728" s="35" t="b">
        <v>0</v>
      </c>
      <c r="K728" s="35" t="b">
        <v>0</v>
      </c>
      <c r="L728" s="35" t="b">
        <v>0</v>
      </c>
      <c r="M728" s="35" t="b">
        <v>0</v>
      </c>
      <c r="N728" s="35" t="b">
        <v>0</v>
      </c>
      <c r="O728" s="35" t="b">
        <v>0</v>
      </c>
      <c r="P728" s="35" t="b">
        <v>0</v>
      </c>
      <c r="Q728" s="35" t="b">
        <v>0</v>
      </c>
      <c r="R728" s="14"/>
      <c r="S728" s="14"/>
      <c r="T728" s="14"/>
      <c r="U728" s="14"/>
      <c r="V728" s="14"/>
      <c r="W728" s="14"/>
    </row>
    <row r="729" ht="31.5" customHeight="1">
      <c r="A729" s="109" t="s">
        <v>10732</v>
      </c>
      <c r="B729" s="110" t="s">
        <v>10733</v>
      </c>
      <c r="C729" s="111" t="s">
        <v>10734</v>
      </c>
      <c r="D729" s="28" t="s">
        <v>10735</v>
      </c>
      <c r="E729" s="28" t="str">
        <f>IFERROR(__xludf.DUMMYFUNCTION("GOOGLETRANSLATE(D729,""zh-CN"",""vi"")"),"Chúng ta cần thực hiện kế hoạch này.")</f>
        <v>Chúng ta cần thực hiện kế hoạch này.</v>
      </c>
      <c r="F729" s="128"/>
      <c r="G729" s="36" t="b">
        <f t="shared" si="1"/>
        <v>0</v>
      </c>
      <c r="H729" s="35" t="b">
        <v>1</v>
      </c>
      <c r="I729" s="35" t="b">
        <v>0</v>
      </c>
      <c r="J729" s="35" t="b">
        <v>0</v>
      </c>
      <c r="K729" s="35" t="b">
        <v>0</v>
      </c>
      <c r="L729" s="35" t="b">
        <v>0</v>
      </c>
      <c r="M729" s="35" t="b">
        <v>0</v>
      </c>
      <c r="N729" s="35" t="b">
        <v>0</v>
      </c>
      <c r="O729" s="35" t="b">
        <v>0</v>
      </c>
      <c r="P729" s="35" t="b">
        <v>0</v>
      </c>
      <c r="Q729" s="35" t="b">
        <v>0</v>
      </c>
      <c r="R729" s="14"/>
      <c r="S729" s="14"/>
      <c r="T729" s="14"/>
      <c r="U729" s="14"/>
      <c r="V729" s="14"/>
      <c r="W729" s="14"/>
    </row>
    <row r="730" ht="31.5" customHeight="1">
      <c r="A730" s="109" t="s">
        <v>10738</v>
      </c>
      <c r="B730" s="110" t="s">
        <v>10741</v>
      </c>
      <c r="C730" s="111" t="s">
        <v>10742</v>
      </c>
      <c r="D730" s="28" t="s">
        <v>10743</v>
      </c>
      <c r="E730" s="28" t="str">
        <f>IFERROR(__xludf.DUMMYFUNCTION("GOOGLETRANSLATE(D730,""zh-CN"",""vi"")"),"Nông dân đang tưới tiêu cho ruộng đồng của họ.")</f>
        <v>Nông dân đang tưới tiêu cho ruộng đồng của họ.</v>
      </c>
      <c r="F730" s="128"/>
      <c r="G730" s="36" t="b">
        <f t="shared" si="1"/>
        <v>0</v>
      </c>
      <c r="H730" s="35" t="b">
        <v>1</v>
      </c>
      <c r="I730" s="35" t="b">
        <v>0</v>
      </c>
      <c r="J730" s="35" t="b">
        <v>0</v>
      </c>
      <c r="K730" s="35" t="b">
        <v>0</v>
      </c>
      <c r="L730" s="35" t="b">
        <v>0</v>
      </c>
      <c r="M730" s="35" t="b">
        <v>0</v>
      </c>
      <c r="N730" s="35" t="b">
        <v>0</v>
      </c>
      <c r="O730" s="35" t="b">
        <v>0</v>
      </c>
      <c r="P730" s="35" t="b">
        <v>0</v>
      </c>
      <c r="Q730" s="35" t="b">
        <v>0</v>
      </c>
      <c r="R730" s="14"/>
      <c r="S730" s="14"/>
      <c r="T730" s="14"/>
      <c r="U730" s="14"/>
      <c r="V730" s="14"/>
      <c r="W730" s="14"/>
    </row>
    <row r="731" ht="31.5" customHeight="1">
      <c r="A731" s="109" t="s">
        <v>10744</v>
      </c>
      <c r="B731" s="110" t="s">
        <v>10745</v>
      </c>
      <c r="C731" s="111" t="s">
        <v>10746</v>
      </c>
      <c r="D731" s="28" t="s">
        <v>10748</v>
      </c>
      <c r="E731" s="28" t="str">
        <f>IFERROR(__xludf.DUMMYFUNCTION("GOOGLETRANSLATE(D731,""zh-CN"",""vi"")"),"Theo truyền thống, lễ hội này được tổ chức trong ba ngày.")</f>
        <v>Theo truyền thống, lễ hội này được tổ chức trong ba ngày.</v>
      </c>
      <c r="F731" s="128"/>
      <c r="G731" s="36" t="b">
        <f t="shared" si="1"/>
        <v>0</v>
      </c>
      <c r="H731" s="35" t="b">
        <v>1</v>
      </c>
      <c r="I731" s="35" t="b">
        <v>0</v>
      </c>
      <c r="J731" s="35" t="b">
        <v>0</v>
      </c>
      <c r="K731" s="35" t="b">
        <v>0</v>
      </c>
      <c r="L731" s="35" t="b">
        <v>0</v>
      </c>
      <c r="M731" s="35" t="b">
        <v>0</v>
      </c>
      <c r="N731" s="35" t="b">
        <v>0</v>
      </c>
      <c r="O731" s="35" t="b">
        <v>0</v>
      </c>
      <c r="P731" s="35" t="b">
        <v>0</v>
      </c>
      <c r="Q731" s="35" t="b">
        <v>0</v>
      </c>
      <c r="R731" s="14"/>
      <c r="S731" s="14"/>
      <c r="T731" s="14"/>
      <c r="U731" s="14"/>
      <c r="V731" s="14"/>
      <c r="W731" s="14"/>
    </row>
    <row r="732" ht="31.5" customHeight="1">
      <c r="A732" s="109" t="s">
        <v>10753</v>
      </c>
      <c r="B732" s="110" t="s">
        <v>10755</v>
      </c>
      <c r="C732" s="111" t="s">
        <v>10757</v>
      </c>
      <c r="D732" s="28" t="s">
        <v>10759</v>
      </c>
      <c r="E732" s="28" t="str">
        <f>IFERROR(__xludf.DUMMYFUNCTION("GOOGLETRANSLATE(D732,""zh-CN"",""vi"")"),"Khuôn mặt anh ấy rạng rỡ.")</f>
        <v>Khuôn mặt anh ấy rạng rỡ.</v>
      </c>
      <c r="F732" s="128"/>
      <c r="G732" s="36" t="b">
        <f t="shared" si="1"/>
        <v>0</v>
      </c>
      <c r="H732" s="35" t="b">
        <v>1</v>
      </c>
      <c r="I732" s="35" t="b">
        <v>0</v>
      </c>
      <c r="J732" s="35" t="b">
        <v>0</v>
      </c>
      <c r="K732" s="35" t="b">
        <v>0</v>
      </c>
      <c r="L732" s="35" t="b">
        <v>0</v>
      </c>
      <c r="M732" s="35" t="b">
        <v>0</v>
      </c>
      <c r="N732" s="35" t="b">
        <v>0</v>
      </c>
      <c r="O732" s="35" t="b">
        <v>0</v>
      </c>
      <c r="P732" s="35" t="b">
        <v>0</v>
      </c>
      <c r="Q732" s="35" t="b">
        <v>0</v>
      </c>
      <c r="R732" s="14"/>
      <c r="S732" s="14"/>
      <c r="T732" s="14"/>
      <c r="U732" s="14"/>
      <c r="V732" s="14"/>
      <c r="W732" s="14"/>
    </row>
    <row r="733" ht="31.5" customHeight="1">
      <c r="A733" s="109" t="s">
        <v>10771</v>
      </c>
      <c r="B733" s="110" t="s">
        <v>10772</v>
      </c>
      <c r="C733" s="111" t="s">
        <v>10773</v>
      </c>
      <c r="D733" s="28" t="s">
        <v>10774</v>
      </c>
      <c r="E733" s="28" t="str">
        <f>IFERROR(__xludf.DUMMYFUNCTION("GOOGLETRANSLATE(D733,""zh-CN"",""vi"")"),"Ánh nắng mặt trời chiếu sáng toàn bộ thành phố.")</f>
        <v>Ánh nắng mặt trời chiếu sáng toàn bộ thành phố.</v>
      </c>
      <c r="F733" s="128"/>
      <c r="G733" s="36" t="b">
        <f t="shared" si="1"/>
        <v>0</v>
      </c>
      <c r="H733" s="35" t="b">
        <v>1</v>
      </c>
      <c r="I733" s="35" t="b">
        <v>0</v>
      </c>
      <c r="J733" s="35" t="b">
        <v>0</v>
      </c>
      <c r="K733" s="35" t="b">
        <v>0</v>
      </c>
      <c r="L733" s="35" t="b">
        <v>0</v>
      </c>
      <c r="M733" s="35" t="b">
        <v>0</v>
      </c>
      <c r="N733" s="35" t="b">
        <v>0</v>
      </c>
      <c r="O733" s="35" t="b">
        <v>0</v>
      </c>
      <c r="P733" s="35" t="b">
        <v>0</v>
      </c>
      <c r="Q733" s="35" t="b">
        <v>0</v>
      </c>
      <c r="R733" s="14"/>
      <c r="S733" s="14"/>
      <c r="T733" s="14"/>
      <c r="U733" s="14"/>
      <c r="V733" s="14"/>
      <c r="W733" s="14"/>
    </row>
    <row r="734" ht="31.5" customHeight="1">
      <c r="A734" s="109" t="s">
        <v>10779</v>
      </c>
      <c r="B734" s="110" t="s">
        <v>10780</v>
      </c>
      <c r="C734" s="111" t="s">
        <v>10781</v>
      </c>
      <c r="D734" s="28" t="s">
        <v>10782</v>
      </c>
      <c r="E734" s="28" t="str">
        <f>IFERROR(__xludf.DUMMYFUNCTION("GOOGLETRANSLATE(D734,""zh-CN"",""vi"")"),"Đôi mắt cô ấy lấp lánh.")</f>
        <v>Đôi mắt cô ấy lấp lánh.</v>
      </c>
      <c r="F734" s="128"/>
      <c r="G734" s="36" t="b">
        <f t="shared" si="1"/>
        <v>0</v>
      </c>
      <c r="H734" s="35" t="b">
        <v>1</v>
      </c>
      <c r="I734" s="35" t="b">
        <v>0</v>
      </c>
      <c r="J734" s="35" t="b">
        <v>0</v>
      </c>
      <c r="K734" s="35" t="b">
        <v>0</v>
      </c>
      <c r="L734" s="35" t="b">
        <v>0</v>
      </c>
      <c r="M734" s="35" t="b">
        <v>0</v>
      </c>
      <c r="N734" s="35" t="b">
        <v>0</v>
      </c>
      <c r="O734" s="35" t="b">
        <v>0</v>
      </c>
      <c r="P734" s="35" t="b">
        <v>0</v>
      </c>
      <c r="Q734" s="35" t="b">
        <v>0</v>
      </c>
      <c r="R734" s="14"/>
      <c r="S734" s="14"/>
      <c r="T734" s="14"/>
      <c r="U734" s="14"/>
      <c r="V734" s="14"/>
      <c r="W734" s="14"/>
    </row>
    <row r="735" ht="31.5" customHeight="1">
      <c r="A735" s="109" t="s">
        <v>10787</v>
      </c>
      <c r="B735" s="110" t="s">
        <v>10788</v>
      </c>
      <c r="C735" s="111" t="s">
        <v>10789</v>
      </c>
      <c r="D735" s="28" t="s">
        <v>10790</v>
      </c>
      <c r="E735" s="28" t="str">
        <f>IFERROR(__xludf.DUMMYFUNCTION("GOOGLETRANSLATE(D735,""zh-CN"",""vi"")"),"Những thảo nguyên rộng lớn thật ngoạn mục.")</f>
        <v>Những thảo nguyên rộng lớn thật ngoạn mục.</v>
      </c>
      <c r="F735" s="128"/>
      <c r="G735" s="36" t="b">
        <f t="shared" si="1"/>
        <v>0</v>
      </c>
      <c r="H735" s="35" t="b">
        <v>1</v>
      </c>
      <c r="I735" s="35" t="b">
        <v>0</v>
      </c>
      <c r="J735" s="35" t="b">
        <v>0</v>
      </c>
      <c r="K735" s="35" t="b">
        <v>0</v>
      </c>
      <c r="L735" s="35" t="b">
        <v>0</v>
      </c>
      <c r="M735" s="35" t="b">
        <v>0</v>
      </c>
      <c r="N735" s="35" t="b">
        <v>0</v>
      </c>
      <c r="O735" s="35" t="b">
        <v>0</v>
      </c>
      <c r="P735" s="35" t="b">
        <v>0</v>
      </c>
      <c r="Q735" s="35" t="b">
        <v>0</v>
      </c>
      <c r="R735" s="14"/>
      <c r="S735" s="14"/>
      <c r="T735" s="14"/>
      <c r="U735" s="14"/>
      <c r="V735" s="14"/>
      <c r="W735" s="14"/>
    </row>
    <row r="736" ht="31.5" customHeight="1">
      <c r="A736" s="109" t="s">
        <v>10795</v>
      </c>
      <c r="B736" s="110" t="s">
        <v>10796</v>
      </c>
      <c r="C736" s="111" t="s">
        <v>10797</v>
      </c>
      <c r="D736" s="28" t="s">
        <v>10798</v>
      </c>
      <c r="E736" s="28" t="str">
        <f>IFERROR(__xludf.DUMMYFUNCTION("GOOGLETRANSLATE(D736,""zh-CN"",""vi"")"),"Chúng ta phải tuân thủ các quy tắc.")</f>
        <v>Chúng ta phải tuân thủ các quy tắc.</v>
      </c>
      <c r="F736" s="128"/>
      <c r="G736" s="36" t="b">
        <f t="shared" si="1"/>
        <v>0</v>
      </c>
      <c r="H736" s="35" t="b">
        <v>1</v>
      </c>
      <c r="I736" s="35" t="b">
        <v>0</v>
      </c>
      <c r="J736" s="35" t="b">
        <v>0</v>
      </c>
      <c r="K736" s="35" t="b">
        <v>0</v>
      </c>
      <c r="L736" s="35" t="b">
        <v>0</v>
      </c>
      <c r="M736" s="35" t="b">
        <v>0</v>
      </c>
      <c r="N736" s="35" t="b">
        <v>0</v>
      </c>
      <c r="O736" s="35" t="b">
        <v>0</v>
      </c>
      <c r="P736" s="35" t="b">
        <v>0</v>
      </c>
      <c r="Q736" s="35" t="b">
        <v>0</v>
      </c>
      <c r="R736" s="14"/>
      <c r="S736" s="14"/>
      <c r="T736" s="14"/>
      <c r="U736" s="14"/>
      <c r="V736" s="14"/>
      <c r="W736" s="14"/>
    </row>
    <row r="737" ht="31.5" customHeight="1">
      <c r="A737" s="109" t="s">
        <v>10803</v>
      </c>
      <c r="B737" s="110" t="s">
        <v>10804</v>
      </c>
      <c r="C737" s="111" t="s">
        <v>10805</v>
      </c>
      <c r="D737" s="28" t="s">
        <v>10806</v>
      </c>
      <c r="E737" s="28" t="str">
        <f>IFERROR(__xludf.DUMMYFUNCTION("GOOGLETRANSLATE(D737,""zh-CN"",""vi"")"),"Thông số kỹ thuật sản phẩm phải đáp ứng các tiêu chuẩn.")</f>
        <v>Thông số kỹ thuật sản phẩm phải đáp ứng các tiêu chuẩn.</v>
      </c>
      <c r="F737" s="128"/>
      <c r="G737" s="36" t="b">
        <f t="shared" si="1"/>
        <v>0</v>
      </c>
      <c r="H737" s="35" t="b">
        <v>1</v>
      </c>
      <c r="I737" s="35" t="b">
        <v>0</v>
      </c>
      <c r="J737" s="35" t="b">
        <v>0</v>
      </c>
      <c r="K737" s="35" t="b">
        <v>0</v>
      </c>
      <c r="L737" s="35" t="b">
        <v>0</v>
      </c>
      <c r="M737" s="35" t="b">
        <v>0</v>
      </c>
      <c r="N737" s="35" t="b">
        <v>0</v>
      </c>
      <c r="O737" s="35" t="b">
        <v>0</v>
      </c>
      <c r="P737" s="35" t="b">
        <v>0</v>
      </c>
      <c r="Q737" s="35" t="b">
        <v>0</v>
      </c>
      <c r="R737" s="14"/>
      <c r="S737" s="14"/>
      <c r="T737" s="14"/>
      <c r="U737" s="14"/>
      <c r="V737" s="14"/>
      <c r="W737" s="14"/>
    </row>
    <row r="738" ht="31.5" customHeight="1">
      <c r="A738" s="109" t="s">
        <v>10811</v>
      </c>
      <c r="B738" s="110" t="s">
        <v>10812</v>
      </c>
      <c r="C738" s="111" t="s">
        <v>10813</v>
      </c>
      <c r="D738" s="28" t="s">
        <v>10814</v>
      </c>
      <c r="E738" s="28" t="str">
        <f>IFERROR(__xludf.DUMMYFUNCTION("GOOGLETRANSLATE(D738,""zh-CN"",""vi"")"),"Tóm lại, đây là vấn đề về thái độ.")</f>
        <v>Tóm lại, đây là vấn đề về thái độ.</v>
      </c>
      <c r="F738" s="128"/>
      <c r="G738" s="36" t="b">
        <f t="shared" si="1"/>
        <v>0</v>
      </c>
      <c r="H738" s="35" t="b">
        <v>1</v>
      </c>
      <c r="I738" s="35" t="b">
        <v>0</v>
      </c>
      <c r="J738" s="35" t="b">
        <v>0</v>
      </c>
      <c r="K738" s="35" t="b">
        <v>0</v>
      </c>
      <c r="L738" s="35" t="b">
        <v>0</v>
      </c>
      <c r="M738" s="35" t="b">
        <v>0</v>
      </c>
      <c r="N738" s="35" t="b">
        <v>0</v>
      </c>
      <c r="O738" s="35" t="b">
        <v>0</v>
      </c>
      <c r="P738" s="35" t="b">
        <v>0</v>
      </c>
      <c r="Q738" s="35" t="b">
        <v>0</v>
      </c>
      <c r="R738" s="14"/>
      <c r="S738" s="14"/>
      <c r="T738" s="14"/>
      <c r="U738" s="14"/>
      <c r="V738" s="14"/>
      <c r="W738" s="14"/>
    </row>
    <row r="739" ht="31.5" customHeight="1">
      <c r="A739" s="109" t="s">
        <v>10819</v>
      </c>
      <c r="B739" s="110" t="s">
        <v>10820</v>
      </c>
      <c r="C739" s="111" t="s">
        <v>10821</v>
      </c>
      <c r="D739" s="28" t="s">
        <v>10822</v>
      </c>
      <c r="E739" s="28" t="str">
        <f>IFERROR(__xludf.DUMMYFUNCTION("GOOGLETRANSLATE(D739,""zh-CN"",""vi"")"),"Chúng tôi đang lên kế hoạch cho công việc năm tới.")</f>
        <v>Chúng tôi đang lên kế hoạch cho công việc năm tới.</v>
      </c>
      <c r="F739" s="128"/>
      <c r="G739" s="36" t="b">
        <f t="shared" si="1"/>
        <v>0</v>
      </c>
      <c r="H739" s="35" t="b">
        <v>1</v>
      </c>
      <c r="I739" s="35" t="b">
        <v>0</v>
      </c>
      <c r="J739" s="35" t="b">
        <v>0</v>
      </c>
      <c r="K739" s="35" t="b">
        <v>0</v>
      </c>
      <c r="L739" s="35" t="b">
        <v>0</v>
      </c>
      <c r="M739" s="35" t="b">
        <v>0</v>
      </c>
      <c r="N739" s="35" t="b">
        <v>0</v>
      </c>
      <c r="O739" s="35" t="b">
        <v>0</v>
      </c>
      <c r="P739" s="35" t="b">
        <v>0</v>
      </c>
      <c r="Q739" s="35" t="b">
        <v>0</v>
      </c>
      <c r="R739" s="14"/>
      <c r="S739" s="14"/>
      <c r="T739" s="14"/>
      <c r="U739" s="14"/>
      <c r="V739" s="14"/>
      <c r="W739" s="14"/>
    </row>
    <row r="740" ht="31.5" customHeight="1">
      <c r="A740" s="109" t="s">
        <v>10827</v>
      </c>
      <c r="B740" s="110" t="s">
        <v>10828</v>
      </c>
      <c r="C740" s="111" t="s">
        <v>10829</v>
      </c>
      <c r="D740" s="28" t="s">
        <v>10830</v>
      </c>
      <c r="E740" s="28" t="str">
        <f>IFERROR(__xludf.DUMMYFUNCTION("GOOGLETRANSLATE(D740,""zh-CN"",""vi"")"),"Vui lòng trả lại sách đã mượn.")</f>
        <v>Vui lòng trả lại sách đã mượn.</v>
      </c>
      <c r="F740" s="128"/>
      <c r="G740" s="36" t="b">
        <f t="shared" si="1"/>
        <v>0</v>
      </c>
      <c r="H740" s="35" t="b">
        <v>1</v>
      </c>
      <c r="I740" s="35" t="b">
        <v>0</v>
      </c>
      <c r="J740" s="35" t="b">
        <v>0</v>
      </c>
      <c r="K740" s="35" t="b">
        <v>0</v>
      </c>
      <c r="L740" s="35" t="b">
        <v>0</v>
      </c>
      <c r="M740" s="35" t="b">
        <v>0</v>
      </c>
      <c r="N740" s="35" t="b">
        <v>0</v>
      </c>
      <c r="O740" s="35" t="b">
        <v>0</v>
      </c>
      <c r="P740" s="35" t="b">
        <v>0</v>
      </c>
      <c r="Q740" s="35" t="b">
        <v>0</v>
      </c>
      <c r="R740" s="14"/>
      <c r="S740" s="14"/>
      <c r="T740" s="14"/>
      <c r="U740" s="14"/>
      <c r="V740" s="14"/>
      <c r="W740" s="14"/>
    </row>
    <row r="741" ht="31.5" customHeight="1">
      <c r="A741" s="109" t="s">
        <v>6895</v>
      </c>
      <c r="B741" s="110" t="s">
        <v>6897</v>
      </c>
      <c r="C741" s="111" t="s">
        <v>10835</v>
      </c>
      <c r="D741" s="28" t="s">
        <v>10836</v>
      </c>
      <c r="E741" s="28" t="str">
        <f>IFERROR(__xludf.DUMMYFUNCTION("GOOGLETRANSLATE(D741,""zh-CN"",""vi"")"),"Bài viết này tóm tắt những điểm chính.")</f>
        <v>Bài viết này tóm tắt những điểm chính.</v>
      </c>
      <c r="F741" s="128"/>
      <c r="G741" s="36" t="b">
        <f t="shared" si="1"/>
        <v>0</v>
      </c>
      <c r="H741" s="35" t="b">
        <v>1</v>
      </c>
      <c r="I741" s="35" t="b">
        <v>0</v>
      </c>
      <c r="J741" s="35" t="b">
        <v>0</v>
      </c>
      <c r="K741" s="35" t="b">
        <v>0</v>
      </c>
      <c r="L741" s="35" t="b">
        <v>0</v>
      </c>
      <c r="M741" s="35" t="b">
        <v>0</v>
      </c>
      <c r="N741" s="35" t="b">
        <v>0</v>
      </c>
      <c r="O741" s="35" t="b">
        <v>0</v>
      </c>
      <c r="P741" s="35" t="b">
        <v>0</v>
      </c>
      <c r="Q741" s="35" t="b">
        <v>0</v>
      </c>
      <c r="R741" s="14"/>
      <c r="S741" s="14"/>
      <c r="T741" s="14"/>
      <c r="U741" s="14"/>
      <c r="V741" s="14"/>
      <c r="W741" s="14"/>
    </row>
    <row r="742" ht="31.5" customHeight="1">
      <c r="A742" s="109" t="s">
        <v>10841</v>
      </c>
      <c r="B742" s="110" t="s">
        <v>10842</v>
      </c>
      <c r="C742" s="111" t="s">
        <v>10843</v>
      </c>
      <c r="D742" s="28" t="s">
        <v>10844</v>
      </c>
      <c r="E742" s="28" t="str">
        <f>IFERROR(__xludf.DUMMYFUNCTION("GOOGLETRANSLATE(D742,""zh-CN"",""vi"")"),"Chúng ta phải tuân thủ các quy tắc và quy định của công ty.")</f>
        <v>Chúng ta phải tuân thủ các quy tắc và quy định của công ty.</v>
      </c>
      <c r="F742" s="128"/>
      <c r="G742" s="36" t="b">
        <f t="shared" si="1"/>
        <v>0</v>
      </c>
      <c r="H742" s="35" t="b">
        <v>1</v>
      </c>
      <c r="I742" s="35" t="b">
        <v>0</v>
      </c>
      <c r="J742" s="35" t="b">
        <v>0</v>
      </c>
      <c r="K742" s="35" t="b">
        <v>0</v>
      </c>
      <c r="L742" s="35" t="b">
        <v>0</v>
      </c>
      <c r="M742" s="35" t="b">
        <v>0</v>
      </c>
      <c r="N742" s="35" t="b">
        <v>0</v>
      </c>
      <c r="O742" s="35" t="b">
        <v>0</v>
      </c>
      <c r="P742" s="35" t="b">
        <v>0</v>
      </c>
      <c r="Q742" s="35" t="b">
        <v>0</v>
      </c>
      <c r="R742" s="14"/>
      <c r="S742" s="14"/>
      <c r="T742" s="14"/>
      <c r="U742" s="14"/>
      <c r="V742" s="14"/>
      <c r="W742" s="14"/>
    </row>
    <row r="743" ht="31.5" customHeight="1">
      <c r="A743" s="109" t="s">
        <v>10849</v>
      </c>
      <c r="B743" s="110" t="s">
        <v>10850</v>
      </c>
      <c r="C743" s="111" t="s">
        <v>10851</v>
      </c>
      <c r="D743" s="28" t="s">
        <v>10852</v>
      </c>
      <c r="E743" s="28" t="str">
        <f>IFERROR(__xludf.DUMMYFUNCTION("GOOGLETRANSLATE(D743,""zh-CN"",""vi"")"),"Đoàn tàu đang chạy trên đường ray.")</f>
        <v>Đoàn tàu đang chạy trên đường ray.</v>
      </c>
      <c r="F743" s="128"/>
      <c r="G743" s="36" t="b">
        <f t="shared" si="1"/>
        <v>0</v>
      </c>
      <c r="H743" s="35" t="b">
        <v>1</v>
      </c>
      <c r="I743" s="35" t="b">
        <v>0</v>
      </c>
      <c r="J743" s="35" t="b">
        <v>0</v>
      </c>
      <c r="K743" s="35" t="b">
        <v>0</v>
      </c>
      <c r="L743" s="35" t="b">
        <v>0</v>
      </c>
      <c r="M743" s="35" t="b">
        <v>0</v>
      </c>
      <c r="N743" s="35" t="b">
        <v>0</v>
      </c>
      <c r="O743" s="35" t="b">
        <v>0</v>
      </c>
      <c r="P743" s="35" t="b">
        <v>0</v>
      </c>
      <c r="Q743" s="35" t="b">
        <v>0</v>
      </c>
      <c r="R743" s="14"/>
      <c r="S743" s="14"/>
      <c r="T743" s="14"/>
      <c r="U743" s="14"/>
      <c r="V743" s="14"/>
      <c r="W743" s="14"/>
    </row>
    <row r="744" ht="31.5" customHeight="1">
      <c r="A744" s="109" t="s">
        <v>10857</v>
      </c>
      <c r="B744" s="110" t="s">
        <v>758</v>
      </c>
      <c r="C744" s="111" t="s">
        <v>10859</v>
      </c>
      <c r="D744" s="28" t="s">
        <v>10861</v>
      </c>
      <c r="E744" s="28" t="str">
        <f>IFERROR(__xludf.DUMMYFUNCTION("GOOGLETRANSLATE(D744,""zh-CN"",""vi"")"),"Ông quỳ xuống đất và cầu xin sự tha thứ.")</f>
        <v>Ông quỳ xuống đất và cầu xin sự tha thứ.</v>
      </c>
      <c r="F744" s="128"/>
      <c r="G744" s="36" t="b">
        <f t="shared" si="1"/>
        <v>0</v>
      </c>
      <c r="H744" s="35" t="b">
        <v>1</v>
      </c>
      <c r="I744" s="35" t="b">
        <v>0</v>
      </c>
      <c r="J744" s="35" t="b">
        <v>0</v>
      </c>
      <c r="K744" s="35" t="b">
        <v>0</v>
      </c>
      <c r="L744" s="35" t="b">
        <v>0</v>
      </c>
      <c r="M744" s="35" t="b">
        <v>0</v>
      </c>
      <c r="N744" s="35" t="b">
        <v>0</v>
      </c>
      <c r="O744" s="35" t="b">
        <v>0</v>
      </c>
      <c r="P744" s="35" t="b">
        <v>0</v>
      </c>
      <c r="Q744" s="35" t="b">
        <v>0</v>
      </c>
      <c r="R744" s="14"/>
      <c r="S744" s="14"/>
      <c r="T744" s="14"/>
      <c r="U744" s="14"/>
      <c r="V744" s="14"/>
      <c r="W744" s="14"/>
    </row>
    <row r="745" ht="31.5" customHeight="1">
      <c r="A745" s="109" t="s">
        <v>10864</v>
      </c>
      <c r="B745" s="110" t="s">
        <v>10866</v>
      </c>
      <c r="C745" s="111" t="s">
        <v>10868</v>
      </c>
      <c r="D745" s="28" t="s">
        <v>10870</v>
      </c>
      <c r="E745" s="28" t="str">
        <f>IFERROR(__xludf.DUMMYFUNCTION("GOOGLETRANSLATE(D745,""zh-CN"",""vi"")"),"Ông ta là một quý tộc đích thực.")</f>
        <v>Ông ta là một quý tộc đích thực.</v>
      </c>
      <c r="F745" s="128"/>
      <c r="G745" s="36" t="b">
        <f t="shared" si="1"/>
        <v>0</v>
      </c>
      <c r="H745" s="35" t="b">
        <v>1</v>
      </c>
      <c r="I745" s="35" t="b">
        <v>0</v>
      </c>
      <c r="J745" s="35" t="b">
        <v>0</v>
      </c>
      <c r="K745" s="35" t="b">
        <v>0</v>
      </c>
      <c r="L745" s="35" t="b">
        <v>0</v>
      </c>
      <c r="M745" s="35" t="b">
        <v>0</v>
      </c>
      <c r="N745" s="35" t="b">
        <v>0</v>
      </c>
      <c r="O745" s="35" t="b">
        <v>0</v>
      </c>
      <c r="P745" s="35" t="b">
        <v>0</v>
      </c>
      <c r="Q745" s="35" t="b">
        <v>0</v>
      </c>
      <c r="R745" s="14"/>
      <c r="S745" s="14"/>
      <c r="T745" s="14"/>
      <c r="U745" s="14"/>
      <c r="V745" s="14"/>
      <c r="W745" s="14"/>
    </row>
    <row r="746" ht="31.5" customHeight="1">
      <c r="A746" s="109" t="s">
        <v>10872</v>
      </c>
      <c r="B746" s="110" t="s">
        <v>10874</v>
      </c>
      <c r="C746" s="111" t="s">
        <v>10876</v>
      </c>
      <c r="D746" s="28" t="s">
        <v>10878</v>
      </c>
      <c r="E746" s="28" t="str">
        <f>IFERROR(__xludf.DUMMYFUNCTION("GOOGLETRANSLATE(D746,""zh-CN"",""vi"")"),"Anh ta đập vỡ cửa sổ bằng một cái gậy.")</f>
        <v>Anh ta đập vỡ cửa sổ bằng một cái gậy.</v>
      </c>
      <c r="F746" s="128"/>
      <c r="G746" s="36" t="b">
        <f t="shared" si="1"/>
        <v>0</v>
      </c>
      <c r="H746" s="35" t="b">
        <v>1</v>
      </c>
      <c r="I746" s="35" t="b">
        <v>0</v>
      </c>
      <c r="J746" s="35" t="b">
        <v>0</v>
      </c>
      <c r="K746" s="35" t="b">
        <v>0</v>
      </c>
      <c r="L746" s="35" t="b">
        <v>0</v>
      </c>
      <c r="M746" s="35" t="b">
        <v>0</v>
      </c>
      <c r="N746" s="35" t="b">
        <v>0</v>
      </c>
      <c r="O746" s="35" t="b">
        <v>0</v>
      </c>
      <c r="P746" s="35" t="b">
        <v>0</v>
      </c>
      <c r="Q746" s="35" t="b">
        <v>0</v>
      </c>
      <c r="R746" s="14"/>
      <c r="S746" s="14"/>
      <c r="T746" s="14"/>
      <c r="U746" s="14"/>
      <c r="V746" s="14"/>
      <c r="W746" s="14"/>
    </row>
    <row r="747" ht="31.5" customHeight="1">
      <c r="A747" s="109" t="s">
        <v>10884</v>
      </c>
      <c r="B747" s="110" t="s">
        <v>10885</v>
      </c>
      <c r="C747" s="111" t="s">
        <v>10886</v>
      </c>
      <c r="D747" s="28" t="s">
        <v>10887</v>
      </c>
      <c r="E747" s="28" t="str">
        <f>IFERROR(__xludf.DUMMYFUNCTION("GOOGLETRANSLATE(D747,""zh-CN"",""vi"")"),"Quốc phòng là một sự đảm bảo quan trọng cho an ninh quốc gia.")</f>
        <v>Quốc phòng là một sự đảm bảo quan trọng cho an ninh quốc gia.</v>
      </c>
      <c r="F747" s="128"/>
      <c r="G747" s="36" t="b">
        <f t="shared" si="1"/>
        <v>0</v>
      </c>
      <c r="H747" s="35" t="b">
        <v>1</v>
      </c>
      <c r="I747" s="35" t="b">
        <v>0</v>
      </c>
      <c r="J747" s="35" t="b">
        <v>0</v>
      </c>
      <c r="K747" s="35" t="b">
        <v>0</v>
      </c>
      <c r="L747" s="35" t="b">
        <v>0</v>
      </c>
      <c r="M747" s="35" t="b">
        <v>0</v>
      </c>
      <c r="N747" s="35" t="b">
        <v>0</v>
      </c>
      <c r="O747" s="35" t="b">
        <v>0</v>
      </c>
      <c r="P747" s="35" t="b">
        <v>0</v>
      </c>
      <c r="Q747" s="35" t="b">
        <v>0</v>
      </c>
      <c r="R747" s="14"/>
      <c r="S747" s="14"/>
      <c r="T747" s="14"/>
      <c r="U747" s="14"/>
      <c r="V747" s="14"/>
      <c r="W747" s="14"/>
    </row>
    <row r="748" ht="31.5" customHeight="1">
      <c r="A748" s="109" t="s">
        <v>10892</v>
      </c>
      <c r="B748" s="110" t="s">
        <v>10893</v>
      </c>
      <c r="C748" s="111" t="s">
        <v>10894</v>
      </c>
      <c r="D748" s="28" t="s">
        <v>10895</v>
      </c>
      <c r="E748" s="28" t="str">
        <f>IFERROR(__xludf.DUMMYFUNCTION("GOOGLETRANSLATE(D748,""zh-CN"",""vi"")"),"Hội đồng Nhà nước đã ban hành các chính sách mới.")</f>
        <v>Hội đồng Nhà nước đã ban hành các chính sách mới.</v>
      </c>
      <c r="F748" s="128"/>
      <c r="G748" s="36" t="b">
        <f t="shared" si="1"/>
        <v>0</v>
      </c>
      <c r="H748" s="35" t="b">
        <v>1</v>
      </c>
      <c r="I748" s="35" t="b">
        <v>0</v>
      </c>
      <c r="J748" s="35" t="b">
        <v>0</v>
      </c>
      <c r="K748" s="35" t="b">
        <v>0</v>
      </c>
      <c r="L748" s="35" t="b">
        <v>0</v>
      </c>
      <c r="M748" s="35" t="b">
        <v>0</v>
      </c>
      <c r="N748" s="35" t="b">
        <v>0</v>
      </c>
      <c r="O748" s="35" t="b">
        <v>0</v>
      </c>
      <c r="P748" s="35" t="b">
        <v>0</v>
      </c>
      <c r="Q748" s="35" t="b">
        <v>0</v>
      </c>
      <c r="R748" s="14"/>
      <c r="S748" s="14"/>
      <c r="T748" s="14"/>
      <c r="U748" s="14"/>
      <c r="V748" s="14"/>
      <c r="W748" s="14"/>
    </row>
    <row r="749" ht="31.5" customHeight="1">
      <c r="A749" s="109" t="s">
        <v>10900</v>
      </c>
      <c r="B749" s="110" t="s">
        <v>10901</v>
      </c>
      <c r="C749" s="111" t="s">
        <v>10902</v>
      </c>
      <c r="D749" s="28" t="s">
        <v>10903</v>
      </c>
      <c r="E749" s="28" t="str">
        <f>IFERROR(__xludf.DUMMYFUNCTION("GOOGLETRANSLATE(D749,""zh-CN"",""vi"")"),"Ông ấy đã đưa ra một quyết định dứt khoát.")</f>
        <v>Ông ấy đã đưa ra một quyết định dứt khoát.</v>
      </c>
      <c r="F749" s="128"/>
      <c r="G749" s="36" t="b">
        <f t="shared" si="1"/>
        <v>0</v>
      </c>
      <c r="H749" s="35" t="b">
        <v>1</v>
      </c>
      <c r="I749" s="35" t="b">
        <v>0</v>
      </c>
      <c r="J749" s="35" t="b">
        <v>0</v>
      </c>
      <c r="K749" s="35" t="b">
        <v>0</v>
      </c>
      <c r="L749" s="35" t="b">
        <v>0</v>
      </c>
      <c r="M749" s="35" t="b">
        <v>0</v>
      </c>
      <c r="N749" s="35" t="b">
        <v>0</v>
      </c>
      <c r="O749" s="35" t="b">
        <v>0</v>
      </c>
      <c r="P749" s="35" t="b">
        <v>0</v>
      </c>
      <c r="Q749" s="35" t="b">
        <v>0</v>
      </c>
      <c r="R749" s="14"/>
      <c r="S749" s="14"/>
      <c r="T749" s="14"/>
      <c r="U749" s="14"/>
      <c r="V749" s="14"/>
      <c r="W749" s="14"/>
    </row>
    <row r="750" ht="31.5" customHeight="1">
      <c r="A750" s="109" t="s">
        <v>10908</v>
      </c>
      <c r="B750" s="110" t="s">
        <v>10909</v>
      </c>
      <c r="C750" s="111" t="s">
        <v>10910</v>
      </c>
      <c r="D750" s="28" t="s">
        <v>10911</v>
      </c>
      <c r="E750" s="28" t="str">
        <f>IFERROR(__xludf.DUMMYFUNCTION("GOOGLETRANSLATE(D750,""zh-CN"",""vi"")"),"Chúng ta cần kiểm soát việc tiêu thụ quá mức.")</f>
        <v>Chúng ta cần kiểm soát việc tiêu thụ quá mức.</v>
      </c>
      <c r="F750" s="128"/>
      <c r="G750" s="36" t="b">
        <f t="shared" si="1"/>
        <v>0</v>
      </c>
      <c r="H750" s="35" t="b">
        <v>1</v>
      </c>
      <c r="I750" s="35" t="b">
        <v>0</v>
      </c>
      <c r="J750" s="35" t="b">
        <v>0</v>
      </c>
      <c r="K750" s="35" t="b">
        <v>0</v>
      </c>
      <c r="L750" s="35" t="b">
        <v>0</v>
      </c>
      <c r="M750" s="35" t="b">
        <v>0</v>
      </c>
      <c r="N750" s="35" t="b">
        <v>0</v>
      </c>
      <c r="O750" s="35" t="b">
        <v>0</v>
      </c>
      <c r="P750" s="35" t="b">
        <v>0</v>
      </c>
      <c r="Q750" s="35" t="b">
        <v>0</v>
      </c>
      <c r="R750" s="14"/>
      <c r="S750" s="14"/>
      <c r="T750" s="14"/>
      <c r="U750" s="14"/>
      <c r="V750" s="14"/>
      <c r="W750" s="14"/>
    </row>
    <row r="751" ht="31.5" customHeight="1">
      <c r="A751" s="109" t="s">
        <v>10916</v>
      </c>
      <c r="B751" s="110" t="s">
        <v>10909</v>
      </c>
      <c r="C751" s="111" t="s">
        <v>10917</v>
      </c>
      <c r="D751" s="28" t="s">
        <v>10918</v>
      </c>
      <c r="E751" s="28" t="str">
        <f>IFERROR(__xludf.DUMMYFUNCTION("GOOGLETRANSLATE(D751,""zh-CN"",""vi"")"),"Chúng ta cần một giai đoạn chuyển tiếp suôn sẻ.")</f>
        <v>Chúng ta cần một giai đoạn chuyển tiếp suôn sẻ.</v>
      </c>
      <c r="F751" s="128"/>
      <c r="G751" s="36" t="b">
        <f t="shared" si="1"/>
        <v>0</v>
      </c>
      <c r="H751" s="35" t="b">
        <v>1</v>
      </c>
      <c r="I751" s="35" t="b">
        <v>0</v>
      </c>
      <c r="J751" s="35" t="b">
        <v>0</v>
      </c>
      <c r="K751" s="35" t="b">
        <v>0</v>
      </c>
      <c r="L751" s="35" t="b">
        <v>0</v>
      </c>
      <c r="M751" s="35" t="b">
        <v>0</v>
      </c>
      <c r="N751" s="35" t="b">
        <v>0</v>
      </c>
      <c r="O751" s="35" t="b">
        <v>0</v>
      </c>
      <c r="P751" s="35" t="b">
        <v>0</v>
      </c>
      <c r="Q751" s="35" t="b">
        <v>0</v>
      </c>
      <c r="R751" s="14"/>
      <c r="S751" s="14"/>
      <c r="T751" s="14"/>
      <c r="U751" s="14"/>
      <c r="V751" s="14"/>
      <c r="W751" s="14"/>
    </row>
    <row r="752" ht="31.5" customHeight="1">
      <c r="A752" s="109" t="s">
        <v>10923</v>
      </c>
      <c r="B752" s="110" t="s">
        <v>10924</v>
      </c>
      <c r="C752" s="111" t="s">
        <v>10926</v>
      </c>
      <c r="D752" s="28" t="s">
        <v>10929</v>
      </c>
      <c r="E752" s="28" t="str">
        <f>IFERROR(__xludf.DUMMYFUNCTION("GOOGLETRANSLATE(D752,""zh-CN"",""vi"")"),"Bạn khen tôi quá lời rồi; tôi chỉ đang làm nhiệm vụ của mình thôi.")</f>
        <v>Bạn khen tôi quá lời rồi; tôi chỉ đang làm nhiệm vụ của mình thôi.</v>
      </c>
      <c r="F752" s="128"/>
      <c r="G752" s="36" t="b">
        <f t="shared" si="1"/>
        <v>0</v>
      </c>
      <c r="H752" s="35" t="b">
        <v>0</v>
      </c>
      <c r="I752" s="35" t="b">
        <v>0</v>
      </c>
      <c r="J752" s="35" t="b">
        <v>0</v>
      </c>
      <c r="K752" s="35" t="b">
        <v>0</v>
      </c>
      <c r="L752" s="35" t="b">
        <v>0</v>
      </c>
      <c r="M752" s="35" t="b">
        <v>0</v>
      </c>
      <c r="N752" s="35" t="b">
        <v>0</v>
      </c>
      <c r="O752" s="35" t="b">
        <v>0</v>
      </c>
      <c r="P752" s="35" t="b">
        <v>0</v>
      </c>
      <c r="Q752" s="35" t="b">
        <v>0</v>
      </c>
      <c r="R752" s="14"/>
      <c r="S752" s="14"/>
      <c r="T752" s="14"/>
      <c r="U752" s="14"/>
      <c r="V752" s="14"/>
      <c r="W752" s="14"/>
    </row>
    <row r="753" ht="31.5" customHeight="1">
      <c r="A753" s="109" t="s">
        <v>10933</v>
      </c>
      <c r="B753" s="110" t="s">
        <v>10935</v>
      </c>
      <c r="C753" s="111" t="s">
        <v>10936</v>
      </c>
      <c r="D753" s="28" t="s">
        <v>10937</v>
      </c>
      <c r="E753" s="28" t="str">
        <f>IFERROR(__xludf.DUMMYFUNCTION("GOOGLETRANSLATE(D753,""zh-CN"",""vi"")"),"Bộ lọc này loại bỏ tạp chất khỏi nước một cách hiệu quả.")</f>
        <v>Bộ lọc này loại bỏ tạp chất khỏi nước một cách hiệu quả.</v>
      </c>
      <c r="F753" s="128"/>
      <c r="G753" s="36" t="b">
        <f t="shared" si="1"/>
        <v>0</v>
      </c>
      <c r="H753" s="35" t="b">
        <v>0</v>
      </c>
      <c r="I753" s="35" t="b">
        <v>0</v>
      </c>
      <c r="J753" s="35" t="b">
        <v>0</v>
      </c>
      <c r="K753" s="35" t="b">
        <v>0</v>
      </c>
      <c r="L753" s="35" t="b">
        <v>0</v>
      </c>
      <c r="M753" s="35" t="b">
        <v>0</v>
      </c>
      <c r="N753" s="35" t="b">
        <v>0</v>
      </c>
      <c r="O753" s="35" t="b">
        <v>0</v>
      </c>
      <c r="P753" s="35" t="b">
        <v>0</v>
      </c>
      <c r="Q753" s="35" t="b">
        <v>0</v>
      </c>
      <c r="R753" s="14"/>
      <c r="S753" s="14"/>
      <c r="T753" s="14"/>
      <c r="U753" s="14"/>
      <c r="V753" s="14"/>
      <c r="W753" s="14"/>
    </row>
    <row r="754" ht="31.5" customHeight="1">
      <c r="A754" s="109" t="s">
        <v>10942</v>
      </c>
      <c r="B754" s="110" t="s">
        <v>10943</v>
      </c>
      <c r="C754" s="111" t="s">
        <v>10944</v>
      </c>
      <c r="D754" s="28" t="s">
        <v>10945</v>
      </c>
      <c r="E754" s="28" t="str">
        <f>IFERROR(__xludf.DUMMYFUNCTION("GOOGLETRANSLATE(D754,""zh-CN"",""vi"")"),"Anh ta bị sa thải vì một lỗi nhỏ.")</f>
        <v>Anh ta bị sa thải vì một lỗi nhỏ.</v>
      </c>
      <c r="F754" s="128"/>
      <c r="G754" s="36" t="b">
        <f t="shared" si="1"/>
        <v>0</v>
      </c>
      <c r="H754" s="35" t="b">
        <v>0</v>
      </c>
      <c r="I754" s="35" t="b">
        <v>0</v>
      </c>
      <c r="J754" s="35" t="b">
        <v>0</v>
      </c>
      <c r="K754" s="35" t="b">
        <v>0</v>
      </c>
      <c r="L754" s="35" t="b">
        <v>0</v>
      </c>
      <c r="M754" s="35" t="b">
        <v>0</v>
      </c>
      <c r="N754" s="35" t="b">
        <v>0</v>
      </c>
      <c r="O754" s="35" t="b">
        <v>0</v>
      </c>
      <c r="P754" s="35" t="b">
        <v>0</v>
      </c>
      <c r="Q754" s="35" t="b">
        <v>0</v>
      </c>
      <c r="R754" s="14"/>
      <c r="S754" s="14"/>
      <c r="T754" s="14"/>
      <c r="U754" s="14"/>
      <c r="V754" s="14"/>
      <c r="W754" s="14"/>
    </row>
    <row r="755" ht="31.5" customHeight="1">
      <c r="A755" s="109" t="s">
        <v>10950</v>
      </c>
      <c r="B755" s="110" t="s">
        <v>10951</v>
      </c>
      <c r="C755" s="111" t="s">
        <v>10952</v>
      </c>
      <c r="D755" s="28" t="s">
        <v>10953</v>
      </c>
      <c r="E755" s="28" t="str">
        <f>IFERROR(__xludf.DUMMYFUNCTION("GOOGLETRANSLATE(D755,""zh-CN"",""vi"")"),"Anh ta không quan tâm đến bất kỳ công việc nào của công ty.")</f>
        <v>Anh ta không quan tâm đến bất kỳ công việc nào của công ty.</v>
      </c>
      <c r="F755" s="128"/>
      <c r="G755" s="36" t="b">
        <f t="shared" si="1"/>
        <v>0</v>
      </c>
      <c r="H755" s="35" t="b">
        <v>0</v>
      </c>
      <c r="I755" s="35" t="b">
        <v>0</v>
      </c>
      <c r="J755" s="35" t="b">
        <v>0</v>
      </c>
      <c r="K755" s="35" t="b">
        <v>0</v>
      </c>
      <c r="L755" s="35" t="b">
        <v>0</v>
      </c>
      <c r="M755" s="35" t="b">
        <v>0</v>
      </c>
      <c r="N755" s="35" t="b">
        <v>0</v>
      </c>
      <c r="O755" s="35" t="b">
        <v>0</v>
      </c>
      <c r="P755" s="35" t="b">
        <v>0</v>
      </c>
      <c r="Q755" s="35" t="b">
        <v>0</v>
      </c>
      <c r="R755" s="14"/>
      <c r="S755" s="14"/>
      <c r="T755" s="14"/>
      <c r="U755" s="14"/>
      <c r="V755" s="14"/>
      <c r="W755" s="14"/>
    </row>
    <row r="756" ht="31.5" customHeight="1">
      <c r="A756" s="109" t="s">
        <v>10958</v>
      </c>
      <c r="B756" s="110" t="s">
        <v>10959</v>
      </c>
      <c r="C756" s="111" t="s">
        <v>10960</v>
      </c>
      <c r="D756" s="28" t="s">
        <v>10961</v>
      </c>
      <c r="E756" s="28" t="str">
        <f>IFERROR(__xludf.DUMMYFUNCTION("GOOGLETRANSLATE(D756,""zh-CN"",""vi"")"),"Bộ phim này thực sự rất hay.")</f>
        <v>Bộ phim này thực sự rất hay.</v>
      </c>
      <c r="F756" s="128"/>
      <c r="G756" s="36" t="b">
        <f t="shared" si="1"/>
        <v>0</v>
      </c>
      <c r="H756" s="35" t="b">
        <v>0</v>
      </c>
      <c r="I756" s="35" t="b">
        <v>0</v>
      </c>
      <c r="J756" s="35" t="b">
        <v>0</v>
      </c>
      <c r="K756" s="35" t="b">
        <v>0</v>
      </c>
      <c r="L756" s="35" t="b">
        <v>0</v>
      </c>
      <c r="M756" s="35" t="b">
        <v>0</v>
      </c>
      <c r="N756" s="35" t="b">
        <v>0</v>
      </c>
      <c r="O756" s="35" t="b">
        <v>0</v>
      </c>
      <c r="P756" s="35" t="b">
        <v>0</v>
      </c>
      <c r="Q756" s="35" t="b">
        <v>0</v>
      </c>
      <c r="R756" s="14"/>
      <c r="S756" s="14"/>
      <c r="T756" s="14"/>
      <c r="U756" s="14"/>
      <c r="V756" s="14"/>
      <c r="W756" s="14"/>
    </row>
    <row r="757" ht="31.5" customHeight="1">
      <c r="A757" s="109" t="s">
        <v>10966</v>
      </c>
      <c r="B757" s="110" t="s">
        <v>10967</v>
      </c>
      <c r="C757" s="111" t="s">
        <v>10968</v>
      </c>
      <c r="D757" s="28" t="s">
        <v>10969</v>
      </c>
      <c r="E757" s="28" t="str">
        <f>IFERROR(__xludf.DUMMYFUNCTION("GOOGLETRANSLATE(D757,""zh-CN"",""vi"")"),"Bộ quần áo này quá chật.")</f>
        <v>Bộ quần áo này quá chật.</v>
      </c>
      <c r="F757" s="128"/>
      <c r="G757" s="36" t="b">
        <f t="shared" si="1"/>
        <v>0</v>
      </c>
      <c r="H757" s="35" t="b">
        <v>0</v>
      </c>
      <c r="I757" s="35" t="b">
        <v>0</v>
      </c>
      <c r="J757" s="35" t="b">
        <v>0</v>
      </c>
      <c r="K757" s="35" t="b">
        <v>0</v>
      </c>
      <c r="L757" s="35" t="b">
        <v>0</v>
      </c>
      <c r="M757" s="35" t="b">
        <v>0</v>
      </c>
      <c r="N757" s="35" t="b">
        <v>0</v>
      </c>
      <c r="O757" s="35" t="b">
        <v>0</v>
      </c>
      <c r="P757" s="35" t="b">
        <v>0</v>
      </c>
      <c r="Q757" s="35" t="b">
        <v>0</v>
      </c>
      <c r="R757" s="14"/>
      <c r="S757" s="14"/>
      <c r="T757" s="14"/>
      <c r="U757" s="14"/>
      <c r="V757" s="14"/>
      <c r="W757" s="14"/>
    </row>
    <row r="758" ht="31.5" customHeight="1">
      <c r="A758" s="109" t="s">
        <v>10973</v>
      </c>
      <c r="B758" s="110" t="s">
        <v>10975</v>
      </c>
      <c r="C758" s="111" t="s">
        <v>10976</v>
      </c>
      <c r="D758" s="28" t="s">
        <v>10977</v>
      </c>
      <c r="E758" s="28" t="str">
        <f>IFERROR(__xludf.DUMMYFUNCTION("GOOGLETRANSLATE(D758,""zh-CN"",""vi"")"),"Chào mọi người!")</f>
        <v>Chào mọi người!</v>
      </c>
      <c r="F758" s="128"/>
      <c r="G758" s="36" t="b">
        <f t="shared" si="1"/>
        <v>0</v>
      </c>
      <c r="H758" s="35" t="b">
        <v>0</v>
      </c>
      <c r="I758" s="35" t="b">
        <v>0</v>
      </c>
      <c r="J758" s="35" t="b">
        <v>0</v>
      </c>
      <c r="K758" s="35" t="b">
        <v>0</v>
      </c>
      <c r="L758" s="35" t="b">
        <v>0</v>
      </c>
      <c r="M758" s="35" t="b">
        <v>0</v>
      </c>
      <c r="N758" s="35" t="b">
        <v>0</v>
      </c>
      <c r="O758" s="35" t="b">
        <v>0</v>
      </c>
      <c r="P758" s="35" t="b">
        <v>0</v>
      </c>
      <c r="Q758" s="35" t="b">
        <v>0</v>
      </c>
      <c r="R758" s="14"/>
      <c r="S758" s="14"/>
      <c r="T758" s="14"/>
      <c r="U758" s="14"/>
      <c r="V758" s="14"/>
      <c r="W758" s="14"/>
    </row>
    <row r="759" ht="31.5" customHeight="1">
      <c r="A759" s="109" t="s">
        <v>10978</v>
      </c>
      <c r="B759" s="110" t="s">
        <v>10979</v>
      </c>
      <c r="C759" s="111" t="s">
        <v>10980</v>
      </c>
      <c r="D759" s="28" t="s">
        <v>10981</v>
      </c>
      <c r="E759" s="28" t="str">
        <f>IFERROR(__xludf.DUMMYFUNCTION("GOOGLETRANSLATE(D759,""zh-CN"",""vi"")"),"Ngọn núi này có độ cao ba nghìn mét.")</f>
        <v>Ngọn núi này có độ cao ba nghìn mét.</v>
      </c>
      <c r="F759" s="128"/>
      <c r="G759" s="36" t="b">
        <f t="shared" si="1"/>
        <v>0</v>
      </c>
      <c r="H759" s="35" t="b">
        <v>0</v>
      </c>
      <c r="I759" s="35" t="b">
        <v>0</v>
      </c>
      <c r="J759" s="35" t="b">
        <v>0</v>
      </c>
      <c r="K759" s="35" t="b">
        <v>0</v>
      </c>
      <c r="L759" s="35" t="b">
        <v>0</v>
      </c>
      <c r="M759" s="35" t="b">
        <v>0</v>
      </c>
      <c r="N759" s="35" t="b">
        <v>0</v>
      </c>
      <c r="O759" s="35" t="b">
        <v>0</v>
      </c>
      <c r="P759" s="35" t="b">
        <v>0</v>
      </c>
      <c r="Q759" s="35" t="b">
        <v>0</v>
      </c>
      <c r="R759" s="14"/>
      <c r="S759" s="14"/>
      <c r="T759" s="14"/>
      <c r="U759" s="14"/>
      <c r="V759" s="14"/>
      <c r="W759" s="14"/>
    </row>
    <row r="760" ht="31.5" customHeight="1">
      <c r="A760" s="109" t="s">
        <v>10986</v>
      </c>
      <c r="B760" s="110" t="s">
        <v>10987</v>
      </c>
      <c r="C760" s="111" t="s">
        <v>10988</v>
      </c>
      <c r="D760" s="28" t="s">
        <v>10989</v>
      </c>
      <c r="E760" s="28" t="str">
        <f>IFERROR(__xludf.DUMMYFUNCTION("GOOGLETRANSLATE(D760,""zh-CN"",""vi"")"),"Chúng tôi đang đi nghỉ mát ở bãi biển.")</f>
        <v>Chúng tôi đang đi nghỉ mát ở bãi biển.</v>
      </c>
      <c r="F760" s="128"/>
      <c r="G760" s="36" t="b">
        <f t="shared" si="1"/>
        <v>0</v>
      </c>
      <c r="H760" s="35" t="b">
        <v>0</v>
      </c>
      <c r="I760" s="35" t="b">
        <v>0</v>
      </c>
      <c r="J760" s="35" t="b">
        <v>0</v>
      </c>
      <c r="K760" s="35" t="b">
        <v>0</v>
      </c>
      <c r="L760" s="35" t="b">
        <v>0</v>
      </c>
      <c r="M760" s="35" t="b">
        <v>0</v>
      </c>
      <c r="N760" s="35" t="b">
        <v>0</v>
      </c>
      <c r="O760" s="35" t="b">
        <v>0</v>
      </c>
      <c r="P760" s="35" t="b">
        <v>0</v>
      </c>
      <c r="Q760" s="35" t="b">
        <v>0</v>
      </c>
      <c r="R760" s="14"/>
      <c r="S760" s="14"/>
      <c r="T760" s="14"/>
      <c r="U760" s="14"/>
      <c r="V760" s="14"/>
      <c r="W760" s="14"/>
    </row>
    <row r="761" ht="31.5" customHeight="1">
      <c r="A761" s="109" t="s">
        <v>10994</v>
      </c>
      <c r="B761" s="110" t="s">
        <v>10995</v>
      </c>
      <c r="C761" s="111" t="s">
        <v>10996</v>
      </c>
      <c r="D761" s="28" t="s">
        <v>10997</v>
      </c>
      <c r="E761" s="28" t="str">
        <f>IFERROR(__xludf.DUMMYFUNCTION("GOOGLETRANSLATE(D761,""zh-CN"",""vi"")"),"Câu trả lời của anh ta rất mơ hồ.")</f>
        <v>Câu trả lời của anh ta rất mơ hồ.</v>
      </c>
      <c r="F761" s="128"/>
      <c r="G761" s="36" t="b">
        <f t="shared" si="1"/>
        <v>0</v>
      </c>
      <c r="H761" s="35" t="b">
        <v>0</v>
      </c>
      <c r="I761" s="35" t="b">
        <v>0</v>
      </c>
      <c r="J761" s="35" t="b">
        <v>0</v>
      </c>
      <c r="K761" s="35" t="b">
        <v>0</v>
      </c>
      <c r="L761" s="35" t="b">
        <v>0</v>
      </c>
      <c r="M761" s="35" t="b">
        <v>0</v>
      </c>
      <c r="N761" s="35" t="b">
        <v>0</v>
      </c>
      <c r="O761" s="35" t="b">
        <v>0</v>
      </c>
      <c r="P761" s="35" t="b">
        <v>0</v>
      </c>
      <c r="Q761" s="35" t="b">
        <v>0</v>
      </c>
      <c r="R761" s="14"/>
      <c r="S761" s="14"/>
      <c r="T761" s="14"/>
      <c r="U761" s="14"/>
      <c r="V761" s="14"/>
      <c r="W761" s="14"/>
    </row>
    <row r="762" ht="31.5" customHeight="1">
      <c r="A762" s="109" t="s">
        <v>11002</v>
      </c>
      <c r="B762" s="110" t="s">
        <v>11003</v>
      </c>
      <c r="C762" s="111" t="s">
        <v>11004</v>
      </c>
      <c r="D762" s="28" t="s">
        <v>11005</v>
      </c>
      <c r="E762" s="28" t="str">
        <f>IFERROR(__xludf.DUMMYFUNCTION("GOOGLETRANSLATE(D762,""zh-CN"",""vi"")"),"Sau khi trao đổi vài lời xã giao, họ bắt đầu bàn bạc công việc.")</f>
        <v>Sau khi trao đổi vài lời xã giao, họ bắt đầu bàn bạc công việc.</v>
      </c>
      <c r="F762" s="128"/>
      <c r="G762" s="36" t="b">
        <f t="shared" si="1"/>
        <v>0</v>
      </c>
      <c r="H762" s="35" t="b">
        <v>0</v>
      </c>
      <c r="I762" s="35" t="b">
        <v>0</v>
      </c>
      <c r="J762" s="35" t="b">
        <v>0</v>
      </c>
      <c r="K762" s="35" t="b">
        <v>0</v>
      </c>
      <c r="L762" s="35" t="b">
        <v>0</v>
      </c>
      <c r="M762" s="35" t="b">
        <v>0</v>
      </c>
      <c r="N762" s="35" t="b">
        <v>0</v>
      </c>
      <c r="O762" s="35" t="b">
        <v>0</v>
      </c>
      <c r="P762" s="35" t="b">
        <v>0</v>
      </c>
      <c r="Q762" s="35" t="b">
        <v>0</v>
      </c>
      <c r="R762" s="14"/>
      <c r="S762" s="14"/>
      <c r="T762" s="14"/>
      <c r="U762" s="14"/>
      <c r="V762" s="14"/>
      <c r="W762" s="14"/>
    </row>
    <row r="763" ht="31.5" customHeight="1">
      <c r="A763" s="109" t="s">
        <v>11010</v>
      </c>
      <c r="B763" s="110" t="s">
        <v>11011</v>
      </c>
      <c r="C763" s="111" t="s">
        <v>11012</v>
      </c>
      <c r="D763" s="28" t="s">
        <v>11013</v>
      </c>
      <c r="E763" s="28" t="str">
        <f>IFERROR(__xludf.DUMMYFUNCTION("GOOGLETRANSLATE(D763,""zh-CN"",""vi"")"),"Từ này có nghĩa là gì?")</f>
        <v>Từ này có nghĩa là gì?</v>
      </c>
      <c r="F763" s="128"/>
      <c r="G763" s="36" t="b">
        <f t="shared" si="1"/>
        <v>0</v>
      </c>
      <c r="H763" s="35" t="b">
        <v>0</v>
      </c>
      <c r="I763" s="35" t="b">
        <v>0</v>
      </c>
      <c r="J763" s="35" t="b">
        <v>0</v>
      </c>
      <c r="K763" s="35" t="b">
        <v>0</v>
      </c>
      <c r="L763" s="35" t="b">
        <v>0</v>
      </c>
      <c r="M763" s="35" t="b">
        <v>0</v>
      </c>
      <c r="N763" s="35" t="b">
        <v>0</v>
      </c>
      <c r="O763" s="35" t="b">
        <v>0</v>
      </c>
      <c r="P763" s="35" t="b">
        <v>0</v>
      </c>
      <c r="Q763" s="35" t="b">
        <v>0</v>
      </c>
      <c r="R763" s="14"/>
      <c r="S763" s="14"/>
      <c r="T763" s="14"/>
      <c r="U763" s="14"/>
      <c r="V763" s="14"/>
      <c r="W763" s="14"/>
    </row>
    <row r="764" ht="31.5" customHeight="1">
      <c r="A764" s="109" t="s">
        <v>11018</v>
      </c>
      <c r="B764" s="110" t="s">
        <v>11019</v>
      </c>
      <c r="C764" s="111" t="s">
        <v>11020</v>
      </c>
      <c r="D764" s="28" t="s">
        <v>11021</v>
      </c>
      <c r="E764" s="28" t="str">
        <f>IFERROR(__xludf.DUMMYFUNCTION("GOOGLETRANSLATE(D764,""zh-CN"",""vi"")"),"Căn bệnh này rất hiếm gặp.")</f>
        <v>Căn bệnh này rất hiếm gặp.</v>
      </c>
      <c r="F764" s="128"/>
      <c r="G764" s="36" t="b">
        <f t="shared" si="1"/>
        <v>0</v>
      </c>
      <c r="H764" s="35" t="b">
        <v>0</v>
      </c>
      <c r="I764" s="35" t="b">
        <v>0</v>
      </c>
      <c r="J764" s="35" t="b">
        <v>0</v>
      </c>
      <c r="K764" s="35" t="b">
        <v>0</v>
      </c>
      <c r="L764" s="35" t="b">
        <v>0</v>
      </c>
      <c r="M764" s="35" t="b">
        <v>0</v>
      </c>
      <c r="N764" s="35" t="b">
        <v>0</v>
      </c>
      <c r="O764" s="35" t="b">
        <v>0</v>
      </c>
      <c r="P764" s="35" t="b">
        <v>0</v>
      </c>
      <c r="Q764" s="35" t="b">
        <v>0</v>
      </c>
      <c r="R764" s="14"/>
      <c r="S764" s="14"/>
      <c r="T764" s="14"/>
      <c r="U764" s="14"/>
      <c r="V764" s="14"/>
      <c r="W764" s="14"/>
    </row>
    <row r="765" ht="31.5" customHeight="1">
      <c r="A765" s="109" t="s">
        <v>11026</v>
      </c>
      <c r="B765" s="110" t="s">
        <v>11028</v>
      </c>
      <c r="C765" s="111" t="s">
        <v>11030</v>
      </c>
      <c r="D765" s="28" t="s">
        <v>11032</v>
      </c>
      <c r="E765" s="28" t="str">
        <f>IFERROR(__xludf.DUMMYFUNCTION("GOOGLETRANSLATE(D765,""zh-CN"",""vi"")"),"Chúng ta phải bảo vệ quyền lợi của mình.")</f>
        <v>Chúng ta phải bảo vệ quyền lợi của mình.</v>
      </c>
      <c r="F765" s="128"/>
      <c r="G765" s="36" t="b">
        <f t="shared" si="1"/>
        <v>0</v>
      </c>
      <c r="H765" s="35" t="b">
        <v>0</v>
      </c>
      <c r="I765" s="35" t="b">
        <v>0</v>
      </c>
      <c r="J765" s="35" t="b">
        <v>0</v>
      </c>
      <c r="K765" s="35" t="b">
        <v>0</v>
      </c>
      <c r="L765" s="35" t="b">
        <v>0</v>
      </c>
      <c r="M765" s="35" t="b">
        <v>0</v>
      </c>
      <c r="N765" s="35" t="b">
        <v>0</v>
      </c>
      <c r="O765" s="35" t="b">
        <v>0</v>
      </c>
      <c r="P765" s="35" t="b">
        <v>0</v>
      </c>
      <c r="Q765" s="35" t="b">
        <v>0</v>
      </c>
      <c r="R765" s="14"/>
      <c r="S765" s="14"/>
      <c r="T765" s="14"/>
      <c r="U765" s="14"/>
      <c r="V765" s="14"/>
      <c r="W765" s="14"/>
    </row>
    <row r="766" ht="31.5" customHeight="1">
      <c r="A766" s="109" t="s">
        <v>11038</v>
      </c>
      <c r="B766" s="110" t="s">
        <v>11039</v>
      </c>
      <c r="C766" s="111" t="s">
        <v>11040</v>
      </c>
      <c r="D766" s="28" t="s">
        <v>11041</v>
      </c>
      <c r="E766" s="28" t="str">
        <f>IFERROR(__xludf.DUMMYFUNCTION("GOOGLETRANSLATE(D766,""zh-CN"",""vi"")"),"Anh ấy rất quan tâm đến ngành hàng không.")</f>
        <v>Anh ấy rất quan tâm đến ngành hàng không.</v>
      </c>
      <c r="F766" s="128"/>
      <c r="G766" s="36" t="b">
        <f t="shared" si="1"/>
        <v>0</v>
      </c>
      <c r="H766" s="35" t="b">
        <v>0</v>
      </c>
      <c r="I766" s="35" t="b">
        <v>0</v>
      </c>
      <c r="J766" s="35" t="b">
        <v>0</v>
      </c>
      <c r="K766" s="35" t="b">
        <v>0</v>
      </c>
      <c r="L766" s="35" t="b">
        <v>0</v>
      </c>
      <c r="M766" s="35" t="b">
        <v>0</v>
      </c>
      <c r="N766" s="35" t="b">
        <v>0</v>
      </c>
      <c r="O766" s="35" t="b">
        <v>0</v>
      </c>
      <c r="P766" s="35" t="b">
        <v>0</v>
      </c>
      <c r="Q766" s="35" t="b">
        <v>0</v>
      </c>
      <c r="R766" s="14"/>
      <c r="S766" s="14"/>
      <c r="T766" s="14"/>
      <c r="U766" s="14"/>
      <c r="V766" s="14"/>
      <c r="W766" s="14"/>
    </row>
    <row r="767" ht="31.5" customHeight="1">
      <c r="A767" s="109" t="s">
        <v>11046</v>
      </c>
      <c r="B767" s="110" t="s">
        <v>11047</v>
      </c>
      <c r="C767" s="111" t="s">
        <v>11048</v>
      </c>
      <c r="D767" s="28" t="s">
        <v>11049</v>
      </c>
      <c r="E767" s="28" t="str">
        <f>IFERROR(__xludf.DUMMYFUNCTION("GOOGLETRANSLATE(D767,""zh-CN"",""vi"")"),"Chúng tôi đã tham gia cuộc duyệt binh.")</f>
        <v>Chúng tôi đã tham gia cuộc duyệt binh.</v>
      </c>
      <c r="F767" s="128"/>
      <c r="G767" s="36" t="b">
        <f t="shared" si="1"/>
        <v>0</v>
      </c>
      <c r="H767" s="35" t="b">
        <v>0</v>
      </c>
      <c r="I767" s="35" t="b">
        <v>0</v>
      </c>
      <c r="J767" s="35" t="b">
        <v>0</v>
      </c>
      <c r="K767" s="35" t="b">
        <v>0</v>
      </c>
      <c r="L767" s="35" t="b">
        <v>0</v>
      </c>
      <c r="M767" s="35" t="b">
        <v>0</v>
      </c>
      <c r="N767" s="35" t="b">
        <v>0</v>
      </c>
      <c r="O767" s="35" t="b">
        <v>0</v>
      </c>
      <c r="P767" s="35" t="b">
        <v>0</v>
      </c>
      <c r="Q767" s="35" t="b">
        <v>0</v>
      </c>
      <c r="R767" s="14"/>
      <c r="S767" s="14"/>
      <c r="T767" s="14"/>
      <c r="U767" s="14"/>
      <c r="V767" s="14"/>
      <c r="W767" s="14"/>
    </row>
    <row r="768" ht="31.5" customHeight="1">
      <c r="A768" s="109" t="s">
        <v>11054</v>
      </c>
      <c r="B768" s="110" t="s">
        <v>11055</v>
      </c>
      <c r="C768" s="111" t="s">
        <v>11056</v>
      </c>
      <c r="D768" s="28" t="s">
        <v>11057</v>
      </c>
      <c r="E768" s="28" t="str">
        <f>IFERROR(__xludf.DUMMYFUNCTION("GOOGLETRANSLATE(D768,""zh-CN"",""vi"")"),"Công nghệ vũ trụ đang phát triển nhanh chóng.")</f>
        <v>Công nghệ vũ trụ đang phát triển nhanh chóng.</v>
      </c>
      <c r="F768" s="128"/>
      <c r="G768" s="36" t="b">
        <f t="shared" si="1"/>
        <v>0</v>
      </c>
      <c r="H768" s="35" t="b">
        <v>0</v>
      </c>
      <c r="I768" s="35" t="b">
        <v>0</v>
      </c>
      <c r="J768" s="35" t="b">
        <v>0</v>
      </c>
      <c r="K768" s="35" t="b">
        <v>0</v>
      </c>
      <c r="L768" s="35" t="b">
        <v>0</v>
      </c>
      <c r="M768" s="35" t="b">
        <v>0</v>
      </c>
      <c r="N768" s="35" t="b">
        <v>0</v>
      </c>
      <c r="O768" s="35" t="b">
        <v>0</v>
      </c>
      <c r="P768" s="35" t="b">
        <v>0</v>
      </c>
      <c r="Q768" s="35" t="b">
        <v>0</v>
      </c>
      <c r="R768" s="14"/>
      <c r="S768" s="14"/>
      <c r="T768" s="14"/>
      <c r="U768" s="14"/>
      <c r="V768" s="14"/>
      <c r="W768" s="14"/>
    </row>
    <row r="769" ht="31.5" customHeight="1">
      <c r="A769" s="109" t="s">
        <v>11062</v>
      </c>
      <c r="B769" s="110" t="s">
        <v>11063</v>
      </c>
      <c r="C769" s="111" t="s">
        <v>11064</v>
      </c>
      <c r="D769" s="28" t="s">
        <v>11065</v>
      </c>
      <c r="E769" s="28" t="str">
        <f>IFERROR(__xludf.DUMMYFUNCTION("GOOGLETRANSLATE(D769,""zh-CN"",""vi"")"),"Con tàu của họ đang lênh đênh trên biển khơi.")</f>
        <v>Con tàu của họ đang lênh đênh trên biển khơi.</v>
      </c>
      <c r="F769" s="128"/>
      <c r="G769" s="36" t="b">
        <f t="shared" si="1"/>
        <v>0</v>
      </c>
      <c r="H769" s="35" t="b">
        <v>0</v>
      </c>
      <c r="I769" s="35" t="b">
        <v>0</v>
      </c>
      <c r="J769" s="35" t="b">
        <v>0</v>
      </c>
      <c r="K769" s="35" t="b">
        <v>0</v>
      </c>
      <c r="L769" s="35" t="b">
        <v>0</v>
      </c>
      <c r="M769" s="35" t="b">
        <v>0</v>
      </c>
      <c r="N769" s="35" t="b">
        <v>0</v>
      </c>
      <c r="O769" s="35" t="b">
        <v>0</v>
      </c>
      <c r="P769" s="35" t="b">
        <v>0</v>
      </c>
      <c r="Q769" s="35" t="b">
        <v>0</v>
      </c>
      <c r="R769" s="14"/>
      <c r="S769" s="14"/>
      <c r="T769" s="14"/>
      <c r="U769" s="14"/>
      <c r="V769" s="14"/>
      <c r="W769" s="14"/>
    </row>
    <row r="770" ht="31.5" customHeight="1">
      <c r="A770" s="109" t="s">
        <v>11070</v>
      </c>
      <c r="B770" s="110" t="s">
        <v>11071</v>
      </c>
      <c r="C770" s="111" t="s">
        <v>11072</v>
      </c>
      <c r="D770" s="28" t="s">
        <v>11073</v>
      </c>
      <c r="E770" s="28" t="str">
        <f>IFERROR(__xludf.DUMMYFUNCTION("GOOGLETRANSLATE(D770,""zh-CN"",""vi"")"),"Anh ấy đã dũng cảm chấp nhận thử thách.")</f>
        <v>Anh ấy đã dũng cảm chấp nhận thử thách.</v>
      </c>
      <c r="F770" s="128"/>
      <c r="G770" s="36" t="b">
        <f t="shared" si="1"/>
        <v>0</v>
      </c>
      <c r="H770" s="35" t="b">
        <v>0</v>
      </c>
      <c r="I770" s="35" t="b">
        <v>0</v>
      </c>
      <c r="J770" s="35" t="b">
        <v>0</v>
      </c>
      <c r="K770" s="35" t="b">
        <v>0</v>
      </c>
      <c r="L770" s="35" t="b">
        <v>0</v>
      </c>
      <c r="M770" s="35" t="b">
        <v>0</v>
      </c>
      <c r="N770" s="35" t="b">
        <v>0</v>
      </c>
      <c r="O770" s="35" t="b">
        <v>0</v>
      </c>
      <c r="P770" s="35" t="b">
        <v>0</v>
      </c>
      <c r="Q770" s="35" t="b">
        <v>0</v>
      </c>
      <c r="R770" s="14"/>
      <c r="S770" s="14"/>
      <c r="T770" s="14"/>
      <c r="U770" s="14"/>
      <c r="V770" s="14"/>
      <c r="W770" s="14"/>
    </row>
    <row r="771" ht="31.5" customHeight="1">
      <c r="A771" s="109" t="s">
        <v>11077</v>
      </c>
      <c r="B771" s="110" t="s">
        <v>11078</v>
      </c>
      <c r="C771" s="111" t="s">
        <v>11079</v>
      </c>
      <c r="D771" s="28" t="s">
        <v>11080</v>
      </c>
      <c r="E771" s="28" t="str">
        <f>IFERROR(__xludf.DUMMYFUNCTION("GOOGLETRANSLATE(D771,""zh-CN"",""vi"")"),"Kích thước của bộ phận này là 10 milimét.")</f>
        <v>Kích thước của bộ phận này là 10 milimét.</v>
      </c>
      <c r="F771" s="128"/>
      <c r="G771" s="36" t="b">
        <f t="shared" si="1"/>
        <v>0</v>
      </c>
      <c r="H771" s="35" t="b">
        <v>0</v>
      </c>
      <c r="I771" s="35" t="b">
        <v>0</v>
      </c>
      <c r="J771" s="35" t="b">
        <v>0</v>
      </c>
      <c r="K771" s="35" t="b">
        <v>0</v>
      </c>
      <c r="L771" s="35" t="b">
        <v>0</v>
      </c>
      <c r="M771" s="35" t="b">
        <v>0</v>
      </c>
      <c r="N771" s="35" t="b">
        <v>0</v>
      </c>
      <c r="O771" s="35" t="b">
        <v>0</v>
      </c>
      <c r="P771" s="35" t="b">
        <v>0</v>
      </c>
      <c r="Q771" s="35" t="b">
        <v>0</v>
      </c>
      <c r="R771" s="14"/>
      <c r="S771" s="14"/>
      <c r="T771" s="14"/>
      <c r="U771" s="14"/>
      <c r="V771" s="14"/>
      <c r="W771" s="14"/>
    </row>
    <row r="772" ht="31.5" customHeight="1">
      <c r="A772" s="109" t="s">
        <v>11085</v>
      </c>
      <c r="B772" s="110" t="s">
        <v>11086</v>
      </c>
      <c r="C772" s="111" t="s">
        <v>11087</v>
      </c>
      <c r="D772" s="28" t="s">
        <v>11088</v>
      </c>
      <c r="E772" s="28" t="str">
        <f>IFERROR(__xludf.DUMMYFUNCTION("GOOGLETRANSLATE(D772,""zh-CN"",""vi"")"),"Ông ta hoàn toàn không quan tâm đến vấn đề này.")</f>
        <v>Ông ta hoàn toàn không quan tâm đến vấn đề này.</v>
      </c>
      <c r="F772" s="128"/>
      <c r="G772" s="36" t="b">
        <f t="shared" si="1"/>
        <v>0</v>
      </c>
      <c r="H772" s="35" t="b">
        <v>0</v>
      </c>
      <c r="I772" s="35" t="b">
        <v>0</v>
      </c>
      <c r="J772" s="35" t="b">
        <v>0</v>
      </c>
      <c r="K772" s="35" t="b">
        <v>0</v>
      </c>
      <c r="L772" s="35" t="b">
        <v>0</v>
      </c>
      <c r="M772" s="35" t="b">
        <v>0</v>
      </c>
      <c r="N772" s="35" t="b">
        <v>0</v>
      </c>
      <c r="O772" s="35" t="b">
        <v>0</v>
      </c>
      <c r="P772" s="35" t="b">
        <v>0</v>
      </c>
      <c r="Q772" s="35" t="b">
        <v>0</v>
      </c>
      <c r="R772" s="14"/>
      <c r="S772" s="14"/>
      <c r="T772" s="14"/>
      <c r="U772" s="14"/>
      <c r="V772" s="14"/>
      <c r="W772" s="14"/>
    </row>
    <row r="773" ht="31.5" customHeight="1">
      <c r="A773" s="109" t="s">
        <v>11093</v>
      </c>
      <c r="B773" s="110" t="s">
        <v>11094</v>
      </c>
      <c r="C773" s="111" t="s">
        <v>11095</v>
      </c>
      <c r="D773" s="28" t="s">
        <v>11097</v>
      </c>
      <c r="E773" s="28" t="str">
        <f>IFERROR(__xludf.DUMMYFUNCTION("GOOGLETRANSLATE(D773,""zh-CN"",""vi"")"),"Dự án này đã tiêu tốn rất nhiều nhân lực và nguồn lực.")</f>
        <v>Dự án này đã tiêu tốn rất nhiều nhân lực và nguồn lực.</v>
      </c>
      <c r="F773" s="128"/>
      <c r="G773" s="36" t="b">
        <f t="shared" si="1"/>
        <v>0</v>
      </c>
      <c r="H773" s="35" t="b">
        <v>0</v>
      </c>
      <c r="I773" s="35" t="b">
        <v>0</v>
      </c>
      <c r="J773" s="35" t="b">
        <v>0</v>
      </c>
      <c r="K773" s="35" t="b">
        <v>0</v>
      </c>
      <c r="L773" s="35" t="b">
        <v>0</v>
      </c>
      <c r="M773" s="35" t="b">
        <v>0</v>
      </c>
      <c r="N773" s="35" t="b">
        <v>0</v>
      </c>
      <c r="O773" s="35" t="b">
        <v>0</v>
      </c>
      <c r="P773" s="35" t="b">
        <v>0</v>
      </c>
      <c r="Q773" s="35" t="b">
        <v>0</v>
      </c>
      <c r="R773" s="14"/>
      <c r="S773" s="14"/>
      <c r="T773" s="14"/>
      <c r="U773" s="14"/>
      <c r="V773" s="14"/>
      <c r="W773" s="14"/>
    </row>
    <row r="774" ht="31.5" customHeight="1">
      <c r="A774" s="109" t="s">
        <v>7079</v>
      </c>
      <c r="B774" s="110" t="s">
        <v>7080</v>
      </c>
      <c r="C774" s="111" t="s">
        <v>7081</v>
      </c>
      <c r="D774" s="28" t="s">
        <v>11102</v>
      </c>
      <c r="E774" s="28" t="str">
        <f>IFERROR(__xludf.DUMMYFUNCTION("GOOGLETRANSLATE(D774,""zh-CN"",""vi"")"),"Ông ấy là một chủ nhà rất hiếu khách.")</f>
        <v>Ông ấy là một chủ nhà rất hiếu khách.</v>
      </c>
      <c r="F774" s="128"/>
      <c r="G774" s="36" t="b">
        <f t="shared" si="1"/>
        <v>0</v>
      </c>
      <c r="H774" s="35" t="b">
        <v>0</v>
      </c>
      <c r="I774" s="35" t="b">
        <v>0</v>
      </c>
      <c r="J774" s="35" t="b">
        <v>0</v>
      </c>
      <c r="K774" s="35" t="b">
        <v>0</v>
      </c>
      <c r="L774" s="35" t="b">
        <v>0</v>
      </c>
      <c r="M774" s="35" t="b">
        <v>0</v>
      </c>
      <c r="N774" s="35" t="b">
        <v>0</v>
      </c>
      <c r="O774" s="35" t="b">
        <v>0</v>
      </c>
      <c r="P774" s="35" t="b">
        <v>0</v>
      </c>
      <c r="Q774" s="35" t="b">
        <v>0</v>
      </c>
      <c r="R774" s="14"/>
      <c r="S774" s="14"/>
      <c r="T774" s="14"/>
      <c r="U774" s="14"/>
      <c r="V774" s="14"/>
      <c r="W774" s="14"/>
    </row>
    <row r="775" ht="31.5" customHeight="1">
      <c r="A775" s="109" t="s">
        <v>11105</v>
      </c>
      <c r="B775" s="110" t="s">
        <v>11106</v>
      </c>
      <c r="C775" s="111" t="s">
        <v>11107</v>
      </c>
      <c r="D775" s="28" t="s">
        <v>11108</v>
      </c>
      <c r="E775" s="28" t="str">
        <f>IFERROR(__xludf.DUMMYFUNCTION("GOOGLETRANSLATE(D775,""zh-CN"",""vi"")"),"Chính phủ đang kêu gọi mọi người tiết kiệm nước.")</f>
        <v>Chính phủ đang kêu gọi mọi người tiết kiệm nước.</v>
      </c>
      <c r="F775" s="128"/>
      <c r="G775" s="36" t="b">
        <f t="shared" si="1"/>
        <v>0</v>
      </c>
      <c r="H775" s="35" t="b">
        <v>0</v>
      </c>
      <c r="I775" s="35" t="b">
        <v>0</v>
      </c>
      <c r="J775" s="35" t="b">
        <v>0</v>
      </c>
      <c r="K775" s="35" t="b">
        <v>0</v>
      </c>
      <c r="L775" s="35" t="b">
        <v>0</v>
      </c>
      <c r="M775" s="35" t="b">
        <v>0</v>
      </c>
      <c r="N775" s="35" t="b">
        <v>0</v>
      </c>
      <c r="O775" s="35" t="b">
        <v>0</v>
      </c>
      <c r="P775" s="35" t="b">
        <v>0</v>
      </c>
      <c r="Q775" s="35" t="b">
        <v>0</v>
      </c>
      <c r="R775" s="14"/>
      <c r="S775" s="14"/>
      <c r="T775" s="14"/>
      <c r="U775" s="14"/>
      <c r="V775" s="14"/>
      <c r="W775" s="14"/>
    </row>
    <row r="776" ht="31.5" customHeight="1">
      <c r="A776" s="109" t="s">
        <v>11113</v>
      </c>
      <c r="B776" s="110" t="s">
        <v>400</v>
      </c>
      <c r="C776" s="111" t="s">
        <v>11114</v>
      </c>
      <c r="D776" s="34" t="s">
        <v>11118</v>
      </c>
      <c r="E776" s="28" t="str">
        <f>IFERROR(__xludf.DUMMYFUNCTION("GOOGLETRANSLATE(D776,""zh-CN"",""vi"")"),"Mở miệng và nhẹ nhàng thở ra.")</f>
        <v>Mở miệng và nhẹ nhàng thở ra.</v>
      </c>
      <c r="F776" s="128"/>
      <c r="G776" s="36" t="b">
        <f t="shared" si="1"/>
        <v>0</v>
      </c>
      <c r="H776" s="35" t="b">
        <v>0</v>
      </c>
      <c r="I776" s="35" t="b">
        <v>0</v>
      </c>
      <c r="J776" s="35" t="b">
        <v>0</v>
      </c>
      <c r="K776" s="35" t="b">
        <v>0</v>
      </c>
      <c r="L776" s="35" t="b">
        <v>0</v>
      </c>
      <c r="M776" s="35" t="b">
        <v>0</v>
      </c>
      <c r="N776" s="35" t="b">
        <v>0</v>
      </c>
      <c r="O776" s="35" t="b">
        <v>0</v>
      </c>
      <c r="P776" s="35" t="b">
        <v>0</v>
      </c>
      <c r="Q776" s="35" t="b">
        <v>0</v>
      </c>
      <c r="R776" s="14"/>
      <c r="S776" s="14"/>
      <c r="T776" s="14"/>
      <c r="U776" s="14"/>
      <c r="V776" s="14"/>
      <c r="W776" s="14"/>
    </row>
    <row r="777" ht="31.5" customHeight="1">
      <c r="A777" s="109" t="s">
        <v>11121</v>
      </c>
      <c r="B777" s="110" t="s">
        <v>11123</v>
      </c>
      <c r="C777" s="111" t="s">
        <v>11125</v>
      </c>
      <c r="D777" s="28" t="s">
        <v>11127</v>
      </c>
      <c r="E777" s="28" t="str">
        <f>IFERROR(__xludf.DUMMYFUNCTION("GOOGLETRANSLATE(D777,""zh-CN"",""vi"")"),"Bà ấy là một cụ bà tốt bụng và hiền lành.")</f>
        <v>Bà ấy là một cụ bà tốt bụng và hiền lành.</v>
      </c>
      <c r="F777" s="128"/>
      <c r="G777" s="36" t="b">
        <f t="shared" si="1"/>
        <v>0</v>
      </c>
      <c r="H777" s="35" t="b">
        <v>0</v>
      </c>
      <c r="I777" s="35" t="b">
        <v>0</v>
      </c>
      <c r="J777" s="35" t="b">
        <v>0</v>
      </c>
      <c r="K777" s="35" t="b">
        <v>0</v>
      </c>
      <c r="L777" s="35" t="b">
        <v>0</v>
      </c>
      <c r="M777" s="35" t="b">
        <v>0</v>
      </c>
      <c r="N777" s="35" t="b">
        <v>0</v>
      </c>
      <c r="O777" s="35" t="b">
        <v>0</v>
      </c>
      <c r="P777" s="35" t="b">
        <v>0</v>
      </c>
      <c r="Q777" s="35" t="b">
        <v>0</v>
      </c>
      <c r="R777" s="14"/>
      <c r="S777" s="14"/>
      <c r="T777" s="14"/>
      <c r="U777" s="14"/>
      <c r="V777" s="14"/>
      <c r="W777" s="14"/>
    </row>
    <row r="778" ht="31.5" customHeight="1">
      <c r="A778" s="109" t="s">
        <v>11128</v>
      </c>
      <c r="B778" s="110" t="s">
        <v>11129</v>
      </c>
      <c r="C778" s="111" t="s">
        <v>11130</v>
      </c>
      <c r="D778" s="28" t="s">
        <v>11131</v>
      </c>
      <c r="E778" s="28" t="str">
        <f>IFERROR(__xludf.DUMMYFUNCTION("GOOGLETRANSLATE(D778,""zh-CN"",""vi"")"),"Hai công ty đã sáp nhập.")</f>
        <v>Hai công ty đã sáp nhập.</v>
      </c>
      <c r="F778" s="128"/>
      <c r="G778" s="36" t="b">
        <f t="shared" si="1"/>
        <v>0</v>
      </c>
      <c r="H778" s="35" t="b">
        <v>0</v>
      </c>
      <c r="I778" s="35" t="b">
        <v>0</v>
      </c>
      <c r="J778" s="35" t="b">
        <v>0</v>
      </c>
      <c r="K778" s="35" t="b">
        <v>0</v>
      </c>
      <c r="L778" s="35" t="b">
        <v>0</v>
      </c>
      <c r="M778" s="35" t="b">
        <v>0</v>
      </c>
      <c r="N778" s="35" t="b">
        <v>0</v>
      </c>
      <c r="O778" s="35" t="b">
        <v>0</v>
      </c>
      <c r="P778" s="35" t="b">
        <v>0</v>
      </c>
      <c r="Q778" s="35" t="b">
        <v>0</v>
      </c>
      <c r="R778" s="14"/>
      <c r="S778" s="14"/>
      <c r="T778" s="14"/>
      <c r="U778" s="14"/>
      <c r="V778" s="14"/>
      <c r="W778" s="14"/>
    </row>
    <row r="779" ht="31.5" customHeight="1">
      <c r="A779" s="109" t="s">
        <v>11132</v>
      </c>
      <c r="B779" s="110" t="s">
        <v>11133</v>
      </c>
      <c r="C779" s="111" t="s">
        <v>11134</v>
      </c>
      <c r="D779" s="28" t="s">
        <v>11135</v>
      </c>
      <c r="E779" s="28" t="str">
        <f>IFERROR(__xludf.DUMMYFUNCTION("GOOGLETRANSLATE(D779,""zh-CN"",""vi"")"),"Các nguyên tố này có thể được sử dụng để tổng hợp các hợp chất mới.")</f>
        <v>Các nguyên tố này có thể được sử dụng để tổng hợp các hợp chất mới.</v>
      </c>
      <c r="F779" s="128"/>
      <c r="G779" s="36" t="b">
        <f t="shared" si="1"/>
        <v>0</v>
      </c>
      <c r="H779" s="35" t="b">
        <v>0</v>
      </c>
      <c r="I779" s="35" t="b">
        <v>0</v>
      </c>
      <c r="J779" s="35" t="b">
        <v>0</v>
      </c>
      <c r="K779" s="35" t="b">
        <v>0</v>
      </c>
      <c r="L779" s="35" t="b">
        <v>0</v>
      </c>
      <c r="M779" s="35" t="b">
        <v>0</v>
      </c>
      <c r="N779" s="35" t="b">
        <v>0</v>
      </c>
      <c r="O779" s="35" t="b">
        <v>0</v>
      </c>
      <c r="P779" s="35" t="b">
        <v>0</v>
      </c>
      <c r="Q779" s="35" t="b">
        <v>0</v>
      </c>
      <c r="R779" s="14"/>
      <c r="S779" s="14"/>
      <c r="T779" s="14"/>
      <c r="U779" s="14"/>
      <c r="V779" s="14"/>
      <c r="W779" s="14"/>
    </row>
    <row r="780" ht="31.5" customHeight="1">
      <c r="A780" s="109" t="s">
        <v>11136</v>
      </c>
      <c r="B780" s="110" t="s">
        <v>11137</v>
      </c>
      <c r="C780" s="111" t="s">
        <v>11138</v>
      </c>
      <c r="D780" s="28" t="s">
        <v>11139</v>
      </c>
      <c r="E780" s="28" t="str">
        <f>IFERROR(__xludf.DUMMYFUNCTION("GOOGLETRANSLATE(D780,""zh-CN"",""vi"")"),"Hành vi của anh ta hoàn toàn phù hợp với các quy định.")</f>
        <v>Hành vi của anh ta hoàn toàn phù hợp với các quy định.</v>
      </c>
      <c r="F780" s="128"/>
      <c r="G780" s="36" t="b">
        <f t="shared" si="1"/>
        <v>0</v>
      </c>
      <c r="H780" s="35" t="b">
        <v>0</v>
      </c>
      <c r="I780" s="35" t="b">
        <v>0</v>
      </c>
      <c r="J780" s="35" t="b">
        <v>0</v>
      </c>
      <c r="K780" s="35" t="b">
        <v>0</v>
      </c>
      <c r="L780" s="35" t="b">
        <v>0</v>
      </c>
      <c r="M780" s="35" t="b">
        <v>0</v>
      </c>
      <c r="N780" s="35" t="b">
        <v>0</v>
      </c>
      <c r="O780" s="35" t="b">
        <v>0</v>
      </c>
      <c r="P780" s="35" t="b">
        <v>0</v>
      </c>
      <c r="Q780" s="35" t="b">
        <v>0</v>
      </c>
      <c r="R780" s="14"/>
      <c r="S780" s="14"/>
      <c r="T780" s="14"/>
      <c r="U780" s="14"/>
      <c r="V780" s="14"/>
      <c r="W780" s="14"/>
    </row>
    <row r="781" ht="31.5" customHeight="1">
      <c r="A781" s="109" t="s">
        <v>11140</v>
      </c>
      <c r="B781" s="110" t="s">
        <v>11141</v>
      </c>
      <c r="C781" s="111" t="s">
        <v>11142</v>
      </c>
      <c r="D781" s="28" t="s">
        <v>11143</v>
      </c>
      <c r="E781" s="28" t="str">
        <f>IFERROR(__xludf.DUMMYFUNCTION("GOOGLETRANSLATE(D781,""zh-CN"",""vi"")"),"Họ quyết định cùng nhau mở một nhà hàng.")</f>
        <v>Họ quyết định cùng nhau mở một nhà hàng.</v>
      </c>
      <c r="F781" s="128"/>
      <c r="G781" s="36" t="b">
        <f t="shared" si="1"/>
        <v>0</v>
      </c>
      <c r="H781" s="35" t="b">
        <v>0</v>
      </c>
      <c r="I781" s="35" t="b">
        <v>0</v>
      </c>
      <c r="J781" s="35" t="b">
        <v>0</v>
      </c>
      <c r="K781" s="35" t="b">
        <v>0</v>
      </c>
      <c r="L781" s="35" t="b">
        <v>0</v>
      </c>
      <c r="M781" s="35" t="b">
        <v>0</v>
      </c>
      <c r="N781" s="35" t="b">
        <v>0</v>
      </c>
      <c r="O781" s="35" t="b">
        <v>0</v>
      </c>
      <c r="P781" s="35" t="b">
        <v>0</v>
      </c>
      <c r="Q781" s="35" t="b">
        <v>0</v>
      </c>
      <c r="R781" s="14"/>
      <c r="S781" s="14"/>
      <c r="T781" s="14"/>
      <c r="U781" s="14"/>
      <c r="V781" s="14"/>
      <c r="W781" s="14"/>
    </row>
    <row r="782" ht="31.5" customHeight="1">
      <c r="A782" s="109" t="s">
        <v>11144</v>
      </c>
      <c r="B782" s="110" t="s">
        <v>11145</v>
      </c>
      <c r="C782" s="111" t="s">
        <v>11146</v>
      </c>
      <c r="D782" s="28" t="s">
        <v>11147</v>
      </c>
      <c r="E782" s="28" t="str">
        <f>IFERROR(__xludf.DUMMYFUNCTION("GOOGLETRANSLATE(D782,""zh-CN"",""vi"")"),"Sau các cuộc đàm phán, hai bên cuối cùng đã đạt được thỏa thuận.")</f>
        <v>Sau các cuộc đàm phán, hai bên cuối cùng đã đạt được thỏa thuận.</v>
      </c>
      <c r="F782" s="128"/>
      <c r="G782" s="36" t="b">
        <f t="shared" si="1"/>
        <v>0</v>
      </c>
      <c r="H782" s="35" t="b">
        <v>0</v>
      </c>
      <c r="I782" s="35" t="b">
        <v>0</v>
      </c>
      <c r="J782" s="35" t="b">
        <v>0</v>
      </c>
      <c r="K782" s="35" t="b">
        <v>0</v>
      </c>
      <c r="L782" s="35" t="b">
        <v>0</v>
      </c>
      <c r="M782" s="35" t="b">
        <v>0</v>
      </c>
      <c r="N782" s="35" t="b">
        <v>0</v>
      </c>
      <c r="O782" s="35" t="b">
        <v>0</v>
      </c>
      <c r="P782" s="35" t="b">
        <v>0</v>
      </c>
      <c r="Q782" s="35" t="b">
        <v>0</v>
      </c>
      <c r="R782" s="14"/>
      <c r="S782" s="14"/>
      <c r="T782" s="14"/>
      <c r="U782" s="14"/>
      <c r="V782" s="14"/>
      <c r="W782" s="14"/>
    </row>
    <row r="783" ht="31.5" customHeight="1">
      <c r="A783" s="109" t="s">
        <v>11152</v>
      </c>
      <c r="B783" s="110" t="s">
        <v>11153</v>
      </c>
      <c r="C783" s="111" t="s">
        <v>11154</v>
      </c>
      <c r="D783" s="28" t="s">
        <v>11155</v>
      </c>
      <c r="E783" s="28" t="str">
        <f>IFERROR(__xludf.DUMMYFUNCTION("GOOGLETRANSLATE(D783,""zh-CN"",""vi"")"),"Họ sống một cuộc sống gia đình hòa thuận.")</f>
        <v>Họ sống một cuộc sống gia đình hòa thuận.</v>
      </c>
      <c r="F783" s="128"/>
      <c r="G783" s="36" t="b">
        <f t="shared" si="1"/>
        <v>0</v>
      </c>
      <c r="H783" s="35" t="b">
        <v>0</v>
      </c>
      <c r="I783" s="35" t="b">
        <v>0</v>
      </c>
      <c r="J783" s="35" t="b">
        <v>0</v>
      </c>
      <c r="K783" s="35" t="b">
        <v>0</v>
      </c>
      <c r="L783" s="35" t="b">
        <v>0</v>
      </c>
      <c r="M783" s="35" t="b">
        <v>0</v>
      </c>
      <c r="N783" s="35" t="b">
        <v>0</v>
      </c>
      <c r="O783" s="35" t="b">
        <v>0</v>
      </c>
      <c r="P783" s="35" t="b">
        <v>0</v>
      </c>
      <c r="Q783" s="35" t="b">
        <v>0</v>
      </c>
      <c r="R783" s="14"/>
      <c r="S783" s="14"/>
      <c r="T783" s="14"/>
      <c r="U783" s="14"/>
      <c r="V783" s="14"/>
      <c r="W783" s="14"/>
    </row>
    <row r="784" ht="31.5" customHeight="1">
      <c r="A784" s="109" t="s">
        <v>11156</v>
      </c>
      <c r="B784" s="110" t="s">
        <v>11157</v>
      </c>
      <c r="C784" s="111" t="s">
        <v>11158</v>
      </c>
      <c r="D784" s="28" t="s">
        <v>11159</v>
      </c>
      <c r="E784" s="28" t="str">
        <f>IFERROR(__xludf.DUMMYFUNCTION("GOOGLETRANSLATE(D784,""zh-CN"",""vi"")"),"Anh ấy là một người tốt bụng và hiền lành.")</f>
        <v>Anh ấy là một người tốt bụng và hiền lành.</v>
      </c>
      <c r="F784" s="128"/>
      <c r="G784" s="36" t="b">
        <f t="shared" si="1"/>
        <v>0</v>
      </c>
      <c r="H784" s="35" t="b">
        <v>0</v>
      </c>
      <c r="I784" s="35" t="b">
        <v>0</v>
      </c>
      <c r="J784" s="35" t="b">
        <v>0</v>
      </c>
      <c r="K784" s="35" t="b">
        <v>0</v>
      </c>
      <c r="L784" s="35" t="b">
        <v>0</v>
      </c>
      <c r="M784" s="35" t="b">
        <v>0</v>
      </c>
      <c r="N784" s="35" t="b">
        <v>0</v>
      </c>
      <c r="O784" s="35" t="b">
        <v>0</v>
      </c>
      <c r="P784" s="35" t="b">
        <v>0</v>
      </c>
      <c r="Q784" s="35" t="b">
        <v>0</v>
      </c>
      <c r="R784" s="14"/>
      <c r="S784" s="14"/>
      <c r="T784" s="14"/>
      <c r="U784" s="14"/>
      <c r="V784" s="14"/>
      <c r="W784" s="14"/>
    </row>
    <row r="785" ht="31.5" customHeight="1">
      <c r="A785" s="109" t="s">
        <v>11163</v>
      </c>
      <c r="B785" s="110" t="s">
        <v>11164</v>
      </c>
      <c r="C785" s="111" t="s">
        <v>11165</v>
      </c>
      <c r="D785" s="28" t="s">
        <v>11166</v>
      </c>
      <c r="E785" s="28" t="str">
        <f>IFERROR(__xludf.DUMMYFUNCTION("GOOGLETRANSLATE(D785,""zh-CN"",""vi"")"),"Chiếc váy này rất hợp với bạn.")</f>
        <v>Chiếc váy này rất hợp với bạn.</v>
      </c>
      <c r="F785" s="128"/>
      <c r="G785" s="36" t="b">
        <f t="shared" si="1"/>
        <v>0</v>
      </c>
      <c r="H785" s="35" t="b">
        <v>0</v>
      </c>
      <c r="I785" s="35" t="b">
        <v>0</v>
      </c>
      <c r="J785" s="35" t="b">
        <v>0</v>
      </c>
      <c r="K785" s="35" t="b">
        <v>0</v>
      </c>
      <c r="L785" s="35" t="b">
        <v>0</v>
      </c>
      <c r="M785" s="35" t="b">
        <v>0</v>
      </c>
      <c r="N785" s="35" t="b">
        <v>0</v>
      </c>
      <c r="O785" s="35" t="b">
        <v>0</v>
      </c>
      <c r="P785" s="35" t="b">
        <v>0</v>
      </c>
      <c r="Q785" s="35" t="b">
        <v>0</v>
      </c>
      <c r="R785" s="14"/>
      <c r="S785" s="14"/>
      <c r="T785" s="14"/>
      <c r="U785" s="14"/>
      <c r="V785" s="14"/>
      <c r="W785" s="14"/>
    </row>
    <row r="786" ht="31.5" customHeight="1">
      <c r="A786" s="109" t="s">
        <v>11171</v>
      </c>
      <c r="B786" s="110" t="s">
        <v>11172</v>
      </c>
      <c r="C786" s="111" t="s">
        <v>11173</v>
      </c>
      <c r="D786" s="28" t="s">
        <v>11174</v>
      </c>
      <c r="E786" s="28" t="str">
        <f>IFERROR(__xludf.DUMMYFUNCTION("GOOGLETRANSLATE(D786,""zh-CN"",""vi"")"),"Kế hoạch này rất tiết kiệm chi phí.")</f>
        <v>Kế hoạch này rất tiết kiệm chi phí.</v>
      </c>
      <c r="F786" s="128"/>
      <c r="G786" s="36" t="b">
        <f t="shared" si="1"/>
        <v>0</v>
      </c>
      <c r="H786" s="35" t="b">
        <v>0</v>
      </c>
      <c r="I786" s="35" t="b">
        <v>0</v>
      </c>
      <c r="J786" s="35" t="b">
        <v>0</v>
      </c>
      <c r="K786" s="35" t="b">
        <v>0</v>
      </c>
      <c r="L786" s="35" t="b">
        <v>0</v>
      </c>
      <c r="M786" s="35" t="b">
        <v>0</v>
      </c>
      <c r="N786" s="35" t="b">
        <v>0</v>
      </c>
      <c r="O786" s="35" t="b">
        <v>0</v>
      </c>
      <c r="P786" s="35" t="b">
        <v>0</v>
      </c>
      <c r="Q786" s="35" t="b">
        <v>0</v>
      </c>
      <c r="R786" s="14"/>
      <c r="S786" s="14"/>
      <c r="T786" s="14"/>
      <c r="U786" s="14"/>
      <c r="V786" s="14"/>
      <c r="W786" s="14"/>
    </row>
    <row r="787" ht="31.5" customHeight="1">
      <c r="A787" s="109" t="s">
        <v>11175</v>
      </c>
      <c r="B787" s="110" t="s">
        <v>11176</v>
      </c>
      <c r="C787" s="111" t="s">
        <v>11177</v>
      </c>
      <c r="D787" s="28" t="s">
        <v>11178</v>
      </c>
      <c r="E787" s="28" t="str">
        <f>IFERROR(__xludf.DUMMYFUNCTION("GOOGLETRANSLATE(D787,""zh-CN"",""vi"")"),"Mối quan hệ của họ rất hòa thuận.")</f>
        <v>Mối quan hệ của họ rất hòa thuận.</v>
      </c>
      <c r="F787" s="128"/>
      <c r="G787" s="36" t="b">
        <f t="shared" si="1"/>
        <v>0</v>
      </c>
      <c r="H787" s="35" t="b">
        <v>0</v>
      </c>
      <c r="I787" s="35" t="b">
        <v>0</v>
      </c>
      <c r="J787" s="35" t="b">
        <v>0</v>
      </c>
      <c r="K787" s="35" t="b">
        <v>0</v>
      </c>
      <c r="L787" s="35" t="b">
        <v>0</v>
      </c>
      <c r="M787" s="35" t="b">
        <v>0</v>
      </c>
      <c r="N787" s="35" t="b">
        <v>0</v>
      </c>
      <c r="O787" s="35" t="b">
        <v>0</v>
      </c>
      <c r="P787" s="35" t="b">
        <v>0</v>
      </c>
      <c r="Q787" s="35" t="b">
        <v>0</v>
      </c>
      <c r="R787" s="14"/>
      <c r="S787" s="14"/>
      <c r="T787" s="14"/>
      <c r="U787" s="14"/>
      <c r="V787" s="14"/>
      <c r="W787" s="14"/>
    </row>
    <row r="788" ht="31.5" customHeight="1">
      <c r="A788" s="109" t="s">
        <v>11181</v>
      </c>
      <c r="B788" s="110" t="s">
        <v>915</v>
      </c>
      <c r="C788" s="111" t="s">
        <v>11183</v>
      </c>
      <c r="D788" s="28" t="s">
        <v>11184</v>
      </c>
      <c r="E788" s="28" t="str">
        <f>IFERROR(__xludf.DUMMYFUNCTION("GOOGLETRANSLATE(D788,""zh-CN"",""vi"")"),"Này, bạn đang làm gì vậy?")</f>
        <v>Này, bạn đang làm gì vậy?</v>
      </c>
      <c r="F788" s="128"/>
      <c r="G788" s="36" t="b">
        <f t="shared" si="1"/>
        <v>0</v>
      </c>
      <c r="H788" s="35" t="b">
        <v>0</v>
      </c>
      <c r="I788" s="35" t="b">
        <v>0</v>
      </c>
      <c r="J788" s="35" t="b">
        <v>0</v>
      </c>
      <c r="K788" s="35" t="b">
        <v>0</v>
      </c>
      <c r="L788" s="35" t="b">
        <v>0</v>
      </c>
      <c r="M788" s="35" t="b">
        <v>0</v>
      </c>
      <c r="N788" s="35" t="b">
        <v>0</v>
      </c>
      <c r="O788" s="35" t="b">
        <v>0</v>
      </c>
      <c r="P788" s="35" t="b">
        <v>0</v>
      </c>
      <c r="Q788" s="35" t="b">
        <v>0</v>
      </c>
      <c r="R788" s="14"/>
      <c r="S788" s="14"/>
      <c r="T788" s="14"/>
      <c r="U788" s="14"/>
      <c r="V788" s="14"/>
      <c r="W788" s="14"/>
    </row>
    <row r="789" ht="31.5" customHeight="1">
      <c r="A789" s="109" t="s">
        <v>11186</v>
      </c>
      <c r="B789" s="110" t="s">
        <v>11187</v>
      </c>
      <c r="C789" s="111" t="s">
        <v>11188</v>
      </c>
      <c r="D789" s="28" t="s">
        <v>11189</v>
      </c>
      <c r="E789" s="28" t="str">
        <f>IFERROR(__xludf.DUMMYFUNCTION("GOOGLETRANSLATE(D789,""zh-CN"",""vi"")"),"Hắn đã để lại dấu vết tại hiện trường vụ án.")</f>
        <v>Hắn đã để lại dấu vết tại hiện trường vụ án.</v>
      </c>
      <c r="F789" s="128"/>
      <c r="G789" s="36" t="b">
        <f t="shared" si="1"/>
        <v>0</v>
      </c>
      <c r="H789" s="35" t="b">
        <v>0</v>
      </c>
      <c r="I789" s="35" t="b">
        <v>0</v>
      </c>
      <c r="J789" s="35" t="b">
        <v>0</v>
      </c>
      <c r="K789" s="35" t="b">
        <v>0</v>
      </c>
      <c r="L789" s="35" t="b">
        <v>0</v>
      </c>
      <c r="M789" s="35" t="b">
        <v>0</v>
      </c>
      <c r="N789" s="35" t="b">
        <v>0</v>
      </c>
      <c r="O789" s="35" t="b">
        <v>0</v>
      </c>
      <c r="P789" s="35" t="b">
        <v>0</v>
      </c>
      <c r="Q789" s="35" t="b">
        <v>0</v>
      </c>
      <c r="R789" s="14"/>
      <c r="S789" s="14"/>
      <c r="T789" s="14"/>
      <c r="U789" s="14"/>
      <c r="V789" s="14"/>
      <c r="W789" s="14"/>
    </row>
    <row r="790" ht="31.5" customHeight="1">
      <c r="A790" s="109" t="s">
        <v>11190</v>
      </c>
      <c r="B790" s="110" t="s">
        <v>11192</v>
      </c>
      <c r="C790" s="111" t="s">
        <v>11193</v>
      </c>
      <c r="D790" s="28" t="s">
        <v>11195</v>
      </c>
      <c r="E790" s="28" t="str">
        <f>IFERROR(__xludf.DUMMYFUNCTION("GOOGLETRANSLATE(D790,""zh-CN"",""vi"")"),"Hắn đã nhẫn tâm bỏ nhà đi.")</f>
        <v>Hắn đã nhẫn tâm bỏ nhà đi.</v>
      </c>
      <c r="F790" s="128"/>
      <c r="G790" s="36" t="b">
        <f t="shared" si="1"/>
        <v>0</v>
      </c>
      <c r="H790" s="35" t="b">
        <v>0</v>
      </c>
      <c r="I790" s="35" t="b">
        <v>0</v>
      </c>
      <c r="J790" s="35" t="b">
        <v>0</v>
      </c>
      <c r="K790" s="35" t="b">
        <v>0</v>
      </c>
      <c r="L790" s="35" t="b">
        <v>0</v>
      </c>
      <c r="M790" s="35" t="b">
        <v>0</v>
      </c>
      <c r="N790" s="35" t="b">
        <v>0</v>
      </c>
      <c r="O790" s="35" t="b">
        <v>0</v>
      </c>
      <c r="P790" s="35" t="b">
        <v>0</v>
      </c>
      <c r="Q790" s="35" t="b">
        <v>0</v>
      </c>
      <c r="R790" s="14"/>
      <c r="S790" s="14"/>
      <c r="T790" s="14"/>
      <c r="U790" s="14"/>
      <c r="V790" s="14"/>
      <c r="W790" s="14"/>
    </row>
    <row r="791" ht="31.5" customHeight="1">
      <c r="A791" s="109" t="s">
        <v>11197</v>
      </c>
      <c r="B791" s="110" t="s">
        <v>11198</v>
      </c>
      <c r="C791" s="111" t="s">
        <v>11199</v>
      </c>
      <c r="D791" s="28" t="s">
        <v>11200</v>
      </c>
      <c r="E791" s="28" t="str">
        <f>IFERROR(__xludf.DUMMYFUNCTION("GOOGLETRANSLATE(D791,""zh-CN"",""vi"")"),"Tôi rất mong được gặp anh ấy.")</f>
        <v>Tôi rất mong được gặp anh ấy.</v>
      </c>
      <c r="F791" s="128"/>
      <c r="G791" s="36" t="b">
        <f t="shared" si="1"/>
        <v>0</v>
      </c>
      <c r="H791" s="35" t="b">
        <v>0</v>
      </c>
      <c r="I791" s="35" t="b">
        <v>0</v>
      </c>
      <c r="J791" s="35" t="b">
        <v>0</v>
      </c>
      <c r="K791" s="35" t="b">
        <v>0</v>
      </c>
      <c r="L791" s="35" t="b">
        <v>0</v>
      </c>
      <c r="M791" s="35" t="b">
        <v>0</v>
      </c>
      <c r="N791" s="35" t="b">
        <v>0</v>
      </c>
      <c r="O791" s="35" t="b">
        <v>0</v>
      </c>
      <c r="P791" s="35" t="b">
        <v>0</v>
      </c>
      <c r="Q791" s="35" t="b">
        <v>0</v>
      </c>
      <c r="R791" s="14"/>
      <c r="S791" s="14"/>
      <c r="T791" s="14"/>
      <c r="U791" s="14"/>
      <c r="V791" s="14"/>
      <c r="W791" s="14"/>
    </row>
    <row r="792" ht="31.5" customHeight="1">
      <c r="A792" s="109" t="s">
        <v>11203</v>
      </c>
      <c r="B792" s="110" t="s">
        <v>11204</v>
      </c>
      <c r="C792" s="111" t="s">
        <v>11205</v>
      </c>
      <c r="D792" s="28" t="s">
        <v>11206</v>
      </c>
      <c r="E792" s="28" t="str">
        <f>IFERROR(__xludf.DUMMYFUNCTION("GOOGLETRANSLATE(D792,""zh-CN"",""vi"")"),"Hừm, tôi không tin điều đó!")</f>
        <v>Hừm, tôi không tin điều đó!</v>
      </c>
      <c r="F792" s="128"/>
      <c r="G792" s="36" t="b">
        <f t="shared" si="1"/>
        <v>0</v>
      </c>
      <c r="H792" s="35" t="b">
        <v>0</v>
      </c>
      <c r="I792" s="35" t="b">
        <v>0</v>
      </c>
      <c r="J792" s="35" t="b">
        <v>0</v>
      </c>
      <c r="K792" s="35" t="b">
        <v>0</v>
      </c>
      <c r="L792" s="35" t="b">
        <v>0</v>
      </c>
      <c r="M792" s="35" t="b">
        <v>0</v>
      </c>
      <c r="N792" s="35" t="b">
        <v>0</v>
      </c>
      <c r="O792" s="35" t="b">
        <v>0</v>
      </c>
      <c r="P792" s="35" t="b">
        <v>0</v>
      </c>
      <c r="Q792" s="35" t="b">
        <v>0</v>
      </c>
      <c r="R792" s="14"/>
      <c r="S792" s="14"/>
      <c r="T792" s="14"/>
      <c r="U792" s="14"/>
      <c r="V792" s="14"/>
      <c r="W792" s="14"/>
    </row>
    <row r="793" ht="31.5" customHeight="1">
      <c r="A793" s="109" t="s">
        <v>11207</v>
      </c>
      <c r="B793" s="110" t="s">
        <v>11208</v>
      </c>
      <c r="C793" s="111" t="s">
        <v>11210</v>
      </c>
      <c r="D793" s="28" t="s">
        <v>11212</v>
      </c>
      <c r="E793" s="28" t="str">
        <f>IFERROR(__xludf.DUMMYFUNCTION("GOOGLETRANSLATE(D793,""zh-CN"",""vi"")"),"Anh ấy đang ru đứa trẻ ngủ.")</f>
        <v>Anh ấy đang ru đứa trẻ ngủ.</v>
      </c>
      <c r="F793" s="128"/>
      <c r="G793" s="36" t="b">
        <f t="shared" si="1"/>
        <v>0</v>
      </c>
      <c r="H793" s="35" t="b">
        <v>0</v>
      </c>
      <c r="I793" s="35" t="b">
        <v>0</v>
      </c>
      <c r="J793" s="35" t="b">
        <v>0</v>
      </c>
      <c r="K793" s="35" t="b">
        <v>0</v>
      </c>
      <c r="L793" s="35" t="b">
        <v>0</v>
      </c>
      <c r="M793" s="35" t="b">
        <v>0</v>
      </c>
      <c r="N793" s="35" t="b">
        <v>0</v>
      </c>
      <c r="O793" s="35" t="b">
        <v>0</v>
      </c>
      <c r="P793" s="35" t="b">
        <v>0</v>
      </c>
      <c r="Q793" s="35" t="b">
        <v>0</v>
      </c>
      <c r="R793" s="14"/>
      <c r="S793" s="14"/>
      <c r="T793" s="14"/>
      <c r="U793" s="14"/>
      <c r="V793" s="14"/>
      <c r="W793" s="14"/>
    </row>
    <row r="794" ht="31.5" customHeight="1">
      <c r="A794" s="109" t="s">
        <v>11215</v>
      </c>
      <c r="B794" s="110" t="s">
        <v>11208</v>
      </c>
      <c r="C794" s="111" t="s">
        <v>11216</v>
      </c>
      <c r="D794" s="28" t="s">
        <v>11217</v>
      </c>
      <c r="E794" s="28" t="str">
        <f>IFERROR(__xludf.DUMMYFUNCTION("GOOGLETRANSLATE(D794,""zh-CN"",""vi"")"),"Mẹ đang phơi quần áo.")</f>
        <v>Mẹ đang phơi quần áo.</v>
      </c>
      <c r="F794" s="128"/>
      <c r="G794" s="36" t="b">
        <f t="shared" si="1"/>
        <v>0</v>
      </c>
      <c r="H794" s="35" t="b">
        <v>0</v>
      </c>
      <c r="I794" s="35" t="b">
        <v>0</v>
      </c>
      <c r="J794" s="35" t="b">
        <v>0</v>
      </c>
      <c r="K794" s="35" t="b">
        <v>0</v>
      </c>
      <c r="L794" s="35" t="b">
        <v>0</v>
      </c>
      <c r="M794" s="35" t="b">
        <v>0</v>
      </c>
      <c r="N794" s="35" t="b">
        <v>0</v>
      </c>
      <c r="O794" s="35" t="b">
        <v>0</v>
      </c>
      <c r="P794" s="35" t="b">
        <v>0</v>
      </c>
      <c r="Q794" s="35" t="b">
        <v>0</v>
      </c>
      <c r="R794" s="14"/>
      <c r="S794" s="14"/>
      <c r="T794" s="14"/>
      <c r="U794" s="14"/>
      <c r="V794" s="14"/>
      <c r="W794" s="14"/>
    </row>
    <row r="795" ht="31.5" customHeight="1">
      <c r="A795" s="109" t="s">
        <v>11222</v>
      </c>
      <c r="B795" s="110" t="s">
        <v>11223</v>
      </c>
      <c r="C795" s="111" t="s">
        <v>11224</v>
      </c>
      <c r="D795" s="28" t="s">
        <v>11225</v>
      </c>
      <c r="E795" s="28" t="str">
        <f>IFERROR(__xludf.DUMMYFUNCTION("GOOGLETRANSLATE(D795,""zh-CN"",""vi"")"),"Tin tức này đã gây xôn xao trên mạng.")</f>
        <v>Tin tức này đã gây xôn xao trên mạng.</v>
      </c>
      <c r="F795" s="128"/>
      <c r="G795" s="36" t="b">
        <f t="shared" si="1"/>
        <v>0</v>
      </c>
      <c r="H795" s="35" t="b">
        <v>0</v>
      </c>
      <c r="I795" s="35" t="b">
        <v>0</v>
      </c>
      <c r="J795" s="35" t="b">
        <v>0</v>
      </c>
      <c r="K795" s="35" t="b">
        <v>0</v>
      </c>
      <c r="L795" s="35" t="b">
        <v>0</v>
      </c>
      <c r="M795" s="35" t="b">
        <v>0</v>
      </c>
      <c r="N795" s="35" t="b">
        <v>0</v>
      </c>
      <c r="O795" s="35" t="b">
        <v>0</v>
      </c>
      <c r="P795" s="35" t="b">
        <v>0</v>
      </c>
      <c r="Q795" s="35" t="b">
        <v>0</v>
      </c>
      <c r="R795" s="14"/>
      <c r="S795" s="14"/>
      <c r="T795" s="14"/>
      <c r="U795" s="14"/>
      <c r="V795" s="14"/>
      <c r="W795" s="14"/>
    </row>
    <row r="796" ht="31.5" customHeight="1">
      <c r="A796" s="109" t="s">
        <v>11229</v>
      </c>
      <c r="B796" s="110" t="s">
        <v>11230</v>
      </c>
      <c r="C796" s="111" t="s">
        <v>11231</v>
      </c>
      <c r="D796" s="28" t="s">
        <v>11232</v>
      </c>
      <c r="E796" s="28" t="str">
        <f>IFERROR(__xludf.DUMMYFUNCTION("GOOGLETRANSLATE(D796,""zh-CN"",""vi"")"),"Bà ngoại tặng tôi một phong bì đỏ to.")</f>
        <v>Bà ngoại tặng tôi một phong bì đỏ to.</v>
      </c>
      <c r="F796" s="128"/>
      <c r="G796" s="36" t="b">
        <f t="shared" si="1"/>
        <v>0</v>
      </c>
      <c r="H796" s="35" t="b">
        <v>1</v>
      </c>
      <c r="I796" s="35" t="b">
        <v>0</v>
      </c>
      <c r="J796" s="35" t="b">
        <v>0</v>
      </c>
      <c r="K796" s="35" t="b">
        <v>0</v>
      </c>
      <c r="L796" s="35" t="b">
        <v>0</v>
      </c>
      <c r="M796" s="35" t="b">
        <v>0</v>
      </c>
      <c r="N796" s="35" t="b">
        <v>0</v>
      </c>
      <c r="O796" s="35" t="b">
        <v>0</v>
      </c>
      <c r="P796" s="35" t="b">
        <v>0</v>
      </c>
      <c r="Q796" s="35" t="b">
        <v>0</v>
      </c>
      <c r="R796" s="14"/>
      <c r="S796" s="14"/>
      <c r="T796" s="14"/>
      <c r="U796" s="14"/>
      <c r="V796" s="14"/>
      <c r="W796" s="14"/>
    </row>
    <row r="797" ht="31.5" customHeight="1">
      <c r="A797" s="109" t="s">
        <v>11237</v>
      </c>
      <c r="B797" s="110" t="s">
        <v>11238</v>
      </c>
      <c r="C797" s="111" t="s">
        <v>11239</v>
      </c>
      <c r="D797" s="28" t="s">
        <v>11240</v>
      </c>
      <c r="E797" s="28" t="str">
        <f>IFERROR(__xludf.DUMMYFUNCTION("GOOGLETRANSLATE(D797,""zh-CN"",""vi"")"),"Ông ấy rất quan tâm đến kinh tế vĩ mô.")</f>
        <v>Ông ấy rất quan tâm đến kinh tế vĩ mô.</v>
      </c>
      <c r="F797" s="128"/>
      <c r="G797" s="36" t="b">
        <f t="shared" si="1"/>
        <v>0</v>
      </c>
      <c r="H797" s="35" t="b">
        <v>1</v>
      </c>
      <c r="I797" s="35" t="b">
        <v>0</v>
      </c>
      <c r="J797" s="35" t="b">
        <v>0</v>
      </c>
      <c r="K797" s="35" t="b">
        <v>0</v>
      </c>
      <c r="L797" s="35" t="b">
        <v>0</v>
      </c>
      <c r="M797" s="35" t="b">
        <v>0</v>
      </c>
      <c r="N797" s="35" t="b">
        <v>0</v>
      </c>
      <c r="O797" s="35" t="b">
        <v>0</v>
      </c>
      <c r="P797" s="35" t="b">
        <v>0</v>
      </c>
      <c r="Q797" s="35" t="b">
        <v>0</v>
      </c>
      <c r="R797" s="14"/>
      <c r="S797" s="14"/>
      <c r="T797" s="14"/>
      <c r="U797" s="14"/>
      <c r="V797" s="14"/>
      <c r="W797" s="14"/>
    </row>
    <row r="798" ht="31.5" customHeight="1">
      <c r="A798" s="109" t="s">
        <v>11245</v>
      </c>
      <c r="B798" s="110" t="s">
        <v>11246</v>
      </c>
      <c r="C798" s="111" t="s">
        <v>11247</v>
      </c>
      <c r="D798" s="28" t="s">
        <v>11248</v>
      </c>
      <c r="E798" s="28" t="str">
        <f>IFERROR(__xludf.DUMMYFUNCTION("GOOGLETRANSLATE(D798,""zh-CN"",""vi"")"),"Mưa lớn gây ra lũ lụt.")</f>
        <v>Mưa lớn gây ra lũ lụt.</v>
      </c>
      <c r="F798" s="128"/>
      <c r="G798" s="36" t="b">
        <f t="shared" si="1"/>
        <v>0</v>
      </c>
      <c r="H798" s="35" t="b">
        <v>1</v>
      </c>
      <c r="I798" s="35" t="b">
        <v>0</v>
      </c>
      <c r="J798" s="35" t="b">
        <v>0</v>
      </c>
      <c r="K798" s="35" t="b">
        <v>0</v>
      </c>
      <c r="L798" s="35" t="b">
        <v>0</v>
      </c>
      <c r="M798" s="35" t="b">
        <v>0</v>
      </c>
      <c r="N798" s="35" t="b">
        <v>0</v>
      </c>
      <c r="O798" s="35" t="b">
        <v>0</v>
      </c>
      <c r="P798" s="35" t="b">
        <v>0</v>
      </c>
      <c r="Q798" s="35" t="b">
        <v>0</v>
      </c>
      <c r="R798" s="14"/>
      <c r="S798" s="14"/>
      <c r="T798" s="14"/>
      <c r="U798" s="14"/>
      <c r="V798" s="14"/>
      <c r="W798" s="14"/>
    </row>
    <row r="799" ht="31.5" customHeight="1">
      <c r="A799" s="109" t="s">
        <v>11252</v>
      </c>
      <c r="B799" s="110" t="s">
        <v>11253</v>
      </c>
      <c r="C799" s="111" t="s">
        <v>11254</v>
      </c>
      <c r="D799" s="28" t="s">
        <v>11255</v>
      </c>
      <c r="E799" s="28" t="str">
        <f>IFERROR(__xludf.DUMMYFUNCTION("GOOGLETRANSLATE(D799,""zh-CN"",""vi"")"),"Tòa nhà này thật tráng lệ.")</f>
        <v>Tòa nhà này thật tráng lệ.</v>
      </c>
      <c r="F799" s="128"/>
      <c r="G799" s="36" t="b">
        <f t="shared" si="1"/>
        <v>0</v>
      </c>
      <c r="H799" s="35" t="b">
        <v>1</v>
      </c>
      <c r="I799" s="35" t="b">
        <v>0</v>
      </c>
      <c r="J799" s="35" t="b">
        <v>0</v>
      </c>
      <c r="K799" s="35" t="b">
        <v>0</v>
      </c>
      <c r="L799" s="35" t="b">
        <v>0</v>
      </c>
      <c r="M799" s="35" t="b">
        <v>0</v>
      </c>
      <c r="N799" s="35" t="b">
        <v>0</v>
      </c>
      <c r="O799" s="35" t="b">
        <v>0</v>
      </c>
      <c r="P799" s="35" t="b">
        <v>0</v>
      </c>
      <c r="Q799" s="35" t="b">
        <v>0</v>
      </c>
      <c r="R799" s="14"/>
      <c r="S799" s="14"/>
      <c r="T799" s="14"/>
      <c r="U799" s="14"/>
      <c r="V799" s="14"/>
      <c r="W799" s="14"/>
    </row>
    <row r="800" ht="31.5" customHeight="1">
      <c r="A800" s="109" t="s">
        <v>11256</v>
      </c>
      <c r="B800" s="110" t="s">
        <v>11257</v>
      </c>
      <c r="C800" s="111" t="s">
        <v>10356</v>
      </c>
      <c r="D800" s="28" t="s">
        <v>11259</v>
      </c>
      <c r="E800" s="28" t="str">
        <f>IFERROR(__xludf.DUMMYFUNCTION("GOOGLETRANSLATE(D800,""zh-CN"",""vi"")"),"Cổ họng anh ấy đau và giọng nói khàn đặc.")</f>
        <v>Cổ họng anh ấy đau và giọng nói khàn đặc.</v>
      </c>
      <c r="F800" s="128"/>
      <c r="G800" s="36" t="b">
        <f t="shared" si="1"/>
        <v>0</v>
      </c>
      <c r="H800" s="35" t="b">
        <v>1</v>
      </c>
      <c r="I800" s="35" t="b">
        <v>0</v>
      </c>
      <c r="J800" s="35" t="b">
        <v>0</v>
      </c>
      <c r="K800" s="35" t="b">
        <v>0</v>
      </c>
      <c r="L800" s="35" t="b">
        <v>0</v>
      </c>
      <c r="M800" s="35" t="b">
        <v>0</v>
      </c>
      <c r="N800" s="35" t="b">
        <v>0</v>
      </c>
      <c r="O800" s="35" t="b">
        <v>0</v>
      </c>
      <c r="P800" s="35" t="b">
        <v>0</v>
      </c>
      <c r="Q800" s="35" t="b">
        <v>0</v>
      </c>
      <c r="R800" s="14"/>
      <c r="S800" s="14"/>
      <c r="T800" s="14"/>
      <c r="U800" s="14"/>
      <c r="V800" s="14"/>
      <c r="W800" s="14"/>
    </row>
    <row r="801" ht="31.5" customHeight="1">
      <c r="A801" s="109" t="s">
        <v>11262</v>
      </c>
      <c r="B801" s="110" t="s">
        <v>11263</v>
      </c>
      <c r="C801" s="111" t="s">
        <v>11264</v>
      </c>
      <c r="D801" s="28" t="s">
        <v>11265</v>
      </c>
      <c r="E801" s="28" t="str">
        <f>IFERROR(__xludf.DUMMYFUNCTION("GOOGLETRANSLATE(D801,""zh-CN"",""vi"")"),"Ông ta gầm lên phản đối.")</f>
        <v>Ông ta gầm lên phản đối.</v>
      </c>
      <c r="F801" s="128"/>
      <c r="G801" s="36" t="b">
        <f t="shared" si="1"/>
        <v>0</v>
      </c>
      <c r="H801" s="35" t="b">
        <v>1</v>
      </c>
      <c r="I801" s="35" t="b">
        <v>0</v>
      </c>
      <c r="J801" s="35" t="b">
        <v>0</v>
      </c>
      <c r="K801" s="35" t="b">
        <v>0</v>
      </c>
      <c r="L801" s="35" t="b">
        <v>0</v>
      </c>
      <c r="M801" s="35" t="b">
        <v>0</v>
      </c>
      <c r="N801" s="35" t="b">
        <v>0</v>
      </c>
      <c r="O801" s="35" t="b">
        <v>0</v>
      </c>
      <c r="P801" s="35" t="b">
        <v>0</v>
      </c>
      <c r="Q801" s="35" t="b">
        <v>0</v>
      </c>
      <c r="R801" s="14"/>
      <c r="S801" s="14"/>
      <c r="T801" s="14"/>
      <c r="U801" s="14"/>
      <c r="V801" s="14"/>
      <c r="W801" s="14"/>
    </row>
    <row r="802" ht="31.5" customHeight="1">
      <c r="A802" s="109" t="s">
        <v>11270</v>
      </c>
      <c r="B802" s="110" t="s">
        <v>11271</v>
      </c>
      <c r="C802" s="111" t="s">
        <v>11272</v>
      </c>
      <c r="D802" s="28" t="s">
        <v>11273</v>
      </c>
      <c r="E802" s="28" t="str">
        <f>IFERROR(__xludf.DUMMYFUNCTION("GOOGLETRANSLATE(D802,""zh-CN"",""vi"")"),"Những di sản văn hóa này là một kho báu quý giá cho các thế hệ tương lai của chúng ta.")</f>
        <v>Những di sản văn hóa này là một kho báu quý giá cho các thế hệ tương lai của chúng ta.</v>
      </c>
      <c r="F802" s="128"/>
      <c r="G802" s="36" t="b">
        <f t="shared" si="1"/>
        <v>0</v>
      </c>
      <c r="H802" s="35" t="b">
        <v>1</v>
      </c>
      <c r="I802" s="35" t="b">
        <v>0</v>
      </c>
      <c r="J802" s="35" t="b">
        <v>0</v>
      </c>
      <c r="K802" s="35" t="b">
        <v>0</v>
      </c>
      <c r="L802" s="35" t="b">
        <v>0</v>
      </c>
      <c r="M802" s="35" t="b">
        <v>0</v>
      </c>
      <c r="N802" s="35" t="b">
        <v>0</v>
      </c>
      <c r="O802" s="35" t="b">
        <v>0</v>
      </c>
      <c r="P802" s="35" t="b">
        <v>0</v>
      </c>
      <c r="Q802" s="35" t="b">
        <v>0</v>
      </c>
      <c r="R802" s="14"/>
      <c r="S802" s="14"/>
      <c r="T802" s="14"/>
      <c r="U802" s="14"/>
      <c r="V802" s="14"/>
      <c r="W802" s="14"/>
    </row>
    <row r="803" ht="31.5" customHeight="1">
      <c r="A803" s="109" t="s">
        <v>11274</v>
      </c>
      <c r="B803" s="110" t="s">
        <v>11276</v>
      </c>
      <c r="C803" s="111" t="s">
        <v>11277</v>
      </c>
      <c r="D803" s="28" t="s">
        <v>11279</v>
      </c>
      <c r="E803" s="28" t="str">
        <f>IFERROR(__xludf.DUMMYFUNCTION("GOOGLETRANSLATE(D803,""zh-CN"",""vi"")"),"Anh ấy không hề lo lắng về công việc của mình.")</f>
        <v>Anh ấy không hề lo lắng về công việc của mình.</v>
      </c>
      <c r="F803" s="128"/>
      <c r="G803" s="36" t="b">
        <f t="shared" si="1"/>
        <v>0</v>
      </c>
      <c r="H803" s="35" t="b">
        <v>1</v>
      </c>
      <c r="I803" s="35" t="b">
        <v>0</v>
      </c>
      <c r="J803" s="35" t="b">
        <v>0</v>
      </c>
      <c r="K803" s="35" t="b">
        <v>0</v>
      </c>
      <c r="L803" s="35" t="b">
        <v>0</v>
      </c>
      <c r="M803" s="35" t="b">
        <v>0</v>
      </c>
      <c r="N803" s="35" t="b">
        <v>0</v>
      </c>
      <c r="O803" s="35" t="b">
        <v>0</v>
      </c>
      <c r="P803" s="35" t="b">
        <v>0</v>
      </c>
      <c r="Q803" s="35" t="b">
        <v>0</v>
      </c>
      <c r="R803" s="14"/>
      <c r="S803" s="14"/>
      <c r="T803" s="14"/>
      <c r="U803" s="14"/>
      <c r="V803" s="14"/>
      <c r="W803" s="14"/>
    </row>
    <row r="804" ht="31.5" customHeight="1">
      <c r="A804" s="109" t="s">
        <v>438</v>
      </c>
      <c r="B804" s="110" t="s">
        <v>11281</v>
      </c>
      <c r="C804" s="111" t="s">
        <v>11282</v>
      </c>
      <c r="D804" s="28" t="s">
        <v>11283</v>
      </c>
      <c r="E804" s="28" t="str">
        <f>IFERROR(__xludf.DUMMYFUNCTION("GOOGLETRANSLATE(D804,""zh-CN"",""vi"")"),"Cô ấy đang đứng phía sau tôi.")</f>
        <v>Cô ấy đang đứng phía sau tôi.</v>
      </c>
      <c r="F804" s="128"/>
      <c r="G804" s="36" t="b">
        <f t="shared" si="1"/>
        <v>0</v>
      </c>
      <c r="H804" s="35" t="b">
        <v>1</v>
      </c>
      <c r="I804" s="35" t="b">
        <v>0</v>
      </c>
      <c r="J804" s="35" t="b">
        <v>0</v>
      </c>
      <c r="K804" s="35" t="b">
        <v>0</v>
      </c>
      <c r="L804" s="35" t="b">
        <v>0</v>
      </c>
      <c r="M804" s="35" t="b">
        <v>0</v>
      </c>
      <c r="N804" s="35" t="b">
        <v>0</v>
      </c>
      <c r="O804" s="35" t="b">
        <v>0</v>
      </c>
      <c r="P804" s="35" t="b">
        <v>0</v>
      </c>
      <c r="Q804" s="35" t="b">
        <v>0</v>
      </c>
      <c r="R804" s="14"/>
      <c r="S804" s="14"/>
      <c r="T804" s="14"/>
      <c r="U804" s="14"/>
      <c r="V804" s="14"/>
      <c r="W804" s="14"/>
    </row>
    <row r="805" ht="31.5" customHeight="1">
      <c r="A805" s="109" t="s">
        <v>11288</v>
      </c>
      <c r="B805" s="110" t="s">
        <v>11289</v>
      </c>
      <c r="C805" s="111" t="s">
        <v>11290</v>
      </c>
      <c r="D805" s="28" t="s">
        <v>11291</v>
      </c>
      <c r="E805" s="28" t="str">
        <f>IFERROR(__xludf.DUMMYFUNCTION("GOOGLETRANSLATE(D805,""zh-CN"",""vi"")"),"Bộ phận hậu cần chịu trách nhiệm cung cấp hỗ trợ.")</f>
        <v>Bộ phận hậu cần chịu trách nhiệm cung cấp hỗ trợ.</v>
      </c>
      <c r="F805" s="128"/>
      <c r="G805" s="36" t="b">
        <f t="shared" si="1"/>
        <v>0</v>
      </c>
      <c r="H805" s="35" t="b">
        <v>1</v>
      </c>
      <c r="I805" s="35" t="b">
        <v>0</v>
      </c>
      <c r="J805" s="35" t="b">
        <v>0</v>
      </c>
      <c r="K805" s="35" t="b">
        <v>0</v>
      </c>
      <c r="L805" s="35" t="b">
        <v>0</v>
      </c>
      <c r="M805" s="35" t="b">
        <v>0</v>
      </c>
      <c r="N805" s="35" t="b">
        <v>0</v>
      </c>
      <c r="O805" s="35" t="b">
        <v>0</v>
      </c>
      <c r="P805" s="35" t="b">
        <v>0</v>
      </c>
      <c r="Q805" s="35" t="b">
        <v>0</v>
      </c>
      <c r="R805" s="14"/>
      <c r="S805" s="14"/>
      <c r="T805" s="14"/>
      <c r="U805" s="14"/>
      <c r="V805" s="14"/>
      <c r="W805" s="14"/>
    </row>
    <row r="806" ht="31.5" customHeight="1">
      <c r="A806" s="109" t="s">
        <v>11296</v>
      </c>
      <c r="B806" s="110" t="s">
        <v>11297</v>
      </c>
      <c r="C806" s="111" t="s">
        <v>11298</v>
      </c>
      <c r="D806" s="28" t="s">
        <v>11299</v>
      </c>
      <c r="E806" s="28" t="str">
        <f>IFERROR(__xludf.DUMMYFUNCTION("GOOGLETRANSLATE(D806,""zh-CN"",""vi"")"),"Ông ấy là một trong những ứng cử viên thị trưởng.")</f>
        <v>Ông ấy là một trong những ứng cử viên thị trưởng.</v>
      </c>
      <c r="F806" s="128"/>
      <c r="G806" s="36" t="b">
        <f t="shared" si="1"/>
        <v>0</v>
      </c>
      <c r="H806" s="35" t="b">
        <v>1</v>
      </c>
      <c r="I806" s="35" t="b">
        <v>0</v>
      </c>
      <c r="J806" s="35" t="b">
        <v>0</v>
      </c>
      <c r="K806" s="35" t="b">
        <v>0</v>
      </c>
      <c r="L806" s="35" t="b">
        <v>0</v>
      </c>
      <c r="M806" s="35" t="b">
        <v>0</v>
      </c>
      <c r="N806" s="35" t="b">
        <v>0</v>
      </c>
      <c r="O806" s="35" t="b">
        <v>0</v>
      </c>
      <c r="P806" s="35" t="b">
        <v>0</v>
      </c>
      <c r="Q806" s="35" t="b">
        <v>0</v>
      </c>
      <c r="R806" s="14"/>
      <c r="S806" s="14"/>
      <c r="T806" s="14"/>
      <c r="U806" s="14"/>
      <c r="V806" s="14"/>
      <c r="W806" s="14"/>
    </row>
    <row r="807" ht="31.5" customHeight="1">
      <c r="A807" s="109" t="s">
        <v>11301</v>
      </c>
      <c r="B807" s="110" t="s">
        <v>11303</v>
      </c>
      <c r="C807" s="111" t="s">
        <v>11305</v>
      </c>
      <c r="D807" s="28" t="s">
        <v>11307</v>
      </c>
      <c r="E807" s="28" t="str">
        <f>IFERROR(__xludf.DUMMYFUNCTION("GOOGLETRANSLATE(D807,""zh-CN"",""vi"")"),"Anh ta đã bỏ qua chi tiết quan trọng này.")</f>
        <v>Anh ta đã bỏ qua chi tiết quan trọng này.</v>
      </c>
      <c r="F807" s="128"/>
      <c r="G807" s="36" t="b">
        <f t="shared" si="1"/>
        <v>0</v>
      </c>
      <c r="H807" s="35" t="b">
        <v>1</v>
      </c>
      <c r="I807" s="35" t="b">
        <v>0</v>
      </c>
      <c r="J807" s="35" t="b">
        <v>0</v>
      </c>
      <c r="K807" s="35" t="b">
        <v>0</v>
      </c>
      <c r="L807" s="35" t="b">
        <v>0</v>
      </c>
      <c r="M807" s="35" t="b">
        <v>0</v>
      </c>
      <c r="N807" s="35" t="b">
        <v>0</v>
      </c>
      <c r="O807" s="35" t="b">
        <v>0</v>
      </c>
      <c r="P807" s="35" t="b">
        <v>0</v>
      </c>
      <c r="Q807" s="35" t="b">
        <v>0</v>
      </c>
      <c r="R807" s="14"/>
      <c r="S807" s="14"/>
      <c r="T807" s="14"/>
      <c r="U807" s="14"/>
      <c r="V807" s="14"/>
      <c r="W807" s="14"/>
    </row>
    <row r="808" ht="31.5" customHeight="1">
      <c r="A808" s="109" t="s">
        <v>11308</v>
      </c>
      <c r="B808" s="110" t="s">
        <v>11309</v>
      </c>
      <c r="C808" s="111" t="s">
        <v>11310</v>
      </c>
      <c r="D808" s="28" t="s">
        <v>11311</v>
      </c>
      <c r="E808" s="28" t="str">
        <f>IFERROR(__xludf.DUMMYFUNCTION("GOOGLETRANSLATE(D808,""zh-CN"",""vi"")"),"Đoàn tàu gầm rú lao qua thung lũng.")</f>
        <v>Đoàn tàu gầm rú lao qua thung lũng.</v>
      </c>
      <c r="F808" s="128"/>
      <c r="G808" s="36" t="b">
        <f t="shared" si="1"/>
        <v>0</v>
      </c>
      <c r="H808" s="35" t="b">
        <v>1</v>
      </c>
      <c r="I808" s="35" t="b">
        <v>0</v>
      </c>
      <c r="J808" s="35" t="b">
        <v>0</v>
      </c>
      <c r="K808" s="35" t="b">
        <v>0</v>
      </c>
      <c r="L808" s="35" t="b">
        <v>0</v>
      </c>
      <c r="M808" s="35" t="b">
        <v>0</v>
      </c>
      <c r="N808" s="35" t="b">
        <v>0</v>
      </c>
      <c r="O808" s="35" t="b">
        <v>0</v>
      </c>
      <c r="P808" s="35" t="b">
        <v>0</v>
      </c>
      <c r="Q808" s="35" t="b">
        <v>0</v>
      </c>
      <c r="R808" s="14"/>
      <c r="S808" s="14"/>
      <c r="T808" s="14"/>
      <c r="U808" s="14"/>
      <c r="V808" s="14"/>
      <c r="W808" s="14"/>
    </row>
    <row r="809" ht="31.5" customHeight="1">
      <c r="A809" s="109" t="s">
        <v>11316</v>
      </c>
      <c r="B809" s="110" t="s">
        <v>11317</v>
      </c>
      <c r="C809" s="111" t="s">
        <v>11318</v>
      </c>
      <c r="D809" s="28" t="s">
        <v>11319</v>
      </c>
      <c r="E809" s="28" t="str">
        <f>IFERROR(__xludf.DUMMYFUNCTION("GOOGLETRANSLATE(D809,""zh-CN"",""vi"")"),"Ông kêu gọi mọi người hãy chú ý đến việc bảo vệ môi trường.")</f>
        <v>Ông kêu gọi mọi người hãy chú ý đến việc bảo vệ môi trường.</v>
      </c>
      <c r="F809" s="128"/>
      <c r="G809" s="36" t="b">
        <f t="shared" si="1"/>
        <v>0</v>
      </c>
      <c r="H809" s="35" t="b">
        <v>1</v>
      </c>
      <c r="I809" s="35" t="b">
        <v>0</v>
      </c>
      <c r="J809" s="35" t="b">
        <v>0</v>
      </c>
      <c r="K809" s="35" t="b">
        <v>0</v>
      </c>
      <c r="L809" s="35" t="b">
        <v>0</v>
      </c>
      <c r="M809" s="35" t="b">
        <v>0</v>
      </c>
      <c r="N809" s="35" t="b">
        <v>0</v>
      </c>
      <c r="O809" s="35" t="b">
        <v>0</v>
      </c>
      <c r="P809" s="35" t="b">
        <v>0</v>
      </c>
      <c r="Q809" s="35" t="b">
        <v>0</v>
      </c>
      <c r="R809" s="14"/>
      <c r="S809" s="14"/>
      <c r="T809" s="14"/>
      <c r="U809" s="14"/>
      <c r="V809" s="14"/>
      <c r="W809" s="14"/>
    </row>
    <row r="810" ht="31.5" customHeight="1">
      <c r="A810" s="109" t="s">
        <v>11324</v>
      </c>
      <c r="B810" s="110" t="s">
        <v>11325</v>
      </c>
      <c r="C810" s="111" t="s">
        <v>11326</v>
      </c>
      <c r="D810" s="28" t="s">
        <v>11327</v>
      </c>
      <c r="E810" s="28" t="str">
        <f>IFERROR(__xludf.DUMMYFUNCTION("GOOGLETRANSLATE(D810,""zh-CN"",""vi"")"),"Anh ta lúc nào cũng nói chuyện vớ vẩn.")</f>
        <v>Anh ta lúc nào cũng nói chuyện vớ vẩn.</v>
      </c>
      <c r="F810" s="128"/>
      <c r="G810" s="36" t="b">
        <f t="shared" si="1"/>
        <v>0</v>
      </c>
      <c r="H810" s="35" t="b">
        <v>1</v>
      </c>
      <c r="I810" s="35" t="b">
        <v>0</v>
      </c>
      <c r="J810" s="35" t="b">
        <v>0</v>
      </c>
      <c r="K810" s="35" t="b">
        <v>0</v>
      </c>
      <c r="L810" s="35" t="b">
        <v>0</v>
      </c>
      <c r="M810" s="35" t="b">
        <v>0</v>
      </c>
      <c r="N810" s="35" t="b">
        <v>0</v>
      </c>
      <c r="O810" s="35" t="b">
        <v>0</v>
      </c>
      <c r="P810" s="35" t="b">
        <v>0</v>
      </c>
      <c r="Q810" s="35" t="b">
        <v>0</v>
      </c>
      <c r="R810" s="14"/>
      <c r="S810" s="14"/>
      <c r="T810" s="14"/>
      <c r="U810" s="14"/>
      <c r="V810" s="14"/>
      <c r="W810" s="14"/>
    </row>
    <row r="811" ht="31.5" customHeight="1">
      <c r="A811" s="109" t="s">
        <v>11328</v>
      </c>
      <c r="B811" s="110" t="s">
        <v>11329</v>
      </c>
      <c r="C811" s="111" t="s">
        <v>11330</v>
      </c>
      <c r="D811" s="28" t="s">
        <v>11332</v>
      </c>
      <c r="E811" s="28" t="str">
        <f>IFERROR(__xludf.DUMMYFUNCTION("GOOGLETRANSLATE(D811,""zh-CN"",""vi"")"),"Hồ nước được bao quanh bởi phong cảnh tuyệt đẹp.")</f>
        <v>Hồ nước được bao quanh bởi phong cảnh tuyệt đẹp.</v>
      </c>
      <c r="F811" s="128"/>
      <c r="G811" s="36" t="b">
        <f t="shared" si="1"/>
        <v>0</v>
      </c>
      <c r="H811" s="35" t="b">
        <v>1</v>
      </c>
      <c r="I811" s="35" t="b">
        <v>0</v>
      </c>
      <c r="J811" s="35" t="b">
        <v>0</v>
      </c>
      <c r="K811" s="35" t="b">
        <v>0</v>
      </c>
      <c r="L811" s="35" t="b">
        <v>0</v>
      </c>
      <c r="M811" s="35" t="b">
        <v>0</v>
      </c>
      <c r="N811" s="35" t="b">
        <v>0</v>
      </c>
      <c r="O811" s="35" t="b">
        <v>0</v>
      </c>
      <c r="P811" s="35" t="b">
        <v>0</v>
      </c>
      <c r="Q811" s="35" t="b">
        <v>0</v>
      </c>
      <c r="R811" s="14"/>
      <c r="S811" s="14"/>
      <c r="T811" s="14"/>
      <c r="U811" s="14"/>
      <c r="V811" s="14"/>
      <c r="W811" s="14"/>
    </row>
    <row r="812" ht="31.5" customHeight="1">
      <c r="A812" s="109" t="s">
        <v>2146</v>
      </c>
      <c r="B812" s="110" t="s">
        <v>2147</v>
      </c>
      <c r="C812" s="111" t="s">
        <v>2148</v>
      </c>
      <c r="D812" s="28" t="s">
        <v>11336</v>
      </c>
      <c r="E812" s="28" t="str">
        <f>IFERROR(__xludf.DUMMYFUNCTION("GOOGLETRANSLATE(D812,""zh-CN"",""vi"")"),"Internet đã thay đổi cách sống của chúng ta.")</f>
        <v>Internet đã thay đổi cách sống của chúng ta.</v>
      </c>
      <c r="F812" s="128"/>
      <c r="G812" s="36" t="b">
        <f t="shared" si="1"/>
        <v>0</v>
      </c>
      <c r="H812" s="35" t="b">
        <v>1</v>
      </c>
      <c r="I812" s="35" t="b">
        <v>0</v>
      </c>
      <c r="J812" s="35" t="b">
        <v>0</v>
      </c>
      <c r="K812" s="35" t="b">
        <v>0</v>
      </c>
      <c r="L812" s="35" t="b">
        <v>0</v>
      </c>
      <c r="M812" s="35" t="b">
        <v>0</v>
      </c>
      <c r="N812" s="35" t="b">
        <v>0</v>
      </c>
      <c r="O812" s="35" t="b">
        <v>0</v>
      </c>
      <c r="P812" s="35" t="b">
        <v>0</v>
      </c>
      <c r="Q812" s="35" t="b">
        <v>0</v>
      </c>
      <c r="R812" s="14"/>
      <c r="S812" s="14"/>
      <c r="T812" s="14"/>
      <c r="U812" s="14"/>
      <c r="V812" s="14"/>
      <c r="W812" s="14"/>
    </row>
    <row r="813" ht="31.5" customHeight="1">
      <c r="A813" s="109" t="s">
        <v>11341</v>
      </c>
      <c r="B813" s="110" t="s">
        <v>11342</v>
      </c>
      <c r="C813" s="111" t="s">
        <v>11343</v>
      </c>
      <c r="D813" s="28" t="s">
        <v>11344</v>
      </c>
      <c r="E813" s="28" t="str">
        <f>IFERROR(__xludf.DUMMYFUNCTION("GOOGLETRANSLATE(D813,""zh-CN"",""vi"")"),"Cô ấy mặc một chiếc váy dạ hội tuyệt đẹp.")</f>
        <v>Cô ấy mặc một chiếc váy dạ hội tuyệt đẹp.</v>
      </c>
      <c r="F813" s="128"/>
      <c r="G813" s="36" t="b">
        <f t="shared" si="1"/>
        <v>0</v>
      </c>
      <c r="H813" s="35" t="b">
        <v>1</v>
      </c>
      <c r="I813" s="35" t="b">
        <v>0</v>
      </c>
      <c r="J813" s="35" t="b">
        <v>0</v>
      </c>
      <c r="K813" s="35" t="b">
        <v>0</v>
      </c>
      <c r="L813" s="35" t="b">
        <v>0</v>
      </c>
      <c r="M813" s="35" t="b">
        <v>0</v>
      </c>
      <c r="N813" s="35" t="b">
        <v>0</v>
      </c>
      <c r="O813" s="35" t="b">
        <v>0</v>
      </c>
      <c r="P813" s="35" t="b">
        <v>0</v>
      </c>
      <c r="Q813" s="35" t="b">
        <v>0</v>
      </c>
      <c r="R813" s="14"/>
      <c r="S813" s="14"/>
      <c r="T813" s="14"/>
      <c r="U813" s="14"/>
      <c r="V813" s="14"/>
      <c r="W813" s="14"/>
    </row>
    <row r="814" ht="31.5" customHeight="1">
      <c r="A814" s="109" t="s">
        <v>11346</v>
      </c>
      <c r="B814" s="110" t="s">
        <v>11348</v>
      </c>
      <c r="C814" s="111" t="s">
        <v>11350</v>
      </c>
      <c r="D814" s="28" t="s">
        <v>11352</v>
      </c>
      <c r="E814" s="28" t="str">
        <f>IFERROR(__xludf.DUMMYFUNCTION("GOOGLETRANSLATE(D814,""zh-CN"",""vi"")"),"Người Hoa ở nước ngoài đã thành lập nhiều cộng đồng người Hoa ở nước ngoài.")</f>
        <v>Người Hoa ở nước ngoài đã thành lập nhiều cộng đồng người Hoa ở nước ngoài.</v>
      </c>
      <c r="F814" s="128"/>
      <c r="G814" s="36" t="b">
        <f t="shared" si="1"/>
        <v>0</v>
      </c>
      <c r="H814" s="35" t="b">
        <v>1</v>
      </c>
      <c r="I814" s="35" t="b">
        <v>0</v>
      </c>
      <c r="J814" s="35" t="b">
        <v>0</v>
      </c>
      <c r="K814" s="35" t="b">
        <v>0</v>
      </c>
      <c r="L814" s="35" t="b">
        <v>0</v>
      </c>
      <c r="M814" s="35" t="b">
        <v>0</v>
      </c>
      <c r="N814" s="35" t="b">
        <v>0</v>
      </c>
      <c r="O814" s="35" t="b">
        <v>0</v>
      </c>
      <c r="P814" s="35" t="b">
        <v>0</v>
      </c>
      <c r="Q814" s="35" t="b">
        <v>0</v>
      </c>
      <c r="R814" s="14"/>
      <c r="S814" s="14"/>
      <c r="T814" s="14"/>
      <c r="U814" s="14"/>
      <c r="V814" s="14"/>
      <c r="W814" s="14"/>
    </row>
    <row r="815" ht="31.5" customHeight="1">
      <c r="A815" s="109" t="s">
        <v>11353</v>
      </c>
      <c r="B815" s="110" t="s">
        <v>11354</v>
      </c>
      <c r="C815" s="111" t="s">
        <v>11355</v>
      </c>
      <c r="D815" s="28" t="s">
        <v>11356</v>
      </c>
      <c r="E815" s="28" t="str">
        <f>IFERROR(__xludf.DUMMYFUNCTION("GOOGLETRANSLATE(D815,""zh-CN"",""vi"")"),"Phân bón hóa học đã làm tăng năng suất cây trồng.")</f>
        <v>Phân bón hóa học đã làm tăng năng suất cây trồng.</v>
      </c>
      <c r="F815" s="128"/>
      <c r="G815" s="36" t="b">
        <f t="shared" si="1"/>
        <v>0</v>
      </c>
      <c r="H815" s="35" t="b">
        <v>1</v>
      </c>
      <c r="I815" s="35" t="b">
        <v>0</v>
      </c>
      <c r="J815" s="35" t="b">
        <v>0</v>
      </c>
      <c r="K815" s="35" t="b">
        <v>0</v>
      </c>
      <c r="L815" s="35" t="b">
        <v>0</v>
      </c>
      <c r="M815" s="35" t="b">
        <v>0</v>
      </c>
      <c r="N815" s="35" t="b">
        <v>0</v>
      </c>
      <c r="O815" s="35" t="b">
        <v>0</v>
      </c>
      <c r="P815" s="35" t="b">
        <v>0</v>
      </c>
      <c r="Q815" s="35" t="b">
        <v>0</v>
      </c>
      <c r="R815" s="14"/>
      <c r="S815" s="14"/>
      <c r="T815" s="14"/>
      <c r="U815" s="14"/>
      <c r="V815" s="14"/>
      <c r="W815" s="14"/>
    </row>
    <row r="816" ht="31.5" customHeight="1">
      <c r="A816" s="109" t="s">
        <v>11361</v>
      </c>
      <c r="B816" s="110" t="s">
        <v>11362</v>
      </c>
      <c r="C816" s="111" t="s">
        <v>11363</v>
      </c>
      <c r="D816" s="28" t="s">
        <v>11364</v>
      </c>
      <c r="E816" s="28" t="str">
        <f>IFERROR(__xludf.DUMMYFUNCTION("GOOGLETRANSLATE(D816,""zh-CN"",""vi"")"),"Chúng ta cần xác định rõ ràng trách nhiệm.")</f>
        <v>Chúng ta cần xác định rõ ràng trách nhiệm.</v>
      </c>
      <c r="F816" s="128"/>
      <c r="G816" s="36" t="b">
        <f t="shared" si="1"/>
        <v>0</v>
      </c>
      <c r="H816" s="35" t="b">
        <v>1</v>
      </c>
      <c r="I816" s="35" t="b">
        <v>0</v>
      </c>
      <c r="J816" s="35" t="b">
        <v>0</v>
      </c>
      <c r="K816" s="35" t="b">
        <v>0</v>
      </c>
      <c r="L816" s="35" t="b">
        <v>0</v>
      </c>
      <c r="M816" s="35" t="b">
        <v>0</v>
      </c>
      <c r="N816" s="35" t="b">
        <v>0</v>
      </c>
      <c r="O816" s="35" t="b">
        <v>0</v>
      </c>
      <c r="P816" s="35" t="b">
        <v>0</v>
      </c>
      <c r="Q816" s="35" t="b">
        <v>0</v>
      </c>
      <c r="R816" s="14"/>
      <c r="S816" s="14"/>
      <c r="T816" s="14"/>
      <c r="U816" s="14"/>
      <c r="V816" s="14"/>
      <c r="W816" s="14"/>
    </row>
    <row r="817" ht="31.5" customHeight="1">
      <c r="A817" s="109" t="s">
        <v>11367</v>
      </c>
      <c r="B817" s="110" t="s">
        <v>11369</v>
      </c>
      <c r="C817" s="111" t="s">
        <v>11370</v>
      </c>
      <c r="D817" s="28" t="s">
        <v>11371</v>
      </c>
      <c r="E817" s="28" t="str">
        <f>IFERROR(__xludf.DUMMYFUNCTION("GOOGLETRANSLATE(D817,""zh-CN"",""vi"")"),"Câu chuyện này có vẻ hơi phản ứng thái quá.")</f>
        <v>Câu chuyện này có vẻ hơi phản ứng thái quá.</v>
      </c>
      <c r="F817" s="128"/>
      <c r="G817" s="36" t="b">
        <f t="shared" si="1"/>
        <v>0</v>
      </c>
      <c r="H817" s="35" t="b">
        <v>1</v>
      </c>
      <c r="I817" s="35" t="b">
        <v>0</v>
      </c>
      <c r="J817" s="35" t="b">
        <v>0</v>
      </c>
      <c r="K817" s="35" t="b">
        <v>0</v>
      </c>
      <c r="L817" s="35" t="b">
        <v>0</v>
      </c>
      <c r="M817" s="35" t="b">
        <v>0</v>
      </c>
      <c r="N817" s="35" t="b">
        <v>0</v>
      </c>
      <c r="O817" s="35" t="b">
        <v>0</v>
      </c>
      <c r="P817" s="35" t="b">
        <v>0</v>
      </c>
      <c r="Q817" s="35" t="b">
        <v>0</v>
      </c>
      <c r="R817" s="14"/>
      <c r="S817" s="14"/>
      <c r="T817" s="14"/>
      <c r="U817" s="14"/>
      <c r="V817" s="14"/>
      <c r="W817" s="14"/>
    </row>
    <row r="818" ht="31.5" customHeight="1">
      <c r="A818" s="109" t="s">
        <v>11372</v>
      </c>
      <c r="B818" s="110" t="s">
        <v>11373</v>
      </c>
      <c r="C818" s="111" t="s">
        <v>11374</v>
      </c>
      <c r="D818" s="28" t="s">
        <v>11375</v>
      </c>
      <c r="E818" s="28" t="str">
        <f>IFERROR(__xludf.DUMMYFUNCTION("GOOGLETRANSLATE(D818,""zh-CN"",""vi"")"),"Những hóa thạch này có niên đại hàng triệu năm.")</f>
        <v>Những hóa thạch này có niên đại hàng triệu năm.</v>
      </c>
      <c r="F818" s="128"/>
      <c r="G818" s="36" t="b">
        <f t="shared" si="1"/>
        <v>0</v>
      </c>
      <c r="H818" s="35" t="b">
        <v>1</v>
      </c>
      <c r="I818" s="35" t="b">
        <v>0</v>
      </c>
      <c r="J818" s="35" t="b">
        <v>0</v>
      </c>
      <c r="K818" s="35" t="b">
        <v>0</v>
      </c>
      <c r="L818" s="35" t="b">
        <v>0</v>
      </c>
      <c r="M818" s="35" t="b">
        <v>0</v>
      </c>
      <c r="N818" s="35" t="b">
        <v>0</v>
      </c>
      <c r="O818" s="35" t="b">
        <v>0</v>
      </c>
      <c r="P818" s="35" t="b">
        <v>0</v>
      </c>
      <c r="Q818" s="35" t="b">
        <v>0</v>
      </c>
      <c r="R818" s="14"/>
      <c r="S818" s="14"/>
      <c r="T818" s="14"/>
      <c r="U818" s="14"/>
      <c r="V818" s="14"/>
      <c r="W818" s="14"/>
    </row>
    <row r="819" ht="31.5" customHeight="1">
      <c r="A819" s="109" t="s">
        <v>11380</v>
      </c>
      <c r="B819" s="110" t="s">
        <v>11381</v>
      </c>
      <c r="C819" s="111" t="s">
        <v>11382</v>
      </c>
      <c r="D819" s="28" t="s">
        <v>11383</v>
      </c>
      <c r="E819" s="28" t="str">
        <f>IFERROR(__xludf.DUMMYFUNCTION("GOOGLETRANSLATE(D819,""zh-CN"",""vi"")"),"Ông ấy nói vào micro.")</f>
        <v>Ông ấy nói vào micro.</v>
      </c>
      <c r="F819" s="128"/>
      <c r="G819" s="36" t="b">
        <f t="shared" si="1"/>
        <v>0</v>
      </c>
      <c r="H819" s="35" t="b">
        <v>1</v>
      </c>
      <c r="I819" s="35" t="b">
        <v>0</v>
      </c>
      <c r="J819" s="35" t="b">
        <v>0</v>
      </c>
      <c r="K819" s="35" t="b">
        <v>0</v>
      </c>
      <c r="L819" s="35" t="b">
        <v>0</v>
      </c>
      <c r="M819" s="35" t="b">
        <v>0</v>
      </c>
      <c r="N819" s="35" t="b">
        <v>0</v>
      </c>
      <c r="O819" s="35" t="b">
        <v>0</v>
      </c>
      <c r="P819" s="35" t="b">
        <v>0</v>
      </c>
      <c r="Q819" s="35" t="b">
        <v>0</v>
      </c>
      <c r="R819" s="14"/>
      <c r="S819" s="14"/>
      <c r="T819" s="14"/>
      <c r="U819" s="14"/>
      <c r="V819" s="14"/>
      <c r="W819" s="14"/>
    </row>
    <row r="820" ht="31.5" customHeight="1">
      <c r="A820" s="109" t="s">
        <v>11388</v>
      </c>
      <c r="B820" s="110" t="s">
        <v>11389</v>
      </c>
      <c r="C820" s="111" t="s">
        <v>11390</v>
      </c>
      <c r="D820" s="28" t="s">
        <v>11391</v>
      </c>
      <c r="E820" s="28" t="str">
        <f>IFERROR(__xludf.DUMMYFUNCTION("GOOGLETRANSLATE(D820,""zh-CN"",""vi"")"),"Kết quả xét nghiệm cho thấy anh ấy bị thiếu máu nhẹ.")</f>
        <v>Kết quả xét nghiệm cho thấy anh ấy bị thiếu máu nhẹ.</v>
      </c>
      <c r="F820" s="128"/>
      <c r="G820" s="36" t="b">
        <f t="shared" si="1"/>
        <v>0</v>
      </c>
      <c r="H820" s="35" t="b">
        <v>1</v>
      </c>
      <c r="I820" s="35" t="b">
        <v>0</v>
      </c>
      <c r="J820" s="35" t="b">
        <v>0</v>
      </c>
      <c r="K820" s="35" t="b">
        <v>0</v>
      </c>
      <c r="L820" s="35" t="b">
        <v>0</v>
      </c>
      <c r="M820" s="35" t="b">
        <v>0</v>
      </c>
      <c r="N820" s="35" t="b">
        <v>0</v>
      </c>
      <c r="O820" s="35" t="b">
        <v>0</v>
      </c>
      <c r="P820" s="35" t="b">
        <v>0</v>
      </c>
      <c r="Q820" s="35" t="b">
        <v>0</v>
      </c>
      <c r="R820" s="14"/>
      <c r="S820" s="14"/>
      <c r="T820" s="14"/>
      <c r="U820" s="14"/>
      <c r="V820" s="14"/>
      <c r="W820" s="14"/>
    </row>
    <row r="821" ht="31.5" customHeight="1">
      <c r="A821" s="109" t="s">
        <v>11396</v>
      </c>
      <c r="B821" s="110" t="s">
        <v>11397</v>
      </c>
      <c r="C821" s="111" t="s">
        <v>11398</v>
      </c>
      <c r="D821" s="28" t="s">
        <v>11399</v>
      </c>
      <c r="E821" s="28" t="str">
        <f>IFERROR(__xludf.DUMMYFUNCTION("GOOGLETRANSLATE(D821,""zh-CN"",""vi"")"),"Cô ấy dành thời gian trang điểm mỗi sáng.")</f>
        <v>Cô ấy dành thời gian trang điểm mỗi sáng.</v>
      </c>
      <c r="F821" s="128"/>
      <c r="G821" s="36" t="b">
        <f t="shared" si="1"/>
        <v>0</v>
      </c>
      <c r="H821" s="35" t="b">
        <v>1</v>
      </c>
      <c r="I821" s="35" t="b">
        <v>0</v>
      </c>
      <c r="J821" s="35" t="b">
        <v>0</v>
      </c>
      <c r="K821" s="35" t="b">
        <v>0</v>
      </c>
      <c r="L821" s="35" t="b">
        <v>0</v>
      </c>
      <c r="M821" s="35" t="b">
        <v>0</v>
      </c>
      <c r="N821" s="35" t="b">
        <v>0</v>
      </c>
      <c r="O821" s="35" t="b">
        <v>0</v>
      </c>
      <c r="P821" s="35" t="b">
        <v>0</v>
      </c>
      <c r="Q821" s="35" t="b">
        <v>0</v>
      </c>
      <c r="R821" s="14"/>
      <c r="S821" s="14"/>
      <c r="T821" s="14"/>
      <c r="U821" s="14"/>
      <c r="V821" s="14"/>
      <c r="W821" s="14"/>
    </row>
    <row r="822" ht="31.5" customHeight="1">
      <c r="A822" s="109" t="s">
        <v>7319</v>
      </c>
      <c r="B822" s="110" t="s">
        <v>7320</v>
      </c>
      <c r="C822" s="111" t="s">
        <v>11401</v>
      </c>
      <c r="D822" s="28" t="s">
        <v>11403</v>
      </c>
      <c r="E822" s="28" t="str">
        <f>IFERROR(__xludf.DUMMYFUNCTION("GOOGLETRANSLATE(D822,""zh-CN"",""vi"")"),"Cô ấy đang mang thai ba tháng.")</f>
        <v>Cô ấy đang mang thai ba tháng.</v>
      </c>
      <c r="F822" s="128"/>
      <c r="G822" s="36" t="b">
        <f t="shared" si="1"/>
        <v>0</v>
      </c>
      <c r="H822" s="35" t="b">
        <v>1</v>
      </c>
      <c r="I822" s="35" t="b">
        <v>0</v>
      </c>
      <c r="J822" s="35" t="b">
        <v>0</v>
      </c>
      <c r="K822" s="35" t="b">
        <v>0</v>
      </c>
      <c r="L822" s="35" t="b">
        <v>0</v>
      </c>
      <c r="M822" s="35" t="b">
        <v>0</v>
      </c>
      <c r="N822" s="35" t="b">
        <v>0</v>
      </c>
      <c r="O822" s="35" t="b">
        <v>0</v>
      </c>
      <c r="P822" s="35" t="b">
        <v>0</v>
      </c>
      <c r="Q822" s="35" t="b">
        <v>0</v>
      </c>
      <c r="R822" s="14"/>
      <c r="S822" s="14"/>
      <c r="T822" s="14"/>
      <c r="U822" s="14"/>
      <c r="V822" s="14"/>
      <c r="W822" s="14"/>
    </row>
    <row r="823" ht="31.5" customHeight="1">
      <c r="A823" s="109" t="s">
        <v>11406</v>
      </c>
      <c r="B823" s="110" t="s">
        <v>11407</v>
      </c>
      <c r="C823" s="111" t="s">
        <v>11408</v>
      </c>
      <c r="D823" s="28" t="s">
        <v>11409</v>
      </c>
      <c r="E823" s="28" t="str">
        <f>IFERROR(__xludf.DUMMYFUNCTION("GOOGLETRANSLATE(D823,""zh-CN"",""vi"")"),"Các em nhỏ đã có khoảng thời gian tuyệt vời khi chơi ở công viên.")</f>
        <v>Các em nhỏ đã có khoảng thời gian tuyệt vời khi chơi ở công viên.</v>
      </c>
      <c r="F823" s="128"/>
      <c r="G823" s="36" t="b">
        <f t="shared" si="1"/>
        <v>0</v>
      </c>
      <c r="H823" s="35" t="b">
        <v>1</v>
      </c>
      <c r="I823" s="35" t="b">
        <v>0</v>
      </c>
      <c r="J823" s="35" t="b">
        <v>0</v>
      </c>
      <c r="K823" s="35" t="b">
        <v>0</v>
      </c>
      <c r="L823" s="35" t="b">
        <v>0</v>
      </c>
      <c r="M823" s="35" t="b">
        <v>0</v>
      </c>
      <c r="N823" s="35" t="b">
        <v>0</v>
      </c>
      <c r="O823" s="35" t="b">
        <v>0</v>
      </c>
      <c r="P823" s="35" t="b">
        <v>0</v>
      </c>
      <c r="Q823" s="35" t="b">
        <v>0</v>
      </c>
      <c r="R823" s="14"/>
      <c r="S823" s="14"/>
      <c r="T823" s="14"/>
      <c r="U823" s="14"/>
      <c r="V823" s="14"/>
      <c r="W823" s="14"/>
    </row>
    <row r="824" ht="31.5" customHeight="1">
      <c r="A824" s="109" t="s">
        <v>11414</v>
      </c>
      <c r="B824" s="110" t="s">
        <v>11415</v>
      </c>
      <c r="C824" s="111" t="s">
        <v>11416</v>
      </c>
      <c r="D824" s="28" t="s">
        <v>11417</v>
      </c>
      <c r="E824" s="28" t="str">
        <f>IFERROR(__xludf.DUMMYFUNCTION("GOOGLETRANSLATE(D824,""zh-CN"",""vi"")"),"Bước này rất quan trọng.")</f>
        <v>Bước này rất quan trọng.</v>
      </c>
      <c r="F824" s="128"/>
      <c r="G824" s="36" t="b">
        <f t="shared" si="1"/>
        <v>0</v>
      </c>
      <c r="H824" s="35" t="b">
        <v>1</v>
      </c>
      <c r="I824" s="35" t="b">
        <v>0</v>
      </c>
      <c r="J824" s="35" t="b">
        <v>0</v>
      </c>
      <c r="K824" s="35" t="b">
        <v>0</v>
      </c>
      <c r="L824" s="35" t="b">
        <v>0</v>
      </c>
      <c r="M824" s="35" t="b">
        <v>0</v>
      </c>
      <c r="N824" s="35" t="b">
        <v>0</v>
      </c>
      <c r="O824" s="35" t="b">
        <v>0</v>
      </c>
      <c r="P824" s="35" t="b">
        <v>0</v>
      </c>
      <c r="Q824" s="35" t="b">
        <v>0</v>
      </c>
      <c r="R824" s="14"/>
      <c r="S824" s="14"/>
      <c r="T824" s="14"/>
      <c r="U824" s="14"/>
      <c r="V824" s="14"/>
      <c r="W824" s="14"/>
    </row>
    <row r="825" ht="31.5" customHeight="1">
      <c r="A825" s="109" t="s">
        <v>11418</v>
      </c>
      <c r="B825" s="110" t="s">
        <v>11419</v>
      </c>
      <c r="C825" s="111" t="s">
        <v>11420</v>
      </c>
      <c r="D825" s="28" t="s">
        <v>11421</v>
      </c>
      <c r="E825" s="28" t="str">
        <f>IFERROR(__xludf.DUMMYFUNCTION("GOOGLETRANSLATE(D825,""zh-CN"",""vi"")"),"Thí nghiệm này tái hiện lại các sự kiện lịch sử.")</f>
        <v>Thí nghiệm này tái hiện lại các sự kiện lịch sử.</v>
      </c>
      <c r="F825" s="128"/>
      <c r="G825" s="36" t="b">
        <f t="shared" si="1"/>
        <v>0</v>
      </c>
      <c r="H825" s="35" t="b">
        <v>1</v>
      </c>
      <c r="I825" s="35" t="b">
        <v>0</v>
      </c>
      <c r="J825" s="35" t="b">
        <v>0</v>
      </c>
      <c r="K825" s="35" t="b">
        <v>0</v>
      </c>
      <c r="L825" s="35" t="b">
        <v>0</v>
      </c>
      <c r="M825" s="35" t="b">
        <v>0</v>
      </c>
      <c r="N825" s="35" t="b">
        <v>0</v>
      </c>
      <c r="O825" s="35" t="b">
        <v>0</v>
      </c>
      <c r="P825" s="35" t="b">
        <v>0</v>
      </c>
      <c r="Q825" s="35" t="b">
        <v>0</v>
      </c>
      <c r="R825" s="14"/>
      <c r="S825" s="14"/>
      <c r="T825" s="14"/>
      <c r="U825" s="14"/>
      <c r="V825" s="14"/>
      <c r="W825" s="14"/>
    </row>
    <row r="826" ht="31.5" customHeight="1">
      <c r="A826" s="109" t="s">
        <v>11426</v>
      </c>
      <c r="B826" s="110" t="s">
        <v>11427</v>
      </c>
      <c r="C826" s="111" t="s">
        <v>11428</v>
      </c>
      <c r="D826" s="28" t="s">
        <v>11429</v>
      </c>
      <c r="E826" s="28" t="str">
        <f>IFERROR(__xludf.DUMMYFUNCTION("GOOGLETRANSLATE(D826,""zh-CN"",""vi"")"),"Căng thẳng giữa hai bên đã giảm bớt.")</f>
        <v>Căng thẳng giữa hai bên đã giảm bớt.</v>
      </c>
      <c r="F826" s="128"/>
      <c r="G826" s="36" t="b">
        <f t="shared" si="1"/>
        <v>0</v>
      </c>
      <c r="H826" s="35" t="b">
        <v>1</v>
      </c>
      <c r="I826" s="35" t="b">
        <v>0</v>
      </c>
      <c r="J826" s="35" t="b">
        <v>0</v>
      </c>
      <c r="K826" s="35" t="b">
        <v>0</v>
      </c>
      <c r="L826" s="35" t="b">
        <v>0</v>
      </c>
      <c r="M826" s="35" t="b">
        <v>0</v>
      </c>
      <c r="N826" s="35" t="b">
        <v>0</v>
      </c>
      <c r="O826" s="35" t="b">
        <v>0</v>
      </c>
      <c r="P826" s="35" t="b">
        <v>0</v>
      </c>
      <c r="Q826" s="35" t="b">
        <v>0</v>
      </c>
      <c r="R826" s="14"/>
      <c r="S826" s="14"/>
      <c r="T826" s="14"/>
      <c r="U826" s="14"/>
      <c r="V826" s="14"/>
      <c r="W826" s="14"/>
    </row>
    <row r="827" ht="31.5" customHeight="1">
      <c r="A827" s="109" t="s">
        <v>11434</v>
      </c>
      <c r="B827" s="110" t="s">
        <v>11435</v>
      </c>
      <c r="C827" s="111" t="s">
        <v>11436</v>
      </c>
      <c r="D827" s="28" t="s">
        <v>11437</v>
      </c>
      <c r="E827" s="28" t="str">
        <f>IFERROR(__xludf.DUMMYFUNCTION("GOOGLETRANSLATE(D827,""zh-CN"",""vi"")"),"Bệnh nhân cần khám sức khỏe định kỳ.")</f>
        <v>Bệnh nhân cần khám sức khỏe định kỳ.</v>
      </c>
      <c r="F827" s="128"/>
      <c r="G827" s="36" t="b">
        <f t="shared" si="1"/>
        <v>0</v>
      </c>
      <c r="H827" s="35" t="b">
        <v>1</v>
      </c>
      <c r="I827" s="35" t="b">
        <v>0</v>
      </c>
      <c r="J827" s="35" t="b">
        <v>0</v>
      </c>
      <c r="K827" s="35" t="b">
        <v>0</v>
      </c>
      <c r="L827" s="35" t="b">
        <v>0</v>
      </c>
      <c r="M827" s="35" t="b">
        <v>0</v>
      </c>
      <c r="N827" s="35" t="b">
        <v>0</v>
      </c>
      <c r="O827" s="35" t="b">
        <v>0</v>
      </c>
      <c r="P827" s="35" t="b">
        <v>0</v>
      </c>
      <c r="Q827" s="35" t="b">
        <v>0</v>
      </c>
      <c r="R827" s="14"/>
      <c r="S827" s="14"/>
      <c r="T827" s="14"/>
      <c r="U827" s="14"/>
      <c r="V827" s="14"/>
      <c r="W827" s="14"/>
    </row>
    <row r="828" ht="31.5" customHeight="1">
      <c r="A828" s="109" t="s">
        <v>11438</v>
      </c>
      <c r="B828" s="110" t="s">
        <v>11439</v>
      </c>
      <c r="C828" s="111" t="s">
        <v>11441</v>
      </c>
      <c r="D828" s="28" t="s">
        <v>11443</v>
      </c>
      <c r="E828" s="28" t="str">
        <f>IFERROR(__xludf.DUMMYFUNCTION("GOOGLETRANSLATE(D828,""zh-CN"",""vi"")"),"Vùng đất này rất hoang vắng.")</f>
        <v>Vùng đất này rất hoang vắng.</v>
      </c>
      <c r="F828" s="128"/>
      <c r="G828" s="36" t="b">
        <f t="shared" si="1"/>
        <v>0</v>
      </c>
      <c r="H828" s="35" t="b">
        <v>1</v>
      </c>
      <c r="I828" s="35" t="b">
        <v>0</v>
      </c>
      <c r="J828" s="35" t="b">
        <v>0</v>
      </c>
      <c r="K828" s="35" t="b">
        <v>0</v>
      </c>
      <c r="L828" s="35" t="b">
        <v>0</v>
      </c>
      <c r="M828" s="35" t="b">
        <v>0</v>
      </c>
      <c r="N828" s="35" t="b">
        <v>0</v>
      </c>
      <c r="O828" s="35" t="b">
        <v>0</v>
      </c>
      <c r="P828" s="35" t="b">
        <v>0</v>
      </c>
      <c r="Q828" s="35" t="b">
        <v>0</v>
      </c>
      <c r="R828" s="14"/>
      <c r="S828" s="14"/>
      <c r="T828" s="14"/>
      <c r="U828" s="14"/>
      <c r="V828" s="14"/>
      <c r="W828" s="14"/>
    </row>
    <row r="829" ht="31.5" customHeight="1">
      <c r="A829" s="109" t="s">
        <v>11446</v>
      </c>
      <c r="B829" s="110" t="s">
        <v>11447</v>
      </c>
      <c r="C829" s="111" t="s">
        <v>11448</v>
      </c>
      <c r="D829" s="28" t="s">
        <v>11449</v>
      </c>
      <c r="E829" s="28" t="str">
        <f>IFERROR(__xludf.DUMMYFUNCTION("GOOGLETRANSLATE(D829,""zh-CN"",""vi"")"),"Anh ta vội vàng thu dọn đồ đạc.")</f>
        <v>Anh ta vội vàng thu dọn đồ đạc.</v>
      </c>
      <c r="F829" s="128"/>
      <c r="G829" s="36" t="b">
        <f t="shared" si="1"/>
        <v>0</v>
      </c>
      <c r="H829" s="35" t="b">
        <v>1</v>
      </c>
      <c r="I829" s="35" t="b">
        <v>0</v>
      </c>
      <c r="J829" s="35" t="b">
        <v>0</v>
      </c>
      <c r="K829" s="35" t="b">
        <v>0</v>
      </c>
      <c r="L829" s="35" t="b">
        <v>0</v>
      </c>
      <c r="M829" s="35" t="b">
        <v>0</v>
      </c>
      <c r="N829" s="35" t="b">
        <v>0</v>
      </c>
      <c r="O829" s="35" t="b">
        <v>0</v>
      </c>
      <c r="P829" s="35" t="b">
        <v>0</v>
      </c>
      <c r="Q829" s="35" t="b">
        <v>0</v>
      </c>
      <c r="R829" s="14"/>
      <c r="S829" s="14"/>
      <c r="T829" s="14"/>
      <c r="U829" s="14"/>
      <c r="V829" s="14"/>
      <c r="W829" s="14"/>
    </row>
    <row r="830" ht="31.5" customHeight="1">
      <c r="A830" s="109" t="s">
        <v>11454</v>
      </c>
      <c r="B830" s="110" t="s">
        <v>11455</v>
      </c>
      <c r="C830" s="111" t="s">
        <v>11456</v>
      </c>
      <c r="D830" s="28" t="s">
        <v>11457</v>
      </c>
      <c r="E830" s="28" t="str">
        <f>IFERROR(__xludf.DUMMYFUNCTION("GOOGLETRANSLATE(D830,""zh-CN"",""vi"")"),"Lời khẳng định này hoàn toàn vô lý.")</f>
        <v>Lời khẳng định này hoàn toàn vô lý.</v>
      </c>
      <c r="F830" s="128"/>
      <c r="G830" s="36" t="b">
        <f t="shared" si="1"/>
        <v>0</v>
      </c>
      <c r="H830" s="35" t="b">
        <v>1</v>
      </c>
      <c r="I830" s="35" t="b">
        <v>0</v>
      </c>
      <c r="J830" s="35" t="b">
        <v>0</v>
      </c>
      <c r="K830" s="35" t="b">
        <v>0</v>
      </c>
      <c r="L830" s="35" t="b">
        <v>0</v>
      </c>
      <c r="M830" s="35" t="b">
        <v>0</v>
      </c>
      <c r="N830" s="35" t="b">
        <v>0</v>
      </c>
      <c r="O830" s="35" t="b">
        <v>0</v>
      </c>
      <c r="P830" s="35" t="b">
        <v>0</v>
      </c>
      <c r="Q830" s="35" t="b">
        <v>0</v>
      </c>
      <c r="R830" s="14"/>
      <c r="S830" s="14"/>
      <c r="T830" s="14"/>
      <c r="U830" s="14"/>
      <c r="V830" s="14"/>
      <c r="W830" s="14"/>
    </row>
    <row r="831" ht="31.5" customHeight="1">
      <c r="A831" s="109" t="s">
        <v>11462</v>
      </c>
      <c r="B831" s="110" t="s">
        <v>11463</v>
      </c>
      <c r="C831" s="111" t="s">
        <v>11456</v>
      </c>
      <c r="D831" s="28" t="s">
        <v>11464</v>
      </c>
      <c r="E831" s="28" t="str">
        <f>IFERROR(__xludf.DUMMYFUNCTION("GOOGLETRANSLATE(D831,""zh-CN"",""vi"")"),"Hành vi của anh ta thật vô lý.")</f>
        <v>Hành vi của anh ta thật vô lý.</v>
      </c>
      <c r="F831" s="128"/>
      <c r="G831" s="36" t="b">
        <f t="shared" si="1"/>
        <v>0</v>
      </c>
      <c r="H831" s="35" t="b">
        <v>1</v>
      </c>
      <c r="I831" s="35" t="b">
        <v>0</v>
      </c>
      <c r="J831" s="35" t="b">
        <v>0</v>
      </c>
      <c r="K831" s="35" t="b">
        <v>0</v>
      </c>
      <c r="L831" s="35" t="b">
        <v>0</v>
      </c>
      <c r="M831" s="35" t="b">
        <v>0</v>
      </c>
      <c r="N831" s="35" t="b">
        <v>0</v>
      </c>
      <c r="O831" s="35" t="b">
        <v>0</v>
      </c>
      <c r="P831" s="35" t="b">
        <v>0</v>
      </c>
      <c r="Q831" s="35" t="b">
        <v>0</v>
      </c>
      <c r="R831" s="14"/>
      <c r="S831" s="14"/>
      <c r="T831" s="14"/>
      <c r="U831" s="14"/>
      <c r="V831" s="14"/>
      <c r="W831" s="14"/>
    </row>
    <row r="832" ht="31.5" customHeight="1">
      <c r="A832" s="109" t="s">
        <v>11465</v>
      </c>
      <c r="B832" s="110" t="s">
        <v>11466</v>
      </c>
      <c r="C832" s="111" t="s">
        <v>11468</v>
      </c>
      <c r="D832" s="28" t="s">
        <v>11470</v>
      </c>
      <c r="E832" s="28" t="str">
        <f>IFERROR(__xludf.DUMMYFUNCTION("GOOGLETRANSLATE(D832,""zh-CN"",""vi"")"),"Khi hoàng hôn buông xuống, bầu trời trở nên vô cùng đẹp.")</f>
        <v>Khi hoàng hôn buông xuống, bầu trời trở nên vô cùng đẹp.</v>
      </c>
      <c r="F832" s="128"/>
      <c r="G832" s="36" t="b">
        <f t="shared" si="1"/>
        <v>0</v>
      </c>
      <c r="H832" s="35" t="b">
        <v>1</v>
      </c>
      <c r="I832" s="35" t="b">
        <v>0</v>
      </c>
      <c r="J832" s="35" t="b">
        <v>0</v>
      </c>
      <c r="K832" s="35" t="b">
        <v>0</v>
      </c>
      <c r="L832" s="35" t="b">
        <v>0</v>
      </c>
      <c r="M832" s="35" t="b">
        <v>0</v>
      </c>
      <c r="N832" s="35" t="b">
        <v>0</v>
      </c>
      <c r="O832" s="35" t="b">
        <v>0</v>
      </c>
      <c r="P832" s="35" t="b">
        <v>0</v>
      </c>
      <c r="Q832" s="35" t="b">
        <v>0</v>
      </c>
      <c r="R832" s="14"/>
      <c r="S832" s="14"/>
      <c r="T832" s="14"/>
      <c r="U832" s="14"/>
      <c r="V832" s="14"/>
      <c r="W832" s="14"/>
    </row>
    <row r="833" ht="31.5" customHeight="1">
      <c r="A833" s="109" t="s">
        <v>11472</v>
      </c>
      <c r="B833" s="110" t="s">
        <v>11473</v>
      </c>
      <c r="C833" s="111" t="s">
        <v>11475</v>
      </c>
      <c r="D833" s="28" t="s">
        <v>11477</v>
      </c>
      <c r="E833" s="28" t="str">
        <f>IFERROR(__xludf.DUMMYFUNCTION("GOOGLETRANSLATE(D833,""zh-CN"",""vi"")"),"Tôi chợt nhận ra, thì ra là vậy.")</f>
        <v>Tôi chợt nhận ra, thì ra là vậy.</v>
      </c>
      <c r="F833" s="128"/>
      <c r="G833" s="36" t="b">
        <f t="shared" si="1"/>
        <v>0</v>
      </c>
      <c r="H833" s="35" t="b">
        <v>1</v>
      </c>
      <c r="I833" s="35" t="b">
        <v>0</v>
      </c>
      <c r="J833" s="35" t="b">
        <v>0</v>
      </c>
      <c r="K833" s="35" t="b">
        <v>0</v>
      </c>
      <c r="L833" s="35" t="b">
        <v>0</v>
      </c>
      <c r="M833" s="35" t="b">
        <v>0</v>
      </c>
      <c r="N833" s="35" t="b">
        <v>0</v>
      </c>
      <c r="O833" s="35" t="b">
        <v>0</v>
      </c>
      <c r="P833" s="35" t="b">
        <v>0</v>
      </c>
      <c r="Q833" s="35" t="b">
        <v>0</v>
      </c>
      <c r="R833" s="14"/>
      <c r="S833" s="14"/>
      <c r="T833" s="14"/>
      <c r="U833" s="14"/>
      <c r="V833" s="14"/>
      <c r="W833" s="14"/>
    </row>
    <row r="834" ht="31.5" customHeight="1">
      <c r="A834" s="109" t="s">
        <v>11480</v>
      </c>
      <c r="B834" s="110" t="s">
        <v>11482</v>
      </c>
      <c r="C834" s="111" t="s">
        <v>11484</v>
      </c>
      <c r="D834" s="28" t="s">
        <v>11486</v>
      </c>
      <c r="E834" s="28" t="str">
        <f>IFERROR(__xludf.DUMMYFUNCTION("GOOGLETRANSLATE(D834,""zh-CN"",""vi"")"),"Những thành tựu của anh ấy thật xuất sắc.")</f>
        <v>Những thành tựu của anh ấy thật xuất sắc.</v>
      </c>
      <c r="F834" s="128"/>
      <c r="G834" s="36" t="b">
        <f t="shared" si="1"/>
        <v>0</v>
      </c>
      <c r="H834" s="35" t="b">
        <v>1</v>
      </c>
      <c r="I834" s="35" t="b">
        <v>0</v>
      </c>
      <c r="J834" s="35" t="b">
        <v>0</v>
      </c>
      <c r="K834" s="35" t="b">
        <v>0</v>
      </c>
      <c r="L834" s="35" t="b">
        <v>0</v>
      </c>
      <c r="M834" s="35" t="b">
        <v>0</v>
      </c>
      <c r="N834" s="35" t="b">
        <v>0</v>
      </c>
      <c r="O834" s="35" t="b">
        <v>0</v>
      </c>
      <c r="P834" s="35" t="b">
        <v>0</v>
      </c>
      <c r="Q834" s="35" t="b">
        <v>0</v>
      </c>
      <c r="R834" s="14"/>
      <c r="S834" s="14"/>
      <c r="T834" s="14"/>
      <c r="U834" s="14"/>
      <c r="V834" s="14"/>
      <c r="W834" s="14"/>
    </row>
    <row r="835" ht="31.5" customHeight="1">
      <c r="A835" s="109" t="s">
        <v>11490</v>
      </c>
      <c r="B835" s="110" t="s">
        <v>11492</v>
      </c>
      <c r="C835" s="111" t="s">
        <v>11494</v>
      </c>
      <c r="D835" s="28" t="s">
        <v>11495</v>
      </c>
      <c r="E835" s="28" t="str">
        <f>IFERROR(__xludf.DUMMYFUNCTION("GOOGLETRANSLATE(D835,""zh-CN"",""vi"")"),"Anh ta đã phung phí hết tiền.")</f>
        <v>Anh ta đã phung phí hết tiền.</v>
      </c>
      <c r="F835" s="128"/>
      <c r="G835" s="36" t="b">
        <f t="shared" si="1"/>
        <v>0</v>
      </c>
      <c r="H835" s="35" t="b">
        <v>1</v>
      </c>
      <c r="I835" s="35" t="b">
        <v>0</v>
      </c>
      <c r="J835" s="35" t="b">
        <v>0</v>
      </c>
      <c r="K835" s="35" t="b">
        <v>0</v>
      </c>
      <c r="L835" s="35" t="b">
        <v>0</v>
      </c>
      <c r="M835" s="35" t="b">
        <v>0</v>
      </c>
      <c r="N835" s="35" t="b">
        <v>0</v>
      </c>
      <c r="O835" s="35" t="b">
        <v>0</v>
      </c>
      <c r="P835" s="35" t="b">
        <v>0</v>
      </c>
      <c r="Q835" s="35" t="b">
        <v>0</v>
      </c>
      <c r="R835" s="14"/>
      <c r="S835" s="14"/>
      <c r="T835" s="14"/>
      <c r="U835" s="14"/>
      <c r="V835" s="14"/>
      <c r="W835" s="14"/>
    </row>
    <row r="836" ht="31.5" customHeight="1">
      <c r="A836" s="109" t="s">
        <v>11497</v>
      </c>
      <c r="B836" s="110" t="s">
        <v>11499</v>
      </c>
      <c r="C836" s="111" t="s">
        <v>11500</v>
      </c>
      <c r="D836" s="28" t="s">
        <v>11502</v>
      </c>
      <c r="E836" s="28" t="str">
        <f>IFERROR(__xludf.DUMMYFUNCTION("GOOGLETRANSLATE(D836,""zh-CN"",""vi"")"),"Anh ấy đã nhận được một phần thưởng rất xứng đáng.")</f>
        <v>Anh ấy đã nhận được một phần thưởng rất xứng đáng.</v>
      </c>
      <c r="F836" s="128"/>
      <c r="G836" s="36" t="b">
        <f t="shared" si="1"/>
        <v>0</v>
      </c>
      <c r="H836" s="35" t="b">
        <v>1</v>
      </c>
      <c r="I836" s="35" t="b">
        <v>0</v>
      </c>
      <c r="J836" s="35" t="b">
        <v>0</v>
      </c>
      <c r="K836" s="35" t="b">
        <v>0</v>
      </c>
      <c r="L836" s="35" t="b">
        <v>0</v>
      </c>
      <c r="M836" s="35" t="b">
        <v>0</v>
      </c>
      <c r="N836" s="35" t="b">
        <v>0</v>
      </c>
      <c r="O836" s="35" t="b">
        <v>0</v>
      </c>
      <c r="P836" s="35" t="b">
        <v>0</v>
      </c>
      <c r="Q836" s="35" t="b">
        <v>0</v>
      </c>
      <c r="R836" s="14"/>
      <c r="S836" s="14"/>
      <c r="T836" s="14"/>
      <c r="U836" s="14"/>
      <c r="V836" s="14"/>
      <c r="W836" s="14"/>
    </row>
    <row r="837" ht="31.5" customHeight="1">
      <c r="A837" s="109" t="s">
        <v>11504</v>
      </c>
      <c r="B837" s="110" t="s">
        <v>11505</v>
      </c>
      <c r="C837" s="111" t="s">
        <v>11506</v>
      </c>
      <c r="D837" s="28" t="s">
        <v>11507</v>
      </c>
      <c r="E837" s="28" t="str">
        <f>IFERROR(__xludf.DUMMYFUNCTION("GOOGLETRANSLATE(D837,""zh-CN"",""vi"")"),"Anh ta cố gắng né tránh câu hỏi.")</f>
        <v>Anh ta cố gắng né tránh câu hỏi.</v>
      </c>
      <c r="F837" s="128"/>
      <c r="G837" s="36" t="b">
        <f t="shared" si="1"/>
        <v>0</v>
      </c>
      <c r="H837" s="35" t="b">
        <v>1</v>
      </c>
      <c r="I837" s="35" t="b">
        <v>0</v>
      </c>
      <c r="J837" s="35" t="b">
        <v>0</v>
      </c>
      <c r="K837" s="35" t="b">
        <v>0</v>
      </c>
      <c r="L837" s="35" t="b">
        <v>0</v>
      </c>
      <c r="M837" s="35" t="b">
        <v>0</v>
      </c>
      <c r="N837" s="35" t="b">
        <v>0</v>
      </c>
      <c r="O837" s="35" t="b">
        <v>0</v>
      </c>
      <c r="P837" s="35" t="b">
        <v>0</v>
      </c>
      <c r="Q837" s="35" t="b">
        <v>0</v>
      </c>
      <c r="R837" s="14"/>
      <c r="S837" s="14"/>
      <c r="T837" s="14"/>
      <c r="U837" s="14"/>
      <c r="V837" s="14"/>
      <c r="W837" s="14"/>
    </row>
    <row r="838" ht="31.5" customHeight="1">
      <c r="A838" s="109" t="s">
        <v>11512</v>
      </c>
      <c r="B838" s="110" t="s">
        <v>11513</v>
      </c>
      <c r="C838" s="111" t="s">
        <v>11514</v>
      </c>
      <c r="D838" s="28" t="s">
        <v>11515</v>
      </c>
      <c r="E838" s="28" t="str">
        <f>IFERROR(__xludf.DUMMYFUNCTION("GOOGLETRANSLATE(D838,""zh-CN"",""vi"")"),"Ông đã nhìn lại cuộc đời mình.")</f>
        <v>Ông đã nhìn lại cuộc đời mình.</v>
      </c>
      <c r="F838" s="128"/>
      <c r="G838" s="36" t="b">
        <f t="shared" si="1"/>
        <v>0</v>
      </c>
      <c r="H838" s="35" t="b">
        <v>1</v>
      </c>
      <c r="I838" s="35" t="b">
        <v>0</v>
      </c>
      <c r="J838" s="35" t="b">
        <v>0</v>
      </c>
      <c r="K838" s="35" t="b">
        <v>0</v>
      </c>
      <c r="L838" s="35" t="b">
        <v>0</v>
      </c>
      <c r="M838" s="35" t="b">
        <v>0</v>
      </c>
      <c r="N838" s="35" t="b">
        <v>0</v>
      </c>
      <c r="O838" s="35" t="b">
        <v>0</v>
      </c>
      <c r="P838" s="35" t="b">
        <v>0</v>
      </c>
      <c r="Q838" s="35" t="b">
        <v>0</v>
      </c>
      <c r="R838" s="14"/>
      <c r="S838" s="14"/>
      <c r="T838" s="14"/>
      <c r="U838" s="14"/>
      <c r="V838" s="14"/>
      <c r="W838" s="14"/>
    </row>
    <row r="839" ht="31.5" customHeight="1">
      <c r="A839" s="109" t="s">
        <v>11520</v>
      </c>
      <c r="B839" s="110" t="s">
        <v>11521</v>
      </c>
      <c r="C839" s="111" t="s">
        <v>11522</v>
      </c>
      <c r="D839" s="28" t="s">
        <v>11523</v>
      </c>
      <c r="E839" s="28" t="str">
        <f>IFERROR(__xludf.DUMMYFUNCTION("GOOGLETRANSLATE(D839,""zh-CN"",""vi"")"),"Chúng ta cần tái chế pin đã qua sử dụng.")</f>
        <v>Chúng ta cần tái chế pin đã qua sử dụng.</v>
      </c>
      <c r="F839" s="128"/>
      <c r="G839" s="36" t="b">
        <f t="shared" si="1"/>
        <v>0</v>
      </c>
      <c r="H839" s="35" t="b">
        <v>1</v>
      </c>
      <c r="I839" s="35" t="b">
        <v>0</v>
      </c>
      <c r="J839" s="35" t="b">
        <v>0</v>
      </c>
      <c r="K839" s="35" t="b">
        <v>0</v>
      </c>
      <c r="L839" s="35" t="b">
        <v>0</v>
      </c>
      <c r="M839" s="35" t="b">
        <v>0</v>
      </c>
      <c r="N839" s="35" t="b">
        <v>0</v>
      </c>
      <c r="O839" s="35" t="b">
        <v>0</v>
      </c>
      <c r="P839" s="35" t="b">
        <v>0</v>
      </c>
      <c r="Q839" s="35" t="b">
        <v>0</v>
      </c>
      <c r="R839" s="14"/>
      <c r="S839" s="14"/>
      <c r="T839" s="14"/>
      <c r="U839" s="14"/>
      <c r="V839" s="14"/>
      <c r="W839" s="14"/>
    </row>
    <row r="840" ht="31.5" customHeight="1">
      <c r="A840" s="109" t="s">
        <v>11524</v>
      </c>
      <c r="B840" s="110" t="s">
        <v>11525</v>
      </c>
      <c r="C840" s="111" t="s">
        <v>11526</v>
      </c>
      <c r="D840" s="28" t="s">
        <v>11527</v>
      </c>
      <c r="E840" s="28" t="str">
        <f>IFERROR(__xludf.DUMMYFUNCTION("GOOGLETRANSLATE(D840,""zh-CN"",""vi"")"),"Anh ta cảm thấy hối hận vì sai lầm của mình.")</f>
        <v>Anh ta cảm thấy hối hận vì sai lầm của mình.</v>
      </c>
      <c r="F840" s="128"/>
      <c r="G840" s="36" t="b">
        <f t="shared" si="1"/>
        <v>0</v>
      </c>
      <c r="H840" s="35" t="b">
        <v>1</v>
      </c>
      <c r="I840" s="35" t="b">
        <v>0</v>
      </c>
      <c r="J840" s="35" t="b">
        <v>0</v>
      </c>
      <c r="K840" s="35" t="b">
        <v>0</v>
      </c>
      <c r="L840" s="35" t="b">
        <v>0</v>
      </c>
      <c r="M840" s="35" t="b">
        <v>0</v>
      </c>
      <c r="N840" s="35" t="b">
        <v>0</v>
      </c>
      <c r="O840" s="35" t="b">
        <v>0</v>
      </c>
      <c r="P840" s="35" t="b">
        <v>0</v>
      </c>
      <c r="Q840" s="35" t="b">
        <v>0</v>
      </c>
      <c r="R840" s="14"/>
      <c r="S840" s="14"/>
      <c r="T840" s="14"/>
      <c r="U840" s="14"/>
      <c r="V840" s="14"/>
      <c r="W840" s="14"/>
    </row>
    <row r="841" ht="31.5" customHeight="1">
      <c r="A841" s="109" t="s">
        <v>11536</v>
      </c>
      <c r="B841" s="110" t="s">
        <v>11537</v>
      </c>
      <c r="C841" s="111" t="s">
        <v>11539</v>
      </c>
      <c r="D841" s="28" t="s">
        <v>11541</v>
      </c>
      <c r="E841" s="28" t="str">
        <f>IFERROR(__xludf.DUMMYFUNCTION("GOOGLETRANSLATE(D841,""zh-CN"",""vi"")"),"Kế hoạch đã thất bại, dẫn đến những hậu quả thảm khốc.")</f>
        <v>Kế hoạch đã thất bại, dẫn đến những hậu quả thảm khốc.</v>
      </c>
      <c r="F841" s="128"/>
      <c r="G841" s="36" t="b">
        <f t="shared" si="1"/>
        <v>0</v>
      </c>
      <c r="H841" s="35" t="b">
        <v>1</v>
      </c>
      <c r="I841" s="35" t="b">
        <v>0</v>
      </c>
      <c r="J841" s="35" t="b">
        <v>0</v>
      </c>
      <c r="K841" s="35" t="b">
        <v>0</v>
      </c>
      <c r="L841" s="35" t="b">
        <v>0</v>
      </c>
      <c r="M841" s="35" t="b">
        <v>0</v>
      </c>
      <c r="N841" s="35" t="b">
        <v>0</v>
      </c>
      <c r="O841" s="35" t="b">
        <v>0</v>
      </c>
      <c r="P841" s="35" t="b">
        <v>0</v>
      </c>
      <c r="Q841" s="35" t="b">
        <v>0</v>
      </c>
      <c r="R841" s="14"/>
      <c r="S841" s="14"/>
      <c r="T841" s="14"/>
      <c r="U841" s="14"/>
      <c r="V841" s="14"/>
      <c r="W841" s="14"/>
    </row>
    <row r="842" ht="31.5" customHeight="1">
      <c r="A842" s="109" t="s">
        <v>11544</v>
      </c>
      <c r="B842" s="110" t="s">
        <v>11545</v>
      </c>
      <c r="C842" s="111" t="s">
        <v>11546</v>
      </c>
      <c r="D842" s="28" t="s">
        <v>11547</v>
      </c>
      <c r="E842" s="28" t="str">
        <f>IFERROR(__xludf.DUMMYFUNCTION("GOOGLETRANSLATE(D842,""zh-CN"",""vi"")"),"Anh ấy đã báo cáo tiến độ công việc cho cấp trên.")</f>
        <v>Anh ấy đã báo cáo tiến độ công việc cho cấp trên.</v>
      </c>
      <c r="F842" s="128"/>
      <c r="G842" s="36" t="b">
        <f t="shared" si="1"/>
        <v>0</v>
      </c>
      <c r="H842" s="35" t="b">
        <v>1</v>
      </c>
      <c r="I842" s="35" t="b">
        <v>0</v>
      </c>
      <c r="J842" s="35" t="b">
        <v>0</v>
      </c>
      <c r="K842" s="35" t="b">
        <v>0</v>
      </c>
      <c r="L842" s="35" t="b">
        <v>0</v>
      </c>
      <c r="M842" s="35" t="b">
        <v>0</v>
      </c>
      <c r="N842" s="35" t="b">
        <v>0</v>
      </c>
      <c r="O842" s="35" t="b">
        <v>0</v>
      </c>
      <c r="P842" s="35" t="b">
        <v>0</v>
      </c>
      <c r="Q842" s="35" t="b">
        <v>0</v>
      </c>
      <c r="R842" s="14"/>
      <c r="S842" s="14"/>
      <c r="T842" s="14"/>
      <c r="U842" s="14"/>
      <c r="V842" s="14"/>
      <c r="W842" s="14"/>
    </row>
    <row r="843" ht="31.5" customHeight="1">
      <c r="A843" s="109" t="s">
        <v>11552</v>
      </c>
      <c r="B843" s="110" t="s">
        <v>11553</v>
      </c>
      <c r="C843" s="111" t="s">
        <v>11554</v>
      </c>
      <c r="D843" s="28" t="s">
        <v>11555</v>
      </c>
      <c r="E843" s="28" t="str">
        <f>IFERROR(__xludf.DUMMYFUNCTION("GOOGLETRANSLATE(D843,""zh-CN"",""vi"")"),"Ông ta bị buộc tội nhận hối lộ.")</f>
        <v>Ông ta bị buộc tội nhận hối lộ.</v>
      </c>
      <c r="F843" s="128"/>
      <c r="G843" s="36" t="b">
        <f t="shared" si="1"/>
        <v>0</v>
      </c>
      <c r="H843" s="35" t="b">
        <v>1</v>
      </c>
      <c r="I843" s="35" t="b">
        <v>0</v>
      </c>
      <c r="J843" s="35" t="b">
        <v>0</v>
      </c>
      <c r="K843" s="35" t="b">
        <v>0</v>
      </c>
      <c r="L843" s="35" t="b">
        <v>0</v>
      </c>
      <c r="M843" s="35" t="b">
        <v>0</v>
      </c>
      <c r="N843" s="35" t="b">
        <v>0</v>
      </c>
      <c r="O843" s="35" t="b">
        <v>0</v>
      </c>
      <c r="P843" s="35" t="b">
        <v>0</v>
      </c>
      <c r="Q843" s="35" t="b">
        <v>0</v>
      </c>
      <c r="R843" s="14"/>
      <c r="S843" s="14"/>
      <c r="T843" s="14"/>
      <c r="U843" s="14"/>
      <c r="V843" s="14"/>
      <c r="W843" s="14"/>
    </row>
    <row r="844" ht="31.5" customHeight="1">
      <c r="A844" s="109" t="s">
        <v>11557</v>
      </c>
      <c r="B844" s="110" t="s">
        <v>11559</v>
      </c>
      <c r="C844" s="111" t="s">
        <v>11561</v>
      </c>
      <c r="D844" s="28" t="s">
        <v>11563</v>
      </c>
      <c r="E844" s="28" t="str">
        <f>IFERROR(__xludf.DUMMYFUNCTION("GOOGLETRANSLATE(D844,""zh-CN"",""vi"")"),"Hai nhà lãnh đạo đã gặp nhau.")</f>
        <v>Hai nhà lãnh đạo đã gặp nhau.</v>
      </c>
      <c r="F844" s="128"/>
      <c r="G844" s="36" t="b">
        <f t="shared" si="1"/>
        <v>0</v>
      </c>
      <c r="H844" s="35" t="b">
        <v>1</v>
      </c>
      <c r="I844" s="35" t="b">
        <v>0</v>
      </c>
      <c r="J844" s="35" t="b">
        <v>0</v>
      </c>
      <c r="K844" s="35" t="b">
        <v>0</v>
      </c>
      <c r="L844" s="35" t="b">
        <v>0</v>
      </c>
      <c r="M844" s="35" t="b">
        <v>0</v>
      </c>
      <c r="N844" s="35" t="b">
        <v>0</v>
      </c>
      <c r="O844" s="35" t="b">
        <v>0</v>
      </c>
      <c r="P844" s="35" t="b">
        <v>0</v>
      </c>
      <c r="Q844" s="35" t="b">
        <v>0</v>
      </c>
      <c r="R844" s="14"/>
      <c r="S844" s="14"/>
      <c r="T844" s="14"/>
      <c r="U844" s="14"/>
      <c r="V844" s="14"/>
      <c r="W844" s="14"/>
    </row>
    <row r="845" ht="31.5" customHeight="1">
      <c r="A845" s="109" t="s">
        <v>11564</v>
      </c>
      <c r="B845" s="110" t="s">
        <v>11565</v>
      </c>
      <c r="C845" s="111" t="s">
        <v>11566</v>
      </c>
      <c r="D845" s="28" t="s">
        <v>11567</v>
      </c>
      <c r="E845" s="28" t="str">
        <f>IFERROR(__xludf.DUMMYFUNCTION("GOOGLETRANSLATE(D845,""zh-CN"",""vi"")"),"Ông ấy hôn mê ba ngày.")</f>
        <v>Ông ấy hôn mê ba ngày.</v>
      </c>
      <c r="F845" s="128"/>
      <c r="G845" s="36" t="b">
        <f t="shared" si="1"/>
        <v>0</v>
      </c>
      <c r="H845" s="35" t="b">
        <v>1</v>
      </c>
      <c r="I845" s="35" t="b">
        <v>0</v>
      </c>
      <c r="J845" s="35" t="b">
        <v>0</v>
      </c>
      <c r="K845" s="35" t="b">
        <v>0</v>
      </c>
      <c r="L845" s="35" t="b">
        <v>0</v>
      </c>
      <c r="M845" s="35" t="b">
        <v>0</v>
      </c>
      <c r="N845" s="35" t="b">
        <v>0</v>
      </c>
      <c r="O845" s="35" t="b">
        <v>0</v>
      </c>
      <c r="P845" s="35" t="b">
        <v>0</v>
      </c>
      <c r="Q845" s="35" t="b">
        <v>0</v>
      </c>
      <c r="R845" s="14"/>
      <c r="S845" s="14"/>
      <c r="T845" s="14"/>
      <c r="U845" s="14"/>
      <c r="V845" s="14"/>
      <c r="W845" s="14"/>
    </row>
    <row r="846" ht="31.5" customHeight="1">
      <c r="A846" s="109" t="s">
        <v>11572</v>
      </c>
      <c r="B846" s="110" t="s">
        <v>11573</v>
      </c>
      <c r="C846" s="111" t="s">
        <v>11574</v>
      </c>
      <c r="D846" s="28" t="s">
        <v>11575</v>
      </c>
      <c r="E846" s="28" t="str">
        <f>IFERROR(__xludf.DUMMYFUNCTION("GOOGLETRANSLATE(D846,""zh-CN"",""vi"")"),"Anh ta ướt đẫm mồ hôi.")</f>
        <v>Anh ta ướt đẫm mồ hôi.</v>
      </c>
      <c r="F846" s="128"/>
      <c r="G846" s="36" t="b">
        <f t="shared" si="1"/>
        <v>0</v>
      </c>
      <c r="H846" s="35" t="b">
        <v>1</v>
      </c>
      <c r="I846" s="35" t="b">
        <v>0</v>
      </c>
      <c r="J846" s="35" t="b">
        <v>0</v>
      </c>
      <c r="K846" s="35" t="b">
        <v>0</v>
      </c>
      <c r="L846" s="35" t="b">
        <v>0</v>
      </c>
      <c r="M846" s="35" t="b">
        <v>0</v>
      </c>
      <c r="N846" s="35" t="b">
        <v>0</v>
      </c>
      <c r="O846" s="35" t="b">
        <v>0</v>
      </c>
      <c r="P846" s="35" t="b">
        <v>0</v>
      </c>
      <c r="Q846" s="35" t="b">
        <v>0</v>
      </c>
      <c r="R846" s="14"/>
      <c r="S846" s="14"/>
      <c r="T846" s="14"/>
      <c r="U846" s="14"/>
      <c r="V846" s="14"/>
      <c r="W846" s="14"/>
    </row>
    <row r="847" ht="31.5" customHeight="1">
      <c r="A847" s="109" t="s">
        <v>11576</v>
      </c>
      <c r="B847" s="110" t="s">
        <v>11577</v>
      </c>
      <c r="C847" s="111" t="s">
        <v>11579</v>
      </c>
      <c r="D847" s="28" t="s">
        <v>11581</v>
      </c>
      <c r="E847" s="28" t="str">
        <f>IFERROR(__xludf.DUMMYFUNCTION("GOOGLETRANSLATE(D847,""zh-CN"",""vi"")"),"Thuốc này là hỗn hợp của nhiều thành phần.")</f>
        <v>Thuốc này là hỗn hợp của nhiều thành phần.</v>
      </c>
      <c r="F847" s="128"/>
      <c r="G847" s="36" t="b">
        <f t="shared" si="1"/>
        <v>0</v>
      </c>
      <c r="H847" s="35" t="b">
        <v>1</v>
      </c>
      <c r="I847" s="35" t="b">
        <v>0</v>
      </c>
      <c r="J847" s="35" t="b">
        <v>0</v>
      </c>
      <c r="K847" s="35" t="b">
        <v>0</v>
      </c>
      <c r="L847" s="35" t="b">
        <v>0</v>
      </c>
      <c r="M847" s="35" t="b">
        <v>0</v>
      </c>
      <c r="N847" s="35" t="b">
        <v>0</v>
      </c>
      <c r="O847" s="35" t="b">
        <v>0</v>
      </c>
      <c r="P847" s="35" t="b">
        <v>0</v>
      </c>
      <c r="Q847" s="35" t="b">
        <v>0</v>
      </c>
      <c r="R847" s="14"/>
      <c r="S847" s="14"/>
      <c r="T847" s="14"/>
      <c r="U847" s="14"/>
      <c r="V847" s="14"/>
      <c r="W847" s="14"/>
    </row>
    <row r="848" ht="31.5" customHeight="1">
      <c r="A848" s="109" t="s">
        <v>11584</v>
      </c>
      <c r="B848" s="110" t="s">
        <v>11585</v>
      </c>
      <c r="C848" s="111" t="s">
        <v>11586</v>
      </c>
      <c r="D848" s="28" t="s">
        <v>11587</v>
      </c>
      <c r="E848" s="28" t="str">
        <f>IFERROR(__xludf.DUMMYFUNCTION("GOOGLETRANSLATE(D848,""zh-CN"",""vi"")"),"Căn phòng hoàn toàn hỗn loạn.")</f>
        <v>Căn phòng hoàn toàn hỗn loạn.</v>
      </c>
      <c r="F848" s="128"/>
      <c r="G848" s="36" t="b">
        <f t="shared" si="1"/>
        <v>0</v>
      </c>
      <c r="H848" s="35" t="b">
        <v>1</v>
      </c>
      <c r="I848" s="35" t="b">
        <v>0</v>
      </c>
      <c r="J848" s="35" t="b">
        <v>0</v>
      </c>
      <c r="K848" s="35" t="b">
        <v>0</v>
      </c>
      <c r="L848" s="35" t="b">
        <v>0</v>
      </c>
      <c r="M848" s="35" t="b">
        <v>0</v>
      </c>
      <c r="N848" s="35" t="b">
        <v>0</v>
      </c>
      <c r="O848" s="35" t="b">
        <v>0</v>
      </c>
      <c r="P848" s="35" t="b">
        <v>0</v>
      </c>
      <c r="Q848" s="35" t="b">
        <v>0</v>
      </c>
      <c r="R848" s="14"/>
      <c r="S848" s="14"/>
      <c r="T848" s="14"/>
      <c r="U848" s="14"/>
      <c r="V848" s="14"/>
      <c r="W848" s="14"/>
    </row>
    <row r="849" ht="31.5" customHeight="1">
      <c r="A849" s="109" t="s">
        <v>11591</v>
      </c>
      <c r="B849" s="110" t="s">
        <v>11592</v>
      </c>
      <c r="C849" s="111" t="s">
        <v>11593</v>
      </c>
      <c r="D849" s="28" t="s">
        <v>11594</v>
      </c>
      <c r="E849" s="28" t="str">
        <f>IFERROR(__xludf.DUMMYFUNCTION("GOOGLETRANSLATE(D849,""zh-CN"",""vi"")"),"Anh ta nhầm lẫn sự thật với tin đồn.")</f>
        <v>Anh ta nhầm lẫn sự thật với tin đồn.</v>
      </c>
      <c r="F849" s="128"/>
      <c r="G849" s="36" t="b">
        <f t="shared" si="1"/>
        <v>0</v>
      </c>
      <c r="H849" s="35" t="b">
        <v>1</v>
      </c>
      <c r="I849" s="35" t="b">
        <v>0</v>
      </c>
      <c r="J849" s="35" t="b">
        <v>0</v>
      </c>
      <c r="K849" s="35" t="b">
        <v>0</v>
      </c>
      <c r="L849" s="35" t="b">
        <v>0</v>
      </c>
      <c r="M849" s="35" t="b">
        <v>0</v>
      </c>
      <c r="N849" s="35" t="b">
        <v>0</v>
      </c>
      <c r="O849" s="35" t="b">
        <v>0</v>
      </c>
      <c r="P849" s="35" t="b">
        <v>0</v>
      </c>
      <c r="Q849" s="35" t="b">
        <v>0</v>
      </c>
      <c r="R849" s="14"/>
      <c r="S849" s="14"/>
      <c r="T849" s="14"/>
      <c r="U849" s="14"/>
      <c r="V849" s="14"/>
      <c r="W849" s="14"/>
    </row>
    <row r="850" ht="31.5" customHeight="1">
      <c r="A850" s="109" t="s">
        <v>11595</v>
      </c>
      <c r="B850" s="110" t="s">
        <v>11596</v>
      </c>
      <c r="C850" s="111" t="s">
        <v>11598</v>
      </c>
      <c r="D850" s="28" t="s">
        <v>11600</v>
      </c>
      <c r="E850" s="28" t="str">
        <f>IFERROR(__xludf.DUMMYFUNCTION("GOOGLETRANSLATE(D850,""zh-CN"",""vi"")"),"Nước trông hơi đục.")</f>
        <v>Nước trông hơi đục.</v>
      </c>
      <c r="F850" s="128"/>
      <c r="G850" s="36" t="b">
        <f t="shared" si="1"/>
        <v>0</v>
      </c>
      <c r="H850" s="35" t="b">
        <v>1</v>
      </c>
      <c r="I850" s="35" t="b">
        <v>0</v>
      </c>
      <c r="J850" s="35" t="b">
        <v>0</v>
      </c>
      <c r="K850" s="35" t="b">
        <v>0</v>
      </c>
      <c r="L850" s="35" t="b">
        <v>0</v>
      </c>
      <c r="M850" s="35" t="b">
        <v>0</v>
      </c>
      <c r="N850" s="35" t="b">
        <v>0</v>
      </c>
      <c r="O850" s="35" t="b">
        <v>0</v>
      </c>
      <c r="P850" s="35" t="b">
        <v>0</v>
      </c>
      <c r="Q850" s="35" t="b">
        <v>0</v>
      </c>
      <c r="R850" s="14"/>
      <c r="S850" s="14"/>
      <c r="T850" s="14"/>
      <c r="U850" s="14"/>
      <c r="V850" s="14"/>
      <c r="W850" s="14"/>
    </row>
    <row r="851" ht="31.5" customHeight="1">
      <c r="A851" s="109" t="s">
        <v>11603</v>
      </c>
      <c r="B851" s="110" t="s">
        <v>11604</v>
      </c>
      <c r="C851" s="111" t="s">
        <v>11605</v>
      </c>
      <c r="D851" s="28" t="s">
        <v>11606</v>
      </c>
      <c r="E851" s="28" t="str">
        <f>IFERROR(__xludf.DUMMYFUNCTION("GOOGLETRANSLATE(D851,""zh-CN"",""vi"")"),"Bạn đáng bị trừng phạt.")</f>
        <v>Bạn đáng bị trừng phạt.</v>
      </c>
      <c r="F851" s="128"/>
      <c r="G851" s="36" t="b">
        <f t="shared" si="1"/>
        <v>0</v>
      </c>
      <c r="H851" s="35" t="b">
        <v>1</v>
      </c>
      <c r="I851" s="35" t="b">
        <v>0</v>
      </c>
      <c r="J851" s="35" t="b">
        <v>0</v>
      </c>
      <c r="K851" s="35" t="b">
        <v>0</v>
      </c>
      <c r="L851" s="35" t="b">
        <v>0</v>
      </c>
      <c r="M851" s="35" t="b">
        <v>0</v>
      </c>
      <c r="N851" s="35" t="b">
        <v>0</v>
      </c>
      <c r="O851" s="35" t="b">
        <v>0</v>
      </c>
      <c r="P851" s="35" t="b">
        <v>0</v>
      </c>
      <c r="Q851" s="35" t="b">
        <v>0</v>
      </c>
      <c r="R851" s="14"/>
      <c r="S851" s="14"/>
      <c r="T851" s="14"/>
      <c r="U851" s="14"/>
      <c r="V851" s="14"/>
      <c r="W851" s="14"/>
    </row>
    <row r="852" ht="31.5" customHeight="1">
      <c r="A852" s="109" t="s">
        <v>11611</v>
      </c>
      <c r="B852" s="110" t="s">
        <v>11612</v>
      </c>
      <c r="C852" s="111" t="s">
        <v>11613</v>
      </c>
      <c r="D852" s="28" t="s">
        <v>11614</v>
      </c>
      <c r="E852" s="28" t="str">
        <f>IFERROR(__xludf.DUMMYFUNCTION("GOOGLETRANSLATE(D852,""zh-CN"",""vi"")"),"Anh ấy tràn đầy năng lượng.")</f>
        <v>Anh ấy tràn đầy năng lượng.</v>
      </c>
      <c r="F852" s="128"/>
      <c r="G852" s="36" t="b">
        <f t="shared" si="1"/>
        <v>0</v>
      </c>
      <c r="H852" s="35" t="b">
        <v>1</v>
      </c>
      <c r="I852" s="35" t="b">
        <v>0</v>
      </c>
      <c r="J852" s="35" t="b">
        <v>0</v>
      </c>
      <c r="K852" s="35" t="b">
        <v>0</v>
      </c>
      <c r="L852" s="35" t="b">
        <v>0</v>
      </c>
      <c r="M852" s="35" t="b">
        <v>0</v>
      </c>
      <c r="N852" s="35" t="b">
        <v>0</v>
      </c>
      <c r="O852" s="35" t="b">
        <v>0</v>
      </c>
      <c r="P852" s="35" t="b">
        <v>0</v>
      </c>
      <c r="Q852" s="35" t="b">
        <v>0</v>
      </c>
      <c r="R852" s="14"/>
      <c r="S852" s="14"/>
      <c r="T852" s="14"/>
      <c r="U852" s="14"/>
      <c r="V852" s="14"/>
      <c r="W852" s="14"/>
    </row>
    <row r="853" ht="31.5" customHeight="1">
      <c r="A853" s="109" t="s">
        <v>11615</v>
      </c>
      <c r="B853" s="110" t="s">
        <v>11616</v>
      </c>
      <c r="C853" s="111" t="s">
        <v>8287</v>
      </c>
      <c r="D853" s="28" t="s">
        <v>11617</v>
      </c>
      <c r="E853" s="28" t="str">
        <f>IFERROR(__xludf.DUMMYFUNCTION("GOOGLETRANSLATE(D853,""zh-CN"",""vi"")"),"Vụ phóng tên lửa đã thành công.")</f>
        <v>Vụ phóng tên lửa đã thành công.</v>
      </c>
      <c r="F853" s="128"/>
      <c r="G853" s="36" t="b">
        <f t="shared" si="1"/>
        <v>0</v>
      </c>
      <c r="H853" s="35" t="b">
        <v>1</v>
      </c>
      <c r="I853" s="35" t="b">
        <v>0</v>
      </c>
      <c r="J853" s="35" t="b">
        <v>0</v>
      </c>
      <c r="K853" s="35" t="b">
        <v>0</v>
      </c>
      <c r="L853" s="35" t="b">
        <v>0</v>
      </c>
      <c r="M853" s="35" t="b">
        <v>0</v>
      </c>
      <c r="N853" s="35" t="b">
        <v>0</v>
      </c>
      <c r="O853" s="35" t="b">
        <v>0</v>
      </c>
      <c r="P853" s="35" t="b">
        <v>0</v>
      </c>
      <c r="Q853" s="35" t="b">
        <v>0</v>
      </c>
      <c r="R853" s="14"/>
      <c r="S853" s="14"/>
      <c r="T853" s="14"/>
      <c r="U853" s="14"/>
      <c r="V853" s="14"/>
      <c r="W853" s="14"/>
    </row>
    <row r="854" ht="31.5" customHeight="1">
      <c r="A854" s="109" t="s">
        <v>11622</v>
      </c>
      <c r="B854" s="110" t="s">
        <v>11623</v>
      </c>
      <c r="C854" s="111" t="s">
        <v>11624</v>
      </c>
      <c r="D854" s="28" t="s">
        <v>11625</v>
      </c>
      <c r="E854" s="28" t="str">
        <f>IFERROR(__xludf.DUMMYFUNCTION("GOOGLETRANSLATE(D854,""zh-CN"",""vi"")"),"Ngọn lửa bập bùng trong lò sưởi.")</f>
        <v>Ngọn lửa bập bùng trong lò sưởi.</v>
      </c>
      <c r="F854" s="128"/>
      <c r="G854" s="36" t="b">
        <f t="shared" si="1"/>
        <v>0</v>
      </c>
      <c r="H854" s="35" t="b">
        <v>1</v>
      </c>
      <c r="I854" s="35" t="b">
        <v>0</v>
      </c>
      <c r="J854" s="35" t="b">
        <v>0</v>
      </c>
      <c r="K854" s="35" t="b">
        <v>0</v>
      </c>
      <c r="L854" s="35" t="b">
        <v>0</v>
      </c>
      <c r="M854" s="35" t="b">
        <v>0</v>
      </c>
      <c r="N854" s="35" t="b">
        <v>0</v>
      </c>
      <c r="O854" s="35" t="b">
        <v>0</v>
      </c>
      <c r="P854" s="35" t="b">
        <v>0</v>
      </c>
      <c r="Q854" s="35" t="b">
        <v>0</v>
      </c>
      <c r="R854" s="14"/>
      <c r="S854" s="14"/>
      <c r="T854" s="14"/>
      <c r="U854" s="14"/>
      <c r="V854" s="14"/>
      <c r="W854" s="14"/>
    </row>
    <row r="855" ht="31.5" customHeight="1">
      <c r="A855" s="109" t="s">
        <v>11630</v>
      </c>
      <c r="B855" s="110" t="s">
        <v>11631</v>
      </c>
      <c r="C855" s="111" t="s">
        <v>11632</v>
      </c>
      <c r="D855" s="28" t="s">
        <v>11633</v>
      </c>
      <c r="E855" s="28" t="str">
        <f>IFERROR(__xludf.DUMMYFUNCTION("GOOGLETRANSLATE(D855,""zh-CN"",""vi"")"),"Người xưa đã sử dụng thuốc súng để chế tạo vũ khí.")</f>
        <v>Người xưa đã sử dụng thuốc súng để chế tạo vũ khí.</v>
      </c>
      <c r="F855" s="128"/>
      <c r="G855" s="36" t="b">
        <f t="shared" si="1"/>
        <v>0</v>
      </c>
      <c r="H855" s="35" t="b">
        <v>1</v>
      </c>
      <c r="I855" s="35" t="b">
        <v>0</v>
      </c>
      <c r="J855" s="35" t="b">
        <v>0</v>
      </c>
      <c r="K855" s="35" t="b">
        <v>0</v>
      </c>
      <c r="L855" s="35" t="b">
        <v>0</v>
      </c>
      <c r="M855" s="35" t="b">
        <v>0</v>
      </c>
      <c r="N855" s="35" t="b">
        <v>0</v>
      </c>
      <c r="O855" s="35" t="b">
        <v>0</v>
      </c>
      <c r="P855" s="35" t="b">
        <v>0</v>
      </c>
      <c r="Q855" s="35" t="b">
        <v>0</v>
      </c>
      <c r="R855" s="14"/>
      <c r="S855" s="14"/>
      <c r="T855" s="14"/>
      <c r="U855" s="14"/>
      <c r="V855" s="14"/>
      <c r="W855" s="14"/>
    </row>
    <row r="856" ht="31.5" customHeight="1">
      <c r="A856" s="109" t="s">
        <v>11634</v>
      </c>
      <c r="B856" s="110" t="s">
        <v>11635</v>
      </c>
      <c r="C856" s="111" t="s">
        <v>11636</v>
      </c>
      <c r="D856" s="28" t="s">
        <v>11637</v>
      </c>
      <c r="E856" s="28" t="str">
        <f>IFERROR(__xludf.DUMMYFUNCTION("GOOGLETRANSLATE(D856,""zh-CN"",""vi"")"),"Đơn vị tiền tệ của Trung Quốc là Nhân dân tệ (RMB).")</f>
        <v>Đơn vị tiền tệ của Trung Quốc là Nhân dân tệ (RMB).</v>
      </c>
      <c r="F856" s="128"/>
      <c r="G856" s="36" t="b">
        <f t="shared" si="1"/>
        <v>0</v>
      </c>
      <c r="H856" s="35" t="b">
        <v>1</v>
      </c>
      <c r="I856" s="35" t="b">
        <v>0</v>
      </c>
      <c r="J856" s="35" t="b">
        <v>0</v>
      </c>
      <c r="K856" s="35" t="b">
        <v>0</v>
      </c>
      <c r="L856" s="35" t="b">
        <v>0</v>
      </c>
      <c r="M856" s="35" t="b">
        <v>0</v>
      </c>
      <c r="N856" s="35" t="b">
        <v>0</v>
      </c>
      <c r="O856" s="35" t="b">
        <v>0</v>
      </c>
      <c r="P856" s="35" t="b">
        <v>0</v>
      </c>
      <c r="Q856" s="35" t="b">
        <v>0</v>
      </c>
      <c r="R856" s="14"/>
      <c r="S856" s="14"/>
      <c r="T856" s="14"/>
      <c r="U856" s="14"/>
      <c r="V856" s="14"/>
      <c r="W856" s="14"/>
    </row>
    <row r="857" ht="31.5" customHeight="1">
      <c r="A857" s="109" t="s">
        <v>7456</v>
      </c>
      <c r="B857" s="110" t="s">
        <v>7457</v>
      </c>
      <c r="C857" s="111" t="s">
        <v>11642</v>
      </c>
      <c r="D857" s="28" t="s">
        <v>11643</v>
      </c>
      <c r="E857" s="28" t="str">
        <f>IFERROR(__xludf.DUMMYFUNCTION("GOOGLETRANSLATE(D857,""zh-CN"",""vi"")"),"Có thể anh ấy sẽ đến.")</f>
        <v>Có thể anh ấy sẽ đến.</v>
      </c>
      <c r="F857" s="128"/>
      <c r="G857" s="36" t="b">
        <f t="shared" si="1"/>
        <v>0</v>
      </c>
      <c r="H857" s="35" t="b">
        <v>1</v>
      </c>
      <c r="I857" s="35" t="b">
        <v>0</v>
      </c>
      <c r="J857" s="35" t="b">
        <v>0</v>
      </c>
      <c r="K857" s="35" t="b">
        <v>0</v>
      </c>
      <c r="L857" s="35" t="b">
        <v>0</v>
      </c>
      <c r="M857" s="35" t="b">
        <v>0</v>
      </c>
      <c r="N857" s="35" t="b">
        <v>0</v>
      </c>
      <c r="O857" s="35" t="b">
        <v>0</v>
      </c>
      <c r="P857" s="35" t="b">
        <v>0</v>
      </c>
      <c r="Q857" s="35" t="b">
        <v>0</v>
      </c>
      <c r="R857" s="14"/>
      <c r="S857" s="14"/>
      <c r="T857" s="14"/>
      <c r="U857" s="14"/>
      <c r="V857" s="14"/>
      <c r="W857" s="14"/>
    </row>
    <row r="858" ht="31.5" customHeight="1">
      <c r="A858" s="109" t="s">
        <v>11648</v>
      </c>
      <c r="B858" s="110" t="s">
        <v>11649</v>
      </c>
      <c r="C858" s="111" t="s">
        <v>11650</v>
      </c>
      <c r="D858" s="28" t="s">
        <v>11651</v>
      </c>
      <c r="E858" s="28" t="str">
        <f>IFERROR(__xludf.DUMMYFUNCTION("GOOGLETRANSLATE(D858,""zh-CN"",""vi"")"),"Chúng tôi tiến hành huấn luyện tại căn cứ.")</f>
        <v>Chúng tôi tiến hành huấn luyện tại căn cứ.</v>
      </c>
      <c r="F858" s="128"/>
      <c r="G858" s="36" t="b">
        <f t="shared" si="1"/>
        <v>0</v>
      </c>
      <c r="H858" s="35" t="b">
        <v>1</v>
      </c>
      <c r="I858" s="35" t="b">
        <v>0</v>
      </c>
      <c r="J858" s="35" t="b">
        <v>0</v>
      </c>
      <c r="K858" s="35" t="b">
        <v>0</v>
      </c>
      <c r="L858" s="35" t="b">
        <v>0</v>
      </c>
      <c r="M858" s="35" t="b">
        <v>0</v>
      </c>
      <c r="N858" s="35" t="b">
        <v>0</v>
      </c>
      <c r="O858" s="35" t="b">
        <v>0</v>
      </c>
      <c r="P858" s="35" t="b">
        <v>0</v>
      </c>
      <c r="Q858" s="35" t="b">
        <v>0</v>
      </c>
      <c r="R858" s="14"/>
      <c r="S858" s="14"/>
      <c r="T858" s="14"/>
      <c r="U858" s="14"/>
      <c r="V858" s="14"/>
      <c r="W858" s="14"/>
    </row>
    <row r="859" ht="31.5" customHeight="1">
      <c r="A859" s="109" t="s">
        <v>11654</v>
      </c>
      <c r="B859" s="110" t="s">
        <v>2286</v>
      </c>
      <c r="C859" s="111" t="s">
        <v>11657</v>
      </c>
      <c r="D859" s="28" t="s">
        <v>11658</v>
      </c>
      <c r="E859" s="28" t="str">
        <f>IFERROR(__xludf.DUMMYFUNCTION("GOOGLETRANSLATE(D859,""zh-CN"",""vi"")"),"Thiết bị này có thể tự động di chuyển.")</f>
        <v>Thiết bị này có thể tự động di chuyển.</v>
      </c>
      <c r="F859" s="128"/>
      <c r="G859" s="36" t="b">
        <f t="shared" si="1"/>
        <v>0</v>
      </c>
      <c r="H859" s="35" t="b">
        <v>1</v>
      </c>
      <c r="I859" s="35" t="b">
        <v>0</v>
      </c>
      <c r="J859" s="35" t="b">
        <v>0</v>
      </c>
      <c r="K859" s="35" t="b">
        <v>0</v>
      </c>
      <c r="L859" s="35" t="b">
        <v>0</v>
      </c>
      <c r="M859" s="35" t="b">
        <v>0</v>
      </c>
      <c r="N859" s="35" t="b">
        <v>0</v>
      </c>
      <c r="O859" s="35" t="b">
        <v>0</v>
      </c>
      <c r="P859" s="35" t="b">
        <v>0</v>
      </c>
      <c r="Q859" s="35" t="b">
        <v>0</v>
      </c>
      <c r="R859" s="14"/>
      <c r="S859" s="14"/>
      <c r="T859" s="14"/>
      <c r="U859" s="14"/>
      <c r="V859" s="14"/>
      <c r="W859" s="14"/>
    </row>
    <row r="860" ht="31.5" customHeight="1">
      <c r="A860" s="109" t="s">
        <v>11659</v>
      </c>
      <c r="B860" s="110" t="s">
        <v>11660</v>
      </c>
      <c r="C860" s="111" t="s">
        <v>11661</v>
      </c>
      <c r="D860" s="28" t="s">
        <v>11662</v>
      </c>
      <c r="E860" s="28" t="str">
        <f>IFERROR(__xludf.DUMMYFUNCTION("GOOGLETRANSLATE(D860,""zh-CN"",""vi"")"),"Cảm giác đói khiến người ta rất khó chịu.")</f>
        <v>Cảm giác đói khiến người ta rất khó chịu.</v>
      </c>
      <c r="F860" s="128"/>
      <c r="G860" s="36" t="b">
        <f t="shared" si="1"/>
        <v>0</v>
      </c>
      <c r="H860" s="35" t="b">
        <v>1</v>
      </c>
      <c r="I860" s="35" t="b">
        <v>0</v>
      </c>
      <c r="J860" s="35" t="b">
        <v>0</v>
      </c>
      <c r="K860" s="35" t="b">
        <v>0</v>
      </c>
      <c r="L860" s="35" t="b">
        <v>0</v>
      </c>
      <c r="M860" s="35" t="b">
        <v>0</v>
      </c>
      <c r="N860" s="35" t="b">
        <v>0</v>
      </c>
      <c r="O860" s="35" t="b">
        <v>0</v>
      </c>
      <c r="P860" s="35" t="b">
        <v>0</v>
      </c>
      <c r="Q860" s="35" t="b">
        <v>0</v>
      </c>
      <c r="R860" s="14"/>
      <c r="S860" s="14"/>
      <c r="T860" s="14"/>
      <c r="U860" s="14"/>
      <c r="V860" s="14"/>
      <c r="W860" s="14"/>
    </row>
    <row r="861" ht="31.5" customHeight="1">
      <c r="A861" s="109" t="s">
        <v>11667</v>
      </c>
      <c r="B861" s="110" t="s">
        <v>11668</v>
      </c>
      <c r="C861" s="111" t="s">
        <v>11669</v>
      </c>
      <c r="D861" s="28" t="s">
        <v>11670</v>
      </c>
      <c r="E861" s="28" t="str">
        <f>IFERROR(__xludf.DUMMYFUNCTION("GOOGLETRANSLATE(D861,""zh-CN"",""vi"")"),"Những lời nói của anh ấy đã khơi dậy tinh thần chiến đấu trong tôi.")</f>
        <v>Những lời nói của anh ấy đã khơi dậy tinh thần chiến đấu trong tôi.</v>
      </c>
      <c r="F861" s="128"/>
      <c r="G861" s="36" t="b">
        <f t="shared" si="1"/>
        <v>0</v>
      </c>
      <c r="H861" s="35" t="b">
        <v>1</v>
      </c>
      <c r="I861" s="35" t="b">
        <v>0</v>
      </c>
      <c r="J861" s="35" t="b">
        <v>0</v>
      </c>
      <c r="K861" s="35" t="b">
        <v>0</v>
      </c>
      <c r="L861" s="35" t="b">
        <v>0</v>
      </c>
      <c r="M861" s="35" t="b">
        <v>0</v>
      </c>
      <c r="N861" s="35" t="b">
        <v>0</v>
      </c>
      <c r="O861" s="35" t="b">
        <v>0</v>
      </c>
      <c r="P861" s="35" t="b">
        <v>0</v>
      </c>
      <c r="Q861" s="35" t="b">
        <v>0</v>
      </c>
      <c r="R861" s="14"/>
      <c r="S861" s="14"/>
      <c r="T861" s="14"/>
      <c r="U861" s="14"/>
      <c r="V861" s="14"/>
      <c r="W861" s="14"/>
    </row>
    <row r="862" ht="31.5" customHeight="1">
      <c r="A862" s="109" t="s">
        <v>11675</v>
      </c>
      <c r="B862" s="110" t="s">
        <v>11676</v>
      </c>
      <c r="C862" s="111" t="s">
        <v>11677</v>
      </c>
      <c r="D862" s="28" t="s">
        <v>11678</v>
      </c>
      <c r="E862" s="28" t="str">
        <f>IFERROR(__xludf.DUMMYFUNCTION("GOOGLETRANSLATE(D862,""zh-CN"",""vi"")"),"Công ty có nhiều phòng ban nội bộ.")</f>
        <v>Công ty có nhiều phòng ban nội bộ.</v>
      </c>
      <c r="F862" s="128"/>
      <c r="G862" s="36" t="b">
        <f t="shared" si="1"/>
        <v>0</v>
      </c>
      <c r="H862" s="35" t="b">
        <v>1</v>
      </c>
      <c r="I862" s="35" t="b">
        <v>0</v>
      </c>
      <c r="J862" s="35" t="b">
        <v>0</v>
      </c>
      <c r="K862" s="35" t="b">
        <v>0</v>
      </c>
      <c r="L862" s="35" t="b">
        <v>0</v>
      </c>
      <c r="M862" s="35" t="b">
        <v>0</v>
      </c>
      <c r="N862" s="35" t="b">
        <v>0</v>
      </c>
      <c r="O862" s="35" t="b">
        <v>0</v>
      </c>
      <c r="P862" s="35" t="b">
        <v>0</v>
      </c>
      <c r="Q862" s="35" t="b">
        <v>0</v>
      </c>
      <c r="R862" s="14"/>
      <c r="S862" s="14"/>
      <c r="T862" s="14"/>
      <c r="U862" s="14"/>
      <c r="V862" s="14"/>
      <c r="W862" s="14"/>
    </row>
    <row r="863" ht="31.5" customHeight="1">
      <c r="A863" s="109" t="s">
        <v>11679</v>
      </c>
      <c r="B863" s="110" t="s">
        <v>11680</v>
      </c>
      <c r="C863" s="111" t="s">
        <v>11681</v>
      </c>
      <c r="D863" s="28" t="s">
        <v>11682</v>
      </c>
      <c r="E863" s="28" t="str">
        <f>IFERROR(__xludf.DUMMYFUNCTION("GOOGLETRANSLATE(D863,""zh-CN"",""vi"")"),"Anh ấy làm việc trong một cơ quan chính phủ.")</f>
        <v>Anh ấy làm việc trong một cơ quan chính phủ.</v>
      </c>
      <c r="F863" s="128"/>
      <c r="G863" s="36" t="b">
        <f t="shared" si="1"/>
        <v>0</v>
      </c>
      <c r="H863" s="35" t="b">
        <v>1</v>
      </c>
      <c r="I863" s="35" t="b">
        <v>0</v>
      </c>
      <c r="J863" s="35" t="b">
        <v>0</v>
      </c>
      <c r="K863" s="35" t="b">
        <v>0</v>
      </c>
      <c r="L863" s="35" t="b">
        <v>0</v>
      </c>
      <c r="M863" s="35" t="b">
        <v>0</v>
      </c>
      <c r="N863" s="35" t="b">
        <v>0</v>
      </c>
      <c r="O863" s="35" t="b">
        <v>0</v>
      </c>
      <c r="P863" s="35" t="b">
        <v>0</v>
      </c>
      <c r="Q863" s="35" t="b">
        <v>0</v>
      </c>
      <c r="R863" s="14"/>
      <c r="S863" s="14"/>
      <c r="T863" s="14"/>
      <c r="U863" s="14"/>
      <c r="V863" s="14"/>
      <c r="W863" s="14"/>
    </row>
    <row r="864" ht="31.5" customHeight="1">
      <c r="A864" s="109" t="s">
        <v>11687</v>
      </c>
      <c r="B864" s="110" t="s">
        <v>11688</v>
      </c>
      <c r="C864" s="111" t="s">
        <v>11689</v>
      </c>
      <c r="D864" s="28" t="s">
        <v>11690</v>
      </c>
      <c r="E864" s="28" t="str">
        <f>IFERROR(__xludf.DUMMYFUNCTION("GOOGLETRANSLATE(D864,""zh-CN"",""vi"")"),"Chúng ta cần thêm kinh phí để hỗ trợ dự án này.")</f>
        <v>Chúng ta cần thêm kinh phí để hỗ trợ dự án này.</v>
      </c>
      <c r="F864" s="128"/>
      <c r="G864" s="36" t="b">
        <f t="shared" si="1"/>
        <v>0</v>
      </c>
      <c r="H864" s="35" t="b">
        <v>1</v>
      </c>
      <c r="I864" s="35" t="b">
        <v>0</v>
      </c>
      <c r="J864" s="35" t="b">
        <v>0</v>
      </c>
      <c r="K864" s="35" t="b">
        <v>0</v>
      </c>
      <c r="L864" s="35" t="b">
        <v>0</v>
      </c>
      <c r="M864" s="35" t="b">
        <v>0</v>
      </c>
      <c r="N864" s="35" t="b">
        <v>0</v>
      </c>
      <c r="O864" s="35" t="b">
        <v>0</v>
      </c>
      <c r="P864" s="35" t="b">
        <v>0</v>
      </c>
      <c r="Q864" s="35" t="b">
        <v>0</v>
      </c>
      <c r="R864" s="14"/>
      <c r="S864" s="14"/>
      <c r="T864" s="14"/>
      <c r="U864" s="14"/>
      <c r="V864" s="14"/>
      <c r="W864" s="14"/>
    </row>
    <row r="865" ht="31.5" customHeight="1">
      <c r="A865" s="109" t="s">
        <v>11694</v>
      </c>
      <c r="B865" s="110" t="s">
        <v>11696</v>
      </c>
      <c r="C865" s="111" t="s">
        <v>11697</v>
      </c>
      <c r="D865" s="28" t="s">
        <v>11698</v>
      </c>
      <c r="E865" s="28" t="str">
        <f>IFERROR(__xludf.DUMMYFUNCTION("GOOGLETRANSLATE(D865,""zh-CN"",""vi"")"),"Thành công của anh ấy đã truyền cảm hứng cho tôi.")</f>
        <v>Thành công của anh ấy đã truyền cảm hứng cho tôi.</v>
      </c>
      <c r="F865" s="128"/>
      <c r="G865" s="36" t="b">
        <f t="shared" si="1"/>
        <v>0</v>
      </c>
      <c r="H865" s="35" t="b">
        <v>1</v>
      </c>
      <c r="I865" s="35" t="b">
        <v>0</v>
      </c>
      <c r="J865" s="35" t="b">
        <v>0</v>
      </c>
      <c r="K865" s="35" t="b">
        <v>0</v>
      </c>
      <c r="L865" s="35" t="b">
        <v>0</v>
      </c>
      <c r="M865" s="35" t="b">
        <v>0</v>
      </c>
      <c r="N865" s="35" t="b">
        <v>0</v>
      </c>
      <c r="O865" s="35" t="b">
        <v>0</v>
      </c>
      <c r="P865" s="35" t="b">
        <v>0</v>
      </c>
      <c r="Q865" s="35" t="b">
        <v>0</v>
      </c>
      <c r="R865" s="14"/>
      <c r="S865" s="14"/>
      <c r="T865" s="14"/>
      <c r="U865" s="14"/>
      <c r="V865" s="14"/>
      <c r="W865" s="14"/>
    </row>
    <row r="866" ht="31.5" customHeight="1">
      <c r="A866" s="109" t="s">
        <v>11699</v>
      </c>
      <c r="B866" s="110" t="s">
        <v>11700</v>
      </c>
      <c r="C866" s="111" t="s">
        <v>11701</v>
      </c>
      <c r="D866" s="28" t="s">
        <v>11702</v>
      </c>
      <c r="E866" s="28" t="str">
        <f>IFERROR(__xludf.DUMMYFUNCTION("GOOGLETRANSLATE(D866,""zh-CN"",""vi"")"),"Cậu bé rất thông minh.")</f>
        <v>Cậu bé rất thông minh.</v>
      </c>
      <c r="F866" s="128"/>
      <c r="G866" s="36" t="b">
        <f t="shared" si="1"/>
        <v>0</v>
      </c>
      <c r="H866" s="35" t="b">
        <v>1</v>
      </c>
      <c r="I866" s="35" t="b">
        <v>0</v>
      </c>
      <c r="J866" s="35" t="b">
        <v>0</v>
      </c>
      <c r="K866" s="35" t="b">
        <v>0</v>
      </c>
      <c r="L866" s="35" t="b">
        <v>0</v>
      </c>
      <c r="M866" s="35" t="b">
        <v>0</v>
      </c>
      <c r="N866" s="35" t="b">
        <v>0</v>
      </c>
      <c r="O866" s="35" t="b">
        <v>0</v>
      </c>
      <c r="P866" s="35" t="b">
        <v>0</v>
      </c>
      <c r="Q866" s="35" t="b">
        <v>0</v>
      </c>
      <c r="R866" s="14"/>
      <c r="S866" s="14"/>
      <c r="T866" s="14"/>
      <c r="U866" s="14"/>
      <c r="V866" s="14"/>
      <c r="W866" s="14"/>
    </row>
    <row r="867" ht="31.5" customHeight="1">
      <c r="A867" s="109" t="s">
        <v>11707</v>
      </c>
      <c r="B867" s="110" t="s">
        <v>11708</v>
      </c>
      <c r="C867" s="111" t="s">
        <v>11709</v>
      </c>
      <c r="D867" s="28" t="s">
        <v>11710</v>
      </c>
      <c r="E867" s="28" t="str">
        <f>IFERROR(__xludf.DUMMYFUNCTION("GOOGLETRANSLATE(D867,""zh-CN"",""vi"")"),"Tài liệu này là tài liệu mật.")</f>
        <v>Tài liệu này là tài liệu mật.</v>
      </c>
      <c r="F867" s="128"/>
      <c r="G867" s="36" t="b">
        <f t="shared" si="1"/>
        <v>0</v>
      </c>
      <c r="H867" s="35" t="b">
        <v>1</v>
      </c>
      <c r="I867" s="35" t="b">
        <v>0</v>
      </c>
      <c r="J867" s="35" t="b">
        <v>0</v>
      </c>
      <c r="K867" s="35" t="b">
        <v>0</v>
      </c>
      <c r="L867" s="35" t="b">
        <v>0</v>
      </c>
      <c r="M867" s="35" t="b">
        <v>0</v>
      </c>
      <c r="N867" s="35" t="b">
        <v>0</v>
      </c>
      <c r="O867" s="35" t="b">
        <v>0</v>
      </c>
      <c r="P867" s="35" t="b">
        <v>0</v>
      </c>
      <c r="Q867" s="35" t="b">
        <v>0</v>
      </c>
      <c r="R867" s="14"/>
      <c r="S867" s="14"/>
      <c r="T867" s="14"/>
      <c r="U867" s="14"/>
      <c r="V867" s="14"/>
      <c r="W867" s="14"/>
    </row>
    <row r="868" ht="31.5" customHeight="1">
      <c r="A868" s="109" t="s">
        <v>11714</v>
      </c>
      <c r="B868" s="110" t="s">
        <v>11715</v>
      </c>
      <c r="C868" s="111" t="s">
        <v>10047</v>
      </c>
      <c r="D868" s="28" t="s">
        <v>11717</v>
      </c>
      <c r="E868" s="28" t="str">
        <f>IFERROR(__xludf.DUMMYFUNCTION("GOOGLETRANSLATE(D868,""zh-CN"",""vi"")"),"Niềm đam mê của ông đã truyền cảm hứng cho mọi người.")</f>
        <v>Niềm đam mê của ông đã truyền cảm hứng cho mọi người.</v>
      </c>
      <c r="F868" s="128"/>
      <c r="G868" s="36" t="b">
        <f t="shared" si="1"/>
        <v>0</v>
      </c>
      <c r="H868" s="35" t="b">
        <v>1</v>
      </c>
      <c r="I868" s="35" t="b">
        <v>0</v>
      </c>
      <c r="J868" s="35" t="b">
        <v>0</v>
      </c>
      <c r="K868" s="35" t="b">
        <v>0</v>
      </c>
      <c r="L868" s="35" t="b">
        <v>0</v>
      </c>
      <c r="M868" s="35" t="b">
        <v>0</v>
      </c>
      <c r="N868" s="35" t="b">
        <v>0</v>
      </c>
      <c r="O868" s="35" t="b">
        <v>0</v>
      </c>
      <c r="P868" s="35" t="b">
        <v>0</v>
      </c>
      <c r="Q868" s="35" t="b">
        <v>0</v>
      </c>
      <c r="R868" s="14"/>
      <c r="S868" s="14"/>
      <c r="T868" s="14"/>
      <c r="U868" s="14"/>
      <c r="V868" s="14"/>
      <c r="W868" s="14"/>
    </row>
    <row r="869" ht="31.5" customHeight="1">
      <c r="A869" s="109" t="s">
        <v>11718</v>
      </c>
      <c r="B869" s="110" t="s">
        <v>11720</v>
      </c>
      <c r="C869" s="111" t="s">
        <v>11722</v>
      </c>
      <c r="D869" s="28" t="s">
        <v>11724</v>
      </c>
      <c r="E869" s="28" t="str">
        <f>IFERROR(__xludf.DUMMYFUNCTION("GOOGLETRANSLATE(D869,""zh-CN"",""vi"")"),"Việc liên tục bị chế giễu rất dễ gây nản lòng.")</f>
        <v>Việc liên tục bị chế giễu rất dễ gây nản lòng.</v>
      </c>
      <c r="F869" s="128"/>
      <c r="G869" s="36" t="b">
        <f t="shared" si="1"/>
        <v>0</v>
      </c>
      <c r="H869" s="35" t="b">
        <v>1</v>
      </c>
      <c r="I869" s="35" t="b">
        <v>0</v>
      </c>
      <c r="J869" s="35" t="b">
        <v>0</v>
      </c>
      <c r="K869" s="35" t="b">
        <v>0</v>
      </c>
      <c r="L869" s="35" t="b">
        <v>0</v>
      </c>
      <c r="M869" s="35" t="b">
        <v>0</v>
      </c>
      <c r="N869" s="35" t="b">
        <v>0</v>
      </c>
      <c r="O869" s="35" t="b">
        <v>0</v>
      </c>
      <c r="P869" s="35" t="b">
        <v>0</v>
      </c>
      <c r="Q869" s="35" t="b">
        <v>0</v>
      </c>
      <c r="R869" s="14"/>
      <c r="S869" s="14"/>
      <c r="T869" s="14"/>
      <c r="U869" s="14"/>
      <c r="V869" s="14"/>
      <c r="W869" s="14"/>
    </row>
    <row r="870" ht="31.5" customHeight="1">
      <c r="A870" s="109" t="s">
        <v>11726</v>
      </c>
      <c r="B870" s="110" t="s">
        <v>11727</v>
      </c>
      <c r="C870" s="111" t="s">
        <v>11728</v>
      </c>
      <c r="D870" s="28" t="s">
        <v>11729</v>
      </c>
      <c r="E870" s="28" t="str">
        <f>IFERROR(__xludf.DUMMYFUNCTION("GOOGLETRANSLATE(D870,""zh-CN"",""vi"")"),"Máy này rất dễ vận hành.")</f>
        <v>Máy này rất dễ vận hành.</v>
      </c>
      <c r="F870" s="128"/>
      <c r="G870" s="36" t="b">
        <f t="shared" si="1"/>
        <v>0</v>
      </c>
      <c r="H870" s="35" t="b">
        <v>1</v>
      </c>
      <c r="I870" s="35" t="b">
        <v>0</v>
      </c>
      <c r="J870" s="35" t="b">
        <v>0</v>
      </c>
      <c r="K870" s="35" t="b">
        <v>0</v>
      </c>
      <c r="L870" s="35" t="b">
        <v>0</v>
      </c>
      <c r="M870" s="35" t="b">
        <v>0</v>
      </c>
      <c r="N870" s="35" t="b">
        <v>0</v>
      </c>
      <c r="O870" s="35" t="b">
        <v>0</v>
      </c>
      <c r="P870" s="35" t="b">
        <v>0</v>
      </c>
      <c r="Q870" s="35" t="b">
        <v>0</v>
      </c>
      <c r="R870" s="14"/>
      <c r="S870" s="14"/>
      <c r="T870" s="14"/>
      <c r="U870" s="14"/>
      <c r="V870" s="14"/>
      <c r="W870" s="14"/>
    </row>
    <row r="871" ht="31.5" customHeight="1">
      <c r="A871" s="109" t="s">
        <v>11733</v>
      </c>
      <c r="B871" s="110" t="s">
        <v>11734</v>
      </c>
      <c r="C871" s="111" t="s">
        <v>11735</v>
      </c>
      <c r="D871" s="28" t="s">
        <v>11736</v>
      </c>
      <c r="E871" s="28" t="str">
        <f>IFERROR(__xludf.DUMMYFUNCTION("GOOGLETRANSLATE(D871,""zh-CN"",""vi"")"),"Gen quyết định ngoại hình của chúng ta.")</f>
        <v>Gen quyết định ngoại hình của chúng ta.</v>
      </c>
      <c r="F871" s="128"/>
      <c r="G871" s="36" t="b">
        <f t="shared" si="1"/>
        <v>0</v>
      </c>
      <c r="H871" s="35" t="b">
        <v>1</v>
      </c>
      <c r="I871" s="35" t="b">
        <v>0</v>
      </c>
      <c r="J871" s="35" t="b">
        <v>0</v>
      </c>
      <c r="K871" s="35" t="b">
        <v>0</v>
      </c>
      <c r="L871" s="35" t="b">
        <v>0</v>
      </c>
      <c r="M871" s="35" t="b">
        <v>0</v>
      </c>
      <c r="N871" s="35" t="b">
        <v>0</v>
      </c>
      <c r="O871" s="35" t="b">
        <v>0</v>
      </c>
      <c r="P871" s="35" t="b">
        <v>0</v>
      </c>
      <c r="Q871" s="35" t="b">
        <v>0</v>
      </c>
      <c r="R871" s="14"/>
      <c r="S871" s="14"/>
      <c r="T871" s="14"/>
      <c r="U871" s="14"/>
      <c r="V871" s="14"/>
      <c r="W871" s="14"/>
    </row>
    <row r="872" ht="31.5" customHeight="1">
      <c r="A872" s="109" t="s">
        <v>11741</v>
      </c>
      <c r="B872" s="110" t="s">
        <v>11742</v>
      </c>
      <c r="C872" s="111" t="s">
        <v>1712</v>
      </c>
      <c r="D872" s="28" t="s">
        <v>11743</v>
      </c>
      <c r="E872" s="28" t="str">
        <f>IFERROR(__xludf.DUMMYFUNCTION("GOOGLETRANSLATE(D872,""zh-CN"",""vi"")"),"Hội nghị này đã mang lại cho chúng ta nhiều cơ hội.")</f>
        <v>Hội nghị này đã mang lại cho chúng ta nhiều cơ hội.</v>
      </c>
      <c r="F872" s="128"/>
      <c r="G872" s="36" t="b">
        <f t="shared" si="1"/>
        <v>0</v>
      </c>
      <c r="H872" s="35" t="b">
        <v>1</v>
      </c>
      <c r="I872" s="35" t="b">
        <v>0</v>
      </c>
      <c r="J872" s="35" t="b">
        <v>0</v>
      </c>
      <c r="K872" s="35" t="b">
        <v>0</v>
      </c>
      <c r="L872" s="35" t="b">
        <v>0</v>
      </c>
      <c r="M872" s="35" t="b">
        <v>0</v>
      </c>
      <c r="N872" s="35" t="b">
        <v>0</v>
      </c>
      <c r="O872" s="35" t="b">
        <v>0</v>
      </c>
      <c r="P872" s="35" t="b">
        <v>0</v>
      </c>
      <c r="Q872" s="35" t="b">
        <v>0</v>
      </c>
      <c r="R872" s="14"/>
      <c r="S872" s="14"/>
      <c r="T872" s="14"/>
      <c r="U872" s="14"/>
      <c r="V872" s="14"/>
      <c r="W872" s="14"/>
    </row>
    <row r="873" ht="31.5" customHeight="1">
      <c r="A873" s="109" t="s">
        <v>11748</v>
      </c>
      <c r="B873" s="110" t="s">
        <v>11749</v>
      </c>
      <c r="C873" s="111" t="s">
        <v>11750</v>
      </c>
      <c r="D873" s="28" t="s">
        <v>11751</v>
      </c>
      <c r="E873" s="28" t="str">
        <f>IFERROR(__xludf.DUMMYFUNCTION("GOOGLETRANSLATE(D873,""zh-CN"",""vi"")"),"Anh ấy trả lời các câu hỏi rất thông minh.")</f>
        <v>Anh ấy trả lời các câu hỏi rất thông minh.</v>
      </c>
      <c r="F873" s="128"/>
      <c r="G873" s="36" t="b">
        <f t="shared" si="1"/>
        <v>0</v>
      </c>
      <c r="H873" s="35" t="b">
        <v>1</v>
      </c>
      <c r="I873" s="35" t="b">
        <v>0</v>
      </c>
      <c r="J873" s="35" t="b">
        <v>0</v>
      </c>
      <c r="K873" s="35" t="b">
        <v>0</v>
      </c>
      <c r="L873" s="35" t="b">
        <v>0</v>
      </c>
      <c r="M873" s="35" t="b">
        <v>0</v>
      </c>
      <c r="N873" s="35" t="b">
        <v>0</v>
      </c>
      <c r="O873" s="35" t="b">
        <v>0</v>
      </c>
      <c r="P873" s="35" t="b">
        <v>0</v>
      </c>
      <c r="Q873" s="35" t="b">
        <v>0</v>
      </c>
      <c r="R873" s="14"/>
      <c r="S873" s="14"/>
      <c r="T873" s="14"/>
      <c r="U873" s="14"/>
      <c r="V873" s="14"/>
      <c r="W873" s="14"/>
    </row>
    <row r="874" ht="31.5" customHeight="1">
      <c r="A874" s="109" t="s">
        <v>11756</v>
      </c>
      <c r="B874" s="110" t="s">
        <v>11757</v>
      </c>
      <c r="C874" s="111" t="s">
        <v>11758</v>
      </c>
      <c r="D874" s="28" t="s">
        <v>11759</v>
      </c>
      <c r="E874" s="28" t="str">
        <f>IFERROR(__xludf.DUMMYFUNCTION("GOOGLETRANSLATE(D874,""zh-CN"",""vi"")"),"Ngay cả khi bạn không đồng ý, xin hãy để tôi nói hết.")</f>
        <v>Ngay cả khi bạn không đồng ý, xin hãy để tôi nói hết.</v>
      </c>
      <c r="F874" s="128"/>
      <c r="G874" s="36" t="b">
        <f t="shared" si="1"/>
        <v>0</v>
      </c>
      <c r="H874" s="35" t="b">
        <v>1</v>
      </c>
      <c r="I874" s="35" t="b">
        <v>0</v>
      </c>
      <c r="J874" s="35" t="b">
        <v>0</v>
      </c>
      <c r="K874" s="35" t="b">
        <v>0</v>
      </c>
      <c r="L874" s="35" t="b">
        <v>0</v>
      </c>
      <c r="M874" s="35" t="b">
        <v>0</v>
      </c>
      <c r="N874" s="35" t="b">
        <v>0</v>
      </c>
      <c r="O874" s="35" t="b">
        <v>0</v>
      </c>
      <c r="P874" s="35" t="b">
        <v>0</v>
      </c>
      <c r="Q874" s="35" t="b">
        <v>0</v>
      </c>
      <c r="R874" s="14"/>
      <c r="S874" s="14"/>
      <c r="T874" s="14"/>
      <c r="U874" s="14"/>
      <c r="V874" s="14"/>
      <c r="W874" s="14"/>
    </row>
    <row r="875" ht="31.5" customHeight="1">
      <c r="A875" s="109" t="s">
        <v>11760</v>
      </c>
      <c r="B875" s="110" t="s">
        <v>11761</v>
      </c>
      <c r="C875" s="111" t="s">
        <v>11762</v>
      </c>
      <c r="D875" s="28" t="s">
        <v>11763</v>
      </c>
      <c r="E875" s="28" t="str">
        <f>IFERROR(__xludf.DUMMYFUNCTION("GOOGLETRANSLATE(D875,""zh-CN"",""vi"")"),"Ông ấy giữ một vị trí cao trong công ty.")</f>
        <v>Ông ấy giữ một vị trí cao trong công ty.</v>
      </c>
      <c r="F875" s="128"/>
      <c r="G875" s="36" t="b">
        <f t="shared" si="1"/>
        <v>0</v>
      </c>
      <c r="H875" s="35" t="b">
        <v>1</v>
      </c>
      <c r="I875" s="35" t="b">
        <v>0</v>
      </c>
      <c r="J875" s="35" t="b">
        <v>0</v>
      </c>
      <c r="K875" s="35" t="b">
        <v>0</v>
      </c>
      <c r="L875" s="35" t="b">
        <v>0</v>
      </c>
      <c r="M875" s="35" t="b">
        <v>0</v>
      </c>
      <c r="N875" s="35" t="b">
        <v>0</v>
      </c>
      <c r="O875" s="35" t="b">
        <v>0</v>
      </c>
      <c r="P875" s="35" t="b">
        <v>0</v>
      </c>
      <c r="Q875" s="35" t="b">
        <v>0</v>
      </c>
      <c r="R875" s="14"/>
      <c r="S875" s="14"/>
      <c r="T875" s="14"/>
      <c r="U875" s="14"/>
      <c r="V875" s="14"/>
      <c r="W875" s="14"/>
    </row>
    <row r="876" ht="31.5" customHeight="1">
      <c r="A876" s="109" t="s">
        <v>11768</v>
      </c>
      <c r="B876" s="110" t="s">
        <v>11769</v>
      </c>
      <c r="C876" s="111" t="s">
        <v>11770</v>
      </c>
      <c r="D876" s="28" t="s">
        <v>11771</v>
      </c>
      <c r="E876" s="28" t="str">
        <f>IFERROR(__xludf.DUMMYFUNCTION("GOOGLETRANSLATE(D876,""zh-CN"",""vi"")"),"Căn bệnh này rất khó chữa trị.")</f>
        <v>Căn bệnh này rất khó chữa trị.</v>
      </c>
      <c r="F876" s="128"/>
      <c r="G876" s="36" t="b">
        <f t="shared" si="1"/>
        <v>0</v>
      </c>
      <c r="H876" s="35" t="b">
        <v>1</v>
      </c>
      <c r="I876" s="35" t="b">
        <v>0</v>
      </c>
      <c r="J876" s="35" t="b">
        <v>0</v>
      </c>
      <c r="K876" s="35" t="b">
        <v>0</v>
      </c>
      <c r="L876" s="35" t="b">
        <v>0</v>
      </c>
      <c r="M876" s="35" t="b">
        <v>0</v>
      </c>
      <c r="N876" s="35" t="b">
        <v>0</v>
      </c>
      <c r="O876" s="35" t="b">
        <v>0</v>
      </c>
      <c r="P876" s="35" t="b">
        <v>0</v>
      </c>
      <c r="Q876" s="35" t="b">
        <v>0</v>
      </c>
      <c r="R876" s="14"/>
      <c r="S876" s="14"/>
      <c r="T876" s="14"/>
      <c r="U876" s="14"/>
      <c r="V876" s="14"/>
      <c r="W876" s="14"/>
    </row>
    <row r="877" ht="31.5" customHeight="1">
      <c r="A877" s="109" t="s">
        <v>11776</v>
      </c>
      <c r="B877" s="110" t="s">
        <v>11777</v>
      </c>
      <c r="C877" s="111" t="s">
        <v>11778</v>
      </c>
      <c r="D877" s="28" t="s">
        <v>11779</v>
      </c>
      <c r="E877" s="28" t="str">
        <f>IFERROR(__xludf.DUMMYFUNCTION("GOOGLETRANSLATE(D877,""zh-CN"",""vi"")"),"Cô ấy luôn ghen tị với thành công của người khác.")</f>
        <v>Cô ấy luôn ghen tị với thành công của người khác.</v>
      </c>
      <c r="F877" s="128"/>
      <c r="G877" s="36" t="b">
        <f t="shared" si="1"/>
        <v>0</v>
      </c>
      <c r="H877" s="35" t="b">
        <v>1</v>
      </c>
      <c r="I877" s="35" t="b">
        <v>0</v>
      </c>
      <c r="J877" s="35" t="b">
        <v>0</v>
      </c>
      <c r="K877" s="35" t="b">
        <v>0</v>
      </c>
      <c r="L877" s="35" t="b">
        <v>0</v>
      </c>
      <c r="M877" s="35" t="b">
        <v>0</v>
      </c>
      <c r="N877" s="35" t="b">
        <v>0</v>
      </c>
      <c r="O877" s="35" t="b">
        <v>0</v>
      </c>
      <c r="P877" s="35" t="b">
        <v>0</v>
      </c>
      <c r="Q877" s="35" t="b">
        <v>0</v>
      </c>
      <c r="R877" s="14"/>
      <c r="S877" s="14"/>
      <c r="T877" s="14"/>
      <c r="U877" s="14"/>
      <c r="V877" s="14"/>
      <c r="W877" s="14"/>
    </row>
    <row r="878" ht="31.5" customHeight="1">
      <c r="A878" s="109" t="s">
        <v>11784</v>
      </c>
      <c r="B878" s="110" t="s">
        <v>11785</v>
      </c>
      <c r="C878" s="111" t="s">
        <v>11786</v>
      </c>
      <c r="D878" s="28" t="s">
        <v>11787</v>
      </c>
      <c r="E878" s="28" t="str">
        <f>IFERROR(__xludf.DUMMYFUNCTION("GOOGLETRANSLATE(D878,""zh-CN"",""vi"")"),"Quan điểm của ông ta quá cực đoan.")</f>
        <v>Quan điểm của ông ta quá cực đoan.</v>
      </c>
      <c r="F878" s="128"/>
      <c r="G878" s="36" t="b">
        <f t="shared" si="1"/>
        <v>0</v>
      </c>
      <c r="H878" s="35" t="b">
        <v>1</v>
      </c>
      <c r="I878" s="35" t="b">
        <v>0</v>
      </c>
      <c r="J878" s="35" t="b">
        <v>0</v>
      </c>
      <c r="K878" s="35" t="b">
        <v>0</v>
      </c>
      <c r="L878" s="35" t="b">
        <v>0</v>
      </c>
      <c r="M878" s="35" t="b">
        <v>0</v>
      </c>
      <c r="N878" s="35" t="b">
        <v>0</v>
      </c>
      <c r="O878" s="35" t="b">
        <v>0</v>
      </c>
      <c r="P878" s="35" t="b">
        <v>0</v>
      </c>
      <c r="Q878" s="35" t="b">
        <v>0</v>
      </c>
      <c r="R878" s="14"/>
      <c r="S878" s="14"/>
      <c r="T878" s="14"/>
      <c r="U878" s="14"/>
      <c r="V878" s="14"/>
      <c r="W878" s="14"/>
    </row>
    <row r="879" ht="31.5" customHeight="1">
      <c r="A879" s="109" t="s">
        <v>11790</v>
      </c>
      <c r="B879" s="110" t="s">
        <v>11792</v>
      </c>
      <c r="C879" s="111" t="s">
        <v>11794</v>
      </c>
      <c r="D879" s="28" t="s">
        <v>11795</v>
      </c>
      <c r="E879" s="28" t="str">
        <f>IFERROR(__xludf.DUMMYFUNCTION("GOOGLETRANSLATE(D879,""zh-CN"",""vi"")"),"Cách tiếp cận này quá thiển cận và mang tính cơ hội.")</f>
        <v>Cách tiếp cận này quá thiển cận và mang tính cơ hội.</v>
      </c>
      <c r="F879" s="128"/>
      <c r="G879" s="36" t="b">
        <f t="shared" si="1"/>
        <v>0</v>
      </c>
      <c r="H879" s="35" t="b">
        <v>1</v>
      </c>
      <c r="I879" s="35" t="b">
        <v>0</v>
      </c>
      <c r="J879" s="35" t="b">
        <v>0</v>
      </c>
      <c r="K879" s="35" t="b">
        <v>0</v>
      </c>
      <c r="L879" s="35" t="b">
        <v>0</v>
      </c>
      <c r="M879" s="35" t="b">
        <v>0</v>
      </c>
      <c r="N879" s="35" t="b">
        <v>0</v>
      </c>
      <c r="O879" s="35" t="b">
        <v>0</v>
      </c>
      <c r="P879" s="35" t="b">
        <v>0</v>
      </c>
      <c r="Q879" s="35" t="b">
        <v>0</v>
      </c>
      <c r="R879" s="14"/>
      <c r="S879" s="14"/>
      <c r="T879" s="14"/>
      <c r="U879" s="14"/>
      <c r="V879" s="14"/>
      <c r="W879" s="14"/>
    </row>
    <row r="880" ht="31.5" customHeight="1">
      <c r="A880" s="109" t="s">
        <v>11796</v>
      </c>
      <c r="B880" s="110" t="s">
        <v>11797</v>
      </c>
      <c r="C880" s="111" t="s">
        <v>11798</v>
      </c>
      <c r="D880" s="28" t="s">
        <v>11799</v>
      </c>
      <c r="E880" s="28" t="str">
        <f>IFERROR(__xludf.DUMMYFUNCTION("GOOGLETRANSLATE(D880,""zh-CN"",""vi"")"),"Quê hương tổ tiên của tôi là Bắc Kinh.")</f>
        <v>Quê hương tổ tiên của tôi là Bắc Kinh.</v>
      </c>
      <c r="F880" s="128"/>
      <c r="G880" s="36" t="b">
        <f t="shared" si="1"/>
        <v>0</v>
      </c>
      <c r="H880" s="35" t="b">
        <v>1</v>
      </c>
      <c r="I880" s="35" t="b">
        <v>0</v>
      </c>
      <c r="J880" s="35" t="b">
        <v>0</v>
      </c>
      <c r="K880" s="35" t="b">
        <v>0</v>
      </c>
      <c r="L880" s="35" t="b">
        <v>0</v>
      </c>
      <c r="M880" s="35" t="b">
        <v>0</v>
      </c>
      <c r="N880" s="35" t="b">
        <v>0</v>
      </c>
      <c r="O880" s="35" t="b">
        <v>0</v>
      </c>
      <c r="P880" s="35" t="b">
        <v>0</v>
      </c>
      <c r="Q880" s="35" t="b">
        <v>0</v>
      </c>
      <c r="R880" s="14"/>
      <c r="S880" s="14"/>
      <c r="T880" s="14"/>
      <c r="U880" s="14"/>
      <c r="V880" s="14"/>
      <c r="W880" s="14"/>
    </row>
    <row r="881" ht="31.5" customHeight="1">
      <c r="A881" s="109" t="s">
        <v>11804</v>
      </c>
      <c r="B881" s="110" t="s">
        <v>11805</v>
      </c>
      <c r="C881" s="111" t="s">
        <v>11806</v>
      </c>
      <c r="D881" s="28" t="s">
        <v>11807</v>
      </c>
      <c r="E881" s="28" t="str">
        <f>IFERROR(__xludf.DUMMYFUNCTION("GOOGLETRANSLATE(D881,""zh-CN"",""vi"")"),"Trận đấu sắp bắt đầu.")</f>
        <v>Trận đấu sắp bắt đầu.</v>
      </c>
      <c r="F881" s="128"/>
      <c r="G881" s="36" t="b">
        <f t="shared" si="1"/>
        <v>0</v>
      </c>
      <c r="H881" s="35" t="b">
        <v>1</v>
      </c>
      <c r="I881" s="35" t="b">
        <v>0</v>
      </c>
      <c r="J881" s="35" t="b">
        <v>0</v>
      </c>
      <c r="K881" s="35" t="b">
        <v>0</v>
      </c>
      <c r="L881" s="35" t="b">
        <v>0</v>
      </c>
      <c r="M881" s="35" t="b">
        <v>0</v>
      </c>
      <c r="N881" s="35" t="b">
        <v>0</v>
      </c>
      <c r="O881" s="35" t="b">
        <v>0</v>
      </c>
      <c r="P881" s="35" t="b">
        <v>0</v>
      </c>
      <c r="Q881" s="35" t="b">
        <v>0</v>
      </c>
      <c r="R881" s="14"/>
      <c r="S881" s="14"/>
      <c r="T881" s="14"/>
      <c r="U881" s="14"/>
      <c r="V881" s="14"/>
      <c r="W881" s="14"/>
    </row>
    <row r="882" ht="31.5" customHeight="1">
      <c r="A882" s="109" t="s">
        <v>11811</v>
      </c>
      <c r="B882" s="110" t="s">
        <v>11812</v>
      </c>
      <c r="C882" s="111" t="s">
        <v>11813</v>
      </c>
      <c r="D882" s="28" t="s">
        <v>11814</v>
      </c>
      <c r="E882" s="28" t="str">
        <f>IFERROR(__xludf.DUMMYFUNCTION("GOOGLETRANSLATE(D882,""zh-CN"",""vi"")"),"Nhiệt độ giảm mạnh.")</f>
        <v>Nhiệt độ giảm mạnh.</v>
      </c>
      <c r="F882" s="128"/>
      <c r="G882" s="36" t="b">
        <f t="shared" si="1"/>
        <v>0</v>
      </c>
      <c r="H882" s="35" t="b">
        <v>1</v>
      </c>
      <c r="I882" s="35" t="b">
        <v>0</v>
      </c>
      <c r="J882" s="35" t="b">
        <v>0</v>
      </c>
      <c r="K882" s="35" t="b">
        <v>0</v>
      </c>
      <c r="L882" s="35" t="b">
        <v>0</v>
      </c>
      <c r="M882" s="35" t="b">
        <v>0</v>
      </c>
      <c r="N882" s="35" t="b">
        <v>0</v>
      </c>
      <c r="O882" s="35" t="b">
        <v>0</v>
      </c>
      <c r="P882" s="35" t="b">
        <v>0</v>
      </c>
      <c r="Q882" s="35" t="b">
        <v>0</v>
      </c>
      <c r="R882" s="14"/>
      <c r="S882" s="14"/>
      <c r="T882" s="14"/>
      <c r="U882" s="14"/>
      <c r="V882" s="14"/>
      <c r="W882" s="14"/>
    </row>
    <row r="883" ht="31.5" customHeight="1">
      <c r="A883" s="109" t="s">
        <v>11815</v>
      </c>
      <c r="B883" s="110" t="s">
        <v>11816</v>
      </c>
      <c r="C883" s="111" t="s">
        <v>11818</v>
      </c>
      <c r="D883" s="28" t="s">
        <v>11819</v>
      </c>
      <c r="E883" s="28" t="str">
        <f>IFERROR(__xludf.DUMMYFUNCTION("GOOGLETRANSLATE(D883,""zh-CN"",""vi"")"),"Anh ấy rất muốn biết câu trả lời.")</f>
        <v>Anh ấy rất muốn biết câu trả lời.</v>
      </c>
      <c r="F883" s="128"/>
      <c r="G883" s="36" t="b">
        <f t="shared" si="1"/>
        <v>0</v>
      </c>
      <c r="H883" s="35" t="b">
        <v>1</v>
      </c>
      <c r="I883" s="35" t="b">
        <v>0</v>
      </c>
      <c r="J883" s="35" t="b">
        <v>0</v>
      </c>
      <c r="K883" s="35" t="b">
        <v>0</v>
      </c>
      <c r="L883" s="35" t="b">
        <v>0</v>
      </c>
      <c r="M883" s="35" t="b">
        <v>0</v>
      </c>
      <c r="N883" s="35" t="b">
        <v>0</v>
      </c>
      <c r="O883" s="35" t="b">
        <v>0</v>
      </c>
      <c r="P883" s="35" t="b">
        <v>0</v>
      </c>
      <c r="Q883" s="35" t="b">
        <v>0</v>
      </c>
      <c r="R883" s="14"/>
      <c r="S883" s="14"/>
      <c r="T883" s="14"/>
      <c r="U883" s="14"/>
      <c r="V883" s="14"/>
      <c r="W883" s="14"/>
    </row>
    <row r="884" ht="31.5" customHeight="1">
      <c r="A884" s="109" t="s">
        <v>11823</v>
      </c>
      <c r="B884" s="110" t="s">
        <v>11824</v>
      </c>
      <c r="C884" s="111" t="s">
        <v>11825</v>
      </c>
      <c r="D884" s="28" t="s">
        <v>11826</v>
      </c>
      <c r="E884" s="28" t="str">
        <f>IFERROR(__xludf.DUMMYFUNCTION("GOOGLETRANSLATE(D884,""zh-CN"",""vi"")"),"Nhóm này có tầm ảnh hưởng rất lớn trên thị trường quốc tế.")</f>
        <v>Nhóm này có tầm ảnh hưởng rất lớn trên thị trường quốc tế.</v>
      </c>
      <c r="F884" s="128"/>
      <c r="G884" s="36" t="b">
        <f t="shared" si="1"/>
        <v>0</v>
      </c>
      <c r="H884" s="35" t="b">
        <v>1</v>
      </c>
      <c r="I884" s="35" t="b">
        <v>0</v>
      </c>
      <c r="J884" s="35" t="b">
        <v>0</v>
      </c>
      <c r="K884" s="35" t="b">
        <v>0</v>
      </c>
      <c r="L884" s="35" t="b">
        <v>0</v>
      </c>
      <c r="M884" s="35" t="b">
        <v>0</v>
      </c>
      <c r="N884" s="35" t="b">
        <v>0</v>
      </c>
      <c r="O884" s="35" t="b">
        <v>0</v>
      </c>
      <c r="P884" s="35" t="b">
        <v>0</v>
      </c>
      <c r="Q884" s="35" t="b">
        <v>0</v>
      </c>
      <c r="R884" s="14"/>
      <c r="S884" s="14"/>
      <c r="T884" s="14"/>
      <c r="U884" s="14"/>
      <c r="V884" s="14"/>
      <c r="W884" s="14"/>
    </row>
    <row r="885" ht="31.5" customHeight="1">
      <c r="A885" s="109" t="s">
        <v>11831</v>
      </c>
      <c r="B885" s="110" t="s">
        <v>11832</v>
      </c>
      <c r="C885" s="111" t="s">
        <v>11833</v>
      </c>
      <c r="D885" s="28" t="s">
        <v>11834</v>
      </c>
      <c r="E885" s="28" t="str">
        <f>IFERROR(__xludf.DUMMYFUNCTION("GOOGLETRANSLATE(D885,""zh-CN"",""vi"")"),"Anh ấy đã vượt qua mọi giới hạn.")</f>
        <v>Anh ấy đã vượt qua mọi giới hạn.</v>
      </c>
      <c r="F885" s="128"/>
      <c r="G885" s="36" t="b">
        <f t="shared" si="1"/>
        <v>0</v>
      </c>
      <c r="H885" s="35" t="b">
        <v>1</v>
      </c>
      <c r="I885" s="35" t="b">
        <v>0</v>
      </c>
      <c r="J885" s="35" t="b">
        <v>0</v>
      </c>
      <c r="K885" s="35" t="b">
        <v>0</v>
      </c>
      <c r="L885" s="35" t="b">
        <v>0</v>
      </c>
      <c r="M885" s="35" t="b">
        <v>0</v>
      </c>
      <c r="N885" s="35" t="b">
        <v>0</v>
      </c>
      <c r="O885" s="35" t="b">
        <v>0</v>
      </c>
      <c r="P885" s="35" t="b">
        <v>0</v>
      </c>
      <c r="Q885" s="35" t="b">
        <v>0</v>
      </c>
      <c r="R885" s="14"/>
      <c r="S885" s="14"/>
      <c r="T885" s="14"/>
      <c r="U885" s="14"/>
      <c r="V885" s="14"/>
      <c r="W885" s="14"/>
    </row>
    <row r="886" ht="31.5" customHeight="1">
      <c r="A886" s="109" t="s">
        <v>11838</v>
      </c>
      <c r="B886" s="110" t="s">
        <v>11840</v>
      </c>
      <c r="C886" s="111" t="s">
        <v>11841</v>
      </c>
      <c r="D886" s="28" t="s">
        <v>11842</v>
      </c>
      <c r="E886" s="28" t="str">
        <f>IFERROR(__xludf.DUMMYFUNCTION("GOOGLETRANSLATE(D886,""zh-CN"",""vi"")"),"Biểu tượng này tượng trưng cho sự may mắn.")</f>
        <v>Biểu tượng này tượng trưng cho sự may mắn.</v>
      </c>
      <c r="F886" s="128"/>
      <c r="G886" s="36" t="b">
        <f t="shared" si="1"/>
        <v>0</v>
      </c>
      <c r="H886" s="35" t="b">
        <v>1</v>
      </c>
      <c r="I886" s="35" t="b">
        <v>0</v>
      </c>
      <c r="J886" s="35" t="b">
        <v>0</v>
      </c>
      <c r="K886" s="35" t="b">
        <v>0</v>
      </c>
      <c r="L886" s="35" t="b">
        <v>0</v>
      </c>
      <c r="M886" s="35" t="b">
        <v>0</v>
      </c>
      <c r="N886" s="35" t="b">
        <v>0</v>
      </c>
      <c r="O886" s="35" t="b">
        <v>0</v>
      </c>
      <c r="P886" s="35" t="b">
        <v>0</v>
      </c>
      <c r="Q886" s="35" t="b">
        <v>0</v>
      </c>
      <c r="R886" s="14"/>
      <c r="S886" s="14"/>
      <c r="T886" s="14"/>
      <c r="U886" s="14"/>
      <c r="V886" s="14"/>
      <c r="W886" s="14"/>
    </row>
    <row r="887" ht="31.5" customHeight="1">
      <c r="A887" s="109" t="s">
        <v>11845</v>
      </c>
      <c r="B887" s="110" t="s">
        <v>11847</v>
      </c>
      <c r="C887" s="111" t="s">
        <v>11848</v>
      </c>
      <c r="D887" s="28" t="s">
        <v>11849</v>
      </c>
      <c r="E887" s="28" t="str">
        <f>IFERROR(__xludf.DUMMYFUNCTION("GOOGLETRANSLATE(D887,""zh-CN"",""vi"")"),"Ông ta quá nóng vội muốn có kết quả nhanh chóng, và mọi việc không diễn ra như kế hoạch.")</f>
        <v>Ông ta quá nóng vội muốn có kết quả nhanh chóng, và mọi việc không diễn ra như kế hoạch.</v>
      </c>
      <c r="F887" s="128"/>
      <c r="G887" s="36" t="b">
        <f t="shared" si="1"/>
        <v>0</v>
      </c>
      <c r="H887" s="35" t="b">
        <v>1</v>
      </c>
      <c r="I887" s="35" t="b">
        <v>0</v>
      </c>
      <c r="J887" s="35" t="b">
        <v>0</v>
      </c>
      <c r="K887" s="35" t="b">
        <v>0</v>
      </c>
      <c r="L887" s="35" t="b">
        <v>0</v>
      </c>
      <c r="M887" s="35" t="b">
        <v>0</v>
      </c>
      <c r="N887" s="35" t="b">
        <v>0</v>
      </c>
      <c r="O887" s="35" t="b">
        <v>0</v>
      </c>
      <c r="P887" s="35" t="b">
        <v>0</v>
      </c>
      <c r="Q887" s="35" t="b">
        <v>0</v>
      </c>
      <c r="R887" s="14"/>
      <c r="S887" s="14"/>
      <c r="T887" s="14"/>
      <c r="U887" s="14"/>
      <c r="V887" s="14"/>
      <c r="W887" s="14"/>
    </row>
    <row r="888" ht="31.5" customHeight="1">
      <c r="A888" s="109" t="s">
        <v>11852</v>
      </c>
      <c r="B888" s="110" t="s">
        <v>11854</v>
      </c>
      <c r="C888" s="111" t="s">
        <v>11855</v>
      </c>
      <c r="D888" s="28" t="s">
        <v>11856</v>
      </c>
      <c r="E888" s="28" t="str">
        <f>IFERROR(__xludf.DUMMYFUNCTION("GOOGLETRANSLATE(D888,""zh-CN"",""vi"")"),"Chúng ta cần hoàn thành nhiệm vụ này càng sớm càng tốt.")</f>
        <v>Chúng ta cần hoàn thành nhiệm vụ này càng sớm càng tốt.</v>
      </c>
      <c r="F888" s="128"/>
      <c r="G888" s="36" t="b">
        <f t="shared" si="1"/>
        <v>0</v>
      </c>
      <c r="H888" s="35" t="b">
        <v>1</v>
      </c>
      <c r="I888" s="35" t="b">
        <v>0</v>
      </c>
      <c r="J888" s="35" t="b">
        <v>0</v>
      </c>
      <c r="K888" s="35" t="b">
        <v>0</v>
      </c>
      <c r="L888" s="35" t="b">
        <v>0</v>
      </c>
      <c r="M888" s="35" t="b">
        <v>0</v>
      </c>
      <c r="N888" s="35" t="b">
        <v>0</v>
      </c>
      <c r="O888" s="35" t="b">
        <v>0</v>
      </c>
      <c r="P888" s="35" t="b">
        <v>0</v>
      </c>
      <c r="Q888" s="35" t="b">
        <v>0</v>
      </c>
      <c r="R888" s="14"/>
      <c r="S888" s="14"/>
      <c r="T888" s="14"/>
      <c r="U888" s="14"/>
      <c r="V888" s="14"/>
      <c r="W888" s="14"/>
    </row>
    <row r="889" ht="31.5" customHeight="1">
      <c r="A889" s="109" t="s">
        <v>11859</v>
      </c>
      <c r="B889" s="110" t="s">
        <v>11861</v>
      </c>
      <c r="C889" s="111" t="s">
        <v>11863</v>
      </c>
      <c r="D889" s="28" t="s">
        <v>11864</v>
      </c>
      <c r="E889" s="28" t="str">
        <f>IFERROR(__xludf.DUMMYFUNCTION("GOOGLETRANSLATE(D889,""zh-CN"",""vi"")"),"Anh ấy quá thiếu kiên nhẫn; anh ấy chỉ hào hứng với mọi việc trong một thời gian ngắn.")</f>
        <v>Anh ấy quá thiếu kiên nhẫn; anh ấy chỉ hào hứng với mọi việc trong một thời gian ngắn.</v>
      </c>
      <c r="F889" s="128"/>
      <c r="G889" s="36" t="b">
        <f t="shared" si="1"/>
        <v>0</v>
      </c>
      <c r="H889" s="35" t="b">
        <v>1</v>
      </c>
      <c r="I889" s="35" t="b">
        <v>0</v>
      </c>
      <c r="J889" s="35" t="b">
        <v>0</v>
      </c>
      <c r="K889" s="35" t="b">
        <v>0</v>
      </c>
      <c r="L889" s="35" t="b">
        <v>0</v>
      </c>
      <c r="M889" s="35" t="b">
        <v>0</v>
      </c>
      <c r="N889" s="35" t="b">
        <v>0</v>
      </c>
      <c r="O889" s="35" t="b">
        <v>0</v>
      </c>
      <c r="P889" s="35" t="b">
        <v>0</v>
      </c>
      <c r="Q889" s="35" t="b">
        <v>0</v>
      </c>
      <c r="R889" s="14"/>
      <c r="S889" s="14"/>
      <c r="T889" s="14"/>
      <c r="U889" s="14"/>
      <c r="V889" s="14"/>
      <c r="W889" s="14"/>
    </row>
    <row r="890" ht="31.5" customHeight="1">
      <c r="A890" s="109" t="s">
        <v>11865</v>
      </c>
      <c r="B890" s="110" t="s">
        <v>11866</v>
      </c>
      <c r="C890" s="111" t="s">
        <v>11867</v>
      </c>
      <c r="D890" s="28" t="s">
        <v>11869</v>
      </c>
      <c r="E890" s="28" t="str">
        <f>IFERROR(__xludf.DUMMYFUNCTION("GOOGLETRANSLATE(D890,""zh-CN"",""vi"")"),"Chúng ta nên hỗ trợ anh ấy nhiều hơn.")</f>
        <v>Chúng ta nên hỗ trợ anh ấy nhiều hơn.</v>
      </c>
      <c r="F890" s="128"/>
      <c r="G890" s="36" t="b">
        <f t="shared" si="1"/>
        <v>0</v>
      </c>
      <c r="H890" s="35" t="b">
        <v>1</v>
      </c>
      <c r="I890" s="35" t="b">
        <v>0</v>
      </c>
      <c r="J890" s="35" t="b">
        <v>0</v>
      </c>
      <c r="K890" s="35" t="b">
        <v>0</v>
      </c>
      <c r="L890" s="35" t="b">
        <v>0</v>
      </c>
      <c r="M890" s="35" t="b">
        <v>0</v>
      </c>
      <c r="N890" s="35" t="b">
        <v>0</v>
      </c>
      <c r="O890" s="35" t="b">
        <v>0</v>
      </c>
      <c r="P890" s="35" t="b">
        <v>0</v>
      </c>
      <c r="Q890" s="35" t="b">
        <v>0</v>
      </c>
      <c r="R890" s="14"/>
      <c r="S890" s="14"/>
      <c r="T890" s="14"/>
      <c r="U890" s="14"/>
      <c r="V890" s="14"/>
      <c r="W890" s="14"/>
    </row>
    <row r="891" ht="31.5" customHeight="1">
      <c r="A891" s="109" t="s">
        <v>11873</v>
      </c>
      <c r="B891" s="110" t="s">
        <v>11874</v>
      </c>
      <c r="C891" s="111" t="s">
        <v>11875</v>
      </c>
      <c r="D891" s="28" t="s">
        <v>11876</v>
      </c>
      <c r="E891" s="28" t="str">
        <f>IFERROR(__xludf.DUMMYFUNCTION("GOOGLETRANSLATE(D891,""zh-CN"",""vi"")"),"Anh ta thừa kế công ty của cha mình.")</f>
        <v>Anh ta thừa kế công ty của cha mình.</v>
      </c>
      <c r="F891" s="128"/>
      <c r="G891" s="36" t="b">
        <f t="shared" si="1"/>
        <v>0</v>
      </c>
      <c r="H891" s="35" t="b">
        <v>1</v>
      </c>
      <c r="I891" s="35" t="b">
        <v>0</v>
      </c>
      <c r="J891" s="35" t="b">
        <v>0</v>
      </c>
      <c r="K891" s="35" t="b">
        <v>0</v>
      </c>
      <c r="L891" s="35" t="b">
        <v>0</v>
      </c>
      <c r="M891" s="35" t="b">
        <v>0</v>
      </c>
      <c r="N891" s="35" t="b">
        <v>0</v>
      </c>
      <c r="O891" s="35" t="b">
        <v>0</v>
      </c>
      <c r="P891" s="35" t="b">
        <v>0</v>
      </c>
      <c r="Q891" s="35" t="b">
        <v>0</v>
      </c>
      <c r="R891" s="14"/>
      <c r="S891" s="14"/>
      <c r="T891" s="14"/>
      <c r="U891" s="14"/>
      <c r="V891" s="14"/>
      <c r="W891" s="14"/>
    </row>
    <row r="892" ht="31.5" customHeight="1">
      <c r="A892" s="109" t="s">
        <v>11880</v>
      </c>
      <c r="B892" s="110" t="s">
        <v>11881</v>
      </c>
      <c r="C892" s="111" t="s">
        <v>11882</v>
      </c>
      <c r="D892" s="28" t="s">
        <v>11883</v>
      </c>
      <c r="E892" s="28" t="str">
        <f>IFERROR(__xludf.DUMMYFUNCTION("GOOGLETRANSLATE(D892,""zh-CN"",""vi"")"),"Chúng tôi tổ chức cuộc họp tổng kết mỗi quý.")</f>
        <v>Chúng tôi tổ chức cuộc họp tổng kết mỗi quý.</v>
      </c>
      <c r="F892" s="128"/>
      <c r="G892" s="36" t="b">
        <f t="shared" si="1"/>
        <v>0</v>
      </c>
      <c r="H892" s="35" t="b">
        <v>1</v>
      </c>
      <c r="I892" s="35" t="b">
        <v>0</v>
      </c>
      <c r="J892" s="35" t="b">
        <v>0</v>
      </c>
      <c r="K892" s="35" t="b">
        <v>0</v>
      </c>
      <c r="L892" s="35" t="b">
        <v>0</v>
      </c>
      <c r="M892" s="35" t="b">
        <v>0</v>
      </c>
      <c r="N892" s="35" t="b">
        <v>0</v>
      </c>
      <c r="O892" s="35" t="b">
        <v>0</v>
      </c>
      <c r="P892" s="35" t="b">
        <v>0</v>
      </c>
      <c r="Q892" s="35" t="b">
        <v>0</v>
      </c>
      <c r="R892" s="14"/>
      <c r="S892" s="14"/>
      <c r="T892" s="14"/>
      <c r="U892" s="14"/>
      <c r="V892" s="14"/>
      <c r="W892" s="14"/>
    </row>
    <row r="893" ht="31.5" customHeight="1">
      <c r="A893" s="109" t="s">
        <v>11886</v>
      </c>
      <c r="B893" s="110" t="s">
        <v>11887</v>
      </c>
      <c r="C893" s="111" t="s">
        <v>11889</v>
      </c>
      <c r="D893" s="28" t="s">
        <v>11890</v>
      </c>
      <c r="E893" s="28" t="str">
        <f>IFERROR(__xludf.DUMMYFUNCTION("GOOGLETRANSLATE(D893,""zh-CN"",""vi"")"),"Chủ đề này là điều cấm kỵ trong công ty.")</f>
        <v>Chủ đề này là điều cấm kỵ trong công ty.</v>
      </c>
      <c r="F893" s="128"/>
      <c r="G893" s="36" t="b">
        <f t="shared" si="1"/>
        <v>0</v>
      </c>
      <c r="H893" s="35" t="b">
        <v>1</v>
      </c>
      <c r="I893" s="35" t="b">
        <v>0</v>
      </c>
      <c r="J893" s="35" t="b">
        <v>0</v>
      </c>
      <c r="K893" s="35" t="b">
        <v>0</v>
      </c>
      <c r="L893" s="35" t="b">
        <v>0</v>
      </c>
      <c r="M893" s="35" t="b">
        <v>0</v>
      </c>
      <c r="N893" s="35" t="b">
        <v>0</v>
      </c>
      <c r="O893" s="35" t="b">
        <v>0</v>
      </c>
      <c r="P893" s="35" t="b">
        <v>0</v>
      </c>
      <c r="Q893" s="35" t="b">
        <v>0</v>
      </c>
      <c r="R893" s="14"/>
      <c r="S893" s="14"/>
      <c r="T893" s="14"/>
      <c r="U893" s="14"/>
      <c r="V893" s="14"/>
      <c r="W893" s="14"/>
    </row>
    <row r="894" ht="31.5" customHeight="1">
      <c r="A894" s="109" t="s">
        <v>11891</v>
      </c>
      <c r="B894" s="110" t="s">
        <v>11892</v>
      </c>
      <c r="C894" s="111" t="s">
        <v>11893</v>
      </c>
      <c r="D894" s="28" t="s">
        <v>11894</v>
      </c>
      <c r="E894" s="28" t="str">
        <f>IFERROR(__xludf.DUMMYFUNCTION("GOOGLETRANSLATE(D894,""zh-CN"",""vi"")"),"Anh ta lúc nào cũng làm quá mọi chuyện lên.")</f>
        <v>Anh ta lúc nào cũng làm quá mọi chuyện lên.</v>
      </c>
      <c r="F894" s="128"/>
      <c r="G894" s="36" t="b">
        <f t="shared" si="1"/>
        <v>0</v>
      </c>
      <c r="H894" s="35" t="b">
        <v>1</v>
      </c>
      <c r="I894" s="35" t="b">
        <v>0</v>
      </c>
      <c r="J894" s="35" t="b">
        <v>0</v>
      </c>
      <c r="K894" s="35" t="b">
        <v>0</v>
      </c>
      <c r="L894" s="35" t="b">
        <v>0</v>
      </c>
      <c r="M894" s="35" t="b">
        <v>0</v>
      </c>
      <c r="N894" s="35" t="b">
        <v>0</v>
      </c>
      <c r="O894" s="35" t="b">
        <v>0</v>
      </c>
      <c r="P894" s="35" t="b">
        <v>0</v>
      </c>
      <c r="Q894" s="35" t="b">
        <v>0</v>
      </c>
      <c r="R894" s="14"/>
      <c r="S894" s="14"/>
      <c r="T894" s="14"/>
      <c r="U894" s="14"/>
      <c r="V894" s="14"/>
      <c r="W894" s="14"/>
    </row>
    <row r="895" ht="31.5" customHeight="1">
      <c r="A895" s="109" t="s">
        <v>11898</v>
      </c>
      <c r="B895" s="110" t="s">
        <v>11899</v>
      </c>
      <c r="C895" s="111" t="s">
        <v>11900</v>
      </c>
      <c r="D895" s="28" t="s">
        <v>11901</v>
      </c>
      <c r="E895" s="28" t="str">
        <f>IFERROR(__xludf.DUMMYFUNCTION("GOOGLETRANSLATE(D895,""zh-CN"",""vi"")"),"Khu rừng rất yên tĩnh vào ban đêm.")</f>
        <v>Khu rừng rất yên tĩnh vào ban đêm.</v>
      </c>
      <c r="F895" s="128"/>
      <c r="G895" s="36" t="b">
        <f t="shared" si="1"/>
        <v>0</v>
      </c>
      <c r="H895" s="35" t="b">
        <v>1</v>
      </c>
      <c r="I895" s="35" t="b">
        <v>0</v>
      </c>
      <c r="J895" s="35" t="b">
        <v>0</v>
      </c>
      <c r="K895" s="35" t="b">
        <v>0</v>
      </c>
      <c r="L895" s="35" t="b">
        <v>0</v>
      </c>
      <c r="M895" s="35" t="b">
        <v>0</v>
      </c>
      <c r="N895" s="35" t="b">
        <v>0</v>
      </c>
      <c r="O895" s="35" t="b">
        <v>0</v>
      </c>
      <c r="P895" s="35" t="b">
        <v>0</v>
      </c>
      <c r="Q895" s="35" t="b">
        <v>0</v>
      </c>
      <c r="R895" s="14"/>
      <c r="S895" s="14"/>
      <c r="T895" s="14"/>
      <c r="U895" s="14"/>
      <c r="V895" s="14"/>
      <c r="W895" s="14"/>
    </row>
    <row r="896" ht="31.5" customHeight="1">
      <c r="A896" s="109" t="s">
        <v>11906</v>
      </c>
      <c r="B896" s="110" t="s">
        <v>11907</v>
      </c>
      <c r="C896" s="111" t="s">
        <v>11908</v>
      </c>
      <c r="D896" s="28" t="s">
        <v>11909</v>
      </c>
      <c r="E896" s="28" t="str">
        <f>IFERROR(__xludf.DUMMYFUNCTION("GOOGLETRANSLATE(D896,""zh-CN"",""vi"")"),"Anh ấy đã giành được giải ba trong cuộc thi.")</f>
        <v>Anh ấy đã giành được giải ba trong cuộc thi.</v>
      </c>
      <c r="F896" s="128"/>
      <c r="G896" s="36" t="b">
        <f t="shared" si="1"/>
        <v>0</v>
      </c>
      <c r="H896" s="35" t="b">
        <v>1</v>
      </c>
      <c r="I896" s="35" t="b">
        <v>0</v>
      </c>
      <c r="J896" s="35" t="b">
        <v>0</v>
      </c>
      <c r="K896" s="35" t="b">
        <v>0</v>
      </c>
      <c r="L896" s="35" t="b">
        <v>0</v>
      </c>
      <c r="M896" s="35" t="b">
        <v>0</v>
      </c>
      <c r="N896" s="35" t="b">
        <v>0</v>
      </c>
      <c r="O896" s="35" t="b">
        <v>0</v>
      </c>
      <c r="P896" s="35" t="b">
        <v>0</v>
      </c>
      <c r="Q896" s="35" t="b">
        <v>0</v>
      </c>
      <c r="R896" s="14"/>
      <c r="S896" s="14"/>
      <c r="T896" s="14"/>
      <c r="U896" s="14"/>
      <c r="V896" s="14"/>
      <c r="W896" s="14"/>
    </row>
    <row r="897" ht="31.5" customHeight="1">
      <c r="A897" s="109" t="s">
        <v>11910</v>
      </c>
      <c r="B897" s="110" t="s">
        <v>11911</v>
      </c>
      <c r="C897" s="111" t="s">
        <v>11913</v>
      </c>
      <c r="D897" s="28" t="s">
        <v>11915</v>
      </c>
      <c r="E897" s="28" t="str">
        <f>IFERROR(__xludf.DUMMYFUNCTION("GOOGLETRANSLATE(D897,""zh-CN"",""vi"")"),"Anh ấy có kỹ năng máy tính xuất sắc.")</f>
        <v>Anh ấy có kỹ năng máy tính xuất sắc.</v>
      </c>
      <c r="F897" s="128"/>
      <c r="G897" s="36" t="b">
        <f t="shared" si="1"/>
        <v>0</v>
      </c>
      <c r="H897" s="35" t="b">
        <v>1</v>
      </c>
      <c r="I897" s="35" t="b">
        <v>0</v>
      </c>
      <c r="J897" s="35" t="b">
        <v>0</v>
      </c>
      <c r="K897" s="35" t="b">
        <v>0</v>
      </c>
      <c r="L897" s="35" t="b">
        <v>0</v>
      </c>
      <c r="M897" s="35" t="b">
        <v>0</v>
      </c>
      <c r="N897" s="35" t="b">
        <v>0</v>
      </c>
      <c r="O897" s="35" t="b">
        <v>0</v>
      </c>
      <c r="P897" s="35" t="b">
        <v>0</v>
      </c>
      <c r="Q897" s="35" t="b">
        <v>0</v>
      </c>
      <c r="R897" s="14"/>
      <c r="S897" s="14"/>
      <c r="T897" s="14"/>
      <c r="U897" s="14"/>
      <c r="V897" s="14"/>
      <c r="W897" s="14"/>
    </row>
    <row r="898" ht="31.5" customHeight="1">
      <c r="A898" s="109" t="s">
        <v>11918</v>
      </c>
      <c r="B898" s="110" t="s">
        <v>11919</v>
      </c>
      <c r="C898" s="111" t="s">
        <v>11920</v>
      </c>
      <c r="D898" s="28" t="s">
        <v>11921</v>
      </c>
      <c r="E898" s="28" t="str">
        <f>IFERROR(__xludf.DUMMYFUNCTION("GOOGLETRANSLATE(D898,""zh-CN"",""vi"")"),"Khả năng nói của anh ấy rất xuất sắc.")</f>
        <v>Khả năng nói của anh ấy rất xuất sắc.</v>
      </c>
      <c r="F898" s="128"/>
      <c r="G898" s="36" t="b">
        <f t="shared" si="1"/>
        <v>0</v>
      </c>
      <c r="H898" s="35" t="b">
        <v>1</v>
      </c>
      <c r="I898" s="35" t="b">
        <v>0</v>
      </c>
      <c r="J898" s="35" t="b">
        <v>0</v>
      </c>
      <c r="K898" s="35" t="b">
        <v>0</v>
      </c>
      <c r="L898" s="35" t="b">
        <v>0</v>
      </c>
      <c r="M898" s="35" t="b">
        <v>0</v>
      </c>
      <c r="N898" s="35" t="b">
        <v>0</v>
      </c>
      <c r="O898" s="35" t="b">
        <v>0</v>
      </c>
      <c r="P898" s="35" t="b">
        <v>0</v>
      </c>
      <c r="Q898" s="35" t="b">
        <v>0</v>
      </c>
      <c r="R898" s="14"/>
      <c r="S898" s="14"/>
      <c r="T898" s="14"/>
      <c r="U898" s="14"/>
      <c r="V898" s="14"/>
      <c r="W898" s="14"/>
    </row>
    <row r="899" ht="31.5" customHeight="1">
      <c r="A899" s="109" t="s">
        <v>11926</v>
      </c>
      <c r="B899" s="110" t="s">
        <v>11927</v>
      </c>
      <c r="C899" s="111" t="s">
        <v>11928</v>
      </c>
      <c r="D899" s="28" t="s">
        <v>11929</v>
      </c>
      <c r="E899" s="28" t="str">
        <f>IFERROR(__xludf.DUMMYFUNCTION("GOOGLETRANSLATE(D899,""zh-CN"",""vi"")"),"Tôi đặt trọn hy vọng vào bạn.")</f>
        <v>Tôi đặt trọn hy vọng vào bạn.</v>
      </c>
      <c r="F899" s="128"/>
      <c r="G899" s="36" t="b">
        <f t="shared" si="1"/>
        <v>0</v>
      </c>
      <c r="H899" s="35" t="b">
        <v>1</v>
      </c>
      <c r="I899" s="35" t="b">
        <v>0</v>
      </c>
      <c r="J899" s="35" t="b">
        <v>0</v>
      </c>
      <c r="K899" s="35" t="b">
        <v>0</v>
      </c>
      <c r="L899" s="35" t="b">
        <v>0</v>
      </c>
      <c r="M899" s="35" t="b">
        <v>0</v>
      </c>
      <c r="N899" s="35" t="b">
        <v>0</v>
      </c>
      <c r="O899" s="35" t="b">
        <v>0</v>
      </c>
      <c r="P899" s="35" t="b">
        <v>0</v>
      </c>
      <c r="Q899" s="35" t="b">
        <v>0</v>
      </c>
      <c r="R899" s="14"/>
      <c r="S899" s="14"/>
      <c r="T899" s="14"/>
      <c r="U899" s="14"/>
      <c r="V899" s="14"/>
      <c r="W899" s="14"/>
    </row>
    <row r="900" ht="31.5" customHeight="1">
      <c r="A900" s="109" t="s">
        <v>11932</v>
      </c>
      <c r="B900" s="110" t="s">
        <v>11933</v>
      </c>
      <c r="C900" s="111" t="s">
        <v>11935</v>
      </c>
      <c r="D900" s="28" t="s">
        <v>11937</v>
      </c>
      <c r="E900" s="28" t="str">
        <f>IFERROR(__xludf.DUMMYFUNCTION("GOOGLETRANSLATE(D900,""zh-CN"",""vi"")"),"Chúng ta phải phát huy những thành tựu đã đạt được và tiếp tục nỗ lực.")</f>
        <v>Chúng ta phải phát huy những thành tựu đã đạt được và tiếp tục nỗ lực.</v>
      </c>
      <c r="F900" s="128"/>
      <c r="G900" s="36" t="b">
        <f t="shared" si="1"/>
        <v>0</v>
      </c>
      <c r="H900" s="35" t="b">
        <v>1</v>
      </c>
      <c r="I900" s="35" t="b">
        <v>0</v>
      </c>
      <c r="J900" s="35" t="b">
        <v>0</v>
      </c>
      <c r="K900" s="35" t="b">
        <v>0</v>
      </c>
      <c r="L900" s="35" t="b">
        <v>0</v>
      </c>
      <c r="M900" s="35" t="b">
        <v>0</v>
      </c>
      <c r="N900" s="35" t="b">
        <v>0</v>
      </c>
      <c r="O900" s="35" t="b">
        <v>0</v>
      </c>
      <c r="P900" s="35" t="b">
        <v>0</v>
      </c>
      <c r="Q900" s="35" t="b">
        <v>0</v>
      </c>
      <c r="R900" s="14"/>
      <c r="S900" s="14"/>
      <c r="T900" s="14"/>
      <c r="U900" s="14"/>
      <c r="V900" s="14"/>
      <c r="W900" s="14"/>
    </row>
    <row r="901" ht="31.5" customHeight="1">
      <c r="A901" s="109" t="s">
        <v>11938</v>
      </c>
      <c r="B901" s="110" t="s">
        <v>11939</v>
      </c>
      <c r="C901" s="111" t="s">
        <v>11940</v>
      </c>
      <c r="D901" s="28" t="s">
        <v>11941</v>
      </c>
      <c r="E901" s="28" t="str">
        <f>IFERROR(__xludf.DUMMYFUNCTION("GOOGLETRANSLATE(D901,""zh-CN"",""vi"")"),"Những dấu hiệu này cho thấy nền kinh tế đang được cải thiện.")</f>
        <v>Những dấu hiệu này cho thấy nền kinh tế đang được cải thiện.</v>
      </c>
      <c r="F901" s="128"/>
      <c r="G901" s="36" t="b">
        <f t="shared" si="1"/>
        <v>0</v>
      </c>
      <c r="H901" s="35" t="b">
        <v>1</v>
      </c>
      <c r="I901" s="35" t="b">
        <v>0</v>
      </c>
      <c r="J901" s="35" t="b">
        <v>0</v>
      </c>
      <c r="K901" s="35" t="b">
        <v>0</v>
      </c>
      <c r="L901" s="35" t="b">
        <v>0</v>
      </c>
      <c r="M901" s="35" t="b">
        <v>0</v>
      </c>
      <c r="N901" s="35" t="b">
        <v>0</v>
      </c>
      <c r="O901" s="35" t="b">
        <v>0</v>
      </c>
      <c r="P901" s="35" t="b">
        <v>0</v>
      </c>
      <c r="Q901" s="35" t="b">
        <v>0</v>
      </c>
      <c r="R901" s="14"/>
      <c r="S901" s="14"/>
      <c r="T901" s="14"/>
      <c r="U901" s="14"/>
      <c r="V901" s="14"/>
      <c r="W901" s="14"/>
    </row>
    <row r="902" ht="31.5" customHeight="1">
      <c r="A902" s="109" t="s">
        <v>11946</v>
      </c>
      <c r="B902" s="110" t="s">
        <v>11947</v>
      </c>
      <c r="C902" s="111" t="s">
        <v>11948</v>
      </c>
      <c r="D902" s="28" t="s">
        <v>11949</v>
      </c>
      <c r="E902" s="28" t="str">
        <f>IFERROR(__xludf.DUMMYFUNCTION("GOOGLETRANSLATE(D902,""zh-CN"",""vi"")"),"Anh ấy có trí nhớ tuyệt vời và không bao giờ quên những điều quan trọng.")</f>
        <v>Anh ấy có trí nhớ tuyệt vời và không bao giờ quên những điều quan trọng.</v>
      </c>
      <c r="F902" s="128"/>
      <c r="G902" s="36" t="b">
        <f t="shared" si="1"/>
        <v>0</v>
      </c>
      <c r="H902" s="35" t="b">
        <v>0</v>
      </c>
      <c r="I902" s="35" t="b">
        <v>0</v>
      </c>
      <c r="J902" s="35" t="b">
        <v>0</v>
      </c>
      <c r="K902" s="35" t="b">
        <v>0</v>
      </c>
      <c r="L902" s="35" t="b">
        <v>0</v>
      </c>
      <c r="M902" s="35" t="b">
        <v>0</v>
      </c>
      <c r="N902" s="35" t="b">
        <v>0</v>
      </c>
      <c r="O902" s="35" t="b">
        <v>0</v>
      </c>
      <c r="P902" s="35" t="b">
        <v>0</v>
      </c>
      <c r="Q902" s="35" t="b">
        <v>0</v>
      </c>
      <c r="R902" s="14"/>
      <c r="S902" s="14"/>
      <c r="T902" s="14"/>
      <c r="U902" s="14"/>
      <c r="V902" s="14"/>
      <c r="W902" s="14"/>
    </row>
    <row r="903" ht="31.5" customHeight="1">
      <c r="A903" s="109" t="s">
        <v>11954</v>
      </c>
      <c r="B903" s="110" t="s">
        <v>11955</v>
      </c>
      <c r="C903" s="111" t="s">
        <v>11956</v>
      </c>
      <c r="D903" s="28" t="s">
        <v>11957</v>
      </c>
      <c r="E903" s="28" t="str">
        <f>IFERROR(__xludf.DUMMYFUNCTION("GOOGLETRANSLATE(D903,""zh-CN"",""vi"")"),"Biên bản cuộc họp đã được gửi đến tất cả những người tham dự.")</f>
        <v>Biên bản cuộc họp đã được gửi đến tất cả những người tham dự.</v>
      </c>
      <c r="F903" s="128"/>
      <c r="G903" s="36" t="b">
        <f t="shared" si="1"/>
        <v>0</v>
      </c>
      <c r="H903" s="35" t="b">
        <v>0</v>
      </c>
      <c r="I903" s="35" t="b">
        <v>0</v>
      </c>
      <c r="J903" s="35" t="b">
        <v>0</v>
      </c>
      <c r="K903" s="35" t="b">
        <v>0</v>
      </c>
      <c r="L903" s="35" t="b">
        <v>0</v>
      </c>
      <c r="M903" s="35" t="b">
        <v>0</v>
      </c>
      <c r="N903" s="35" t="b">
        <v>0</v>
      </c>
      <c r="O903" s="35" t="b">
        <v>0</v>
      </c>
      <c r="P903" s="35" t="b">
        <v>0</v>
      </c>
      <c r="Q903" s="35" t="b">
        <v>0</v>
      </c>
      <c r="R903" s="14"/>
      <c r="S903" s="14"/>
      <c r="T903" s="14"/>
      <c r="U903" s="14"/>
      <c r="V903" s="14"/>
      <c r="W903" s="14"/>
    </row>
    <row r="904" ht="31.5" customHeight="1">
      <c r="A904" s="109" t="s">
        <v>11962</v>
      </c>
      <c r="B904" s="110" t="s">
        <v>11963</v>
      </c>
      <c r="C904" s="111" t="s">
        <v>11964</v>
      </c>
      <c r="D904" s="28" t="s">
        <v>11965</v>
      </c>
      <c r="E904" s="28" t="str">
        <f>IFERROR(__xludf.DUMMYFUNCTION("GOOGLETRANSLATE(D904,""zh-CN"",""vi"")"),"Câu chuyện này được ghi chép chi tiết trong cuốn sách.")</f>
        <v>Câu chuyện này được ghi chép chi tiết trong cuốn sách.</v>
      </c>
      <c r="F904" s="128"/>
      <c r="G904" s="36" t="b">
        <f t="shared" si="1"/>
        <v>0</v>
      </c>
      <c r="H904" s="35" t="b">
        <v>0</v>
      </c>
      <c r="I904" s="35" t="b">
        <v>0</v>
      </c>
      <c r="J904" s="35" t="b">
        <v>0</v>
      </c>
      <c r="K904" s="35" t="b">
        <v>0</v>
      </c>
      <c r="L904" s="35" t="b">
        <v>0</v>
      </c>
      <c r="M904" s="35" t="b">
        <v>0</v>
      </c>
      <c r="N904" s="35" t="b">
        <v>0</v>
      </c>
      <c r="O904" s="35" t="b">
        <v>0</v>
      </c>
      <c r="P904" s="35" t="b">
        <v>0</v>
      </c>
      <c r="Q904" s="35" t="b">
        <v>0</v>
      </c>
      <c r="R904" s="14"/>
      <c r="S904" s="14"/>
      <c r="T904" s="14"/>
      <c r="U904" s="14"/>
      <c r="V904" s="14"/>
      <c r="W904" s="14"/>
    </row>
    <row r="905" ht="31.5" customHeight="1">
      <c r="A905" s="109" t="s">
        <v>11966</v>
      </c>
      <c r="B905" s="110" t="s">
        <v>11967</v>
      </c>
      <c r="C905" s="111" t="s">
        <v>10259</v>
      </c>
      <c r="D905" s="28" t="s">
        <v>11970</v>
      </c>
      <c r="E905" s="28" t="str">
        <f>IFERROR(__xludf.DUMMYFUNCTION("GOOGLETRANSLATE(D905,""zh-CN"",""vi"")"),"Đây là món ăn mà chúng tôi thường xuyên làm ở nhà.")</f>
        <v>Đây là món ăn mà chúng tôi thường xuyên làm ở nhà.</v>
      </c>
      <c r="F905" s="128"/>
      <c r="G905" s="36" t="b">
        <f t="shared" si="1"/>
        <v>0</v>
      </c>
      <c r="H905" s="35" t="b">
        <v>0</v>
      </c>
      <c r="I905" s="35" t="b">
        <v>0</v>
      </c>
      <c r="J905" s="35" t="b">
        <v>0</v>
      </c>
      <c r="K905" s="35" t="b">
        <v>0</v>
      </c>
      <c r="L905" s="35" t="b">
        <v>0</v>
      </c>
      <c r="M905" s="35" t="b">
        <v>0</v>
      </c>
      <c r="N905" s="35" t="b">
        <v>0</v>
      </c>
      <c r="O905" s="35" t="b">
        <v>0</v>
      </c>
      <c r="P905" s="35" t="b">
        <v>0</v>
      </c>
      <c r="Q905" s="35" t="b">
        <v>0</v>
      </c>
      <c r="R905" s="14"/>
      <c r="S905" s="14"/>
      <c r="T905" s="14"/>
      <c r="U905" s="14"/>
      <c r="V905" s="14"/>
      <c r="W905" s="14"/>
    </row>
    <row r="906" ht="31.5" customHeight="1">
      <c r="A906" s="109" t="s">
        <v>11973</v>
      </c>
      <c r="B906" s="110" t="s">
        <v>11974</v>
      </c>
      <c r="C906" s="111" t="s">
        <v>11975</v>
      </c>
      <c r="D906" s="28" t="s">
        <v>11976</v>
      </c>
      <c r="E906" s="28" t="str">
        <f>IFERROR(__xludf.DUMMYFUNCTION("GOOGLETRANSLATE(D906,""zh-CN"",""vi"")"),"Sản phẩm này đòi hỏi quy trình chế biến tỉ mỉ.")</f>
        <v>Sản phẩm này đòi hỏi quy trình chế biến tỉ mỉ.</v>
      </c>
      <c r="F906" s="128"/>
      <c r="G906" s="36" t="b">
        <f t="shared" si="1"/>
        <v>0</v>
      </c>
      <c r="H906" s="35" t="b">
        <v>0</v>
      </c>
      <c r="I906" s="35" t="b">
        <v>0</v>
      </c>
      <c r="J906" s="35" t="b">
        <v>0</v>
      </c>
      <c r="K906" s="35" t="b">
        <v>0</v>
      </c>
      <c r="L906" s="35" t="b">
        <v>0</v>
      </c>
      <c r="M906" s="35" t="b">
        <v>0</v>
      </c>
      <c r="N906" s="35" t="b">
        <v>0</v>
      </c>
      <c r="O906" s="35" t="b">
        <v>0</v>
      </c>
      <c r="P906" s="35" t="b">
        <v>0</v>
      </c>
      <c r="Q906" s="35" t="b">
        <v>0</v>
      </c>
      <c r="R906" s="14"/>
      <c r="S906" s="14"/>
      <c r="T906" s="14"/>
      <c r="U906" s="14"/>
      <c r="V906" s="14"/>
      <c r="W906" s="14"/>
    </row>
    <row r="907" ht="31.5" customHeight="1">
      <c r="A907" s="109" t="s">
        <v>11981</v>
      </c>
      <c r="B907" s="110" t="s">
        <v>11982</v>
      </c>
      <c r="C907" s="111" t="s">
        <v>11983</v>
      </c>
      <c r="D907" s="28" t="s">
        <v>11984</v>
      </c>
      <c r="E907" s="28" t="str">
        <f>IFERROR(__xludf.DUMMYFUNCTION("GOOGLETRANSLATE(D907,""zh-CN"",""vi"")"),"Anh ấy là một người rất thông minh.")</f>
        <v>Anh ấy là một người rất thông minh.</v>
      </c>
      <c r="F907" s="128"/>
      <c r="G907" s="36" t="b">
        <f t="shared" si="1"/>
        <v>0</v>
      </c>
      <c r="H907" s="35" t="b">
        <v>0</v>
      </c>
      <c r="I907" s="35" t="b">
        <v>0</v>
      </c>
      <c r="J907" s="35" t="b">
        <v>0</v>
      </c>
      <c r="K907" s="35" t="b">
        <v>0</v>
      </c>
      <c r="L907" s="35" t="b">
        <v>0</v>
      </c>
      <c r="M907" s="35" t="b">
        <v>0</v>
      </c>
      <c r="N907" s="35" t="b">
        <v>0</v>
      </c>
      <c r="O907" s="35" t="b">
        <v>0</v>
      </c>
      <c r="P907" s="35" t="b">
        <v>0</v>
      </c>
      <c r="Q907" s="35" t="b">
        <v>0</v>
      </c>
      <c r="R907" s="14"/>
      <c r="S907" s="14"/>
      <c r="T907" s="14"/>
      <c r="U907" s="14"/>
      <c r="V907" s="14"/>
      <c r="W907" s="14"/>
    </row>
    <row r="908" ht="31.5" customHeight="1">
      <c r="A908" s="109" t="s">
        <v>11996</v>
      </c>
      <c r="B908" s="110" t="s">
        <v>2417</v>
      </c>
      <c r="C908" s="111" t="s">
        <v>11997</v>
      </c>
      <c r="D908" s="28" t="s">
        <v>11998</v>
      </c>
      <c r="E908" s="28" t="str">
        <f>IFERROR(__xludf.DUMMYFUNCTION("GOOGLETRANSLATE(D908,""zh-CN"",""vi"")"),"Tình hình kinh tế ngày càng trầm trọng đang gây ra sự bất an trong dân chúng.")</f>
        <v>Tình hình kinh tế ngày càng trầm trọng đang gây ra sự bất an trong dân chúng.</v>
      </c>
      <c r="F908" s="128"/>
      <c r="G908" s="36" t="b">
        <f t="shared" si="1"/>
        <v>0</v>
      </c>
      <c r="H908" s="35" t="b">
        <v>0</v>
      </c>
      <c r="I908" s="35" t="b">
        <v>0</v>
      </c>
      <c r="J908" s="35" t="b">
        <v>0</v>
      </c>
      <c r="K908" s="35" t="b">
        <v>0</v>
      </c>
      <c r="L908" s="35" t="b">
        <v>0</v>
      </c>
      <c r="M908" s="35" t="b">
        <v>0</v>
      </c>
      <c r="N908" s="35" t="b">
        <v>0</v>
      </c>
      <c r="O908" s="35" t="b">
        <v>0</v>
      </c>
      <c r="P908" s="35" t="b">
        <v>0</v>
      </c>
      <c r="Q908" s="35" t="b">
        <v>0</v>
      </c>
      <c r="R908" s="14"/>
      <c r="S908" s="14"/>
      <c r="T908" s="14"/>
      <c r="U908" s="14"/>
      <c r="V908" s="14"/>
      <c r="W908" s="14"/>
    </row>
    <row r="909" ht="31.5" customHeight="1">
      <c r="A909" s="109" t="s">
        <v>12003</v>
      </c>
      <c r="B909" s="110" t="s">
        <v>12004</v>
      </c>
      <c r="C909" s="111" t="s">
        <v>12005</v>
      </c>
      <c r="D909" s="28" t="s">
        <v>12006</v>
      </c>
      <c r="E909" s="28" t="str">
        <f>IFERROR(__xludf.DUMMYFUNCTION("GOOGLETRANSLATE(D909,""zh-CN"",""vi"")"),"Ông ta là thành viên của một gia đình quân nhân và được hưởng sự đối đãi đặc biệt.")</f>
        <v>Ông ta là thành viên của một gia đình quân nhân và được hưởng sự đối đãi đặc biệt.</v>
      </c>
      <c r="F909" s="128"/>
      <c r="G909" s="36" t="b">
        <f t="shared" si="1"/>
        <v>0</v>
      </c>
      <c r="H909" s="35" t="b">
        <v>0</v>
      </c>
      <c r="I909" s="35" t="b">
        <v>0</v>
      </c>
      <c r="J909" s="35" t="b">
        <v>0</v>
      </c>
      <c r="K909" s="35" t="b">
        <v>0</v>
      </c>
      <c r="L909" s="35" t="b">
        <v>0</v>
      </c>
      <c r="M909" s="35" t="b">
        <v>0</v>
      </c>
      <c r="N909" s="35" t="b">
        <v>0</v>
      </c>
      <c r="O909" s="35" t="b">
        <v>0</v>
      </c>
      <c r="P909" s="35" t="b">
        <v>0</v>
      </c>
      <c r="Q909" s="35" t="b">
        <v>0</v>
      </c>
      <c r="R909" s="14"/>
      <c r="S909" s="14"/>
      <c r="T909" s="14"/>
      <c r="U909" s="14"/>
      <c r="V909" s="14"/>
      <c r="W909" s="14"/>
    </row>
    <row r="910" ht="31.5" customHeight="1">
      <c r="A910" s="109" t="s">
        <v>12008</v>
      </c>
      <c r="B910" s="110" t="s">
        <v>12010</v>
      </c>
      <c r="C910" s="111" t="s">
        <v>12011</v>
      </c>
      <c r="D910" s="28" t="s">
        <v>12013</v>
      </c>
      <c r="E910" s="28" t="str">
        <f>IFERROR(__xludf.DUMMYFUNCTION("GOOGLETRANSLATE(D910,""zh-CN"",""vi"")"),"Bữa ăn này thực sự rất ngon.")</f>
        <v>Bữa ăn này thực sự rất ngon.</v>
      </c>
      <c r="F910" s="128"/>
      <c r="G910" s="36" t="b">
        <f t="shared" si="1"/>
        <v>0</v>
      </c>
      <c r="H910" s="35" t="b">
        <v>0</v>
      </c>
      <c r="I910" s="35" t="b">
        <v>0</v>
      </c>
      <c r="J910" s="35" t="b">
        <v>0</v>
      </c>
      <c r="K910" s="35" t="b">
        <v>0</v>
      </c>
      <c r="L910" s="35" t="b">
        <v>0</v>
      </c>
      <c r="M910" s="35" t="b">
        <v>0</v>
      </c>
      <c r="N910" s="35" t="b">
        <v>0</v>
      </c>
      <c r="O910" s="35" t="b">
        <v>0</v>
      </c>
      <c r="P910" s="35" t="b">
        <v>0</v>
      </c>
      <c r="Q910" s="35" t="b">
        <v>0</v>
      </c>
      <c r="R910" s="14"/>
      <c r="S910" s="14"/>
      <c r="T910" s="14"/>
      <c r="U910" s="14"/>
      <c r="V910" s="14"/>
      <c r="W910" s="14"/>
    </row>
    <row r="911" ht="31.5" customHeight="1">
      <c r="A911" s="109" t="s">
        <v>12015</v>
      </c>
      <c r="B911" s="110" t="s">
        <v>12016</v>
      </c>
      <c r="C911" s="111" t="s">
        <v>12017</v>
      </c>
      <c r="D911" s="28" t="s">
        <v>12018</v>
      </c>
      <c r="E911" s="28" t="str">
        <f>IFERROR(__xludf.DUMMYFUNCTION("GOOGLETRANSLATE(D911,""zh-CN"",""vi"")"),"Nam diễn viên này đã là một cái tên quen thuộc.")</f>
        <v>Nam diễn viên này đã là một cái tên quen thuộc.</v>
      </c>
      <c r="F911" s="128"/>
      <c r="G911" s="36" t="b">
        <f t="shared" si="1"/>
        <v>0</v>
      </c>
      <c r="H911" s="35" t="b">
        <v>0</v>
      </c>
      <c r="I911" s="35" t="b">
        <v>0</v>
      </c>
      <c r="J911" s="35" t="b">
        <v>0</v>
      </c>
      <c r="K911" s="35" t="b">
        <v>0</v>
      </c>
      <c r="L911" s="35" t="b">
        <v>0</v>
      </c>
      <c r="M911" s="35" t="b">
        <v>0</v>
      </c>
      <c r="N911" s="35" t="b">
        <v>0</v>
      </c>
      <c r="O911" s="35" t="b">
        <v>0</v>
      </c>
      <c r="P911" s="35" t="b">
        <v>0</v>
      </c>
      <c r="Q911" s="35" t="b">
        <v>0</v>
      </c>
      <c r="R911" s="14"/>
      <c r="S911" s="14"/>
      <c r="T911" s="14"/>
      <c r="U911" s="14"/>
      <c r="V911" s="14"/>
      <c r="W911" s="14"/>
    </row>
    <row r="912" ht="31.5" customHeight="1">
      <c r="A912" s="109" t="s">
        <v>12023</v>
      </c>
      <c r="B912" s="110" t="s">
        <v>12024</v>
      </c>
      <c r="C912" s="111" t="s">
        <v>12025</v>
      </c>
      <c r="D912" s="28" t="s">
        <v>12026</v>
      </c>
      <c r="E912" s="28" t="str">
        <f>IFERROR(__xludf.DUMMYFUNCTION("GOOGLETRANSLATE(D912,""zh-CN"",""vi"")"),"Những cuốn sách này chứa đựng nhiều ghi chú cá nhân.")</f>
        <v>Những cuốn sách này chứa đựng nhiều ghi chú cá nhân.</v>
      </c>
      <c r="F912" s="128"/>
      <c r="G912" s="36" t="b">
        <f t="shared" si="1"/>
        <v>0</v>
      </c>
      <c r="H912" s="35" t="b">
        <v>0</v>
      </c>
      <c r="I912" s="35" t="b">
        <v>0</v>
      </c>
      <c r="J912" s="35" t="b">
        <v>0</v>
      </c>
      <c r="K912" s="35" t="b">
        <v>0</v>
      </c>
      <c r="L912" s="35" t="b">
        <v>0</v>
      </c>
      <c r="M912" s="35" t="b">
        <v>0</v>
      </c>
      <c r="N912" s="35" t="b">
        <v>0</v>
      </c>
      <c r="O912" s="35" t="b">
        <v>0</v>
      </c>
      <c r="P912" s="35" t="b">
        <v>0</v>
      </c>
      <c r="Q912" s="35" t="b">
        <v>0</v>
      </c>
      <c r="R912" s="14"/>
      <c r="S912" s="14"/>
      <c r="T912" s="14"/>
      <c r="U912" s="14"/>
      <c r="V912" s="14"/>
      <c r="W912" s="14"/>
    </row>
    <row r="913" ht="31.5" customHeight="1">
      <c r="A913" s="109" t="s">
        <v>7662</v>
      </c>
      <c r="B913" s="110" t="s">
        <v>7664</v>
      </c>
      <c r="C913" s="111" t="s">
        <v>12031</v>
      </c>
      <c r="D913" s="28" t="s">
        <v>12032</v>
      </c>
      <c r="E913" s="28" t="str">
        <f>IFERROR(__xludf.DUMMYFUNCTION("GOOGLETRANSLATE(D913,""zh-CN"",""vi"")"),"Nếu bạn là sếp, bạn sẽ làm gì?")</f>
        <v>Nếu bạn là sếp, bạn sẽ làm gì?</v>
      </c>
      <c r="F913" s="128"/>
      <c r="G913" s="36" t="b">
        <f t="shared" si="1"/>
        <v>0</v>
      </c>
      <c r="H913" s="35" t="b">
        <v>0</v>
      </c>
      <c r="I913" s="35" t="b">
        <v>0</v>
      </c>
      <c r="J913" s="35" t="b">
        <v>0</v>
      </c>
      <c r="K913" s="35" t="b">
        <v>0</v>
      </c>
      <c r="L913" s="35" t="b">
        <v>0</v>
      </c>
      <c r="M913" s="35" t="b">
        <v>0</v>
      </c>
      <c r="N913" s="35" t="b">
        <v>0</v>
      </c>
      <c r="O913" s="35" t="b">
        <v>0</v>
      </c>
      <c r="P913" s="35" t="b">
        <v>0</v>
      </c>
      <c r="Q913" s="35" t="b">
        <v>0</v>
      </c>
      <c r="R913" s="14"/>
      <c r="S913" s="14"/>
      <c r="T913" s="14"/>
      <c r="U913" s="14"/>
      <c r="V913" s="14"/>
      <c r="W913" s="14"/>
    </row>
    <row r="914" ht="31.5" customHeight="1">
      <c r="A914" s="109" t="s">
        <v>12036</v>
      </c>
      <c r="B914" s="110" t="s">
        <v>12038</v>
      </c>
      <c r="C914" s="111" t="s">
        <v>12039</v>
      </c>
      <c r="D914" s="28" t="s">
        <v>12040</v>
      </c>
      <c r="E914" s="28" t="str">
        <f>IFERROR(__xludf.DUMMYFUNCTION("GOOGLETRANSLATE(D914,""zh-CN"",""vi"")"),"Nếu biết sự thật, anh ta sẽ rất tức giận.")</f>
        <v>Nếu biết sự thật, anh ta sẽ rất tức giận.</v>
      </c>
      <c r="F914" s="128"/>
      <c r="G914" s="36" t="b">
        <f t="shared" si="1"/>
        <v>0</v>
      </c>
      <c r="H914" s="35" t="b">
        <v>0</v>
      </c>
      <c r="I914" s="35" t="b">
        <v>0</v>
      </c>
      <c r="J914" s="35" t="b">
        <v>0</v>
      </c>
      <c r="K914" s="35" t="b">
        <v>0</v>
      </c>
      <c r="L914" s="35" t="b">
        <v>0</v>
      </c>
      <c r="M914" s="35" t="b">
        <v>0</v>
      </c>
      <c r="N914" s="35" t="b">
        <v>0</v>
      </c>
      <c r="O914" s="35" t="b">
        <v>0</v>
      </c>
      <c r="P914" s="35" t="b">
        <v>0</v>
      </c>
      <c r="Q914" s="35" t="b">
        <v>0</v>
      </c>
      <c r="R914" s="14"/>
      <c r="S914" s="14"/>
      <c r="T914" s="14"/>
      <c r="U914" s="14"/>
      <c r="V914" s="14"/>
      <c r="W914" s="14"/>
    </row>
    <row r="915" ht="31.5" customHeight="1">
      <c r="A915" s="109" t="s">
        <v>12041</v>
      </c>
      <c r="B915" s="110" t="s">
        <v>12042</v>
      </c>
      <c r="C915" s="111" t="s">
        <v>12044</v>
      </c>
      <c r="D915" s="28" t="s">
        <v>12045</v>
      </c>
      <c r="E915" s="28" t="str">
        <f>IFERROR(__xludf.DUMMYFUNCTION("GOOGLETRANSLATE(D915,""zh-CN"",""vi"")"),"Anh ấy tin tưởng tuyệt đối vào sự lựa chọn của mình.")</f>
        <v>Anh ấy tin tưởng tuyệt đối vào sự lựa chọn của mình.</v>
      </c>
      <c r="F915" s="128"/>
      <c r="G915" s="36" t="b">
        <f t="shared" si="1"/>
        <v>0</v>
      </c>
      <c r="H915" s="35" t="b">
        <v>0</v>
      </c>
      <c r="I915" s="35" t="b">
        <v>0</v>
      </c>
      <c r="J915" s="35" t="b">
        <v>0</v>
      </c>
      <c r="K915" s="35" t="b">
        <v>0</v>
      </c>
      <c r="L915" s="35" t="b">
        <v>0</v>
      </c>
      <c r="M915" s="35" t="b">
        <v>0</v>
      </c>
      <c r="N915" s="35" t="b">
        <v>0</v>
      </c>
      <c r="O915" s="35" t="b">
        <v>0</v>
      </c>
      <c r="P915" s="35" t="b">
        <v>0</v>
      </c>
      <c r="Q915" s="35" t="b">
        <v>0</v>
      </c>
      <c r="R915" s="14"/>
      <c r="S915" s="14"/>
      <c r="T915" s="14"/>
      <c r="U915" s="14"/>
      <c r="V915" s="14"/>
      <c r="W915" s="14"/>
    </row>
    <row r="916" ht="31.5" customHeight="1">
      <c r="A916" s="109" t="s">
        <v>12049</v>
      </c>
      <c r="B916" s="110" t="s">
        <v>12050</v>
      </c>
      <c r="C916" s="111" t="s">
        <v>12051</v>
      </c>
      <c r="D916" s="28" t="s">
        <v>12052</v>
      </c>
      <c r="E916" s="28" t="str">
        <f>IFERROR(__xludf.DUMMYFUNCTION("GOOGLETRANSLATE(D916,""zh-CN"",""vi"")"),"Giáo viên đang giám sát bài kiểm tra của học sinh.")</f>
        <v>Giáo viên đang giám sát bài kiểm tra của học sinh.</v>
      </c>
      <c r="F916" s="128"/>
      <c r="G916" s="36" t="b">
        <f t="shared" si="1"/>
        <v>0</v>
      </c>
      <c r="H916" s="35" t="b">
        <v>0</v>
      </c>
      <c r="I916" s="35" t="b">
        <v>0</v>
      </c>
      <c r="J916" s="35" t="b">
        <v>0</v>
      </c>
      <c r="K916" s="35" t="b">
        <v>0</v>
      </c>
      <c r="L916" s="35" t="b">
        <v>0</v>
      </c>
      <c r="M916" s="35" t="b">
        <v>0</v>
      </c>
      <c r="N916" s="35" t="b">
        <v>0</v>
      </c>
      <c r="O916" s="35" t="b">
        <v>0</v>
      </c>
      <c r="P916" s="35" t="b">
        <v>0</v>
      </c>
      <c r="Q916" s="35" t="b">
        <v>0</v>
      </c>
      <c r="R916" s="14"/>
      <c r="S916" s="14"/>
      <c r="T916" s="14"/>
      <c r="U916" s="14"/>
      <c r="V916" s="14"/>
      <c r="W916" s="14"/>
    </row>
    <row r="917" ht="31.5" customHeight="1">
      <c r="A917" s="109" t="s">
        <v>12057</v>
      </c>
      <c r="B917" s="110" t="s">
        <v>12058</v>
      </c>
      <c r="C917" s="111" t="s">
        <v>12059</v>
      </c>
      <c r="D917" s="28" t="s">
        <v>12060</v>
      </c>
      <c r="E917" s="28" t="str">
        <f>IFERROR(__xludf.DUMMYFUNCTION("GOOGLETRANSLATE(D917,""zh-CN"",""vi"")"),"Các nhà khoa học đang nghiên cứu những công nghệ tiên tiến nhất.")</f>
        <v>Các nhà khoa học đang nghiên cứu những công nghệ tiên tiến nhất.</v>
      </c>
      <c r="F917" s="128"/>
      <c r="G917" s="36" t="b">
        <f t="shared" si="1"/>
        <v>0</v>
      </c>
      <c r="H917" s="35" t="b">
        <v>0</v>
      </c>
      <c r="I917" s="35" t="b">
        <v>0</v>
      </c>
      <c r="J917" s="35" t="b">
        <v>0</v>
      </c>
      <c r="K917" s="35" t="b">
        <v>0</v>
      </c>
      <c r="L917" s="35" t="b">
        <v>0</v>
      </c>
      <c r="M917" s="35" t="b">
        <v>0</v>
      </c>
      <c r="N917" s="35" t="b">
        <v>0</v>
      </c>
      <c r="O917" s="35" t="b">
        <v>0</v>
      </c>
      <c r="P917" s="35" t="b">
        <v>0</v>
      </c>
      <c r="Q917" s="35" t="b">
        <v>0</v>
      </c>
      <c r="R917" s="14"/>
      <c r="S917" s="14"/>
      <c r="T917" s="14"/>
      <c r="U917" s="14"/>
      <c r="V917" s="14"/>
      <c r="W917" s="14"/>
    </row>
    <row r="918" ht="31.5" customHeight="1">
      <c r="A918" s="109" t="s">
        <v>12063</v>
      </c>
      <c r="B918" s="110" t="s">
        <v>12064</v>
      </c>
      <c r="C918" s="111" t="s">
        <v>12066</v>
      </c>
      <c r="D918" s="28" t="s">
        <v>12068</v>
      </c>
      <c r="E918" s="28" t="str">
        <f>IFERROR(__xludf.DUMMYFUNCTION("GOOGLETRANSLATE(D918,""zh-CN"",""vi"")"),"Tòa nhà này rất kiên cố và có thể chịu được gió mạnh.")</f>
        <v>Tòa nhà này rất kiên cố và có thể chịu được gió mạnh.</v>
      </c>
      <c r="F918" s="128"/>
      <c r="G918" s="36" t="b">
        <f t="shared" si="1"/>
        <v>0</v>
      </c>
      <c r="H918" s="35" t="b">
        <v>0</v>
      </c>
      <c r="I918" s="35" t="b">
        <v>0</v>
      </c>
      <c r="J918" s="35" t="b">
        <v>0</v>
      </c>
      <c r="K918" s="35" t="b">
        <v>0</v>
      </c>
      <c r="L918" s="35" t="b">
        <v>0</v>
      </c>
      <c r="M918" s="35" t="b">
        <v>0</v>
      </c>
      <c r="N918" s="35" t="b">
        <v>0</v>
      </c>
      <c r="O918" s="35" t="b">
        <v>0</v>
      </c>
      <c r="P918" s="35" t="b">
        <v>0</v>
      </c>
      <c r="Q918" s="35" t="b">
        <v>0</v>
      </c>
      <c r="R918" s="14"/>
      <c r="S918" s="14"/>
      <c r="T918" s="14"/>
      <c r="U918" s="14"/>
      <c r="V918" s="14"/>
      <c r="W918" s="14"/>
    </row>
    <row r="919" ht="31.5" customHeight="1">
      <c r="A919" s="109" t="s">
        <v>12069</v>
      </c>
      <c r="B919" s="110" t="s">
        <v>12070</v>
      </c>
      <c r="C919" s="111" t="s">
        <v>12071</v>
      </c>
      <c r="D919" s="28" t="s">
        <v>12072</v>
      </c>
      <c r="E919" s="28" t="str">
        <f>IFERROR(__xludf.DUMMYFUNCTION("GOOGLETRANSLATE(D919,""zh-CN"",""vi"")"),"Anh ấy đã trải qua nhiều thời kỳ khó khăn.")</f>
        <v>Anh ấy đã trải qua nhiều thời kỳ khó khăn.</v>
      </c>
      <c r="F919" s="128"/>
      <c r="G919" s="36" t="b">
        <f t="shared" si="1"/>
        <v>0</v>
      </c>
      <c r="H919" s="35" t="b">
        <v>0</v>
      </c>
      <c r="I919" s="35" t="b">
        <v>0</v>
      </c>
      <c r="J919" s="35" t="b">
        <v>0</v>
      </c>
      <c r="K919" s="35" t="b">
        <v>0</v>
      </c>
      <c r="L919" s="35" t="b">
        <v>0</v>
      </c>
      <c r="M919" s="35" t="b">
        <v>0</v>
      </c>
      <c r="N919" s="35" t="b">
        <v>0</v>
      </c>
      <c r="O919" s="35" t="b">
        <v>0</v>
      </c>
      <c r="P919" s="35" t="b">
        <v>0</v>
      </c>
      <c r="Q919" s="35" t="b">
        <v>0</v>
      </c>
      <c r="R919" s="14"/>
      <c r="S919" s="14"/>
      <c r="T919" s="14"/>
      <c r="U919" s="14"/>
      <c r="V919" s="14"/>
      <c r="W919" s="14"/>
    </row>
    <row r="920" ht="31.5" customHeight="1">
      <c r="A920" s="109" t="s">
        <v>12076</v>
      </c>
      <c r="B920" s="110" t="s">
        <v>12077</v>
      </c>
      <c r="C920" s="111" t="s">
        <v>12078</v>
      </c>
      <c r="D920" s="28" t="s">
        <v>12079</v>
      </c>
      <c r="E920" s="28" t="str">
        <f>IFERROR(__xludf.DUMMYFUNCTION("GOOGLETRANSLATE(D920,""zh-CN"",""vi"")"),"Cô ấy đã vượt qua những khó khăn bằng ý chí kiên cường.")</f>
        <v>Cô ấy đã vượt qua những khó khăn bằng ý chí kiên cường.</v>
      </c>
      <c r="F920" s="128"/>
      <c r="G920" s="36" t="b">
        <f t="shared" si="1"/>
        <v>0</v>
      </c>
      <c r="H920" s="35" t="b">
        <v>0</v>
      </c>
      <c r="I920" s="35" t="b">
        <v>0</v>
      </c>
      <c r="J920" s="35" t="b">
        <v>0</v>
      </c>
      <c r="K920" s="35" t="b">
        <v>0</v>
      </c>
      <c r="L920" s="35" t="b">
        <v>0</v>
      </c>
      <c r="M920" s="35" t="b">
        <v>0</v>
      </c>
      <c r="N920" s="35" t="b">
        <v>0</v>
      </c>
      <c r="O920" s="35" t="b">
        <v>0</v>
      </c>
      <c r="P920" s="35" t="b">
        <v>0</v>
      </c>
      <c r="Q920" s="35" t="b">
        <v>0</v>
      </c>
      <c r="R920" s="14"/>
      <c r="S920" s="14"/>
      <c r="T920" s="14"/>
      <c r="U920" s="14"/>
      <c r="V920" s="14"/>
      <c r="W920" s="14"/>
    </row>
    <row r="921" ht="31.5" customHeight="1">
      <c r="A921" s="109" t="s">
        <v>12084</v>
      </c>
      <c r="B921" s="110" t="s">
        <v>12085</v>
      </c>
      <c r="C921" s="111" t="s">
        <v>12086</v>
      </c>
      <c r="D921" s="28" t="s">
        <v>12087</v>
      </c>
      <c r="E921" s="28" t="str">
        <f>IFERROR(__xludf.DUMMYFUNCTION("GOOGLETRANSLATE(D921,""zh-CN"",""vi"")"),"Kế hoạch này rất vững chắc và đáng tin cậy.")</f>
        <v>Kế hoạch này rất vững chắc và đáng tin cậy.</v>
      </c>
      <c r="F921" s="128"/>
      <c r="G921" s="36" t="b">
        <f t="shared" si="1"/>
        <v>0</v>
      </c>
      <c r="H921" s="35" t="b">
        <v>0</v>
      </c>
      <c r="I921" s="35" t="b">
        <v>0</v>
      </c>
      <c r="J921" s="35" t="b">
        <v>0</v>
      </c>
      <c r="K921" s="35" t="b">
        <v>0</v>
      </c>
      <c r="L921" s="35" t="b">
        <v>0</v>
      </c>
      <c r="M921" s="35" t="b">
        <v>0</v>
      </c>
      <c r="N921" s="35" t="b">
        <v>0</v>
      </c>
      <c r="O921" s="35" t="b">
        <v>0</v>
      </c>
      <c r="P921" s="35" t="b">
        <v>0</v>
      </c>
      <c r="Q921" s="35" t="b">
        <v>0</v>
      </c>
      <c r="R921" s="14"/>
      <c r="S921" s="14"/>
      <c r="T921" s="14"/>
      <c r="U921" s="14"/>
      <c r="V921" s="14"/>
      <c r="W921" s="14"/>
    </row>
    <row r="922" ht="31.5" customHeight="1">
      <c r="A922" s="109" t="s">
        <v>12092</v>
      </c>
      <c r="B922" s="110" t="s">
        <v>12093</v>
      </c>
      <c r="C922" s="111" t="s">
        <v>12094</v>
      </c>
      <c r="D922" s="28" t="s">
        <v>12095</v>
      </c>
      <c r="E922" s="28" t="str">
        <f>IFERROR(__xludf.DUMMYFUNCTION("GOOGLETRANSLATE(D922,""zh-CN"",""vi"")"),"Cảnh sát đang theo dõi mọi động thái của nghi phạm.")</f>
        <v>Cảnh sát đang theo dõi mọi động thái của nghi phạm.</v>
      </c>
      <c r="F922" s="128"/>
      <c r="G922" s="36" t="b">
        <f t="shared" si="1"/>
        <v>0</v>
      </c>
      <c r="H922" s="35" t="b">
        <v>0</v>
      </c>
      <c r="I922" s="35" t="b">
        <v>0</v>
      </c>
      <c r="J922" s="35" t="b">
        <v>0</v>
      </c>
      <c r="K922" s="35" t="b">
        <v>0</v>
      </c>
      <c r="L922" s="35" t="b">
        <v>0</v>
      </c>
      <c r="M922" s="35" t="b">
        <v>0</v>
      </c>
      <c r="N922" s="35" t="b">
        <v>0</v>
      </c>
      <c r="O922" s="35" t="b">
        <v>0</v>
      </c>
      <c r="P922" s="35" t="b">
        <v>0</v>
      </c>
      <c r="Q922" s="35" t="b">
        <v>0</v>
      </c>
      <c r="R922" s="14"/>
      <c r="S922" s="14"/>
      <c r="T922" s="14"/>
      <c r="U922" s="14"/>
      <c r="V922" s="14"/>
      <c r="W922" s="14"/>
    </row>
    <row r="923" ht="31.5" customHeight="1">
      <c r="A923" s="109" t="s">
        <v>12096</v>
      </c>
      <c r="B923" s="110" t="s">
        <v>12097</v>
      </c>
      <c r="C923" s="111" t="s">
        <v>12098</v>
      </c>
      <c r="D923" s="28" t="s">
        <v>12101</v>
      </c>
      <c r="E923" s="28" t="str">
        <f>IFERROR(__xludf.DUMMYFUNCTION("GOOGLETRANSLATE(D923,""zh-CN"",""vi"")"),"Vật liệu này rất cứng và thích hợp cho xây dựng.")</f>
        <v>Vật liệu này rất cứng và thích hợp cho xây dựng.</v>
      </c>
      <c r="F923" s="128"/>
      <c r="G923" s="36" t="b">
        <f t="shared" si="1"/>
        <v>0</v>
      </c>
      <c r="H923" s="35" t="b">
        <v>0</v>
      </c>
      <c r="I923" s="35" t="b">
        <v>0</v>
      </c>
      <c r="J923" s="35" t="b">
        <v>0</v>
      </c>
      <c r="K923" s="35" t="b">
        <v>0</v>
      </c>
      <c r="L923" s="35" t="b">
        <v>0</v>
      </c>
      <c r="M923" s="35" t="b">
        <v>0</v>
      </c>
      <c r="N923" s="35" t="b">
        <v>0</v>
      </c>
      <c r="O923" s="35" t="b">
        <v>0</v>
      </c>
      <c r="P923" s="35" t="b">
        <v>0</v>
      </c>
      <c r="Q923" s="35" t="b">
        <v>0</v>
      </c>
      <c r="R923" s="14"/>
      <c r="S923" s="14"/>
      <c r="T923" s="14"/>
      <c r="U923" s="14"/>
      <c r="V923" s="14"/>
      <c r="W923" s="14"/>
    </row>
    <row r="924" ht="31.5" customHeight="1">
      <c r="A924" s="109" t="s">
        <v>12104</v>
      </c>
      <c r="B924" s="110" t="s">
        <v>12105</v>
      </c>
      <c r="C924" s="111" t="s">
        <v>12106</v>
      </c>
      <c r="D924" s="28" t="s">
        <v>12107</v>
      </c>
      <c r="E924" s="28" t="str">
        <f>IFERROR(__xludf.DUMMYFUNCTION("GOOGLETRANSLATE(D924,""zh-CN"",""vi"")"),"Tù nhân đang bị giam giữ trong nhà tù chờ xét xử.")</f>
        <v>Tù nhân đang bị giam giữ trong nhà tù chờ xét xử.</v>
      </c>
      <c r="F924" s="128"/>
      <c r="G924" s="36" t="b">
        <f t="shared" si="1"/>
        <v>0</v>
      </c>
      <c r="H924" s="35" t="b">
        <v>0</v>
      </c>
      <c r="I924" s="35" t="b">
        <v>0</v>
      </c>
      <c r="J924" s="35" t="b">
        <v>0</v>
      </c>
      <c r="K924" s="35" t="b">
        <v>0</v>
      </c>
      <c r="L924" s="35" t="b">
        <v>0</v>
      </c>
      <c r="M924" s="35" t="b">
        <v>0</v>
      </c>
      <c r="N924" s="35" t="b">
        <v>0</v>
      </c>
      <c r="O924" s="35" t="b">
        <v>0</v>
      </c>
      <c r="P924" s="35" t="b">
        <v>0</v>
      </c>
      <c r="Q924" s="35" t="b">
        <v>0</v>
      </c>
      <c r="R924" s="14"/>
      <c r="S924" s="14"/>
      <c r="T924" s="14"/>
      <c r="U924" s="14"/>
      <c r="V924" s="14"/>
      <c r="W924" s="14"/>
    </row>
    <row r="925" ht="31.5" customHeight="1">
      <c r="A925" s="109" t="s">
        <v>7732</v>
      </c>
      <c r="B925" s="110" t="s">
        <v>7734</v>
      </c>
      <c r="C925" s="111" t="s">
        <v>12112</v>
      </c>
      <c r="D925" s="28" t="s">
        <v>12113</v>
      </c>
      <c r="E925" s="28" t="str">
        <f>IFERROR(__xludf.DUMMYFUNCTION("GOOGLETRANSLATE(D925,""zh-CN"",""vi"")"),"Anh ấy làm thêm ở trường để kiếm tiền trang trải sinh hoạt.")</f>
        <v>Anh ấy làm thêm ở trường để kiếm tiền trang trải sinh hoạt.</v>
      </c>
      <c r="F925" s="128"/>
      <c r="G925" s="36" t="b">
        <f t="shared" si="1"/>
        <v>0</v>
      </c>
      <c r="H925" s="35" t="b">
        <v>0</v>
      </c>
      <c r="I925" s="35" t="b">
        <v>0</v>
      </c>
      <c r="J925" s="35" t="b">
        <v>0</v>
      </c>
      <c r="K925" s="35" t="b">
        <v>0</v>
      </c>
      <c r="L925" s="35" t="b">
        <v>0</v>
      </c>
      <c r="M925" s="35" t="b">
        <v>0</v>
      </c>
      <c r="N925" s="35" t="b">
        <v>0</v>
      </c>
      <c r="O925" s="35" t="b">
        <v>0</v>
      </c>
      <c r="P925" s="35" t="b">
        <v>0</v>
      </c>
      <c r="Q925" s="35" t="b">
        <v>0</v>
      </c>
      <c r="R925" s="14"/>
      <c r="S925" s="14"/>
      <c r="T925" s="14"/>
      <c r="U925" s="14"/>
      <c r="V925" s="14"/>
      <c r="W925" s="14"/>
    </row>
    <row r="926" ht="31.5" customHeight="1">
      <c r="A926" s="109" t="s">
        <v>12118</v>
      </c>
      <c r="B926" s="110" t="s">
        <v>7741</v>
      </c>
      <c r="C926" s="111" t="s">
        <v>12119</v>
      </c>
      <c r="D926" s="28" t="s">
        <v>12120</v>
      </c>
      <c r="E926" s="28" t="str">
        <f>IFERROR(__xludf.DUMMYFUNCTION("GOOGLETRANSLATE(D926,""zh-CN"",""vi"")"),"Tôi hái vài bông hoa trong vườn.")</f>
        <v>Tôi hái vài bông hoa trong vườn.</v>
      </c>
      <c r="F926" s="128"/>
      <c r="G926" s="36" t="b">
        <f t="shared" si="1"/>
        <v>0</v>
      </c>
      <c r="H926" s="35" t="b">
        <v>0</v>
      </c>
      <c r="I926" s="35" t="b">
        <v>0</v>
      </c>
      <c r="J926" s="35" t="b">
        <v>0</v>
      </c>
      <c r="K926" s="35" t="b">
        <v>0</v>
      </c>
      <c r="L926" s="35" t="b">
        <v>0</v>
      </c>
      <c r="M926" s="35" t="b">
        <v>0</v>
      </c>
      <c r="N926" s="35" t="b">
        <v>0</v>
      </c>
      <c r="O926" s="35" t="b">
        <v>0</v>
      </c>
      <c r="P926" s="35" t="b">
        <v>0</v>
      </c>
      <c r="Q926" s="35" t="b">
        <v>0</v>
      </c>
      <c r="R926" s="14"/>
      <c r="S926" s="14"/>
      <c r="T926" s="14"/>
      <c r="U926" s="14"/>
      <c r="V926" s="14"/>
      <c r="W926" s="14"/>
    </row>
    <row r="927" ht="31.5" customHeight="1">
      <c r="A927" s="109" t="s">
        <v>12121</v>
      </c>
      <c r="B927" s="110" t="s">
        <v>12122</v>
      </c>
      <c r="C927" s="111" t="s">
        <v>12123</v>
      </c>
      <c r="D927" s="28" t="s">
        <v>12124</v>
      </c>
      <c r="E927" s="28" t="str">
        <f>IFERROR(__xludf.DUMMYFUNCTION("GOOGLETRANSLATE(D927,""zh-CN"",""vi"")"),"Trong buổi lễ hôm nay, họ đã cắt băng khánh thành thư viện mới.")</f>
        <v>Trong buổi lễ hôm nay, họ đã cắt băng khánh thành thư viện mới.</v>
      </c>
      <c r="F927" s="128"/>
      <c r="G927" s="36" t="b">
        <f t="shared" si="1"/>
        <v>0</v>
      </c>
      <c r="H927" s="35" t="b">
        <v>0</v>
      </c>
      <c r="I927" s="35" t="b">
        <v>0</v>
      </c>
      <c r="J927" s="35" t="b">
        <v>0</v>
      </c>
      <c r="K927" s="35" t="b">
        <v>0</v>
      </c>
      <c r="L927" s="35" t="b">
        <v>0</v>
      </c>
      <c r="M927" s="35" t="b">
        <v>0</v>
      </c>
      <c r="N927" s="35" t="b">
        <v>0</v>
      </c>
      <c r="O927" s="35" t="b">
        <v>0</v>
      </c>
      <c r="P927" s="35" t="b">
        <v>0</v>
      </c>
      <c r="Q927" s="35" t="b">
        <v>0</v>
      </c>
      <c r="R927" s="14"/>
      <c r="S927" s="14"/>
      <c r="T927" s="14"/>
      <c r="U927" s="14"/>
      <c r="V927" s="14"/>
      <c r="W927" s="14"/>
    </row>
    <row r="928" ht="31.5" customHeight="1">
      <c r="A928" s="109" t="s">
        <v>12129</v>
      </c>
      <c r="B928" s="110" t="s">
        <v>12130</v>
      </c>
      <c r="C928" s="111" t="s">
        <v>12131</v>
      </c>
      <c r="D928" s="28" t="s">
        <v>12132</v>
      </c>
      <c r="E928" s="28" t="str">
        <f>IFERROR(__xludf.DUMMYFUNCTION("GOOGLETRANSLATE(D928,""zh-CN"",""vi"")"),"Chúng ta cần tinh giản quy trình làm việc và nâng cao hiệu quả.")</f>
        <v>Chúng ta cần tinh giản quy trình làm việc và nâng cao hiệu quả.</v>
      </c>
      <c r="F928" s="128"/>
      <c r="G928" s="36" t="b">
        <f t="shared" si="1"/>
        <v>0</v>
      </c>
      <c r="H928" s="35" t="b">
        <v>0</v>
      </c>
      <c r="I928" s="35" t="b">
        <v>0</v>
      </c>
      <c r="J928" s="35" t="b">
        <v>0</v>
      </c>
      <c r="K928" s="35" t="b">
        <v>0</v>
      </c>
      <c r="L928" s="35" t="b">
        <v>0</v>
      </c>
      <c r="M928" s="35" t="b">
        <v>0</v>
      </c>
      <c r="N928" s="35" t="b">
        <v>0</v>
      </c>
      <c r="O928" s="35" t="b">
        <v>0</v>
      </c>
      <c r="P928" s="35" t="b">
        <v>0</v>
      </c>
      <c r="Q928" s="35" t="b">
        <v>0</v>
      </c>
      <c r="R928" s="14"/>
      <c r="S928" s="14"/>
      <c r="T928" s="14"/>
      <c r="U928" s="14"/>
      <c r="V928" s="14"/>
      <c r="W928" s="14"/>
    </row>
    <row r="929" ht="31.5" customHeight="1">
      <c r="A929" s="109" t="s">
        <v>12137</v>
      </c>
      <c r="B929" s="110" t="s">
        <v>12138</v>
      </c>
      <c r="C929" s="111" t="s">
        <v>12139</v>
      </c>
      <c r="D929" s="28" t="s">
        <v>12140</v>
      </c>
      <c r="E929" s="28" t="str">
        <f>IFERROR(__xludf.DUMMYFUNCTION("GOOGLETRANSLATE(D929,""zh-CN"",""vi"")"),"Ngôi nhà đơn giản nhưng ấm cúng.")</f>
        <v>Ngôi nhà đơn giản nhưng ấm cúng.</v>
      </c>
      <c r="F929" s="128"/>
      <c r="G929" s="36" t="b">
        <f t="shared" si="1"/>
        <v>0</v>
      </c>
      <c r="H929" s="35" t="b">
        <v>0</v>
      </c>
      <c r="I929" s="35" t="b">
        <v>0</v>
      </c>
      <c r="J929" s="35" t="b">
        <v>0</v>
      </c>
      <c r="K929" s="35" t="b">
        <v>0</v>
      </c>
      <c r="L929" s="35" t="b">
        <v>0</v>
      </c>
      <c r="M929" s="35" t="b">
        <v>0</v>
      </c>
      <c r="N929" s="35" t="b">
        <v>0</v>
      </c>
      <c r="O929" s="35" t="b">
        <v>0</v>
      </c>
      <c r="P929" s="35" t="b">
        <v>0</v>
      </c>
      <c r="Q929" s="35" t="b">
        <v>0</v>
      </c>
      <c r="R929" s="14"/>
      <c r="S929" s="14"/>
      <c r="T929" s="14"/>
      <c r="U929" s="14"/>
      <c r="V929" s="14"/>
      <c r="W929" s="14"/>
    </row>
    <row r="930" ht="31.5" customHeight="1">
      <c r="A930" s="109" t="s">
        <v>12141</v>
      </c>
      <c r="B930" s="110" t="s">
        <v>12142</v>
      </c>
      <c r="C930" s="111" t="s">
        <v>12144</v>
      </c>
      <c r="D930" s="28" t="s">
        <v>12146</v>
      </c>
      <c r="E930" s="28" t="str">
        <f>IFERROR(__xludf.DUMMYFUNCTION("GOOGLETRANSLATE(D930,""zh-CN"",""vi"")"),"Chúng tôi sẽ xem xét kế hoạch này tại cuộc họp.")</f>
        <v>Chúng tôi sẽ xem xét kế hoạch này tại cuộc họp.</v>
      </c>
      <c r="F930" s="128"/>
      <c r="G930" s="36" t="b">
        <f t="shared" si="1"/>
        <v>0</v>
      </c>
      <c r="H930" s="35" t="b">
        <v>0</v>
      </c>
      <c r="I930" s="35" t="b">
        <v>0</v>
      </c>
      <c r="J930" s="35" t="b">
        <v>0</v>
      </c>
      <c r="K930" s="35" t="b">
        <v>0</v>
      </c>
      <c r="L930" s="35" t="b">
        <v>0</v>
      </c>
      <c r="M930" s="35" t="b">
        <v>0</v>
      </c>
      <c r="N930" s="35" t="b">
        <v>0</v>
      </c>
      <c r="O930" s="35" t="b">
        <v>0</v>
      </c>
      <c r="P930" s="35" t="b">
        <v>0</v>
      </c>
      <c r="Q930" s="35" t="b">
        <v>0</v>
      </c>
      <c r="R930" s="14"/>
      <c r="S930" s="14"/>
      <c r="T930" s="14"/>
      <c r="U930" s="14"/>
      <c r="V930" s="14"/>
      <c r="W930" s="14"/>
    </row>
    <row r="931" ht="31.5" customHeight="1">
      <c r="A931" s="109" t="s">
        <v>12149</v>
      </c>
      <c r="B931" s="110" t="s">
        <v>12150</v>
      </c>
      <c r="C931" s="111" t="s">
        <v>12151</v>
      </c>
      <c r="D931" s="28" t="s">
        <v>12152</v>
      </c>
      <c r="E931" s="28" t="str">
        <f>IFERROR(__xludf.DUMMYFUNCTION("GOOGLETRANSLATE(D931,""zh-CN"",""vi"")"),"Chữ Hán giản thể dễ học hơn chữ Hán phồn thể.")</f>
        <v>Chữ Hán giản thể dễ học hơn chữ Hán phồn thể.</v>
      </c>
      <c r="F931" s="128"/>
      <c r="G931" s="36" t="b">
        <f t="shared" si="1"/>
        <v>0</v>
      </c>
      <c r="H931" s="35" t="b">
        <v>0</v>
      </c>
      <c r="I931" s="35" t="b">
        <v>0</v>
      </c>
      <c r="J931" s="35" t="b">
        <v>0</v>
      </c>
      <c r="K931" s="35" t="b">
        <v>0</v>
      </c>
      <c r="L931" s="35" t="b">
        <v>0</v>
      </c>
      <c r="M931" s="35" t="b">
        <v>0</v>
      </c>
      <c r="N931" s="35" t="b">
        <v>0</v>
      </c>
      <c r="O931" s="35" t="b">
        <v>0</v>
      </c>
      <c r="P931" s="35" t="b">
        <v>0</v>
      </c>
      <c r="Q931" s="35" t="b">
        <v>0</v>
      </c>
      <c r="R931" s="14"/>
      <c r="S931" s="14"/>
      <c r="T931" s="14"/>
      <c r="U931" s="14"/>
      <c r="V931" s="14"/>
      <c r="W931" s="14"/>
    </row>
    <row r="932" ht="31.5" customHeight="1">
      <c r="A932" s="109" t="s">
        <v>12156</v>
      </c>
      <c r="B932" s="110" t="s">
        <v>12157</v>
      </c>
      <c r="C932" s="111" t="s">
        <v>12158</v>
      </c>
      <c r="D932" s="28" t="s">
        <v>12159</v>
      </c>
      <c r="E932" s="28" t="str">
        <f>IFERROR(__xludf.DUMMYFUNCTION("GOOGLETRANSLATE(D932,""zh-CN"",""vi"")"),"Các nhà khoa học đang thử nghiệm hiệu quả của loại thuốc mới này.")</f>
        <v>Các nhà khoa học đang thử nghiệm hiệu quả của loại thuốc mới này.</v>
      </c>
      <c r="F932" s="128"/>
      <c r="G932" s="36" t="b">
        <f t="shared" si="1"/>
        <v>0</v>
      </c>
      <c r="H932" s="35" t="b">
        <v>0</v>
      </c>
      <c r="I932" s="35" t="b">
        <v>0</v>
      </c>
      <c r="J932" s="35" t="b">
        <v>0</v>
      </c>
      <c r="K932" s="35" t="b">
        <v>0</v>
      </c>
      <c r="L932" s="35" t="b">
        <v>0</v>
      </c>
      <c r="M932" s="35" t="b">
        <v>0</v>
      </c>
      <c r="N932" s="35" t="b">
        <v>0</v>
      </c>
      <c r="O932" s="35" t="b">
        <v>0</v>
      </c>
      <c r="P932" s="35" t="b">
        <v>0</v>
      </c>
      <c r="Q932" s="35" t="b">
        <v>0</v>
      </c>
      <c r="R932" s="14"/>
      <c r="S932" s="14"/>
      <c r="T932" s="14"/>
      <c r="U932" s="14"/>
      <c r="V932" s="14"/>
      <c r="W932" s="14"/>
    </row>
    <row r="933" ht="31.5" customHeight="1">
      <c r="A933" s="109" t="s">
        <v>12164</v>
      </c>
      <c r="B933" s="110" t="s">
        <v>12165</v>
      </c>
      <c r="C933" s="111" t="s">
        <v>12166</v>
      </c>
      <c r="D933" s="28" t="s">
        <v>12167</v>
      </c>
      <c r="E933" s="28" t="str">
        <f>IFERROR(__xludf.DUMMYFUNCTION("GOOGLETRANSLATE(D933,""zh-CN"",""vi"")"),"Ông đã giới thiệu ngắn gọn những nội dung chính của cuộc họp.")</f>
        <v>Ông đã giới thiệu ngắn gọn những nội dung chính của cuộc họp.</v>
      </c>
      <c r="F933" s="128"/>
      <c r="G933" s="36" t="b">
        <f t="shared" si="1"/>
        <v>0</v>
      </c>
      <c r="H933" s="35" t="b">
        <v>0</v>
      </c>
      <c r="I933" s="35" t="b">
        <v>0</v>
      </c>
      <c r="J933" s="35" t="b">
        <v>0</v>
      </c>
      <c r="K933" s="35" t="b">
        <v>0</v>
      </c>
      <c r="L933" s="35" t="b">
        <v>0</v>
      </c>
      <c r="M933" s="35" t="b">
        <v>0</v>
      </c>
      <c r="N933" s="35" t="b">
        <v>0</v>
      </c>
      <c r="O933" s="35" t="b">
        <v>0</v>
      </c>
      <c r="P933" s="35" t="b">
        <v>0</v>
      </c>
      <c r="Q933" s="35" t="b">
        <v>0</v>
      </c>
      <c r="R933" s="14"/>
      <c r="S933" s="14"/>
      <c r="T933" s="14"/>
      <c r="U933" s="14"/>
      <c r="V933" s="14"/>
      <c r="W933" s="14"/>
    </row>
    <row r="934" ht="31.5" customHeight="1">
      <c r="A934" s="109" t="s">
        <v>12172</v>
      </c>
      <c r="B934" s="110" t="s">
        <v>1053</v>
      </c>
      <c r="C934" s="111" t="s">
        <v>12173</v>
      </c>
      <c r="D934" s="28" t="s">
        <v>12174</v>
      </c>
      <c r="E934" s="28" t="str">
        <f>IFERROR(__xludf.DUMMYFUNCTION("GOOGLETRANSLATE(D934,""zh-CN"",""vi"")"),"Nước bắn tung tóe lên quần áo tôi.")</f>
        <v>Nước bắn tung tóe lên quần áo tôi.</v>
      </c>
      <c r="F934" s="128"/>
      <c r="G934" s="36" t="b">
        <f t="shared" si="1"/>
        <v>0</v>
      </c>
      <c r="H934" s="35" t="b">
        <v>0</v>
      </c>
      <c r="I934" s="35" t="b">
        <v>0</v>
      </c>
      <c r="J934" s="35" t="b">
        <v>0</v>
      </c>
      <c r="K934" s="35" t="b">
        <v>0</v>
      </c>
      <c r="L934" s="35" t="b">
        <v>0</v>
      </c>
      <c r="M934" s="35" t="b">
        <v>0</v>
      </c>
      <c r="N934" s="35" t="b">
        <v>0</v>
      </c>
      <c r="O934" s="35" t="b">
        <v>0</v>
      </c>
      <c r="P934" s="35" t="b">
        <v>0</v>
      </c>
      <c r="Q934" s="35" t="b">
        <v>0</v>
      </c>
      <c r="R934" s="14"/>
      <c r="S934" s="14"/>
      <c r="T934" s="14"/>
      <c r="U934" s="14"/>
      <c r="V934" s="14"/>
      <c r="W934" s="14"/>
    </row>
    <row r="935" ht="31.5" customHeight="1">
      <c r="A935" s="109" t="s">
        <v>12179</v>
      </c>
      <c r="B935" s="110" t="s">
        <v>12180</v>
      </c>
      <c r="C935" s="111" t="s">
        <v>12181</v>
      </c>
      <c r="D935" s="28" t="s">
        <v>12182</v>
      </c>
      <c r="E935" s="28" t="str">
        <f>IFERROR(__xludf.DUMMYFUNCTION("GOOGLETRANSLATE(D935,""zh-CN"",""vi"")"),"Các chuyên gia hiện đang xác định tính xác thực của bức tranh.")</f>
        <v>Các chuyên gia hiện đang xác định tính xác thực của bức tranh.</v>
      </c>
      <c r="F935" s="128"/>
      <c r="G935" s="36" t="b">
        <f t="shared" si="1"/>
        <v>0</v>
      </c>
      <c r="H935" s="35" t="b">
        <v>0</v>
      </c>
      <c r="I935" s="35" t="b">
        <v>0</v>
      </c>
      <c r="J935" s="35" t="b">
        <v>0</v>
      </c>
      <c r="K935" s="35" t="b">
        <v>0</v>
      </c>
      <c r="L935" s="35" t="b">
        <v>0</v>
      </c>
      <c r="M935" s="35" t="b">
        <v>0</v>
      </c>
      <c r="N935" s="35" t="b">
        <v>0</v>
      </c>
      <c r="O935" s="35" t="b">
        <v>0</v>
      </c>
      <c r="P935" s="35" t="b">
        <v>0</v>
      </c>
      <c r="Q935" s="35" t="b">
        <v>0</v>
      </c>
      <c r="R935" s="14"/>
      <c r="S935" s="14"/>
      <c r="T935" s="14"/>
      <c r="U935" s="14"/>
      <c r="V935" s="14"/>
      <c r="W935" s="14"/>
    </row>
    <row r="936" ht="31.5" customHeight="1">
      <c r="A936" s="109" t="s">
        <v>12187</v>
      </c>
      <c r="B936" s="110" t="s">
        <v>12188</v>
      </c>
      <c r="C936" s="111" t="s">
        <v>12189</v>
      </c>
      <c r="D936" s="28" t="s">
        <v>12190</v>
      </c>
      <c r="E936" s="28" t="str">
        <f>IFERROR(__xludf.DUMMYFUNCTION("GOOGLETRANSLATE(D936,""zh-CN"",""vi"")"),"Ông ta là một điệp viên, thâm nhập vào hàng ngũ địch.")</f>
        <v>Ông ta là một điệp viên, thâm nhập vào hàng ngũ địch.</v>
      </c>
      <c r="F936" s="128"/>
      <c r="G936" s="36" t="b">
        <f t="shared" si="1"/>
        <v>0</v>
      </c>
      <c r="H936" s="35" t="b">
        <v>0</v>
      </c>
      <c r="I936" s="35" t="b">
        <v>0</v>
      </c>
      <c r="J936" s="35" t="b">
        <v>0</v>
      </c>
      <c r="K936" s="35" t="b">
        <v>0</v>
      </c>
      <c r="L936" s="35" t="b">
        <v>0</v>
      </c>
      <c r="M936" s="35" t="b">
        <v>0</v>
      </c>
      <c r="N936" s="35" t="b">
        <v>0</v>
      </c>
      <c r="O936" s="35" t="b">
        <v>0</v>
      </c>
      <c r="P936" s="35" t="b">
        <v>0</v>
      </c>
      <c r="Q936" s="35" t="b">
        <v>0</v>
      </c>
      <c r="R936" s="14"/>
      <c r="S936" s="14"/>
      <c r="T936" s="14"/>
      <c r="U936" s="14"/>
      <c r="V936" s="14"/>
      <c r="W936" s="14"/>
    </row>
    <row r="937" ht="31.5" customHeight="1">
      <c r="A937" s="109" t="s">
        <v>12194</v>
      </c>
      <c r="B937" s="110" t="s">
        <v>12196</v>
      </c>
      <c r="C937" s="111" t="s">
        <v>12197</v>
      </c>
      <c r="D937" s="28" t="s">
        <v>12198</v>
      </c>
      <c r="E937" s="28" t="str">
        <f>IFERROR(__xludf.DUMMYFUNCTION("GOOGLETRANSLATE(D937,""zh-CN"",""vi"")"),"Tòa nhà này cần được đánh giá về mặt an toàn.")</f>
        <v>Tòa nhà này cần được đánh giá về mặt an toàn.</v>
      </c>
      <c r="F937" s="128"/>
      <c r="G937" s="36" t="b">
        <f t="shared" si="1"/>
        <v>0</v>
      </c>
      <c r="H937" s="35" t="b">
        <v>0</v>
      </c>
      <c r="I937" s="35" t="b">
        <v>0</v>
      </c>
      <c r="J937" s="35" t="b">
        <v>0</v>
      </c>
      <c r="K937" s="35" t="b">
        <v>0</v>
      </c>
      <c r="L937" s="35" t="b">
        <v>0</v>
      </c>
      <c r="M937" s="35" t="b">
        <v>0</v>
      </c>
      <c r="N937" s="35" t="b">
        <v>0</v>
      </c>
      <c r="O937" s="35" t="b">
        <v>0</v>
      </c>
      <c r="P937" s="35" t="b">
        <v>0</v>
      </c>
      <c r="Q937" s="35" t="b">
        <v>0</v>
      </c>
      <c r="R937" s="14"/>
      <c r="S937" s="14"/>
      <c r="T937" s="14"/>
      <c r="U937" s="14"/>
      <c r="V937" s="14"/>
      <c r="W937" s="14"/>
    </row>
    <row r="938" ht="31.5" customHeight="1">
      <c r="A938" s="109" t="s">
        <v>12202</v>
      </c>
      <c r="B938" s="110" t="s">
        <v>12204</v>
      </c>
      <c r="C938" s="111" t="s">
        <v>12205</v>
      </c>
      <c r="D938" s="28" t="s">
        <v>12206</v>
      </c>
      <c r="E938" s="28" t="str">
        <f>IFERROR(__xludf.DUMMYFUNCTION("GOOGLETRANSLATE(D938,""zh-CN"",""vi"")"),"Anh ấy là một người rất hiểu biết; anh ấy biết mọi thứ.")</f>
        <v>Anh ấy là một người rất hiểu biết; anh ấy biết mọi thứ.</v>
      </c>
      <c r="F938" s="128"/>
      <c r="G938" s="36" t="b">
        <f t="shared" si="1"/>
        <v>0</v>
      </c>
      <c r="H938" s="35" t="b">
        <v>0</v>
      </c>
      <c r="I938" s="35" t="b">
        <v>0</v>
      </c>
      <c r="J938" s="35" t="b">
        <v>0</v>
      </c>
      <c r="K938" s="35" t="b">
        <v>0</v>
      </c>
      <c r="L938" s="35" t="b">
        <v>0</v>
      </c>
      <c r="M938" s="35" t="b">
        <v>0</v>
      </c>
      <c r="N938" s="35" t="b">
        <v>0</v>
      </c>
      <c r="O938" s="35" t="b">
        <v>0</v>
      </c>
      <c r="P938" s="35" t="b">
        <v>0</v>
      </c>
      <c r="Q938" s="35" t="b">
        <v>0</v>
      </c>
      <c r="R938" s="14"/>
      <c r="S938" s="14"/>
      <c r="T938" s="14"/>
      <c r="U938" s="14"/>
      <c r="V938" s="14"/>
      <c r="W938" s="14"/>
    </row>
    <row r="939" ht="31.5" customHeight="1">
      <c r="A939" s="109" t="s">
        <v>12209</v>
      </c>
      <c r="B939" s="110" t="s">
        <v>12211</v>
      </c>
      <c r="C939" s="111" t="s">
        <v>12213</v>
      </c>
      <c r="D939" s="28" t="s">
        <v>12214</v>
      </c>
      <c r="E939" s="28" t="str">
        <f>IFERROR(__xludf.DUMMYFUNCTION("GOOGLETRANSLATE(D939,""zh-CN"",""vi"")"),"Giữa hai cuộc họp có khoảng thời gian một tiếng đồng hồ.")</f>
        <v>Giữa hai cuộc họp có khoảng thời gian một tiếng đồng hồ.</v>
      </c>
      <c r="F939" s="128"/>
      <c r="G939" s="36" t="b">
        <f t="shared" si="1"/>
        <v>0</v>
      </c>
      <c r="H939" s="35" t="b">
        <v>0</v>
      </c>
      <c r="I939" s="35" t="b">
        <v>0</v>
      </c>
      <c r="J939" s="35" t="b">
        <v>0</v>
      </c>
      <c r="K939" s="35" t="b">
        <v>0</v>
      </c>
      <c r="L939" s="35" t="b">
        <v>0</v>
      </c>
      <c r="M939" s="35" t="b">
        <v>0</v>
      </c>
      <c r="N939" s="35" t="b">
        <v>0</v>
      </c>
      <c r="O939" s="35" t="b">
        <v>0</v>
      </c>
      <c r="P939" s="35" t="b">
        <v>0</v>
      </c>
      <c r="Q939" s="35" t="b">
        <v>0</v>
      </c>
      <c r="R939" s="14"/>
      <c r="S939" s="14"/>
      <c r="T939" s="14"/>
      <c r="U939" s="14"/>
      <c r="V939" s="14"/>
      <c r="W939" s="14"/>
    </row>
    <row r="940" ht="31.5" customHeight="1">
      <c r="A940" s="109" t="s">
        <v>12216</v>
      </c>
      <c r="B940" s="110" t="s">
        <v>12218</v>
      </c>
      <c r="C940" s="111" t="s">
        <v>12220</v>
      </c>
      <c r="D940" s="28" t="s">
        <v>12222</v>
      </c>
      <c r="E940" s="28" t="str">
        <f>IFERROR(__xludf.DUMMYFUNCTION("GOOGLETRANSLATE(D940,""zh-CN"",""vi"")"),"Chúng ta suy luận sự thật thông qua bằng chứng gián tiếp.")</f>
        <v>Chúng ta suy luận sự thật thông qua bằng chứng gián tiếp.</v>
      </c>
      <c r="F940" s="128"/>
      <c r="G940" s="36" t="b">
        <f t="shared" si="1"/>
        <v>0</v>
      </c>
      <c r="H940" s="35" t="b">
        <v>0</v>
      </c>
      <c r="I940" s="35" t="b">
        <v>0</v>
      </c>
      <c r="J940" s="35" t="b">
        <v>0</v>
      </c>
      <c r="K940" s="35" t="b">
        <v>0</v>
      </c>
      <c r="L940" s="35" t="b">
        <v>0</v>
      </c>
      <c r="M940" s="35" t="b">
        <v>0</v>
      </c>
      <c r="N940" s="35" t="b">
        <v>0</v>
      </c>
      <c r="O940" s="35" t="b">
        <v>0</v>
      </c>
      <c r="P940" s="35" t="b">
        <v>0</v>
      </c>
      <c r="Q940" s="35" t="b">
        <v>0</v>
      </c>
      <c r="R940" s="14"/>
      <c r="S940" s="14"/>
      <c r="T940" s="14"/>
      <c r="U940" s="14"/>
      <c r="V940" s="14"/>
      <c r="W940" s="14"/>
    </row>
    <row r="941" ht="31.5" customHeight="1">
      <c r="A941" s="109" t="s">
        <v>12223</v>
      </c>
      <c r="B941" s="110" t="s">
        <v>12225</v>
      </c>
      <c r="C941" s="111" t="s">
        <v>12227</v>
      </c>
      <c r="D941" s="28" t="s">
        <v>12229</v>
      </c>
      <c r="E941" s="28" t="str">
        <f>IFERROR(__xludf.DUMMYFUNCTION("GOOGLETRANSLATE(D941,""zh-CN"",""vi"")"),"Những quan điểm của ông ấy rất độc đáo và đáng để xem xét.")</f>
        <v>Những quan điểm của ông ấy rất độc đáo và đáng để xem xét.</v>
      </c>
      <c r="F941" s="128"/>
      <c r="G941" s="36" t="b">
        <f t="shared" si="1"/>
        <v>0</v>
      </c>
      <c r="H941" s="35" t="b">
        <v>0</v>
      </c>
      <c r="I941" s="35" t="b">
        <v>0</v>
      </c>
      <c r="J941" s="35" t="b">
        <v>0</v>
      </c>
      <c r="K941" s="35" t="b">
        <v>0</v>
      </c>
      <c r="L941" s="35" t="b">
        <v>0</v>
      </c>
      <c r="M941" s="35" t="b">
        <v>0</v>
      </c>
      <c r="N941" s="35" t="b">
        <v>0</v>
      </c>
      <c r="O941" s="35" t="b">
        <v>0</v>
      </c>
      <c r="P941" s="35" t="b">
        <v>0</v>
      </c>
      <c r="Q941" s="35" t="b">
        <v>0</v>
      </c>
      <c r="R941" s="14"/>
      <c r="S941" s="14"/>
      <c r="T941" s="14"/>
      <c r="U941" s="14"/>
      <c r="V941" s="14"/>
      <c r="W941" s="14"/>
    </row>
    <row r="942" ht="31.5" customHeight="1">
      <c r="A942" s="109" t="s">
        <v>12231</v>
      </c>
      <c r="B942" s="110" t="s">
        <v>12232</v>
      </c>
      <c r="C942" s="111" t="s">
        <v>12233</v>
      </c>
      <c r="D942" s="28" t="s">
        <v>12235</v>
      </c>
      <c r="E942" s="28" t="str">
        <f>IFERROR(__xludf.DUMMYFUNCTION("GOOGLETRANSLATE(D942,""zh-CN"",""vi"")"),"Chúng ta cần thiết lập một hệ thống vững chắc.")</f>
        <v>Chúng ta cần thiết lập một hệ thống vững chắc.</v>
      </c>
      <c r="F942" s="128"/>
      <c r="G942" s="36" t="b">
        <f t="shared" si="1"/>
        <v>0</v>
      </c>
      <c r="H942" s="35" t="b">
        <v>0</v>
      </c>
      <c r="I942" s="35" t="b">
        <v>0</v>
      </c>
      <c r="J942" s="35" t="b">
        <v>0</v>
      </c>
      <c r="K942" s="35" t="b">
        <v>0</v>
      </c>
      <c r="L942" s="35" t="b">
        <v>0</v>
      </c>
      <c r="M942" s="35" t="b">
        <v>0</v>
      </c>
      <c r="N942" s="35" t="b">
        <v>0</v>
      </c>
      <c r="O942" s="35" t="b">
        <v>0</v>
      </c>
      <c r="P942" s="35" t="b">
        <v>0</v>
      </c>
      <c r="Q942" s="35" t="b">
        <v>0</v>
      </c>
      <c r="R942" s="14"/>
      <c r="S942" s="14"/>
      <c r="T942" s="14"/>
      <c r="U942" s="14"/>
      <c r="V942" s="14"/>
      <c r="W942" s="14"/>
    </row>
    <row r="943" ht="31.5" customHeight="1">
      <c r="A943" s="109" t="s">
        <v>12239</v>
      </c>
      <c r="B943" s="110" t="s">
        <v>12240</v>
      </c>
      <c r="C943" s="111" t="s">
        <v>12241</v>
      </c>
      <c r="D943" s="28" t="s">
        <v>12242</v>
      </c>
      <c r="E943" s="28" t="str">
        <f>IFERROR(__xludf.DUMMYFUNCTION("GOOGLETRANSLATE(D943,""zh-CN"",""vi"")"),"Họ đã ngang nhiên vi phạm pháp luật và phải bị trừng phạt.")</f>
        <v>Họ đã ngang nhiên vi phạm pháp luật và phải bị trừng phạt.</v>
      </c>
      <c r="F943" s="128"/>
      <c r="G943" s="36" t="b">
        <f t="shared" si="1"/>
        <v>0</v>
      </c>
      <c r="H943" s="35" t="b">
        <v>0</v>
      </c>
      <c r="I943" s="35" t="b">
        <v>0</v>
      </c>
      <c r="J943" s="35" t="b">
        <v>0</v>
      </c>
      <c r="K943" s="35" t="b">
        <v>0</v>
      </c>
      <c r="L943" s="35" t="b">
        <v>0</v>
      </c>
      <c r="M943" s="35" t="b">
        <v>0</v>
      </c>
      <c r="N943" s="35" t="b">
        <v>0</v>
      </c>
      <c r="O943" s="35" t="b">
        <v>0</v>
      </c>
      <c r="P943" s="35" t="b">
        <v>0</v>
      </c>
      <c r="Q943" s="35" t="b">
        <v>0</v>
      </c>
      <c r="R943" s="14"/>
      <c r="S943" s="14"/>
      <c r="T943" s="14"/>
      <c r="U943" s="14"/>
      <c r="V943" s="14"/>
      <c r="W943" s="14"/>
    </row>
    <row r="944" ht="31.5" customHeight="1">
      <c r="A944" s="109" t="s">
        <v>12247</v>
      </c>
      <c r="B944" s="110" t="s">
        <v>12249</v>
      </c>
      <c r="C944" s="111" t="s">
        <v>12251</v>
      </c>
      <c r="D944" s="28" t="s">
        <v>12253</v>
      </c>
      <c r="E944" s="28" t="str">
        <f>IFERROR(__xludf.DUMMYFUNCTION("GOOGLETRANSLATE(D944,""zh-CN"",""vi"")"),"Con tàu sẽ được đưa vào biên chế tháng tới.")</f>
        <v>Con tàu sẽ được đưa vào biên chế tháng tới.</v>
      </c>
      <c r="F944" s="128"/>
      <c r="G944" s="36" t="b">
        <f t="shared" si="1"/>
        <v>0</v>
      </c>
      <c r="H944" s="35" t="b">
        <v>0</v>
      </c>
      <c r="I944" s="35" t="b">
        <v>0</v>
      </c>
      <c r="J944" s="35" t="b">
        <v>0</v>
      </c>
      <c r="K944" s="35" t="b">
        <v>0</v>
      </c>
      <c r="L944" s="35" t="b">
        <v>0</v>
      </c>
      <c r="M944" s="35" t="b">
        <v>0</v>
      </c>
      <c r="N944" s="35" t="b">
        <v>0</v>
      </c>
      <c r="O944" s="35" t="b">
        <v>0</v>
      </c>
      <c r="P944" s="35" t="b">
        <v>0</v>
      </c>
      <c r="Q944" s="35" t="b">
        <v>0</v>
      </c>
      <c r="R944" s="14"/>
      <c r="S944" s="14"/>
      <c r="T944" s="14"/>
      <c r="U944" s="14"/>
      <c r="V944" s="14"/>
      <c r="W944" s="14"/>
    </row>
    <row r="945" ht="31.5" customHeight="1">
      <c r="A945" s="109" t="s">
        <v>12256</v>
      </c>
      <c r="B945" s="110" t="s">
        <v>12258</v>
      </c>
      <c r="C945" s="111" t="s">
        <v>12259</v>
      </c>
      <c r="D945" s="28" t="s">
        <v>12261</v>
      </c>
      <c r="E945" s="28" t="str">
        <f>IFERROR(__xludf.DUMMYFUNCTION("GOOGLETRANSLATE(D945,""zh-CN"",""vi"")"),"Ông ấy có nhiều kinh nghiệm và kiến ​​thức sâu rộng.")</f>
        <v>Ông ấy có nhiều kinh nghiệm và kiến ​​thức sâu rộng.</v>
      </c>
      <c r="F945" s="128"/>
      <c r="G945" s="36" t="b">
        <f t="shared" si="1"/>
        <v>0</v>
      </c>
      <c r="H945" s="35" t="b">
        <v>0</v>
      </c>
      <c r="I945" s="35" t="b">
        <v>0</v>
      </c>
      <c r="J945" s="35" t="b">
        <v>0</v>
      </c>
      <c r="K945" s="35" t="b">
        <v>0</v>
      </c>
      <c r="L945" s="35" t="b">
        <v>0</v>
      </c>
      <c r="M945" s="35" t="b">
        <v>0</v>
      </c>
      <c r="N945" s="35" t="b">
        <v>0</v>
      </c>
      <c r="O945" s="35" t="b">
        <v>0</v>
      </c>
      <c r="P945" s="35" t="b">
        <v>0</v>
      </c>
      <c r="Q945" s="35" t="b">
        <v>0</v>
      </c>
      <c r="R945" s="14"/>
      <c r="S945" s="14"/>
      <c r="T945" s="14"/>
      <c r="U945" s="14"/>
      <c r="V945" s="14"/>
      <c r="W945" s="14"/>
    </row>
    <row r="946" ht="31.5" customHeight="1">
      <c r="A946" s="109" t="s">
        <v>12263</v>
      </c>
      <c r="B946" s="110" t="s">
        <v>12265</v>
      </c>
      <c r="C946" s="111" t="s">
        <v>12267</v>
      </c>
      <c r="D946" s="28" t="s">
        <v>12269</v>
      </c>
      <c r="E946" s="28" t="str">
        <f>IFERROR(__xludf.DUMMYFUNCTION("GOOGLETRANSLATE(D946,""zh-CN"",""vi"")"),"Anh ấy đã hành động dũng cảm và cứu sống nhiều người.")</f>
        <v>Anh ấy đã hành động dũng cảm và cứu sống nhiều người.</v>
      </c>
      <c r="F946" s="128"/>
      <c r="G946" s="36" t="b">
        <f t="shared" si="1"/>
        <v>0</v>
      </c>
      <c r="H946" s="35" t="b">
        <v>1</v>
      </c>
      <c r="I946" s="35" t="b">
        <v>0</v>
      </c>
      <c r="J946" s="35" t="b">
        <v>0</v>
      </c>
      <c r="K946" s="35" t="b">
        <v>0</v>
      </c>
      <c r="L946" s="35" t="b">
        <v>0</v>
      </c>
      <c r="M946" s="35" t="b">
        <v>0</v>
      </c>
      <c r="N946" s="35" t="b">
        <v>0</v>
      </c>
      <c r="O946" s="35" t="b">
        <v>0</v>
      </c>
      <c r="P946" s="35" t="b">
        <v>0</v>
      </c>
      <c r="Q946" s="35" t="b">
        <v>0</v>
      </c>
      <c r="R946" s="14"/>
      <c r="S946" s="14"/>
      <c r="T946" s="14"/>
      <c r="U946" s="14"/>
      <c r="V946" s="14"/>
      <c r="W946" s="14"/>
    </row>
    <row r="947" ht="31.5" customHeight="1">
      <c r="A947" s="109" t="s">
        <v>12270</v>
      </c>
      <c r="B947" s="110" t="s">
        <v>12272</v>
      </c>
      <c r="C947" s="111" t="s">
        <v>12273</v>
      </c>
      <c r="D947" s="28" t="s">
        <v>12275</v>
      </c>
      <c r="E947" s="28" t="str">
        <f>IFERROR(__xludf.DUMMYFUNCTION("GOOGLETRANSLATE(D947,""zh-CN"",""vi"")"),"Do thời tiết xấu, chúng tôi đã quyết định hủy chuyến đi.")</f>
        <v>Do thời tiết xấu, chúng tôi đã quyết định hủy chuyến đi.</v>
      </c>
      <c r="F947" s="128"/>
      <c r="G947" s="36" t="b">
        <f t="shared" si="1"/>
        <v>0</v>
      </c>
      <c r="H947" s="35" t="b">
        <v>1</v>
      </c>
      <c r="I947" s="35" t="b">
        <v>0</v>
      </c>
      <c r="J947" s="35" t="b">
        <v>0</v>
      </c>
      <c r="K947" s="35" t="b">
        <v>0</v>
      </c>
      <c r="L947" s="35" t="b">
        <v>0</v>
      </c>
      <c r="M947" s="35" t="b">
        <v>0</v>
      </c>
      <c r="N947" s="35" t="b">
        <v>0</v>
      </c>
      <c r="O947" s="35" t="b">
        <v>0</v>
      </c>
      <c r="P947" s="35" t="b">
        <v>0</v>
      </c>
      <c r="Q947" s="35" t="b">
        <v>0</v>
      </c>
      <c r="R947" s="14"/>
      <c r="S947" s="14"/>
      <c r="T947" s="14"/>
      <c r="U947" s="14"/>
      <c r="V947" s="14"/>
      <c r="W947" s="14"/>
    </row>
    <row r="948" ht="31.5" customHeight="1">
      <c r="A948" s="109" t="s">
        <v>12277</v>
      </c>
      <c r="B948" s="110" t="s">
        <v>12278</v>
      </c>
      <c r="C948" s="111" t="s">
        <v>12279</v>
      </c>
      <c r="D948" s="28" t="s">
        <v>12281</v>
      </c>
      <c r="E948" s="28" t="str">
        <f>IFERROR(__xludf.DUMMYFUNCTION("GOOGLETRANSLATE(D948,""zh-CN"",""vi"")"),"Ông ấy đã gần sáu mươi tuổi và vẫn còn đang làm việc.")</f>
        <v>Ông ấy đã gần sáu mươi tuổi và vẫn còn đang làm việc.</v>
      </c>
      <c r="F948" s="128"/>
      <c r="G948" s="36" t="b">
        <f t="shared" si="1"/>
        <v>0</v>
      </c>
      <c r="H948" s="35" t="b">
        <v>1</v>
      </c>
      <c r="I948" s="35" t="b">
        <v>0</v>
      </c>
      <c r="J948" s="35" t="b">
        <v>0</v>
      </c>
      <c r="K948" s="35" t="b">
        <v>0</v>
      </c>
      <c r="L948" s="35" t="b">
        <v>0</v>
      </c>
      <c r="M948" s="35" t="b">
        <v>0</v>
      </c>
      <c r="N948" s="35" t="b">
        <v>0</v>
      </c>
      <c r="O948" s="35" t="b">
        <v>0</v>
      </c>
      <c r="P948" s="35" t="b">
        <v>0</v>
      </c>
      <c r="Q948" s="35" t="b">
        <v>0</v>
      </c>
      <c r="R948" s="14"/>
      <c r="S948" s="14"/>
      <c r="T948" s="14"/>
      <c r="U948" s="14"/>
      <c r="V948" s="14"/>
      <c r="W948" s="14"/>
    </row>
    <row r="949" ht="31.5" customHeight="1">
      <c r="A949" s="109" t="s">
        <v>12285</v>
      </c>
      <c r="B949" s="110" t="s">
        <v>12286</v>
      </c>
      <c r="C949" s="111" t="s">
        <v>12287</v>
      </c>
      <c r="D949" s="28" t="s">
        <v>12288</v>
      </c>
      <c r="E949" s="28" t="str">
        <f>IFERROR(__xludf.DUMMYFUNCTION("GOOGLETRANSLATE(D949,""zh-CN"",""vi"")"),"Vị tướng này đã trực tiếp chỉ đạo chiến dịch.")</f>
        <v>Vị tướng này đã trực tiếp chỉ đạo chiến dịch.</v>
      </c>
      <c r="F949" s="128"/>
      <c r="G949" s="36" t="b">
        <f t="shared" si="1"/>
        <v>0</v>
      </c>
      <c r="H949" s="35" t="b">
        <v>1</v>
      </c>
      <c r="I949" s="35" t="b">
        <v>0</v>
      </c>
      <c r="J949" s="35" t="b">
        <v>0</v>
      </c>
      <c r="K949" s="35" t="b">
        <v>0</v>
      </c>
      <c r="L949" s="35" t="b">
        <v>0</v>
      </c>
      <c r="M949" s="35" t="b">
        <v>0</v>
      </c>
      <c r="N949" s="35" t="b">
        <v>0</v>
      </c>
      <c r="O949" s="35" t="b">
        <v>0</v>
      </c>
      <c r="P949" s="35" t="b">
        <v>0</v>
      </c>
      <c r="Q949" s="35" t="b">
        <v>0</v>
      </c>
      <c r="R949" s="14"/>
      <c r="S949" s="14"/>
      <c r="T949" s="14"/>
      <c r="U949" s="14"/>
      <c r="V949" s="14"/>
      <c r="W949" s="14"/>
    </row>
    <row r="950" ht="31.5" customHeight="1">
      <c r="A950" s="109" t="s">
        <v>12290</v>
      </c>
      <c r="B950" s="110" t="s">
        <v>12291</v>
      </c>
      <c r="C950" s="111" t="s">
        <v>12292</v>
      </c>
      <c r="D950" s="28" t="s">
        <v>12293</v>
      </c>
      <c r="E950" s="28" t="str">
        <f>IFERROR(__xludf.DUMMYFUNCTION("GOOGLETRANSLATE(D950,""zh-CN"",""vi"")"),"Các ngón tay của anh ta cứng đờ.")</f>
        <v>Các ngón tay của anh ta cứng đờ.</v>
      </c>
      <c r="F950" s="128"/>
      <c r="G950" s="36" t="b">
        <f t="shared" si="1"/>
        <v>0</v>
      </c>
      <c r="H950" s="35" t="b">
        <v>1</v>
      </c>
      <c r="I950" s="35" t="b">
        <v>0</v>
      </c>
      <c r="J950" s="35" t="b">
        <v>0</v>
      </c>
      <c r="K950" s="35" t="b">
        <v>0</v>
      </c>
      <c r="L950" s="35" t="b">
        <v>0</v>
      </c>
      <c r="M950" s="35" t="b">
        <v>0</v>
      </c>
      <c r="N950" s="35" t="b">
        <v>0</v>
      </c>
      <c r="O950" s="35" t="b">
        <v>0</v>
      </c>
      <c r="P950" s="35" t="b">
        <v>0</v>
      </c>
      <c r="Q950" s="35" t="b">
        <v>0</v>
      </c>
      <c r="R950" s="14"/>
      <c r="S950" s="14"/>
      <c r="T950" s="14"/>
      <c r="U950" s="14"/>
      <c r="V950" s="14"/>
      <c r="W950" s="14"/>
    </row>
    <row r="951" ht="31.5" customHeight="1">
      <c r="A951" s="109" t="s">
        <v>12295</v>
      </c>
      <c r="B951" s="110" t="s">
        <v>1853</v>
      </c>
      <c r="C951" s="111" t="s">
        <v>12296</v>
      </c>
      <c r="D951" s="28" t="s">
        <v>12297</v>
      </c>
      <c r="E951" s="28" t="str">
        <f>IFERROR(__xludf.DUMMYFUNCTION("GOOGLETRANSLATE(D951,""zh-CN"",""vi"")"),"Ông chèo một chiếc thuyền nhỏ, nhẹ nhàng dùng mái chèo đẩy nước.")</f>
        <v>Ông chèo một chiếc thuyền nhỏ, nhẹ nhàng dùng mái chèo đẩy nước.</v>
      </c>
      <c r="F951" s="128"/>
      <c r="G951" s="36" t="b">
        <f t="shared" si="1"/>
        <v>0</v>
      </c>
      <c r="H951" s="35" t="b">
        <v>1</v>
      </c>
      <c r="I951" s="35" t="b">
        <v>0</v>
      </c>
      <c r="J951" s="35" t="b">
        <v>0</v>
      </c>
      <c r="K951" s="35" t="b">
        <v>0</v>
      </c>
      <c r="L951" s="35" t="b">
        <v>0</v>
      </c>
      <c r="M951" s="35" t="b">
        <v>0</v>
      </c>
      <c r="N951" s="35" t="b">
        <v>0</v>
      </c>
      <c r="O951" s="35" t="b">
        <v>0</v>
      </c>
      <c r="P951" s="35" t="b">
        <v>0</v>
      </c>
      <c r="Q951" s="35" t="b">
        <v>0</v>
      </c>
      <c r="R951" s="14"/>
      <c r="S951" s="14"/>
      <c r="T951" s="14"/>
      <c r="U951" s="14"/>
      <c r="V951" s="14"/>
      <c r="W951" s="14"/>
    </row>
    <row r="952" ht="31.5" customHeight="1">
      <c r="A952" s="109" t="s">
        <v>12300</v>
      </c>
      <c r="B952" s="110" t="s">
        <v>12301</v>
      </c>
      <c r="C952" s="111" t="s">
        <v>12302</v>
      </c>
      <c r="D952" s="28" t="s">
        <v>12303</v>
      </c>
      <c r="E952" s="28" t="str">
        <f>IFERROR(__xludf.DUMMYFUNCTION("GOOGLETRANSLATE(D952,""zh-CN"",""vi"")"),"Ông chủ đã thưởng cho anh ta một khoản tiền thưởng.")</f>
        <v>Ông chủ đã thưởng cho anh ta một khoản tiền thưởng.</v>
      </c>
      <c r="F952" s="128"/>
      <c r="G952" s="36" t="b">
        <f t="shared" si="1"/>
        <v>0</v>
      </c>
      <c r="H952" s="35" t="b">
        <v>1</v>
      </c>
      <c r="I952" s="35" t="b">
        <v>0</v>
      </c>
      <c r="J952" s="35" t="b">
        <v>0</v>
      </c>
      <c r="K952" s="35" t="b">
        <v>0</v>
      </c>
      <c r="L952" s="35" t="b">
        <v>0</v>
      </c>
      <c r="M952" s="35" t="b">
        <v>0</v>
      </c>
      <c r="N952" s="35" t="b">
        <v>0</v>
      </c>
      <c r="O952" s="35" t="b">
        <v>0</v>
      </c>
      <c r="P952" s="35" t="b">
        <v>0</v>
      </c>
      <c r="Q952" s="35" t="b">
        <v>0</v>
      </c>
      <c r="R952" s="14"/>
      <c r="S952" s="14"/>
      <c r="T952" s="14"/>
      <c r="U952" s="14"/>
      <c r="V952" s="14"/>
      <c r="W952" s="14"/>
    </row>
    <row r="953" ht="31.5" customHeight="1">
      <c r="A953" s="109" t="s">
        <v>12304</v>
      </c>
      <c r="B953" s="110" t="s">
        <v>12305</v>
      </c>
      <c r="C953" s="111" t="s">
        <v>12306</v>
      </c>
      <c r="D953" s="28" t="s">
        <v>12307</v>
      </c>
      <c r="E953" s="28" t="str">
        <f>IFERROR(__xludf.DUMMYFUNCTION("GOOGLETRANSLATE(D953,""zh-CN"",""vi"")"),"Anh ấy đã được khen thưởng vì thành tích xuất sắc của mình.")</f>
        <v>Anh ấy đã được khen thưởng vì thành tích xuất sắc của mình.</v>
      </c>
      <c r="F953" s="128"/>
      <c r="G953" s="36" t="b">
        <f t="shared" si="1"/>
        <v>0</v>
      </c>
      <c r="H953" s="35" t="b">
        <v>1</v>
      </c>
      <c r="I953" s="35" t="b">
        <v>0</v>
      </c>
      <c r="J953" s="35" t="b">
        <v>0</v>
      </c>
      <c r="K953" s="35" t="b">
        <v>0</v>
      </c>
      <c r="L953" s="35" t="b">
        <v>0</v>
      </c>
      <c r="M953" s="35" t="b">
        <v>0</v>
      </c>
      <c r="N953" s="35" t="b">
        <v>0</v>
      </c>
      <c r="O953" s="35" t="b">
        <v>0</v>
      </c>
      <c r="P953" s="35" t="b">
        <v>0</v>
      </c>
      <c r="Q953" s="35" t="b">
        <v>0</v>
      </c>
      <c r="R953" s="14"/>
      <c r="S953" s="14"/>
      <c r="T953" s="14"/>
      <c r="U953" s="14"/>
      <c r="V953" s="14"/>
      <c r="W953" s="14"/>
    </row>
    <row r="954" ht="31.5" customHeight="1">
      <c r="A954" s="109" t="s">
        <v>12308</v>
      </c>
      <c r="B954" s="110" t="s">
        <v>12309</v>
      </c>
      <c r="C954" s="111" t="s">
        <v>12310</v>
      </c>
      <c r="D954" s="28" t="s">
        <v>12311</v>
      </c>
      <c r="E954" s="28" t="str">
        <f>IFERROR(__xludf.DUMMYFUNCTION("GOOGLETRANSLATE(D954,""zh-CN"",""vi"")"),"Sự xuất hiện của mùa xuân mang đến cho mọi người niềm hân hoan, lấp đầy trái tim ai nấy đều tràn ngập niềm vui.")</f>
        <v>Sự xuất hiện của mùa xuân mang đến cho mọi người niềm hân hoan, lấp đầy trái tim ai nấy đều tràn ngập niềm vui.</v>
      </c>
      <c r="F954" s="128"/>
      <c r="G954" s="36" t="b">
        <f t="shared" si="1"/>
        <v>0</v>
      </c>
      <c r="H954" s="35" t="b">
        <v>1</v>
      </c>
      <c r="I954" s="35" t="b">
        <v>0</v>
      </c>
      <c r="J954" s="35" t="b">
        <v>0</v>
      </c>
      <c r="K954" s="35" t="b">
        <v>0</v>
      </c>
      <c r="L954" s="35" t="b">
        <v>0</v>
      </c>
      <c r="M954" s="35" t="b">
        <v>0</v>
      </c>
      <c r="N954" s="35" t="b">
        <v>0</v>
      </c>
      <c r="O954" s="35" t="b">
        <v>0</v>
      </c>
      <c r="P954" s="35" t="b">
        <v>0</v>
      </c>
      <c r="Q954" s="35" t="b">
        <v>0</v>
      </c>
      <c r="R954" s="14"/>
      <c r="S954" s="14"/>
      <c r="T954" s="14"/>
      <c r="U954" s="14"/>
      <c r="V954" s="14"/>
      <c r="W954" s="14"/>
    </row>
    <row r="955" ht="31.5" customHeight="1">
      <c r="A955" s="109" t="s">
        <v>12312</v>
      </c>
      <c r="B955" s="110" t="s">
        <v>12313</v>
      </c>
      <c r="C955" s="111" t="s">
        <v>12314</v>
      </c>
      <c r="D955" s="28" t="s">
        <v>12315</v>
      </c>
      <c r="E955" s="28" t="str">
        <f>IFERROR(__xludf.DUMMYFUNCTION("GOOGLETRANSLATE(D955,""zh-CN"",""vi"")"),"Hai con đường giao nhau tại đây.")</f>
        <v>Hai con đường giao nhau tại đây.</v>
      </c>
      <c r="F955" s="128"/>
      <c r="G955" s="36" t="b">
        <f t="shared" si="1"/>
        <v>0</v>
      </c>
      <c r="H955" s="35" t="b">
        <v>1</v>
      </c>
      <c r="I955" s="35" t="b">
        <v>0</v>
      </c>
      <c r="J955" s="35" t="b">
        <v>0</v>
      </c>
      <c r="K955" s="35" t="b">
        <v>0</v>
      </c>
      <c r="L955" s="35" t="b">
        <v>0</v>
      </c>
      <c r="M955" s="35" t="b">
        <v>0</v>
      </c>
      <c r="N955" s="35" t="b">
        <v>0</v>
      </c>
      <c r="O955" s="35" t="b">
        <v>0</v>
      </c>
      <c r="P955" s="35" t="b">
        <v>0</v>
      </c>
      <c r="Q955" s="35" t="b">
        <v>0</v>
      </c>
      <c r="R955" s="14"/>
      <c r="S955" s="14"/>
      <c r="T955" s="14"/>
      <c r="U955" s="14"/>
      <c r="V955" s="14"/>
      <c r="W955" s="14"/>
    </row>
    <row r="956" ht="31.5" customHeight="1">
      <c r="A956" s="109" t="s">
        <v>12316</v>
      </c>
      <c r="B956" s="110" t="s">
        <v>12317</v>
      </c>
      <c r="C956" s="111" t="s">
        <v>12318</v>
      </c>
      <c r="D956" s="28" t="s">
        <v>12319</v>
      </c>
      <c r="E956" s="28" t="str">
        <f>IFERROR(__xludf.DUMMYFUNCTION("GOOGLETRANSLATE(D956,""zh-CN"",""vi"")"),"Anh ấy đã báo cáo tiến độ công việc cho cấp trên.")</f>
        <v>Anh ấy đã báo cáo tiến độ công việc cho cấp trên.</v>
      </c>
      <c r="F956" s="128"/>
      <c r="G956" s="36" t="b">
        <f t="shared" si="1"/>
        <v>0</v>
      </c>
      <c r="H956" s="35" t="b">
        <v>1</v>
      </c>
      <c r="I956" s="35" t="b">
        <v>0</v>
      </c>
      <c r="J956" s="35" t="b">
        <v>0</v>
      </c>
      <c r="K956" s="35" t="b">
        <v>0</v>
      </c>
      <c r="L956" s="35" t="b">
        <v>0</v>
      </c>
      <c r="M956" s="35" t="b">
        <v>0</v>
      </c>
      <c r="N956" s="35" t="b">
        <v>0</v>
      </c>
      <c r="O956" s="35" t="b">
        <v>0</v>
      </c>
      <c r="P956" s="35" t="b">
        <v>0</v>
      </c>
      <c r="Q956" s="35" t="b">
        <v>0</v>
      </c>
      <c r="R956" s="14"/>
      <c r="S956" s="14"/>
      <c r="T956" s="14"/>
      <c r="U956" s="14"/>
      <c r="V956" s="14"/>
      <c r="W956" s="14"/>
    </row>
    <row r="957" ht="31.5" customHeight="1">
      <c r="A957" s="109" t="s">
        <v>12320</v>
      </c>
      <c r="B957" s="110" t="s">
        <v>12321</v>
      </c>
      <c r="C957" s="111" t="s">
        <v>12322</v>
      </c>
      <c r="D957" s="28" t="s">
        <v>12323</v>
      </c>
      <c r="E957" s="28" t="str">
        <f>IFERROR(__xludf.DUMMYFUNCTION("GOOGLETRANSLATE(D957,""zh-CN"",""vi"")"),"Trọng tâm giải quyết vấn đề của chúng tôi là...")</f>
        <v>Trọng tâm giải quyết vấn đề của chúng tôi là...</v>
      </c>
      <c r="F957" s="128"/>
      <c r="G957" s="36" t="b">
        <f t="shared" si="1"/>
        <v>0</v>
      </c>
      <c r="H957" s="35" t="b">
        <v>1</v>
      </c>
      <c r="I957" s="35" t="b">
        <v>0</v>
      </c>
      <c r="J957" s="35" t="b">
        <v>0</v>
      </c>
      <c r="K957" s="35" t="b">
        <v>0</v>
      </c>
      <c r="L957" s="35" t="b">
        <v>0</v>
      </c>
      <c r="M957" s="35" t="b">
        <v>0</v>
      </c>
      <c r="N957" s="35" t="b">
        <v>0</v>
      </c>
      <c r="O957" s="35" t="b">
        <v>0</v>
      </c>
      <c r="P957" s="35" t="b">
        <v>0</v>
      </c>
      <c r="Q957" s="35" t="b">
        <v>0</v>
      </c>
      <c r="R957" s="14"/>
      <c r="S957" s="14"/>
      <c r="T957" s="14"/>
      <c r="U957" s="14"/>
      <c r="V957" s="14"/>
      <c r="W957" s="14"/>
    </row>
    <row r="958" ht="31.5" customHeight="1">
      <c r="A958" s="109" t="s">
        <v>12328</v>
      </c>
      <c r="B958" s="110" t="s">
        <v>12329</v>
      </c>
      <c r="C958" s="111" t="s">
        <v>12330</v>
      </c>
      <c r="D958" s="28" t="s">
        <v>12331</v>
      </c>
      <c r="E958" s="28" t="str">
        <f>IFERROR(__xludf.DUMMYFUNCTION("GOOGLETRANSLATE(D958,""zh-CN"",""vi"")"),"Nỗi lo lắng của anh ấy hiện rõ.")</f>
        <v>Nỗi lo lắng của anh ấy hiện rõ.</v>
      </c>
      <c r="F958" s="128"/>
      <c r="G958" s="36" t="b">
        <f t="shared" si="1"/>
        <v>0</v>
      </c>
      <c r="H958" s="35" t="b">
        <v>1</v>
      </c>
      <c r="I958" s="35" t="b">
        <v>0</v>
      </c>
      <c r="J958" s="35" t="b">
        <v>0</v>
      </c>
      <c r="K958" s="35" t="b">
        <v>0</v>
      </c>
      <c r="L958" s="35" t="b">
        <v>0</v>
      </c>
      <c r="M958" s="35" t="b">
        <v>0</v>
      </c>
      <c r="N958" s="35" t="b">
        <v>0</v>
      </c>
      <c r="O958" s="35" t="b">
        <v>0</v>
      </c>
      <c r="P958" s="35" t="b">
        <v>0</v>
      </c>
      <c r="Q958" s="35" t="b">
        <v>0</v>
      </c>
      <c r="R958" s="14"/>
      <c r="S958" s="14"/>
      <c r="T958" s="14"/>
      <c r="U958" s="14"/>
      <c r="V958" s="14"/>
      <c r="W958" s="14"/>
    </row>
    <row r="959" ht="31.5" customHeight="1">
      <c r="A959" s="109" t="s">
        <v>12332</v>
      </c>
      <c r="B959" s="110" t="s">
        <v>12333</v>
      </c>
      <c r="C959" s="111" t="s">
        <v>12334</v>
      </c>
      <c r="D959" s="28" t="s">
        <v>12335</v>
      </c>
      <c r="E959" s="28" t="str">
        <f>IFERROR(__xludf.DUMMYFUNCTION("GOOGLETRANSLATE(D959,""zh-CN"",""vi"")"),"Tính cách nuông chiều của cô ta thật không thể chịu nổi.")</f>
        <v>Tính cách nuông chiều của cô ta thật không thể chịu nổi.</v>
      </c>
      <c r="F959" s="128"/>
      <c r="G959" s="36" t="b">
        <f t="shared" si="1"/>
        <v>0</v>
      </c>
      <c r="H959" s="35" t="b">
        <v>1</v>
      </c>
      <c r="I959" s="35" t="b">
        <v>0</v>
      </c>
      <c r="J959" s="35" t="b">
        <v>0</v>
      </c>
      <c r="K959" s="35" t="b">
        <v>0</v>
      </c>
      <c r="L959" s="35" t="b">
        <v>0</v>
      </c>
      <c r="M959" s="35" t="b">
        <v>0</v>
      </c>
      <c r="N959" s="35" t="b">
        <v>0</v>
      </c>
      <c r="O959" s="35" t="b">
        <v>0</v>
      </c>
      <c r="P959" s="35" t="b">
        <v>0</v>
      </c>
      <c r="Q959" s="35" t="b">
        <v>0</v>
      </c>
      <c r="R959" s="14"/>
      <c r="S959" s="14"/>
      <c r="T959" s="14"/>
      <c r="U959" s="14"/>
      <c r="V959" s="14"/>
      <c r="W959" s="14"/>
    </row>
    <row r="960" ht="31.5" customHeight="1">
      <c r="A960" s="109" t="s">
        <v>12340</v>
      </c>
      <c r="B960" s="110" t="s">
        <v>12341</v>
      </c>
      <c r="C960" s="111" t="s">
        <v>7941</v>
      </c>
      <c r="D960" s="28" t="s">
        <v>12342</v>
      </c>
      <c r="E960" s="28" t="str">
        <f>IFERROR(__xludf.DUMMYFUNCTION("GOOGLETRANSLATE(D960,""zh-CN"",""vi"")"),"Chúng tôi hiện đang đàm phán chi tiết hợp đồng với công ty kia.")</f>
        <v>Chúng tôi hiện đang đàm phán chi tiết hợp đồng với công ty kia.</v>
      </c>
      <c r="F960" s="128"/>
      <c r="G960" s="36" t="b">
        <f t="shared" si="1"/>
        <v>0</v>
      </c>
      <c r="H960" s="35" t="b">
        <v>1</v>
      </c>
      <c r="I960" s="35" t="b">
        <v>0</v>
      </c>
      <c r="J960" s="35" t="b">
        <v>0</v>
      </c>
      <c r="K960" s="35" t="b">
        <v>0</v>
      </c>
      <c r="L960" s="35" t="b">
        <v>0</v>
      </c>
      <c r="M960" s="35" t="b">
        <v>0</v>
      </c>
      <c r="N960" s="35" t="b">
        <v>0</v>
      </c>
      <c r="O960" s="35" t="b">
        <v>0</v>
      </c>
      <c r="P960" s="35" t="b">
        <v>0</v>
      </c>
      <c r="Q960" s="35" t="b">
        <v>0</v>
      </c>
      <c r="R960" s="14"/>
      <c r="S960" s="14"/>
      <c r="T960" s="14"/>
      <c r="U960" s="14"/>
      <c r="V960" s="14"/>
      <c r="W960" s="14"/>
    </row>
    <row r="961" ht="31.5" customHeight="1">
      <c r="A961" s="109" t="s">
        <v>7843</v>
      </c>
      <c r="B961" s="110" t="s">
        <v>7844</v>
      </c>
      <c r="C961" s="111" t="s">
        <v>12345</v>
      </c>
      <c r="D961" s="28" t="s">
        <v>12347</v>
      </c>
      <c r="E961" s="28" t="str">
        <f>IFERROR(__xludf.DUMMYFUNCTION("GOOGLETRANSLATE(D961,""zh-CN"",""vi"")"),"Họ có mối quan hệ rất thân thiết.")</f>
        <v>Họ có mối quan hệ rất thân thiết.</v>
      </c>
      <c r="F961" s="128"/>
      <c r="G961" s="36" t="b">
        <f t="shared" si="1"/>
        <v>0</v>
      </c>
      <c r="H961" s="35" t="b">
        <v>1</v>
      </c>
      <c r="I961" s="35" t="b">
        <v>0</v>
      </c>
      <c r="J961" s="35" t="b">
        <v>0</v>
      </c>
      <c r="K961" s="35" t="b">
        <v>0</v>
      </c>
      <c r="L961" s="35" t="b">
        <v>0</v>
      </c>
      <c r="M961" s="35" t="b">
        <v>0</v>
      </c>
      <c r="N961" s="35" t="b">
        <v>0</v>
      </c>
      <c r="O961" s="35" t="b">
        <v>0</v>
      </c>
      <c r="P961" s="35" t="b">
        <v>0</v>
      </c>
      <c r="Q961" s="35" t="b">
        <v>0</v>
      </c>
      <c r="R961" s="14"/>
      <c r="S961" s="14"/>
      <c r="T961" s="14"/>
      <c r="U961" s="14"/>
      <c r="V961" s="14"/>
      <c r="W961" s="14"/>
    </row>
    <row r="962" ht="31.5" customHeight="1">
      <c r="A962" s="109" t="s">
        <v>12348</v>
      </c>
      <c r="B962" s="110" t="s">
        <v>12349</v>
      </c>
      <c r="C962" s="111" t="s">
        <v>12350</v>
      </c>
      <c r="D962" s="28" t="s">
        <v>12352</v>
      </c>
      <c r="E962" s="28" t="str">
        <f>IFERROR(__xludf.DUMMYFUNCTION("GOOGLETRANSLATE(D962,""zh-CN"",""vi"")"),"Họ đã đạt được một thỏa thuận quan trọng.")</f>
        <v>Họ đã đạt được một thỏa thuận quan trọng.</v>
      </c>
      <c r="F962" s="128"/>
      <c r="G962" s="36" t="b">
        <f t="shared" si="1"/>
        <v>0</v>
      </c>
      <c r="H962" s="35" t="b">
        <v>1</v>
      </c>
      <c r="I962" s="35" t="b">
        <v>0</v>
      </c>
      <c r="J962" s="35" t="b">
        <v>0</v>
      </c>
      <c r="K962" s="35" t="b">
        <v>0</v>
      </c>
      <c r="L962" s="35" t="b">
        <v>0</v>
      </c>
      <c r="M962" s="35" t="b">
        <v>0</v>
      </c>
      <c r="N962" s="35" t="b">
        <v>0</v>
      </c>
      <c r="O962" s="35" t="b">
        <v>0</v>
      </c>
      <c r="P962" s="35" t="b">
        <v>0</v>
      </c>
      <c r="Q962" s="35" t="b">
        <v>0</v>
      </c>
      <c r="R962" s="14"/>
      <c r="S962" s="14"/>
      <c r="T962" s="14"/>
      <c r="U962" s="14"/>
      <c r="V962" s="14"/>
      <c r="W962" s="14"/>
    </row>
    <row r="963" ht="31.5" customHeight="1">
      <c r="A963" s="109" t="s">
        <v>12356</v>
      </c>
      <c r="B963" s="110" t="s">
        <v>12357</v>
      </c>
      <c r="C963" s="111" t="s">
        <v>12358</v>
      </c>
      <c r="D963" s="28" t="s">
        <v>12359</v>
      </c>
      <c r="E963" s="28" t="str">
        <f>IFERROR(__xludf.DUMMYFUNCTION("GOOGLETRANSLATE(D963,""zh-CN"",""vi"")"),"Đầu bếp đang trộn các nguyên liệu, chuẩn bị làm bánh.")</f>
        <v>Đầu bếp đang trộn các nguyên liệu, chuẩn bị làm bánh.</v>
      </c>
      <c r="F963" s="128"/>
      <c r="G963" s="36" t="b">
        <f t="shared" si="1"/>
        <v>0</v>
      </c>
      <c r="H963" s="35" t="b">
        <v>1</v>
      </c>
      <c r="I963" s="35" t="b">
        <v>0</v>
      </c>
      <c r="J963" s="35" t="b">
        <v>0</v>
      </c>
      <c r="K963" s="35" t="b">
        <v>0</v>
      </c>
      <c r="L963" s="35" t="b">
        <v>0</v>
      </c>
      <c r="M963" s="35" t="b">
        <v>0</v>
      </c>
      <c r="N963" s="35" t="b">
        <v>0</v>
      </c>
      <c r="O963" s="35" t="b">
        <v>0</v>
      </c>
      <c r="P963" s="35" t="b">
        <v>0</v>
      </c>
      <c r="Q963" s="35" t="b">
        <v>0</v>
      </c>
      <c r="R963" s="14"/>
      <c r="S963" s="14"/>
      <c r="T963" s="14"/>
      <c r="U963" s="14"/>
      <c r="V963" s="14"/>
      <c r="W963" s="14"/>
    </row>
    <row r="964" ht="31.5" customHeight="1">
      <c r="A964" s="109" t="s">
        <v>12360</v>
      </c>
      <c r="B964" s="110" t="s">
        <v>12361</v>
      </c>
      <c r="C964" s="111" t="s">
        <v>12362</v>
      </c>
      <c r="D964" s="28" t="s">
        <v>12363</v>
      </c>
      <c r="E964" s="28" t="str">
        <f>IFERROR(__xludf.DUMMYFUNCTION("GOOGLETRANSLATE(D964,""zh-CN"",""vi"")"),"Góc này được giấu kỹ lắm; không ai tìm thấy đâu.")</f>
        <v>Góc này được giấu kỹ lắm; không ai tìm thấy đâu.</v>
      </c>
      <c r="F964" s="128"/>
      <c r="G964" s="36" t="b">
        <f t="shared" si="1"/>
        <v>0</v>
      </c>
      <c r="H964" s="35" t="b">
        <v>1</v>
      </c>
      <c r="I964" s="35" t="b">
        <v>0</v>
      </c>
      <c r="J964" s="35" t="b">
        <v>0</v>
      </c>
      <c r="K964" s="35" t="b">
        <v>0</v>
      </c>
      <c r="L964" s="35" t="b">
        <v>0</v>
      </c>
      <c r="M964" s="35" t="b">
        <v>0</v>
      </c>
      <c r="N964" s="35" t="b">
        <v>0</v>
      </c>
      <c r="O964" s="35" t="b">
        <v>0</v>
      </c>
      <c r="P964" s="35" t="b">
        <v>0</v>
      </c>
      <c r="Q964" s="35" t="b">
        <v>0</v>
      </c>
      <c r="R964" s="14"/>
      <c r="S964" s="14"/>
      <c r="T964" s="14"/>
      <c r="U964" s="14"/>
      <c r="V964" s="14"/>
      <c r="W964" s="14"/>
    </row>
    <row r="965" ht="31.5" customHeight="1">
      <c r="A965" s="109" t="s">
        <v>12368</v>
      </c>
      <c r="B965" s="110" t="s">
        <v>12369</v>
      </c>
      <c r="C965" s="111" t="s">
        <v>12370</v>
      </c>
      <c r="D965" s="28" t="s">
        <v>12371</v>
      </c>
      <c r="E965" s="28" t="str">
        <f>IFERROR(__xludf.DUMMYFUNCTION("GOOGLETRANSLATE(D965,""zh-CN"",""vi"")"),"Vui lòng thanh toán hóa đơn tiền nước và tiền điện đúng hạn.")</f>
        <v>Vui lòng thanh toán hóa đơn tiền nước và tiền điện đúng hạn.</v>
      </c>
      <c r="F965" s="128"/>
      <c r="G965" s="36" t="b">
        <f t="shared" si="1"/>
        <v>0</v>
      </c>
      <c r="H965" s="35" t="b">
        <v>1</v>
      </c>
      <c r="I965" s="35" t="b">
        <v>0</v>
      </c>
      <c r="J965" s="35" t="b">
        <v>0</v>
      </c>
      <c r="K965" s="35" t="b">
        <v>0</v>
      </c>
      <c r="L965" s="35" t="b">
        <v>0</v>
      </c>
      <c r="M965" s="35" t="b">
        <v>0</v>
      </c>
      <c r="N965" s="35" t="b">
        <v>0</v>
      </c>
      <c r="O965" s="35" t="b">
        <v>0</v>
      </c>
      <c r="P965" s="35" t="b">
        <v>0</v>
      </c>
      <c r="Q965" s="35" t="b">
        <v>0</v>
      </c>
      <c r="R965" s="14"/>
      <c r="S965" s="14"/>
      <c r="T965" s="14"/>
      <c r="U965" s="14"/>
      <c r="V965" s="14"/>
      <c r="W965" s="14"/>
    </row>
    <row r="966" ht="31.5" customHeight="1">
      <c r="A966" s="109" t="s">
        <v>12372</v>
      </c>
      <c r="B966" s="110" t="s">
        <v>12373</v>
      </c>
      <c r="C966" s="111" t="s">
        <v>12374</v>
      </c>
      <c r="D966" s="28" t="s">
        <v>12375</v>
      </c>
      <c r="E966" s="28" t="str">
        <f>IFERROR(__xludf.DUMMYFUNCTION("GOOGLETRANSLATE(D966,""zh-CN"",""vi"")"),"Họ đã cạnh tranh quyết liệt trên sân.")</f>
        <v>Họ đã cạnh tranh quyết liệt trên sân.</v>
      </c>
      <c r="F966" s="128"/>
      <c r="G966" s="36" t="b">
        <f t="shared" si="1"/>
        <v>0</v>
      </c>
      <c r="H966" s="35" t="b">
        <v>1</v>
      </c>
      <c r="I966" s="35" t="b">
        <v>0</v>
      </c>
      <c r="J966" s="35" t="b">
        <v>0</v>
      </c>
      <c r="K966" s="35" t="b">
        <v>0</v>
      </c>
      <c r="L966" s="35" t="b">
        <v>0</v>
      </c>
      <c r="M966" s="35" t="b">
        <v>0</v>
      </c>
      <c r="N966" s="35" t="b">
        <v>0</v>
      </c>
      <c r="O966" s="35" t="b">
        <v>0</v>
      </c>
      <c r="P966" s="35" t="b">
        <v>0</v>
      </c>
      <c r="Q966" s="35" t="b">
        <v>0</v>
      </c>
      <c r="R966" s="14"/>
      <c r="S966" s="14"/>
      <c r="T966" s="14"/>
      <c r="U966" s="14"/>
      <c r="V966" s="14"/>
      <c r="W966" s="14"/>
    </row>
    <row r="967" ht="31.5" customHeight="1">
      <c r="A967" s="109" t="s">
        <v>12380</v>
      </c>
      <c r="B967" s="110" t="s">
        <v>12381</v>
      </c>
      <c r="C967" s="111" t="s">
        <v>12382</v>
      </c>
      <c r="D967" s="28" t="s">
        <v>12383</v>
      </c>
      <c r="E967" s="28" t="str">
        <f>IFERROR(__xludf.DUMMYFUNCTION("GOOGLETRANSLATE(D967,""zh-CN"",""vi"")"),"Anh ấy rất lễ phép và lịch sự.")</f>
        <v>Anh ấy rất lễ phép và lịch sự.</v>
      </c>
      <c r="F967" s="128"/>
      <c r="G967" s="36" t="b">
        <f t="shared" si="1"/>
        <v>0</v>
      </c>
      <c r="H967" s="35" t="b">
        <v>1</v>
      </c>
      <c r="I967" s="35" t="b">
        <v>0</v>
      </c>
      <c r="J967" s="35" t="b">
        <v>0</v>
      </c>
      <c r="K967" s="35" t="b">
        <v>0</v>
      </c>
      <c r="L967" s="35" t="b">
        <v>0</v>
      </c>
      <c r="M967" s="35" t="b">
        <v>0</v>
      </c>
      <c r="N967" s="35" t="b">
        <v>0</v>
      </c>
      <c r="O967" s="35" t="b">
        <v>0</v>
      </c>
      <c r="P967" s="35" t="b">
        <v>0</v>
      </c>
      <c r="Q967" s="35" t="b">
        <v>0</v>
      </c>
      <c r="R967" s="14"/>
      <c r="S967" s="14"/>
      <c r="T967" s="14"/>
      <c r="U967" s="14"/>
      <c r="V967" s="14"/>
      <c r="W967" s="14"/>
    </row>
    <row r="968" ht="31.5" customHeight="1">
      <c r="A968" s="109" t="s">
        <v>12384</v>
      </c>
      <c r="B968" s="110" t="s">
        <v>1909</v>
      </c>
      <c r="C968" s="111" t="s">
        <v>12386</v>
      </c>
      <c r="D968" s="28" t="s">
        <v>12387</v>
      </c>
      <c r="E968" s="28" t="str">
        <f>IFERROR(__xludf.DUMMYFUNCTION("GOOGLETRANSLATE(D968,""zh-CN"",""vi"")"),"Ai cũng biết đây là một vấn đề lớn.")</f>
        <v>Ai cũng biết đây là một vấn đề lớn.</v>
      </c>
      <c r="F968" s="128"/>
      <c r="G968" s="36" t="b">
        <f t="shared" si="1"/>
        <v>0</v>
      </c>
      <c r="H968" s="35" t="b">
        <v>1</v>
      </c>
      <c r="I968" s="35" t="b">
        <v>0</v>
      </c>
      <c r="J968" s="35" t="b">
        <v>0</v>
      </c>
      <c r="K968" s="35" t="b">
        <v>0</v>
      </c>
      <c r="L968" s="35" t="b">
        <v>0</v>
      </c>
      <c r="M968" s="35" t="b">
        <v>0</v>
      </c>
      <c r="N968" s="35" t="b">
        <v>0</v>
      </c>
      <c r="O968" s="35" t="b">
        <v>0</v>
      </c>
      <c r="P968" s="35" t="b">
        <v>0</v>
      </c>
      <c r="Q968" s="35" t="b">
        <v>0</v>
      </c>
      <c r="R968" s="14"/>
      <c r="S968" s="14"/>
      <c r="T968" s="14"/>
      <c r="U968" s="14"/>
      <c r="V968" s="14"/>
      <c r="W968" s="14"/>
    </row>
    <row r="969" ht="31.5" customHeight="1">
      <c r="A969" s="109" t="s">
        <v>12391</v>
      </c>
      <c r="B969" s="110" t="s">
        <v>12392</v>
      </c>
      <c r="C969" s="111" t="s">
        <v>12393</v>
      </c>
      <c r="D969" s="28" t="s">
        <v>12394</v>
      </c>
      <c r="E969" s="28" t="str">
        <f>IFERROR(__xludf.DUMMYFUNCTION("GOOGLETRANSLATE(D969,""zh-CN"",""vi"")"),"Cơ cấu giai cấp trong xã hội rất phức tạp.")</f>
        <v>Cơ cấu giai cấp trong xã hội rất phức tạp.</v>
      </c>
      <c r="F969" s="128"/>
      <c r="G969" s="36" t="b">
        <f t="shared" si="1"/>
        <v>0</v>
      </c>
      <c r="H969" s="35" t="b">
        <v>1</v>
      </c>
      <c r="I969" s="35" t="b">
        <v>0</v>
      </c>
      <c r="J969" s="35" t="b">
        <v>0</v>
      </c>
      <c r="K969" s="35" t="b">
        <v>0</v>
      </c>
      <c r="L969" s="35" t="b">
        <v>0</v>
      </c>
      <c r="M969" s="35" t="b">
        <v>0</v>
      </c>
      <c r="N969" s="35" t="b">
        <v>0</v>
      </c>
      <c r="O969" s="35" t="b">
        <v>0</v>
      </c>
      <c r="P969" s="35" t="b">
        <v>0</v>
      </c>
      <c r="Q969" s="35" t="b">
        <v>0</v>
      </c>
      <c r="R969" s="14"/>
      <c r="S969" s="14"/>
      <c r="T969" s="14"/>
      <c r="U969" s="14"/>
      <c r="V969" s="14"/>
      <c r="W969" s="14"/>
    </row>
    <row r="970" ht="31.5" customHeight="1">
      <c r="A970" s="109" t="s">
        <v>12395</v>
      </c>
      <c r="B970" s="110" t="s">
        <v>12397</v>
      </c>
      <c r="C970" s="111" t="s">
        <v>12399</v>
      </c>
      <c r="D970" s="28" t="s">
        <v>12400</v>
      </c>
      <c r="E970" s="28" t="str">
        <f>IFERROR(__xludf.DUMMYFUNCTION("GOOGLETRANSLATE(D970,""zh-CN"",""vi"")"),"Ông đã vạch trần các hoạt động biển thủ của công ty.")</f>
        <v>Ông đã vạch trần các hoạt động biển thủ của công ty.</v>
      </c>
      <c r="F970" s="128"/>
      <c r="G970" s="36" t="b">
        <f t="shared" si="1"/>
        <v>0</v>
      </c>
      <c r="H970" s="35" t="b">
        <v>1</v>
      </c>
      <c r="I970" s="35" t="b">
        <v>0</v>
      </c>
      <c r="J970" s="35" t="b">
        <v>0</v>
      </c>
      <c r="K970" s="35" t="b">
        <v>0</v>
      </c>
      <c r="L970" s="35" t="b">
        <v>0</v>
      </c>
      <c r="M970" s="35" t="b">
        <v>0</v>
      </c>
      <c r="N970" s="35" t="b">
        <v>0</v>
      </c>
      <c r="O970" s="35" t="b">
        <v>0</v>
      </c>
      <c r="P970" s="35" t="b">
        <v>0</v>
      </c>
      <c r="Q970" s="35" t="b">
        <v>0</v>
      </c>
      <c r="R970" s="14"/>
      <c r="S970" s="14"/>
      <c r="T970" s="14"/>
      <c r="U970" s="14"/>
      <c r="V970" s="14"/>
      <c r="W970" s="14"/>
    </row>
    <row r="971" ht="31.5" customHeight="1">
      <c r="A971" s="109" t="s">
        <v>12403</v>
      </c>
      <c r="B971" s="110" t="s">
        <v>12404</v>
      </c>
      <c r="C971" s="111" t="s">
        <v>12405</v>
      </c>
      <c r="D971" s="28" t="s">
        <v>12406</v>
      </c>
      <c r="E971" s="28" t="str">
        <f>IFERROR(__xludf.DUMMYFUNCTION("GOOGLETRANSLATE(D971,""zh-CN"",""vi"")"),"Chúng tôi đã gặp phải một số vụ tai nạn liên tiếp.")</f>
        <v>Chúng tôi đã gặp phải một số vụ tai nạn liên tiếp.</v>
      </c>
      <c r="F971" s="128"/>
      <c r="G971" s="36" t="b">
        <f t="shared" si="1"/>
        <v>0</v>
      </c>
      <c r="H971" s="35" t="b">
        <v>1</v>
      </c>
      <c r="I971" s="35" t="b">
        <v>0</v>
      </c>
      <c r="J971" s="35" t="b">
        <v>0</v>
      </c>
      <c r="K971" s="35" t="b">
        <v>0</v>
      </c>
      <c r="L971" s="35" t="b">
        <v>0</v>
      </c>
      <c r="M971" s="35" t="b">
        <v>0</v>
      </c>
      <c r="N971" s="35" t="b">
        <v>0</v>
      </c>
      <c r="O971" s="35" t="b">
        <v>0</v>
      </c>
      <c r="P971" s="35" t="b">
        <v>0</v>
      </c>
      <c r="Q971" s="35" t="b">
        <v>0</v>
      </c>
      <c r="R971" s="14"/>
      <c r="S971" s="14"/>
      <c r="T971" s="14"/>
      <c r="U971" s="14"/>
      <c r="V971" s="14"/>
      <c r="W971" s="14"/>
    </row>
    <row r="972" ht="31.5" customHeight="1">
      <c r="A972" s="109" t="s">
        <v>12411</v>
      </c>
      <c r="B972" s="110" t="s">
        <v>12412</v>
      </c>
      <c r="C972" s="111" t="s">
        <v>12413</v>
      </c>
      <c r="D972" s="28" t="s">
        <v>12414</v>
      </c>
      <c r="E972" s="28" t="str">
        <f>IFERROR(__xludf.DUMMYFUNCTION("GOOGLETRANSLATE(D972,""zh-CN"",""vi"")"),"Ông ấy đã tiết lộ sự thật về vấn đề này.")</f>
        <v>Ông ấy đã tiết lộ sự thật về vấn đề này.</v>
      </c>
      <c r="F972" s="128"/>
      <c r="G972" s="36" t="b">
        <f t="shared" si="1"/>
        <v>0</v>
      </c>
      <c r="H972" s="35" t="b">
        <v>1</v>
      </c>
      <c r="I972" s="35" t="b">
        <v>0</v>
      </c>
      <c r="J972" s="35" t="b">
        <v>0</v>
      </c>
      <c r="K972" s="35" t="b">
        <v>0</v>
      </c>
      <c r="L972" s="35" t="b">
        <v>0</v>
      </c>
      <c r="M972" s="35" t="b">
        <v>0</v>
      </c>
      <c r="N972" s="35" t="b">
        <v>0</v>
      </c>
      <c r="O972" s="35" t="b">
        <v>0</v>
      </c>
      <c r="P972" s="35" t="b">
        <v>0</v>
      </c>
      <c r="Q972" s="35" t="b">
        <v>0</v>
      </c>
      <c r="R972" s="14"/>
      <c r="S972" s="14"/>
      <c r="T972" s="14"/>
      <c r="U972" s="14"/>
      <c r="V972" s="14"/>
      <c r="W972" s="14"/>
    </row>
    <row r="973" ht="31.5" customHeight="1">
      <c r="A973" s="109" t="s">
        <v>12415</v>
      </c>
      <c r="B973" s="110" t="s">
        <v>12417</v>
      </c>
      <c r="C973" s="111" t="s">
        <v>12418</v>
      </c>
      <c r="D973" s="28" t="s">
        <v>12420</v>
      </c>
      <c r="E973" s="28" t="str">
        <f>IFERROR(__xludf.DUMMYFUNCTION("GOOGLETRANSLATE(D973,""zh-CN"",""vi"")"),"Cô ấy là một nhà khoa học xuất sắc.")</f>
        <v>Cô ấy là một nhà khoa học xuất sắc.</v>
      </c>
      <c r="F973" s="128"/>
      <c r="G973" s="36" t="b">
        <f t="shared" si="1"/>
        <v>0</v>
      </c>
      <c r="H973" s="35" t="b">
        <v>1</v>
      </c>
      <c r="I973" s="35" t="b">
        <v>0</v>
      </c>
      <c r="J973" s="35" t="b">
        <v>0</v>
      </c>
      <c r="K973" s="35" t="b">
        <v>0</v>
      </c>
      <c r="L973" s="35" t="b">
        <v>0</v>
      </c>
      <c r="M973" s="35" t="b">
        <v>0</v>
      </c>
      <c r="N973" s="35" t="b">
        <v>0</v>
      </c>
      <c r="O973" s="35" t="b">
        <v>0</v>
      </c>
      <c r="P973" s="35" t="b">
        <v>0</v>
      </c>
      <c r="Q973" s="35" t="b">
        <v>0</v>
      </c>
      <c r="R973" s="14"/>
      <c r="S973" s="14"/>
      <c r="T973" s="14"/>
      <c r="U973" s="14"/>
      <c r="V973" s="14"/>
      <c r="W973" s="14"/>
    </row>
    <row r="974" ht="31.5" customHeight="1">
      <c r="A974" s="109" t="s">
        <v>2725</v>
      </c>
      <c r="B974" s="110" t="s">
        <v>2726</v>
      </c>
      <c r="C974" s="111" t="s">
        <v>2727</v>
      </c>
      <c r="D974" s="28" t="s">
        <v>12423</v>
      </c>
      <c r="E974" s="28" t="str">
        <f>IFERROR(__xludf.DUMMYFUNCTION("GOOGLETRANSLATE(D974,""zh-CN"",""vi"")"),"Kết quả cho thấy những nỗ lực của ông không hề vô ích.")</f>
        <v>Kết quả cho thấy những nỗ lực của ông không hề vô ích.</v>
      </c>
      <c r="F974" s="128"/>
      <c r="G974" s="36" t="b">
        <f t="shared" si="1"/>
        <v>0</v>
      </c>
      <c r="H974" s="35" t="b">
        <v>1</v>
      </c>
      <c r="I974" s="35" t="b">
        <v>0</v>
      </c>
      <c r="J974" s="35" t="b">
        <v>0</v>
      </c>
      <c r="K974" s="35" t="b">
        <v>0</v>
      </c>
      <c r="L974" s="35" t="b">
        <v>0</v>
      </c>
      <c r="M974" s="35" t="b">
        <v>0</v>
      </c>
      <c r="N974" s="35" t="b">
        <v>0</v>
      </c>
      <c r="O974" s="35" t="b">
        <v>0</v>
      </c>
      <c r="P974" s="35" t="b">
        <v>0</v>
      </c>
      <c r="Q974" s="35" t="b">
        <v>0</v>
      </c>
      <c r="R974" s="14"/>
      <c r="S974" s="14"/>
      <c r="T974" s="14"/>
      <c r="U974" s="14"/>
      <c r="V974" s="14"/>
      <c r="W974" s="14"/>
    </row>
    <row r="975" ht="31.5" customHeight="1">
      <c r="A975" s="109" t="s">
        <v>12428</v>
      </c>
      <c r="B975" s="110" t="s">
        <v>12429</v>
      </c>
      <c r="C975" s="111" t="s">
        <v>12430</v>
      </c>
      <c r="D975" s="28" t="s">
        <v>12431</v>
      </c>
      <c r="E975" s="28" t="str">
        <f>IFERROR(__xludf.DUMMYFUNCTION("GOOGLETRANSLATE(D975,""zh-CN"",""vi"")"),"Anh ấy đã cố gắng hết sức để hoàn thành nhiệm vụ.")</f>
        <v>Anh ấy đã cố gắng hết sức để hoàn thành nhiệm vụ.</v>
      </c>
      <c r="F975" s="128"/>
      <c r="G975" s="36" t="b">
        <f t="shared" si="1"/>
        <v>0</v>
      </c>
      <c r="H975" s="35" t="b">
        <v>1</v>
      </c>
      <c r="I975" s="35" t="b">
        <v>0</v>
      </c>
      <c r="J975" s="35" t="b">
        <v>0</v>
      </c>
      <c r="K975" s="35" t="b">
        <v>0</v>
      </c>
      <c r="L975" s="35" t="b">
        <v>0</v>
      </c>
      <c r="M975" s="35" t="b">
        <v>0</v>
      </c>
      <c r="N975" s="35" t="b">
        <v>0</v>
      </c>
      <c r="O975" s="35" t="b">
        <v>0</v>
      </c>
      <c r="P975" s="35" t="b">
        <v>0</v>
      </c>
      <c r="Q975" s="35" t="b">
        <v>0</v>
      </c>
      <c r="R975" s="14"/>
      <c r="S975" s="14"/>
      <c r="T975" s="14"/>
      <c r="U975" s="14"/>
      <c r="V975" s="14"/>
      <c r="W975" s="14"/>
    </row>
    <row r="976" ht="31.5" customHeight="1">
      <c r="A976" s="109" t="s">
        <v>12432</v>
      </c>
      <c r="B976" s="110" t="s">
        <v>12433</v>
      </c>
      <c r="C976" s="111" t="s">
        <v>12434</v>
      </c>
      <c r="D976" s="28" t="s">
        <v>12435</v>
      </c>
      <c r="E976" s="28" t="str">
        <f>IFERROR(__xludf.DUMMYFUNCTION("GOOGLETRANSLATE(D976,""zh-CN"",""vi"")"),"Loại đá quý này là một tinh thể tự nhiên.")</f>
        <v>Loại đá quý này là một tinh thể tự nhiên.</v>
      </c>
      <c r="F976" s="128"/>
      <c r="G976" s="36" t="b">
        <f t="shared" si="1"/>
        <v>0</v>
      </c>
      <c r="H976" s="35" t="b">
        <v>1</v>
      </c>
      <c r="I976" s="35" t="b">
        <v>0</v>
      </c>
      <c r="J976" s="35" t="b">
        <v>0</v>
      </c>
      <c r="K976" s="35" t="b">
        <v>0</v>
      </c>
      <c r="L976" s="35" t="b">
        <v>0</v>
      </c>
      <c r="M976" s="35" t="b">
        <v>0</v>
      </c>
      <c r="N976" s="35" t="b">
        <v>0</v>
      </c>
      <c r="O976" s="35" t="b">
        <v>0</v>
      </c>
      <c r="P976" s="35" t="b">
        <v>0</v>
      </c>
      <c r="Q976" s="35" t="b">
        <v>0</v>
      </c>
      <c r="R976" s="14"/>
      <c r="S976" s="14"/>
      <c r="T976" s="14"/>
      <c r="U976" s="14"/>
      <c r="V976" s="14"/>
      <c r="W976" s="14"/>
    </row>
    <row r="977" ht="31.5" customHeight="1">
      <c r="A977" s="109" t="s">
        <v>12439</v>
      </c>
      <c r="B977" s="110" t="s">
        <v>12440</v>
      </c>
      <c r="C977" s="111" t="s">
        <v>12441</v>
      </c>
      <c r="D977" s="28" t="s">
        <v>12442</v>
      </c>
      <c r="E977" s="28" t="str">
        <f>IFERROR(__xludf.DUMMYFUNCTION("GOOGLETRANSLATE(D977,""zh-CN"",""vi"")"),"Câu chuyện kết thúc một cách bất ngờ.")</f>
        <v>Câu chuyện kết thúc một cách bất ngờ.</v>
      </c>
      <c r="F977" s="128"/>
      <c r="G977" s="36" t="b">
        <f t="shared" si="1"/>
        <v>0</v>
      </c>
      <c r="H977" s="35" t="b">
        <v>1</v>
      </c>
      <c r="I977" s="35" t="b">
        <v>0</v>
      </c>
      <c r="J977" s="35" t="b">
        <v>0</v>
      </c>
      <c r="K977" s="35" t="b">
        <v>0</v>
      </c>
      <c r="L977" s="35" t="b">
        <v>0</v>
      </c>
      <c r="M977" s="35" t="b">
        <v>0</v>
      </c>
      <c r="N977" s="35" t="b">
        <v>0</v>
      </c>
      <c r="O977" s="35" t="b">
        <v>0</v>
      </c>
      <c r="P977" s="35" t="b">
        <v>0</v>
      </c>
      <c r="Q977" s="35" t="b">
        <v>0</v>
      </c>
      <c r="R977" s="14"/>
      <c r="S977" s="14"/>
      <c r="T977" s="14"/>
      <c r="U977" s="14"/>
      <c r="V977" s="14"/>
      <c r="W977" s="14"/>
    </row>
    <row r="978" ht="31.5" customHeight="1">
      <c r="A978" s="109" t="s">
        <v>12447</v>
      </c>
      <c r="B978" s="110" t="s">
        <v>12448</v>
      </c>
      <c r="C978" s="111" t="s">
        <v>1556</v>
      </c>
      <c r="D978" s="28" t="s">
        <v>12449</v>
      </c>
      <c r="E978" s="28" t="str">
        <f>IFERROR(__xludf.DUMMYFUNCTION("GOOGLETRANSLATE(D978,""zh-CN"",""vi"")"),"Chúng ta cần thanh toán các khoản chi phí của tháng này.")</f>
        <v>Chúng ta cần thanh toán các khoản chi phí của tháng này.</v>
      </c>
      <c r="F978" s="128"/>
      <c r="G978" s="36" t="b">
        <f t="shared" si="1"/>
        <v>0</v>
      </c>
      <c r="H978" s="35" t="b">
        <v>1</v>
      </c>
      <c r="I978" s="35" t="b">
        <v>0</v>
      </c>
      <c r="J978" s="35" t="b">
        <v>0</v>
      </c>
      <c r="K978" s="35" t="b">
        <v>0</v>
      </c>
      <c r="L978" s="35" t="b">
        <v>0</v>
      </c>
      <c r="M978" s="35" t="b">
        <v>0</v>
      </c>
      <c r="N978" s="35" t="b">
        <v>0</v>
      </c>
      <c r="O978" s="35" t="b">
        <v>0</v>
      </c>
      <c r="P978" s="35" t="b">
        <v>0</v>
      </c>
      <c r="Q978" s="35" t="b">
        <v>0</v>
      </c>
      <c r="R978" s="14"/>
      <c r="S978" s="14"/>
      <c r="T978" s="14"/>
      <c r="U978" s="14"/>
      <c r="V978" s="14"/>
      <c r="W978" s="14"/>
    </row>
    <row r="979" ht="31.5" customHeight="1">
      <c r="A979" s="109" t="s">
        <v>12453</v>
      </c>
      <c r="B979" s="110" t="s">
        <v>12454</v>
      </c>
      <c r="C979" s="111" t="s">
        <v>12456</v>
      </c>
      <c r="D979" s="28" t="s">
        <v>12457</v>
      </c>
      <c r="E979" s="28" t="str">
        <f>IFERROR(__xludf.DUMMYFUNCTION("GOOGLETRANSLATE(D979,""zh-CN"",""vi"")"),"Anh ấy vẫn chưa trả lời.")</f>
        <v>Anh ấy vẫn chưa trả lời.</v>
      </c>
      <c r="F979" s="128"/>
      <c r="G979" s="36" t="b">
        <f t="shared" si="1"/>
        <v>0</v>
      </c>
      <c r="H979" s="35" t="b">
        <v>1</v>
      </c>
      <c r="I979" s="35" t="b">
        <v>0</v>
      </c>
      <c r="J979" s="35" t="b">
        <v>0</v>
      </c>
      <c r="K979" s="35" t="b">
        <v>0</v>
      </c>
      <c r="L979" s="35" t="b">
        <v>0</v>
      </c>
      <c r="M979" s="35" t="b">
        <v>0</v>
      </c>
      <c r="N979" s="35" t="b">
        <v>0</v>
      </c>
      <c r="O979" s="35" t="b">
        <v>0</v>
      </c>
      <c r="P979" s="35" t="b">
        <v>0</v>
      </c>
      <c r="Q979" s="35" t="b">
        <v>0</v>
      </c>
      <c r="R979" s="14"/>
      <c r="S979" s="14"/>
      <c r="T979" s="14"/>
      <c r="U979" s="14"/>
      <c r="V979" s="14"/>
      <c r="W979" s="14"/>
    </row>
    <row r="980" ht="31.5" customHeight="1">
      <c r="A980" s="109" t="s">
        <v>12458</v>
      </c>
      <c r="B980" s="110" t="s">
        <v>12459</v>
      </c>
      <c r="C980" s="111" t="s">
        <v>12461</v>
      </c>
      <c r="D980" s="28" t="s">
        <v>12463</v>
      </c>
      <c r="E980" s="28" t="str">
        <f>IFERROR(__xludf.DUMMYFUNCTION("GOOGLETRANSLATE(D980,""zh-CN"",""vi"")"),"Nhạc có tiết tấu nhanh, khiến bạn muốn nhún nhảy theo.")</f>
        <v>Nhạc có tiết tấu nhanh, khiến bạn muốn nhún nhảy theo.</v>
      </c>
      <c r="F980" s="128"/>
      <c r="G980" s="36" t="b">
        <f t="shared" si="1"/>
        <v>0</v>
      </c>
      <c r="H980" s="35" t="b">
        <v>1</v>
      </c>
      <c r="I980" s="35" t="b">
        <v>0</v>
      </c>
      <c r="J980" s="35" t="b">
        <v>0</v>
      </c>
      <c r="K980" s="35" t="b">
        <v>0</v>
      </c>
      <c r="L980" s="35" t="b">
        <v>0</v>
      </c>
      <c r="M980" s="35" t="b">
        <v>0</v>
      </c>
      <c r="N980" s="35" t="b">
        <v>0</v>
      </c>
      <c r="O980" s="35" t="b">
        <v>0</v>
      </c>
      <c r="P980" s="35" t="b">
        <v>0</v>
      </c>
      <c r="Q980" s="35" t="b">
        <v>0</v>
      </c>
      <c r="R980" s="14"/>
      <c r="S980" s="14"/>
      <c r="T980" s="14"/>
      <c r="U980" s="14"/>
      <c r="V980" s="14"/>
      <c r="W980" s="14"/>
    </row>
    <row r="981" ht="31.5" customHeight="1">
      <c r="A981" s="109" t="s">
        <v>12466</v>
      </c>
      <c r="B981" s="110" t="s">
        <v>12467</v>
      </c>
      <c r="C981" s="111" t="s">
        <v>12469</v>
      </c>
      <c r="D981" s="28" t="s">
        <v>12471</v>
      </c>
      <c r="E981" s="28" t="str">
        <f>IFERROR(__xludf.DUMMYFUNCTION("GOOGLETRANSLATE(D981,""zh-CN"",""vi"")"),"Chúng tôi đã chấm dứt mọi mối quan hệ hợp đồng.")</f>
        <v>Chúng tôi đã chấm dứt mọi mối quan hệ hợp đồng.</v>
      </c>
      <c r="F981" s="128"/>
      <c r="G981" s="36" t="b">
        <f t="shared" si="1"/>
        <v>0</v>
      </c>
      <c r="H981" s="35" t="b">
        <v>1</v>
      </c>
      <c r="I981" s="35" t="b">
        <v>0</v>
      </c>
      <c r="J981" s="35" t="b">
        <v>0</v>
      </c>
      <c r="K981" s="35" t="b">
        <v>0</v>
      </c>
      <c r="L981" s="35" t="b">
        <v>0</v>
      </c>
      <c r="M981" s="35" t="b">
        <v>0</v>
      </c>
      <c r="N981" s="35" t="b">
        <v>0</v>
      </c>
      <c r="O981" s="35" t="b">
        <v>0</v>
      </c>
      <c r="P981" s="35" t="b">
        <v>0</v>
      </c>
      <c r="Q981" s="35" t="b">
        <v>0</v>
      </c>
      <c r="R981" s="14"/>
      <c r="S981" s="14"/>
      <c r="T981" s="14"/>
      <c r="U981" s="14"/>
      <c r="V981" s="14"/>
      <c r="W981" s="14"/>
    </row>
    <row r="982" ht="31.5" customHeight="1">
      <c r="A982" s="109" t="s">
        <v>12474</v>
      </c>
      <c r="B982" s="110" t="s">
        <v>12475</v>
      </c>
      <c r="C982" s="111" t="s">
        <v>12476</v>
      </c>
      <c r="D982" s="28" t="s">
        <v>12477</v>
      </c>
      <c r="E982" s="28" t="str">
        <f>IFERROR(__xludf.DUMMYFUNCTION("GOOGLETRANSLATE(D982,""zh-CN"",""vi"")"),"Công ty đã quyết định sa thải một số nhân viên.")</f>
        <v>Công ty đã quyết định sa thải một số nhân viên.</v>
      </c>
      <c r="F982" s="128"/>
      <c r="G982" s="36" t="b">
        <f t="shared" si="1"/>
        <v>0</v>
      </c>
      <c r="H982" s="35" t="b">
        <v>1</v>
      </c>
      <c r="I982" s="35" t="b">
        <v>0</v>
      </c>
      <c r="J982" s="35" t="b">
        <v>0</v>
      </c>
      <c r="K982" s="35" t="b">
        <v>0</v>
      </c>
      <c r="L982" s="35" t="b">
        <v>0</v>
      </c>
      <c r="M982" s="35" t="b">
        <v>0</v>
      </c>
      <c r="N982" s="35" t="b">
        <v>0</v>
      </c>
      <c r="O982" s="35" t="b">
        <v>0</v>
      </c>
      <c r="P982" s="35" t="b">
        <v>0</v>
      </c>
      <c r="Q982" s="35" t="b">
        <v>0</v>
      </c>
      <c r="R982" s="14"/>
      <c r="S982" s="14"/>
      <c r="T982" s="14"/>
      <c r="U982" s="14"/>
      <c r="V982" s="14"/>
      <c r="W982" s="14"/>
    </row>
    <row r="983" ht="31.5" customHeight="1">
      <c r="A983" s="109" t="s">
        <v>12480</v>
      </c>
      <c r="B983" s="110" t="s">
        <v>12481</v>
      </c>
      <c r="C983" s="111" t="s">
        <v>12482</v>
      </c>
      <c r="D983" s="28" t="s">
        <v>12483</v>
      </c>
      <c r="E983" s="28" t="str">
        <f>IFERROR(__xludf.DUMMYFUNCTION("GOOGLETRANSLATE(D983,""zh-CN"",""vi"")"),"Bác sĩ đã tiến hành mổ xẻ thi thể.")</f>
        <v>Bác sĩ đã tiến hành mổ xẻ thi thể.</v>
      </c>
      <c r="F983" s="128"/>
      <c r="G983" s="36" t="b">
        <f t="shared" si="1"/>
        <v>0</v>
      </c>
      <c r="H983" s="35" t="b">
        <v>1</v>
      </c>
      <c r="I983" s="35" t="b">
        <v>0</v>
      </c>
      <c r="J983" s="35" t="b">
        <v>0</v>
      </c>
      <c r="K983" s="35" t="b">
        <v>0</v>
      </c>
      <c r="L983" s="35" t="b">
        <v>0</v>
      </c>
      <c r="M983" s="35" t="b">
        <v>0</v>
      </c>
      <c r="N983" s="35" t="b">
        <v>0</v>
      </c>
      <c r="O983" s="35" t="b">
        <v>0</v>
      </c>
      <c r="P983" s="35" t="b">
        <v>0</v>
      </c>
      <c r="Q983" s="35" t="b">
        <v>0</v>
      </c>
      <c r="R983" s="14"/>
      <c r="S983" s="14"/>
      <c r="T983" s="14"/>
      <c r="U983" s="14"/>
      <c r="V983" s="14"/>
      <c r="W983" s="14"/>
    </row>
    <row r="984" ht="31.5" customHeight="1">
      <c r="A984" s="109" t="s">
        <v>12487</v>
      </c>
      <c r="B984" s="110" t="s">
        <v>12488</v>
      </c>
      <c r="C984" s="111" t="s">
        <v>12489</v>
      </c>
      <c r="D984" s="28" t="s">
        <v>12490</v>
      </c>
      <c r="E984" s="28" t="str">
        <f>IFERROR(__xludf.DUMMYFUNCTION("GOOGLETRANSLATE(D984,""zh-CN"",""vi"")"),"Chúng tôi đã quyết định giải tán đội này.")</f>
        <v>Chúng tôi đã quyết định giải tán đội này.</v>
      </c>
      <c r="F984" s="128"/>
      <c r="G984" s="36" t="b">
        <f t="shared" si="1"/>
        <v>0</v>
      </c>
      <c r="H984" s="35" t="b">
        <v>1</v>
      </c>
      <c r="I984" s="35" t="b">
        <v>0</v>
      </c>
      <c r="J984" s="35" t="b">
        <v>0</v>
      </c>
      <c r="K984" s="35" t="b">
        <v>0</v>
      </c>
      <c r="L984" s="35" t="b">
        <v>0</v>
      </c>
      <c r="M984" s="35" t="b">
        <v>0</v>
      </c>
      <c r="N984" s="35" t="b">
        <v>0</v>
      </c>
      <c r="O984" s="35" t="b">
        <v>0</v>
      </c>
      <c r="P984" s="35" t="b">
        <v>0</v>
      </c>
      <c r="Q984" s="35" t="b">
        <v>0</v>
      </c>
      <c r="R984" s="14"/>
      <c r="S984" s="14"/>
      <c r="T984" s="14"/>
      <c r="U984" s="14"/>
      <c r="V984" s="14"/>
      <c r="W984" s="14"/>
    </row>
    <row r="985" ht="31.5" customHeight="1">
      <c r="A985" s="109" t="s">
        <v>12492</v>
      </c>
      <c r="B985" s="110" t="s">
        <v>12494</v>
      </c>
      <c r="C985" s="111" t="s">
        <v>12495</v>
      </c>
      <c r="D985" s="28" t="s">
        <v>12496</v>
      </c>
      <c r="E985" s="28" t="str">
        <f>IFERROR(__xludf.DUMMYFUNCTION("GOOGLETRANSLATE(D985,""zh-CN"",""vi"")"),"Kết quả là, phần lớn quyền sở hữu đất đai đã bị chia nhỏ.")</f>
        <v>Kết quả là, phần lớn quyền sở hữu đất đai đã bị chia nhỏ.</v>
      </c>
      <c r="F985" s="128"/>
      <c r="G985" s="36" t="b">
        <f t="shared" si="1"/>
        <v>0</v>
      </c>
      <c r="H985" s="35" t="b">
        <v>1</v>
      </c>
      <c r="I985" s="35" t="b">
        <v>0</v>
      </c>
      <c r="J985" s="35" t="b">
        <v>0</v>
      </c>
      <c r="K985" s="35" t="b">
        <v>0</v>
      </c>
      <c r="L985" s="35" t="b">
        <v>0</v>
      </c>
      <c r="M985" s="35" t="b">
        <v>0</v>
      </c>
      <c r="N985" s="35" t="b">
        <v>0</v>
      </c>
      <c r="O985" s="35" t="b">
        <v>0</v>
      </c>
      <c r="P985" s="35" t="b">
        <v>0</v>
      </c>
      <c r="Q985" s="35" t="b">
        <v>0</v>
      </c>
      <c r="R985" s="14"/>
      <c r="S985" s="14"/>
      <c r="T985" s="14"/>
      <c r="U985" s="14"/>
      <c r="V985" s="14"/>
      <c r="W985" s="14"/>
    </row>
    <row r="986" ht="31.5" customHeight="1">
      <c r="A986" s="109" t="s">
        <v>12498</v>
      </c>
      <c r="B986" s="110" t="s">
        <v>12499</v>
      </c>
      <c r="C986" s="111" t="s">
        <v>12500</v>
      </c>
      <c r="D986" s="28" t="s">
        <v>12501</v>
      </c>
      <c r="E986" s="28" t="str">
        <f>IFERROR(__xludf.DUMMYFUNCTION("GOOGLETRANSLATE(D986,""zh-CN"",""vi"")"),"Cảnh sát đã tăng cường an ninh để ngăn ngừa tai nạn xảy ra.")</f>
        <v>Cảnh sát đã tăng cường an ninh để ngăn ngừa tai nạn xảy ra.</v>
      </c>
      <c r="F986" s="128"/>
      <c r="G986" s="36" t="b">
        <f t="shared" si="1"/>
        <v>0</v>
      </c>
      <c r="H986" s="35" t="b">
        <v>1</v>
      </c>
      <c r="I986" s="35" t="b">
        <v>0</v>
      </c>
      <c r="J986" s="35" t="b">
        <v>0</v>
      </c>
      <c r="K986" s="35" t="b">
        <v>0</v>
      </c>
      <c r="L986" s="35" t="b">
        <v>0</v>
      </c>
      <c r="M986" s="35" t="b">
        <v>0</v>
      </c>
      <c r="N986" s="35" t="b">
        <v>0</v>
      </c>
      <c r="O986" s="35" t="b">
        <v>0</v>
      </c>
      <c r="P986" s="35" t="b">
        <v>0</v>
      </c>
      <c r="Q986" s="35" t="b">
        <v>0</v>
      </c>
      <c r="R986" s="14"/>
      <c r="S986" s="14"/>
      <c r="T986" s="14"/>
      <c r="U986" s="14"/>
      <c r="V986" s="14"/>
      <c r="W986" s="14"/>
    </row>
    <row r="987" ht="31.5" customHeight="1">
      <c r="A987" s="109" t="s">
        <v>12505</v>
      </c>
      <c r="B987" s="110" t="s">
        <v>12506</v>
      </c>
      <c r="C987" s="111" t="s">
        <v>12507</v>
      </c>
      <c r="D987" s="28" t="s">
        <v>12508</v>
      </c>
      <c r="E987" s="28" t="str">
        <f>IFERROR(__xludf.DUMMYFUNCTION("GOOGLETRANSLATE(D987,""zh-CN"",""vi"")"),"Chúng ta có thể học hỏi kinh nghiệm từ các quốc gia khác.")</f>
        <v>Chúng ta có thể học hỏi kinh nghiệm từ các quốc gia khác.</v>
      </c>
      <c r="F987" s="128"/>
      <c r="G987" s="36" t="b">
        <f t="shared" si="1"/>
        <v>0</v>
      </c>
      <c r="H987" s="35" t="b">
        <v>1</v>
      </c>
      <c r="I987" s="35" t="b">
        <v>0</v>
      </c>
      <c r="J987" s="35" t="b">
        <v>0</v>
      </c>
      <c r="K987" s="35" t="b">
        <v>0</v>
      </c>
      <c r="L987" s="35" t="b">
        <v>0</v>
      </c>
      <c r="M987" s="35" t="b">
        <v>0</v>
      </c>
      <c r="N987" s="35" t="b">
        <v>0</v>
      </c>
      <c r="O987" s="35" t="b">
        <v>0</v>
      </c>
      <c r="P987" s="35" t="b">
        <v>0</v>
      </c>
      <c r="Q987" s="35" t="b">
        <v>0</v>
      </c>
      <c r="R987" s="14"/>
      <c r="S987" s="14"/>
      <c r="T987" s="14"/>
      <c r="U987" s="14"/>
      <c r="V987" s="14"/>
      <c r="W987" s="14"/>
    </row>
    <row r="988" ht="31.5" customHeight="1">
      <c r="A988" s="109" t="s">
        <v>12509</v>
      </c>
      <c r="B988" s="110" t="s">
        <v>12510</v>
      </c>
      <c r="C988" s="111" t="s">
        <v>12512</v>
      </c>
      <c r="D988" s="28" t="s">
        <v>12513</v>
      </c>
      <c r="E988" s="28" t="str">
        <f>IFERROR(__xludf.DUMMYFUNCTION("GOOGLETRANSLATE(D988,""zh-CN"",""vi"")"),"Ranh giới phân chia giữa họ rất rõ ràng.")</f>
        <v>Ranh giới phân chia giữa họ rất rõ ràng.</v>
      </c>
      <c r="F988" s="128"/>
      <c r="G988" s="36" t="b">
        <f t="shared" si="1"/>
        <v>0</v>
      </c>
      <c r="H988" s="35" t="b">
        <v>1</v>
      </c>
      <c r="I988" s="35" t="b">
        <v>0</v>
      </c>
      <c r="J988" s="35" t="b">
        <v>0</v>
      </c>
      <c r="K988" s="35" t="b">
        <v>0</v>
      </c>
      <c r="L988" s="35" t="b">
        <v>0</v>
      </c>
      <c r="M988" s="35" t="b">
        <v>0</v>
      </c>
      <c r="N988" s="35" t="b">
        <v>0</v>
      </c>
      <c r="O988" s="35" t="b">
        <v>0</v>
      </c>
      <c r="P988" s="35" t="b">
        <v>0</v>
      </c>
      <c r="Q988" s="35" t="b">
        <v>0</v>
      </c>
      <c r="R988" s="14"/>
      <c r="S988" s="14"/>
      <c r="T988" s="14"/>
      <c r="U988" s="14"/>
      <c r="V988" s="14"/>
      <c r="W988" s="14"/>
    </row>
    <row r="989" ht="31.5" customHeight="1">
      <c r="A989" s="109" t="s">
        <v>12517</v>
      </c>
      <c r="B989" s="110" t="s">
        <v>12518</v>
      </c>
      <c r="C989" s="111" t="s">
        <v>12519</v>
      </c>
      <c r="D989" s="28" t="s">
        <v>12520</v>
      </c>
      <c r="E989" s="28" t="str">
        <f>IFERROR(__xludf.DUMMYFUNCTION("GOOGLETRANSLATE(D989,""zh-CN"",""vi"")"),"Chúng tôi đã hoàn thành nhiệm vụ này với sự trợ giúp của các công cụ.")</f>
        <v>Chúng tôi đã hoàn thành nhiệm vụ này với sự trợ giúp của các công cụ.</v>
      </c>
      <c r="F989" s="128"/>
      <c r="G989" s="36" t="b">
        <f t="shared" si="1"/>
        <v>0</v>
      </c>
      <c r="H989" s="35" t="b">
        <v>1</v>
      </c>
      <c r="I989" s="35" t="b">
        <v>0</v>
      </c>
      <c r="J989" s="35" t="b">
        <v>0</v>
      </c>
      <c r="K989" s="35" t="b">
        <v>0</v>
      </c>
      <c r="L989" s="35" t="b">
        <v>0</v>
      </c>
      <c r="M989" s="35" t="b">
        <v>0</v>
      </c>
      <c r="N989" s="35" t="b">
        <v>0</v>
      </c>
      <c r="O989" s="35" t="b">
        <v>0</v>
      </c>
      <c r="P989" s="35" t="b">
        <v>0</v>
      </c>
      <c r="Q989" s="35" t="b">
        <v>0</v>
      </c>
      <c r="R989" s="14"/>
      <c r="S989" s="14"/>
      <c r="T989" s="14"/>
      <c r="U989" s="14"/>
      <c r="V989" s="14"/>
      <c r="W989" s="14"/>
    </row>
    <row r="990" ht="31.5" customHeight="1">
      <c r="A990" s="109" t="s">
        <v>12525</v>
      </c>
      <c r="B990" s="110" t="s">
        <v>12526</v>
      </c>
      <c r="C990" s="111" t="s">
        <v>12527</v>
      </c>
      <c r="D990" s="28" t="s">
        <v>12528</v>
      </c>
      <c r="E990" s="28" t="str">
        <f>IFERROR(__xludf.DUMMYFUNCTION("GOOGLETRANSLATE(D990,""zh-CN"",""vi"")"),"Món này rất ngon.")</f>
        <v>Món này rất ngon.</v>
      </c>
      <c r="F990" s="128"/>
      <c r="G990" s="36" t="b">
        <f t="shared" si="1"/>
        <v>0</v>
      </c>
      <c r="H990" s="35" t="b">
        <v>1</v>
      </c>
      <c r="I990" s="35" t="b">
        <v>0</v>
      </c>
      <c r="J990" s="35" t="b">
        <v>0</v>
      </c>
      <c r="K990" s="35" t="b">
        <v>0</v>
      </c>
      <c r="L990" s="35" t="b">
        <v>0</v>
      </c>
      <c r="M990" s="35" t="b">
        <v>0</v>
      </c>
      <c r="N990" s="35" t="b">
        <v>0</v>
      </c>
      <c r="O990" s="35" t="b">
        <v>0</v>
      </c>
      <c r="P990" s="35" t="b">
        <v>0</v>
      </c>
      <c r="Q990" s="35" t="b">
        <v>0</v>
      </c>
      <c r="R990" s="14"/>
      <c r="S990" s="14"/>
      <c r="T990" s="14"/>
      <c r="U990" s="14"/>
      <c r="V990" s="14"/>
      <c r="W990" s="14"/>
    </row>
    <row r="991" ht="31.5" customHeight="1">
      <c r="A991" s="109" t="s">
        <v>12529</v>
      </c>
      <c r="B991" s="110" t="s">
        <v>12530</v>
      </c>
      <c r="C991" s="111" t="s">
        <v>6695</v>
      </c>
      <c r="D991" s="28" t="s">
        <v>12531</v>
      </c>
      <c r="E991" s="28" t="str">
        <f>IFERROR(__xludf.DUMMYFUNCTION("GOOGLETRANSLATE(D991,""zh-CN"",""vi"")"),"Thị trường tài chính gần đây rất biến động.")</f>
        <v>Thị trường tài chính gần đây rất biến động.</v>
      </c>
      <c r="F991" s="128"/>
      <c r="G991" s="36" t="b">
        <f t="shared" si="1"/>
        <v>0</v>
      </c>
      <c r="H991" s="35" t="b">
        <v>1</v>
      </c>
      <c r="I991" s="35" t="b">
        <v>0</v>
      </c>
      <c r="J991" s="35" t="b">
        <v>0</v>
      </c>
      <c r="K991" s="35" t="b">
        <v>0</v>
      </c>
      <c r="L991" s="35" t="b">
        <v>0</v>
      </c>
      <c r="M991" s="35" t="b">
        <v>0</v>
      </c>
      <c r="N991" s="35" t="b">
        <v>0</v>
      </c>
      <c r="O991" s="35" t="b">
        <v>0</v>
      </c>
      <c r="P991" s="35" t="b">
        <v>0</v>
      </c>
      <c r="Q991" s="35" t="b">
        <v>0</v>
      </c>
      <c r="R991" s="14"/>
      <c r="S991" s="14"/>
      <c r="T991" s="14"/>
      <c r="U991" s="14"/>
      <c r="V991" s="14"/>
      <c r="W991" s="14"/>
    </row>
    <row r="992" ht="31.5" customHeight="1">
      <c r="A992" s="109" t="s">
        <v>8035</v>
      </c>
      <c r="B992" s="110" t="s">
        <v>8036</v>
      </c>
      <c r="C992" s="111" t="s">
        <v>12536</v>
      </c>
      <c r="D992" s="28" t="s">
        <v>12537</v>
      </c>
      <c r="E992" s="28" t="str">
        <f>IFERROR(__xludf.DUMMYFUNCTION("GOOGLETRANSLATE(D992,""zh-CN"",""vi"")"),"Chúng ta cần hoàn thành dự án này càng sớm càng tốt.")</f>
        <v>Chúng ta cần hoàn thành dự án này càng sớm càng tốt.</v>
      </c>
      <c r="F992" s="128"/>
      <c r="G992" s="36" t="b">
        <f t="shared" si="1"/>
        <v>0</v>
      </c>
      <c r="H992" s="35" t="b">
        <v>1</v>
      </c>
      <c r="I992" s="35" t="b">
        <v>0</v>
      </c>
      <c r="J992" s="35" t="b">
        <v>0</v>
      </c>
      <c r="K992" s="35" t="b">
        <v>0</v>
      </c>
      <c r="L992" s="35" t="b">
        <v>0</v>
      </c>
      <c r="M992" s="35" t="b">
        <v>0</v>
      </c>
      <c r="N992" s="35" t="b">
        <v>0</v>
      </c>
      <c r="O992" s="35" t="b">
        <v>0</v>
      </c>
      <c r="P992" s="35" t="b">
        <v>0</v>
      </c>
      <c r="Q992" s="35" t="b">
        <v>0</v>
      </c>
      <c r="R992" s="14"/>
      <c r="S992" s="14"/>
      <c r="T992" s="14"/>
      <c r="U992" s="14"/>
      <c r="V992" s="14"/>
      <c r="W992" s="14"/>
    </row>
    <row r="993" ht="31.5" customHeight="1">
      <c r="A993" s="109" t="s">
        <v>8042</v>
      </c>
      <c r="B993" s="110" t="s">
        <v>8043</v>
      </c>
      <c r="C993" s="111" t="s">
        <v>12542</v>
      </c>
      <c r="D993" s="28" t="s">
        <v>12543</v>
      </c>
      <c r="E993" s="28" t="str">
        <f>IFERROR(__xludf.DUMMYFUNCTION("GOOGLETRANSLATE(D993,""zh-CN"",""vi"")"),"Hãy đơn giản hóa quy trình hết mức có thể để nâng cao hiệu quả.")</f>
        <v>Hãy đơn giản hóa quy trình hết mức có thể để nâng cao hiệu quả.</v>
      </c>
      <c r="F993" s="128"/>
      <c r="G993" s="36" t="b">
        <f t="shared" si="1"/>
        <v>0</v>
      </c>
      <c r="H993" s="35" t="b">
        <v>1</v>
      </c>
      <c r="I993" s="35" t="b">
        <v>0</v>
      </c>
      <c r="J993" s="35" t="b">
        <v>0</v>
      </c>
      <c r="K993" s="35" t="b">
        <v>0</v>
      </c>
      <c r="L993" s="35" t="b">
        <v>0</v>
      </c>
      <c r="M993" s="35" t="b">
        <v>0</v>
      </c>
      <c r="N993" s="35" t="b">
        <v>0</v>
      </c>
      <c r="O993" s="35" t="b">
        <v>0</v>
      </c>
      <c r="P993" s="35" t="b">
        <v>0</v>
      </c>
      <c r="Q993" s="35" t="b">
        <v>0</v>
      </c>
      <c r="R993" s="14"/>
      <c r="S993" s="14"/>
      <c r="T993" s="14"/>
      <c r="U993" s="14"/>
      <c r="V993" s="14"/>
      <c r="W993" s="14"/>
    </row>
    <row r="994" ht="31.5" customHeight="1">
      <c r="A994" s="109" t="s">
        <v>12548</v>
      </c>
      <c r="B994" s="110" t="s">
        <v>12549</v>
      </c>
      <c r="C994" s="111" t="s">
        <v>12550</v>
      </c>
      <c r="D994" s="28" t="s">
        <v>12551</v>
      </c>
      <c r="E994" s="28" t="str">
        <f>IFERROR(__xludf.DUMMYFUNCTION("GOOGLETRANSLATE(D994,""zh-CN"",""vi"")"),"Chúng ta phải duy trì mối quan hệ hợp tác chặt chẽ.")</f>
        <v>Chúng ta phải duy trì mối quan hệ hợp tác chặt chẽ.</v>
      </c>
      <c r="F994" s="128"/>
      <c r="G994" s="36" t="b">
        <f t="shared" si="1"/>
        <v>0</v>
      </c>
      <c r="H994" s="35" t="b">
        <v>1</v>
      </c>
      <c r="I994" s="35" t="b">
        <v>0</v>
      </c>
      <c r="J994" s="35" t="b">
        <v>0</v>
      </c>
      <c r="K994" s="35" t="b">
        <v>0</v>
      </c>
      <c r="L994" s="35" t="b">
        <v>0</v>
      </c>
      <c r="M994" s="35" t="b">
        <v>0</v>
      </c>
      <c r="N994" s="35" t="b">
        <v>0</v>
      </c>
      <c r="O994" s="35" t="b">
        <v>0</v>
      </c>
      <c r="P994" s="35" t="b">
        <v>0</v>
      </c>
      <c r="Q994" s="35" t="b">
        <v>0</v>
      </c>
      <c r="R994" s="14"/>
      <c r="S994" s="14"/>
      <c r="T994" s="14"/>
      <c r="U994" s="14"/>
      <c r="V994" s="14"/>
      <c r="W994" s="14"/>
    </row>
    <row r="995" ht="31.5" customHeight="1">
      <c r="A995" s="109" t="s">
        <v>12555</v>
      </c>
      <c r="B995" s="110" t="s">
        <v>12557</v>
      </c>
      <c r="C995" s="111" t="s">
        <v>12558</v>
      </c>
      <c r="D995" s="28" t="s">
        <v>12559</v>
      </c>
      <c r="E995" s="28" t="str">
        <f>IFERROR(__xludf.DUMMYFUNCTION("GOOGLETRANSLATE(D995,""zh-CN"",""vi"")"),"Nhiệm vụ này rất cấp bách và cần phải hoàn thành ngay lập tức.")</f>
        <v>Nhiệm vụ này rất cấp bách và cần phải hoàn thành ngay lập tức.</v>
      </c>
      <c r="F995" s="128"/>
      <c r="G995" s="36" t="b">
        <f t="shared" si="1"/>
        <v>0</v>
      </c>
      <c r="H995" s="35" t="b">
        <v>1</v>
      </c>
      <c r="I995" s="35" t="b">
        <v>0</v>
      </c>
      <c r="J995" s="35" t="b">
        <v>0</v>
      </c>
      <c r="K995" s="35" t="b">
        <v>0</v>
      </c>
      <c r="L995" s="35" t="b">
        <v>0</v>
      </c>
      <c r="M995" s="35" t="b">
        <v>0</v>
      </c>
      <c r="N995" s="35" t="b">
        <v>0</v>
      </c>
      <c r="O995" s="35" t="b">
        <v>0</v>
      </c>
      <c r="P995" s="35" t="b">
        <v>0</v>
      </c>
      <c r="Q995" s="35" t="b">
        <v>0</v>
      </c>
      <c r="R995" s="14"/>
      <c r="S995" s="14"/>
      <c r="T995" s="14"/>
      <c r="U995" s="14"/>
      <c r="V995" s="14"/>
      <c r="W995" s="14"/>
    </row>
    <row r="996" ht="31.5" customHeight="1">
      <c r="A996" s="109" t="s">
        <v>12564</v>
      </c>
      <c r="B996" s="110" t="s">
        <v>12565</v>
      </c>
      <c r="C996" s="111" t="s">
        <v>12566</v>
      </c>
      <c r="D996" s="28" t="s">
        <v>12567</v>
      </c>
      <c r="E996" s="28" t="str">
        <f>IFERROR(__xludf.DUMMYFUNCTION("GOOGLETRANSLATE(D996,""zh-CN"",""vi"")"),"Bạn có một tương lai tươi sáng phía trước.")</f>
        <v>Bạn có một tương lai tươi sáng phía trước.</v>
      </c>
      <c r="F996" s="128"/>
      <c r="G996" s="36" t="b">
        <f t="shared" si="1"/>
        <v>0</v>
      </c>
      <c r="H996" s="35" t="b">
        <v>1</v>
      </c>
      <c r="I996" s="35" t="b">
        <v>0</v>
      </c>
      <c r="J996" s="35" t="b">
        <v>0</v>
      </c>
      <c r="K996" s="35" t="b">
        <v>0</v>
      </c>
      <c r="L996" s="35" t="b">
        <v>0</v>
      </c>
      <c r="M996" s="35" t="b">
        <v>0</v>
      </c>
      <c r="N996" s="35" t="b">
        <v>0</v>
      </c>
      <c r="O996" s="35" t="b">
        <v>0</v>
      </c>
      <c r="P996" s="35" t="b">
        <v>0</v>
      </c>
      <c r="Q996" s="35" t="b">
        <v>0</v>
      </c>
      <c r="R996" s="14"/>
      <c r="S996" s="14"/>
      <c r="T996" s="14"/>
      <c r="U996" s="14"/>
      <c r="V996" s="14"/>
      <c r="W996" s="14"/>
    </row>
    <row r="997" ht="31.5" customHeight="1">
      <c r="A997" s="109" t="s">
        <v>12572</v>
      </c>
      <c r="B997" s="110" t="s">
        <v>12573</v>
      </c>
      <c r="C997" s="111" t="s">
        <v>12574</v>
      </c>
      <c r="D997" s="28" t="s">
        <v>12575</v>
      </c>
      <c r="E997" s="28" t="str">
        <f>IFERROR(__xludf.DUMMYFUNCTION("GOOGLETRANSLATE(D997,""zh-CN"",""vi"")"),"Sau đó, ông đưa ra những đề xuất mới.")</f>
        <v>Sau đó, ông đưa ra những đề xuất mới.</v>
      </c>
      <c r="F997" s="128"/>
      <c r="G997" s="36" t="b">
        <f t="shared" si="1"/>
        <v>0</v>
      </c>
      <c r="H997" s="35" t="b">
        <v>1</v>
      </c>
      <c r="I997" s="35" t="b">
        <v>0</v>
      </c>
      <c r="J997" s="35" t="b">
        <v>0</v>
      </c>
      <c r="K997" s="35" t="b">
        <v>0</v>
      </c>
      <c r="L997" s="35" t="b">
        <v>0</v>
      </c>
      <c r="M997" s="35" t="b">
        <v>0</v>
      </c>
      <c r="N997" s="35" t="b">
        <v>0</v>
      </c>
      <c r="O997" s="35" t="b">
        <v>0</v>
      </c>
      <c r="P997" s="35" t="b">
        <v>0</v>
      </c>
      <c r="Q997" s="35" t="b">
        <v>0</v>
      </c>
      <c r="R997" s="14"/>
      <c r="S997" s="14"/>
      <c r="T997" s="14"/>
      <c r="U997" s="14"/>
      <c r="V997" s="14"/>
      <c r="W997" s="14"/>
    </row>
    <row r="998" ht="31.5" customHeight="1">
      <c r="A998" s="109" t="s">
        <v>12579</v>
      </c>
      <c r="B998" s="110" t="s">
        <v>12580</v>
      </c>
      <c r="C998" s="111" t="s">
        <v>10360</v>
      </c>
      <c r="D998" s="28" t="s">
        <v>12582</v>
      </c>
      <c r="E998" s="28" t="str">
        <f>IFERROR(__xludf.DUMMYFUNCTION("GOOGLETRANSLATE(D998,""zh-CN"",""vi"")"),"Kẻ thù đã phát động một cuộc tấn công dữ dội.")</f>
        <v>Kẻ thù đã phát động một cuộc tấn công dữ dội.</v>
      </c>
      <c r="F998" s="128"/>
      <c r="G998" s="36" t="b">
        <f t="shared" si="1"/>
        <v>0</v>
      </c>
      <c r="H998" s="35" t="b">
        <v>1</v>
      </c>
      <c r="I998" s="35" t="b">
        <v>0</v>
      </c>
      <c r="J998" s="35" t="b">
        <v>0</v>
      </c>
      <c r="K998" s="35" t="b">
        <v>0</v>
      </c>
      <c r="L998" s="35" t="b">
        <v>0</v>
      </c>
      <c r="M998" s="35" t="b">
        <v>0</v>
      </c>
      <c r="N998" s="35" t="b">
        <v>0</v>
      </c>
      <c r="O998" s="35" t="b">
        <v>0</v>
      </c>
      <c r="P998" s="35" t="b">
        <v>0</v>
      </c>
      <c r="Q998" s="35" t="b">
        <v>0</v>
      </c>
      <c r="R998" s="14"/>
      <c r="S998" s="14"/>
      <c r="T998" s="14"/>
      <c r="U998" s="14"/>
      <c r="V998" s="14"/>
      <c r="W998" s="14"/>
    </row>
    <row r="999" ht="31.5" customHeight="1">
      <c r="A999" s="109" t="s">
        <v>12583</v>
      </c>
      <c r="B999" s="110" t="s">
        <v>12584</v>
      </c>
      <c r="C999" s="111" t="s">
        <v>12585</v>
      </c>
      <c r="D999" s="28" t="s">
        <v>12586</v>
      </c>
      <c r="E999" s="28" t="str">
        <f>IFERROR(__xludf.DUMMYFUNCTION("GOOGLETRANSLATE(D999,""zh-CN"",""vi"")"),"Con người không ngừng tiến hóa.")</f>
        <v>Con người không ngừng tiến hóa.</v>
      </c>
      <c r="F999" s="128"/>
      <c r="G999" s="36" t="b">
        <f t="shared" si="1"/>
        <v>0</v>
      </c>
      <c r="H999" s="35" t="b">
        <v>1</v>
      </c>
      <c r="I999" s="35" t="b">
        <v>0</v>
      </c>
      <c r="J999" s="35" t="b">
        <v>0</v>
      </c>
      <c r="K999" s="35" t="b">
        <v>0</v>
      </c>
      <c r="L999" s="35" t="b">
        <v>0</v>
      </c>
      <c r="M999" s="35" t="b">
        <v>0</v>
      </c>
      <c r="N999" s="35" t="b">
        <v>0</v>
      </c>
      <c r="O999" s="35" t="b">
        <v>0</v>
      </c>
      <c r="P999" s="35" t="b">
        <v>0</v>
      </c>
      <c r="Q999" s="35" t="b">
        <v>0</v>
      </c>
      <c r="R999" s="14"/>
      <c r="S999" s="14"/>
      <c r="T999" s="14"/>
      <c r="U999" s="14"/>
      <c r="V999" s="14"/>
      <c r="W999" s="14"/>
    </row>
    <row r="1000" ht="31.5" customHeight="1">
      <c r="A1000" s="109" t="s">
        <v>12591</v>
      </c>
      <c r="B1000" s="110" t="s">
        <v>12592</v>
      </c>
      <c r="C1000" s="111" t="s">
        <v>3631</v>
      </c>
      <c r="D1000" s="28" t="s">
        <v>12593</v>
      </c>
      <c r="E1000" s="28" t="str">
        <f>IFERROR(__xludf.DUMMYFUNCTION("GOOGLETRANSLATE(D1000,""zh-CN"",""vi"")"),"Thời tiết dạo này càng ngày càng nóng hơn.")</f>
        <v>Thời tiết dạo này càng ngày càng nóng hơn.</v>
      </c>
      <c r="F1000" s="128"/>
      <c r="G1000" s="36" t="b">
        <f t="shared" si="1"/>
        <v>0</v>
      </c>
      <c r="H1000" s="35" t="b">
        <v>1</v>
      </c>
      <c r="I1000" s="35" t="b">
        <v>0</v>
      </c>
      <c r="J1000" s="35" t="b">
        <v>0</v>
      </c>
      <c r="K1000" s="35" t="b">
        <v>0</v>
      </c>
      <c r="L1000" s="35" t="b">
        <v>0</v>
      </c>
      <c r="M1000" s="35" t="b">
        <v>0</v>
      </c>
      <c r="N1000" s="35" t="b">
        <v>0</v>
      </c>
      <c r="O1000" s="35" t="b">
        <v>0</v>
      </c>
      <c r="P1000" s="35" t="b">
        <v>0</v>
      </c>
      <c r="Q1000" s="35" t="b">
        <v>0</v>
      </c>
      <c r="R1000" s="14"/>
      <c r="S1000" s="14"/>
      <c r="T1000" s="14"/>
      <c r="U1000" s="14"/>
      <c r="V1000" s="14"/>
      <c r="W1000" s="14"/>
    </row>
    <row r="1001" ht="31.5" customHeight="1">
      <c r="A1001" s="109" t="s">
        <v>12598</v>
      </c>
      <c r="B1001" s="110" t="s">
        <v>12599</v>
      </c>
      <c r="C1001" s="111" t="s">
        <v>12600</v>
      </c>
      <c r="D1001" s="28" t="s">
        <v>12601</v>
      </c>
      <c r="E1001" s="28" t="str">
        <f>IFERROR(__xludf.DUMMYFUNCTION("GOOGLETRANSLATE(D1001,""zh-CN"",""vi"")"),"Anh ấy ngâm lá trà trong nước nóng.")</f>
        <v>Anh ấy ngâm lá trà trong nước nóng.</v>
      </c>
      <c r="F1001" s="128"/>
      <c r="G1001" s="36" t="b">
        <f t="shared" si="1"/>
        <v>0</v>
      </c>
      <c r="H1001" s="35" t="b">
        <v>1</v>
      </c>
      <c r="I1001" s="35" t="b">
        <v>0</v>
      </c>
      <c r="J1001" s="35" t="b">
        <v>0</v>
      </c>
      <c r="K1001" s="35" t="b">
        <v>0</v>
      </c>
      <c r="L1001" s="35" t="b">
        <v>0</v>
      </c>
      <c r="M1001" s="35" t="b">
        <v>0</v>
      </c>
      <c r="N1001" s="35" t="b">
        <v>0</v>
      </c>
      <c r="O1001" s="35" t="b">
        <v>0</v>
      </c>
      <c r="P1001" s="35" t="b">
        <v>0</v>
      </c>
      <c r="Q1001" s="35" t="b">
        <v>0</v>
      </c>
      <c r="R1001" s="14"/>
      <c r="S1001" s="14"/>
      <c r="T1001" s="14"/>
      <c r="U1001" s="14"/>
      <c r="V1001" s="14"/>
      <c r="W1001" s="14"/>
    </row>
    <row r="1002" ht="31.5" customHeight="1">
      <c r="A1002" s="109" t="s">
        <v>12604</v>
      </c>
      <c r="B1002" s="110" t="s">
        <v>12605</v>
      </c>
      <c r="C1002" s="111" t="s">
        <v>12606</v>
      </c>
      <c r="D1002" s="28" t="s">
        <v>12607</v>
      </c>
      <c r="E1002" s="28" t="str">
        <f>IFERROR(__xludf.DUMMYFUNCTION("GOOGLETRANSLATE(D1002,""zh-CN"",""vi"")"),"Anh ấy được thăng chức lên làm quản lý.")</f>
        <v>Anh ấy được thăng chức lên làm quản lý.</v>
      </c>
      <c r="F1002" s="128"/>
      <c r="G1002" s="36" t="b">
        <f t="shared" si="1"/>
        <v>0</v>
      </c>
      <c r="H1002" s="35" t="b">
        <v>1</v>
      </c>
      <c r="I1002" s="35" t="b">
        <v>0</v>
      </c>
      <c r="J1002" s="35" t="b">
        <v>0</v>
      </c>
      <c r="K1002" s="35" t="b">
        <v>0</v>
      </c>
      <c r="L1002" s="35" t="b">
        <v>0</v>
      </c>
      <c r="M1002" s="35" t="b">
        <v>0</v>
      </c>
      <c r="N1002" s="35" t="b">
        <v>0</v>
      </c>
      <c r="O1002" s="35" t="b">
        <v>0</v>
      </c>
      <c r="P1002" s="35" t="b">
        <v>0</v>
      </c>
      <c r="Q1002" s="35" t="b">
        <v>0</v>
      </c>
      <c r="R1002" s="14"/>
      <c r="S1002" s="14"/>
      <c r="T1002" s="14"/>
      <c r="U1002" s="14"/>
      <c r="V1002" s="14"/>
      <c r="W1002" s="14"/>
    </row>
    <row r="1003" ht="31.5" customHeight="1">
      <c r="A1003" s="109" t="s">
        <v>12612</v>
      </c>
      <c r="B1003" s="110" t="s">
        <v>12613</v>
      </c>
      <c r="C1003" s="111" t="s">
        <v>12614</v>
      </c>
      <c r="D1003" s="28" t="s">
        <v>12615</v>
      </c>
      <c r="E1003" s="28" t="str">
        <f>IFERROR(__xludf.DUMMYFUNCTION("GOOGLETRANSLATE(D1003,""zh-CN"",""vi"")"),"Cô ấy bị cận thị và cần đeo kính.")</f>
        <v>Cô ấy bị cận thị và cần đeo kính.</v>
      </c>
      <c r="F1003" s="128"/>
      <c r="G1003" s="36" t="b">
        <f t="shared" si="1"/>
        <v>0</v>
      </c>
      <c r="H1003" s="35" t="b">
        <v>1</v>
      </c>
      <c r="I1003" s="35" t="b">
        <v>0</v>
      </c>
      <c r="J1003" s="35" t="b">
        <v>0</v>
      </c>
      <c r="K1003" s="35" t="b">
        <v>0</v>
      </c>
      <c r="L1003" s="35" t="b">
        <v>0</v>
      </c>
      <c r="M1003" s="35" t="b">
        <v>0</v>
      </c>
      <c r="N1003" s="35" t="b">
        <v>0</v>
      </c>
      <c r="O1003" s="35" t="b">
        <v>0</v>
      </c>
      <c r="P1003" s="35" t="b">
        <v>0</v>
      </c>
      <c r="Q1003" s="35" t="b">
        <v>0</v>
      </c>
      <c r="R1003" s="14"/>
      <c r="S1003" s="14"/>
      <c r="T1003" s="14"/>
      <c r="U1003" s="14"/>
      <c r="V1003" s="14"/>
      <c r="W1003" s="14"/>
    </row>
    <row r="1004" ht="31.5" customHeight="1">
      <c r="A1004" s="109" t="s">
        <v>12618</v>
      </c>
      <c r="B1004" s="110" t="s">
        <v>12620</v>
      </c>
      <c r="C1004" s="111" t="s">
        <v>12622</v>
      </c>
      <c r="D1004" s="28" t="s">
        <v>12623</v>
      </c>
      <c r="E1004" s="28" t="str">
        <f>IFERROR(__xludf.DUMMYFUNCTION("GOOGLETRANSLATE(D1004,""zh-CN"",""vi"")"),"Anh ấy rất năng nổ trong công việc.")</f>
        <v>Anh ấy rất năng nổ trong công việc.</v>
      </c>
      <c r="F1004" s="128"/>
      <c r="G1004" s="36" t="b">
        <f t="shared" si="1"/>
        <v>0</v>
      </c>
      <c r="H1004" s="35" t="b">
        <v>1</v>
      </c>
      <c r="I1004" s="35" t="b">
        <v>0</v>
      </c>
      <c r="J1004" s="35" t="b">
        <v>0</v>
      </c>
      <c r="K1004" s="35" t="b">
        <v>0</v>
      </c>
      <c r="L1004" s="35" t="b">
        <v>0</v>
      </c>
      <c r="M1004" s="35" t="b">
        <v>0</v>
      </c>
      <c r="N1004" s="35" t="b">
        <v>0</v>
      </c>
      <c r="O1004" s="35" t="b">
        <v>0</v>
      </c>
      <c r="P1004" s="35" t="b">
        <v>0</v>
      </c>
      <c r="Q1004" s="35" t="b">
        <v>0</v>
      </c>
      <c r="R1004" s="14"/>
      <c r="S1004" s="14"/>
      <c r="T1004" s="14"/>
      <c r="U1004" s="14"/>
      <c r="V1004" s="14"/>
      <c r="W1004" s="14"/>
    </row>
    <row r="1005" ht="31.5" customHeight="1">
      <c r="A1005" s="109" t="s">
        <v>12624</v>
      </c>
      <c r="B1005" s="110" t="s">
        <v>12625</v>
      </c>
      <c r="C1005" s="111" t="s">
        <v>12626</v>
      </c>
      <c r="D1005" s="28" t="s">
        <v>12627</v>
      </c>
      <c r="E1005" s="28" t="str">
        <f>IFERROR(__xludf.DUMMYFUNCTION("GOOGLETRANSLATE(D1005,""zh-CN"",""vi"")"),"Dự án đang tiến triển thuận lợi.")</f>
        <v>Dự án đang tiến triển thuận lợi.</v>
      </c>
      <c r="F1005" s="128"/>
      <c r="G1005" s="36" t="b">
        <f t="shared" si="1"/>
        <v>0</v>
      </c>
      <c r="H1005" s="35" t="b">
        <v>1</v>
      </c>
      <c r="I1005" s="35" t="b">
        <v>0</v>
      </c>
      <c r="J1005" s="35" t="b">
        <v>0</v>
      </c>
      <c r="K1005" s="35" t="b">
        <v>0</v>
      </c>
      <c r="L1005" s="35" t="b">
        <v>0</v>
      </c>
      <c r="M1005" s="35" t="b">
        <v>0</v>
      </c>
      <c r="N1005" s="35" t="b">
        <v>0</v>
      </c>
      <c r="O1005" s="35" t="b">
        <v>0</v>
      </c>
      <c r="P1005" s="35" t="b">
        <v>0</v>
      </c>
      <c r="Q1005" s="35" t="b">
        <v>0</v>
      </c>
      <c r="R1005" s="14"/>
      <c r="S1005" s="14"/>
      <c r="T1005" s="14"/>
      <c r="U1005" s="14"/>
      <c r="V1005" s="14"/>
      <c r="W1005" s="14"/>
    </row>
    <row r="1006" ht="31.5" customHeight="1">
      <c r="A1006" s="109" t="s">
        <v>12632</v>
      </c>
      <c r="B1006" s="110" t="s">
        <v>12633</v>
      </c>
      <c r="C1006" s="111" t="s">
        <v>12634</v>
      </c>
      <c r="D1006" s="28" t="s">
        <v>12635</v>
      </c>
      <c r="E1006" s="28" t="str">
        <f>IFERROR(__xludf.DUMMYFUNCTION("GOOGLETRANSLATE(D1006,""zh-CN"",""vi"")"),"Thân cây rất dài.")</f>
        <v>Thân cây rất dài.</v>
      </c>
      <c r="F1006" s="128"/>
      <c r="G1006" s="36" t="b">
        <f t="shared" si="1"/>
        <v>0</v>
      </c>
      <c r="H1006" s="35" t="b">
        <v>1</v>
      </c>
      <c r="I1006" s="35" t="b">
        <v>0</v>
      </c>
      <c r="J1006" s="35" t="b">
        <v>0</v>
      </c>
      <c r="K1006" s="35" t="b">
        <v>0</v>
      </c>
      <c r="L1006" s="35" t="b">
        <v>0</v>
      </c>
      <c r="M1006" s="35" t="b">
        <v>0</v>
      </c>
      <c r="N1006" s="35" t="b">
        <v>0</v>
      </c>
      <c r="O1006" s="35" t="b">
        <v>0</v>
      </c>
      <c r="P1006" s="35" t="b">
        <v>0</v>
      </c>
      <c r="Q1006" s="35" t="b">
        <v>0</v>
      </c>
      <c r="R1006" s="14"/>
      <c r="S1006" s="14"/>
      <c r="T1006" s="14"/>
      <c r="U1006" s="14"/>
      <c r="V1006" s="14"/>
      <c r="W1006" s="14"/>
    </row>
    <row r="1007" ht="31.5" customHeight="1">
      <c r="A1007" s="109" t="s">
        <v>12640</v>
      </c>
      <c r="B1007" s="110" t="s">
        <v>12641</v>
      </c>
      <c r="C1007" s="111" t="s">
        <v>12642</v>
      </c>
      <c r="D1007" s="28" t="s">
        <v>12643</v>
      </c>
      <c r="E1007" s="28" t="str">
        <f>IFERROR(__xludf.DUMMYFUNCTION("GOOGLETRANSLATE(D1007,""zh-CN"",""vi"")"),"Cô ấy luôn rất cẩn thận với tiền bạc của mình.")</f>
        <v>Cô ấy luôn rất cẩn thận với tiền bạc của mình.</v>
      </c>
      <c r="F1007" s="128"/>
      <c r="G1007" s="36" t="b">
        <f t="shared" si="1"/>
        <v>0</v>
      </c>
      <c r="H1007" s="35" t="b">
        <v>1</v>
      </c>
      <c r="I1007" s="35" t="b">
        <v>0</v>
      </c>
      <c r="J1007" s="35" t="b">
        <v>0</v>
      </c>
      <c r="K1007" s="35" t="b">
        <v>0</v>
      </c>
      <c r="L1007" s="35" t="b">
        <v>0</v>
      </c>
      <c r="M1007" s="35" t="b">
        <v>0</v>
      </c>
      <c r="N1007" s="35" t="b">
        <v>0</v>
      </c>
      <c r="O1007" s="35" t="b">
        <v>0</v>
      </c>
      <c r="P1007" s="35" t="b">
        <v>0</v>
      </c>
      <c r="Q1007" s="35" t="b">
        <v>0</v>
      </c>
      <c r="R1007" s="14"/>
      <c r="S1007" s="14"/>
      <c r="T1007" s="14"/>
      <c r="U1007" s="14"/>
      <c r="V1007" s="14"/>
      <c r="W1007" s="14"/>
    </row>
    <row r="1008" ht="31.5" customHeight="1">
      <c r="A1008" s="109" t="s">
        <v>12644</v>
      </c>
      <c r="B1008" s="110" t="s">
        <v>12645</v>
      </c>
      <c r="C1008" s="111" t="s">
        <v>12646</v>
      </c>
      <c r="D1008" s="28" t="s">
        <v>12647</v>
      </c>
      <c r="E1008" s="28" t="str">
        <f>IFERROR(__xludf.DUMMYFUNCTION("GOOGLETRANSLATE(D1008,""zh-CN"",""vi"")"),"Vụ việc này đã khiến mọi người lo ngại.")</f>
        <v>Vụ việc này đã khiến mọi người lo ngại.</v>
      </c>
      <c r="F1008" s="128"/>
      <c r="G1008" s="36" t="b">
        <f t="shared" si="1"/>
        <v>0</v>
      </c>
      <c r="H1008" s="35" t="b">
        <v>1</v>
      </c>
      <c r="I1008" s="35" t="b">
        <v>0</v>
      </c>
      <c r="J1008" s="35" t="b">
        <v>0</v>
      </c>
      <c r="K1008" s="35" t="b">
        <v>0</v>
      </c>
      <c r="L1008" s="35" t="b">
        <v>0</v>
      </c>
      <c r="M1008" s="35" t="b">
        <v>0</v>
      </c>
      <c r="N1008" s="35" t="b">
        <v>0</v>
      </c>
      <c r="O1008" s="35" t="b">
        <v>0</v>
      </c>
      <c r="P1008" s="35" t="b">
        <v>0</v>
      </c>
      <c r="Q1008" s="35" t="b">
        <v>0</v>
      </c>
      <c r="R1008" s="14"/>
      <c r="S1008" s="14"/>
      <c r="T1008" s="14"/>
      <c r="U1008" s="14"/>
      <c r="V1008" s="14"/>
      <c r="W1008" s="14"/>
    </row>
    <row r="1009" ht="31.5" customHeight="1">
      <c r="A1009" s="109" t="s">
        <v>12652</v>
      </c>
      <c r="B1009" s="110" t="s">
        <v>12653</v>
      </c>
      <c r="C1009" s="111" t="s">
        <v>12654</v>
      </c>
      <c r="D1009" s="28" t="s">
        <v>12655</v>
      </c>
      <c r="E1009" s="28" t="str">
        <f>IFERROR(__xludf.DUMMYFUNCTION("GOOGLETRANSLATE(D1009,""zh-CN"",""vi"")"),"Họ có đủ kinh phí nghiên cứu.")</f>
        <v>Họ có đủ kinh phí nghiên cứu.</v>
      </c>
      <c r="F1009" s="128"/>
      <c r="G1009" s="36" t="b">
        <f t="shared" si="1"/>
        <v>0</v>
      </c>
      <c r="H1009" s="35" t="b">
        <v>1</v>
      </c>
      <c r="I1009" s="35" t="b">
        <v>0</v>
      </c>
      <c r="J1009" s="35" t="b">
        <v>0</v>
      </c>
      <c r="K1009" s="35" t="b">
        <v>0</v>
      </c>
      <c r="L1009" s="35" t="b">
        <v>0</v>
      </c>
      <c r="M1009" s="35" t="b">
        <v>0</v>
      </c>
      <c r="N1009" s="35" t="b">
        <v>0</v>
      </c>
      <c r="O1009" s="35" t="b">
        <v>0</v>
      </c>
      <c r="P1009" s="35" t="b">
        <v>0</v>
      </c>
      <c r="Q1009" s="35" t="b">
        <v>0</v>
      </c>
      <c r="R1009" s="14"/>
      <c r="S1009" s="14"/>
      <c r="T1009" s="14"/>
      <c r="U1009" s="14"/>
      <c r="V1009" s="14"/>
      <c r="W1009" s="14"/>
    </row>
    <row r="1010" ht="31.5" customHeight="1">
      <c r="A1010" s="109" t="s">
        <v>12656</v>
      </c>
      <c r="B1010" s="110" t="s">
        <v>12657</v>
      </c>
      <c r="C1010" s="111" t="s">
        <v>12659</v>
      </c>
      <c r="D1010" s="28" t="s">
        <v>12660</v>
      </c>
      <c r="E1010" s="28" t="str">
        <f>IFERROR(__xludf.DUMMYFUNCTION("GOOGLETRANSLATE(D1010,""zh-CN"",""vi"")"),"Cuốn sách này là tinh túy trong toàn bộ tác phẩm của tác giả.")</f>
        <v>Cuốn sách này là tinh túy trong toàn bộ tác phẩm của tác giả.</v>
      </c>
      <c r="F1010" s="128"/>
      <c r="G1010" s="36" t="b">
        <f t="shared" si="1"/>
        <v>0</v>
      </c>
      <c r="H1010" s="35" t="b">
        <v>1</v>
      </c>
      <c r="I1010" s="35" t="b">
        <v>0</v>
      </c>
      <c r="J1010" s="35" t="b">
        <v>0</v>
      </c>
      <c r="K1010" s="35" t="b">
        <v>0</v>
      </c>
      <c r="L1010" s="35" t="b">
        <v>0</v>
      </c>
      <c r="M1010" s="35" t="b">
        <v>0</v>
      </c>
      <c r="N1010" s="35" t="b">
        <v>0</v>
      </c>
      <c r="O1010" s="35" t="b">
        <v>0</v>
      </c>
      <c r="P1010" s="35" t="b">
        <v>0</v>
      </c>
      <c r="Q1010" s="35" t="b">
        <v>0</v>
      </c>
      <c r="R1010" s="14"/>
      <c r="S1010" s="14"/>
      <c r="T1010" s="14"/>
      <c r="U1010" s="14"/>
      <c r="V1010" s="14"/>
      <c r="W1010" s="14"/>
    </row>
    <row r="1011" ht="31.5" customHeight="1">
      <c r="A1011" s="109" t="s">
        <v>12664</v>
      </c>
      <c r="B1011" s="110" t="s">
        <v>12665</v>
      </c>
      <c r="C1011" s="111" t="s">
        <v>12666</v>
      </c>
      <c r="D1011" s="28" t="s">
        <v>12667</v>
      </c>
      <c r="E1011" s="28" t="str">
        <f>IFERROR(__xludf.DUMMYFUNCTION("GOOGLETRANSLATE(D1011,""zh-CN"",""vi"")"),"Chúng ta cần tối ưu hóa quy trình làm việc.")</f>
        <v>Chúng ta cần tối ưu hóa quy trình làm việc.</v>
      </c>
      <c r="F1011" s="128"/>
      <c r="G1011" s="36" t="b">
        <f t="shared" si="1"/>
        <v>0</v>
      </c>
      <c r="H1011" s="35" t="b">
        <v>1</v>
      </c>
      <c r="I1011" s="35" t="b">
        <v>0</v>
      </c>
      <c r="J1011" s="35" t="b">
        <v>0</v>
      </c>
      <c r="K1011" s="35" t="b">
        <v>0</v>
      </c>
      <c r="L1011" s="35" t="b">
        <v>0</v>
      </c>
      <c r="M1011" s="35" t="b">
        <v>0</v>
      </c>
      <c r="N1011" s="35" t="b">
        <v>0</v>
      </c>
      <c r="O1011" s="35" t="b">
        <v>0</v>
      </c>
      <c r="P1011" s="35" t="b">
        <v>0</v>
      </c>
      <c r="Q1011" s="35" t="b">
        <v>0</v>
      </c>
      <c r="R1011" s="14"/>
      <c r="S1011" s="14"/>
      <c r="T1011" s="14"/>
      <c r="U1011" s="14"/>
      <c r="V1011" s="14"/>
      <c r="W1011" s="14"/>
    </row>
    <row r="1012" ht="31.5" customHeight="1">
      <c r="A1012" s="109" t="s">
        <v>12672</v>
      </c>
      <c r="B1012" s="110" t="s">
        <v>12673</v>
      </c>
      <c r="C1012" s="111" t="s">
        <v>12674</v>
      </c>
      <c r="D1012" s="28" t="s">
        <v>12675</v>
      </c>
      <c r="E1012" s="28" t="str">
        <f>IFERROR(__xludf.DUMMYFUNCTION("GOOGLETRANSLATE(D1012,""zh-CN"",""vi"")"),"Anh ấy làm việc siêng năng và tận tâm.")</f>
        <v>Anh ấy làm việc siêng năng và tận tâm.</v>
      </c>
      <c r="F1012" s="128"/>
      <c r="G1012" s="36" t="b">
        <f t="shared" si="1"/>
        <v>0</v>
      </c>
      <c r="H1012" s="35" t="b">
        <v>1</v>
      </c>
      <c r="I1012" s="35" t="b">
        <v>0</v>
      </c>
      <c r="J1012" s="35" t="b">
        <v>0</v>
      </c>
      <c r="K1012" s="35" t="b">
        <v>0</v>
      </c>
      <c r="L1012" s="35" t="b">
        <v>0</v>
      </c>
      <c r="M1012" s="35" t="b">
        <v>0</v>
      </c>
      <c r="N1012" s="35" t="b">
        <v>0</v>
      </c>
      <c r="O1012" s="35" t="b">
        <v>0</v>
      </c>
      <c r="P1012" s="35" t="b">
        <v>0</v>
      </c>
      <c r="Q1012" s="35" t="b">
        <v>0</v>
      </c>
      <c r="R1012" s="14"/>
      <c r="S1012" s="14"/>
      <c r="T1012" s="14"/>
      <c r="U1012" s="14"/>
      <c r="V1012" s="14"/>
      <c r="W1012" s="14"/>
    </row>
    <row r="1013" ht="31.5" customHeight="1">
      <c r="A1013" s="109" t="s">
        <v>12680</v>
      </c>
      <c r="B1013" s="110" t="s">
        <v>12681</v>
      </c>
      <c r="C1013" s="111" t="s">
        <v>12682</v>
      </c>
      <c r="D1013" s="28" t="s">
        <v>12683</v>
      </c>
      <c r="E1013" s="28" t="str">
        <f>IFERROR(__xludf.DUMMYFUNCTION("GOOGLETRANSLATE(D1013,""zh-CN"",""vi"")"),"Cỗ máy này cực kỳ chính xác.")</f>
        <v>Cỗ máy này cực kỳ chính xác.</v>
      </c>
      <c r="F1013" s="128"/>
      <c r="G1013" s="36" t="b">
        <f t="shared" si="1"/>
        <v>0</v>
      </c>
      <c r="H1013" s="35" t="b">
        <v>1</v>
      </c>
      <c r="I1013" s="35" t="b">
        <v>0</v>
      </c>
      <c r="J1013" s="35" t="b">
        <v>0</v>
      </c>
      <c r="K1013" s="35" t="b">
        <v>0</v>
      </c>
      <c r="L1013" s="35" t="b">
        <v>0</v>
      </c>
      <c r="M1013" s="35" t="b">
        <v>0</v>
      </c>
      <c r="N1013" s="35" t="b">
        <v>0</v>
      </c>
      <c r="O1013" s="35" t="b">
        <v>0</v>
      </c>
      <c r="P1013" s="35" t="b">
        <v>0</v>
      </c>
      <c r="Q1013" s="35" t="b">
        <v>0</v>
      </c>
      <c r="R1013" s="14"/>
      <c r="S1013" s="14"/>
      <c r="T1013" s="14"/>
      <c r="U1013" s="14"/>
      <c r="V1013" s="14"/>
      <c r="W1013" s="14"/>
    </row>
    <row r="1014" ht="31.5" customHeight="1">
      <c r="A1014" s="109" t="s">
        <v>12686</v>
      </c>
      <c r="B1014" s="110" t="s">
        <v>12688</v>
      </c>
      <c r="C1014" s="111" t="s">
        <v>12689</v>
      </c>
      <c r="D1014" s="28" t="s">
        <v>12691</v>
      </c>
      <c r="E1014" s="28" t="str">
        <f>IFERROR(__xludf.DUMMYFUNCTION("GOOGLETRANSLATE(D1014,""zh-CN"",""vi"")"),"Cô ấy vô cùng kinh ngạc trước phát hiện mới này.")</f>
        <v>Cô ấy vô cùng kinh ngạc trước phát hiện mới này.</v>
      </c>
      <c r="F1014" s="128"/>
      <c r="G1014" s="36" t="b">
        <f t="shared" si="1"/>
        <v>0</v>
      </c>
      <c r="H1014" s="35" t="b">
        <v>1</v>
      </c>
      <c r="I1014" s="35" t="b">
        <v>0</v>
      </c>
      <c r="J1014" s="35" t="b">
        <v>0</v>
      </c>
      <c r="K1014" s="35" t="b">
        <v>0</v>
      </c>
      <c r="L1014" s="35" t="b">
        <v>0</v>
      </c>
      <c r="M1014" s="35" t="b">
        <v>0</v>
      </c>
      <c r="N1014" s="35" t="b">
        <v>0</v>
      </c>
      <c r="O1014" s="35" t="b">
        <v>0</v>
      </c>
      <c r="P1014" s="35" t="b">
        <v>0</v>
      </c>
      <c r="Q1014" s="35" t="b">
        <v>0</v>
      </c>
      <c r="R1014" s="14"/>
      <c r="S1014" s="14"/>
      <c r="T1014" s="14"/>
      <c r="U1014" s="14"/>
      <c r="V1014" s="14"/>
      <c r="W1014" s="14"/>
    </row>
    <row r="1015" ht="31.5" customHeight="1">
      <c r="A1015" s="109" t="s">
        <v>12692</v>
      </c>
      <c r="B1015" s="110" t="s">
        <v>12693</v>
      </c>
      <c r="C1015" s="111" t="s">
        <v>12694</v>
      </c>
      <c r="D1015" s="28" t="s">
        <v>12695</v>
      </c>
      <c r="E1015" s="28" t="str">
        <f>IFERROR(__xludf.DUMMYFUNCTION("GOOGLETRANSLATE(D1015,""zh-CN"",""vi"")"),"Dữ liệu cần phải chính xác đến hai chữ số thập phân.")</f>
        <v>Dữ liệu cần phải chính xác đến hai chữ số thập phân.</v>
      </c>
      <c r="F1015" s="128"/>
      <c r="G1015" s="36" t="b">
        <f t="shared" si="1"/>
        <v>0</v>
      </c>
      <c r="H1015" s="35" t="b">
        <v>1</v>
      </c>
      <c r="I1015" s="35" t="b">
        <v>0</v>
      </c>
      <c r="J1015" s="35" t="b">
        <v>0</v>
      </c>
      <c r="K1015" s="35" t="b">
        <v>0</v>
      </c>
      <c r="L1015" s="35" t="b">
        <v>0</v>
      </c>
      <c r="M1015" s="35" t="b">
        <v>0</v>
      </c>
      <c r="N1015" s="35" t="b">
        <v>0</v>
      </c>
      <c r="O1015" s="35" t="b">
        <v>0</v>
      </c>
      <c r="P1015" s="35" t="b">
        <v>0</v>
      </c>
      <c r="Q1015" s="35" t="b">
        <v>0</v>
      </c>
      <c r="R1015" s="14"/>
      <c r="S1015" s="14"/>
      <c r="T1015" s="14"/>
      <c r="U1015" s="14"/>
      <c r="V1015" s="14"/>
      <c r="W1015" s="14"/>
    </row>
    <row r="1016" ht="31.5" customHeight="1">
      <c r="A1016" s="109" t="s">
        <v>8102</v>
      </c>
      <c r="B1016" s="110" t="s">
        <v>8104</v>
      </c>
      <c r="C1016" s="111" t="s">
        <v>3790</v>
      </c>
      <c r="D1016" s="28" t="s">
        <v>12699</v>
      </c>
      <c r="E1016" s="28" t="str">
        <f>IFERROR(__xludf.DUMMYFUNCTION("GOOGLETRANSLATE(D1016,""zh-CN"",""vi"")"),"Anh ấy có kế hoạch kinh doanh.")</f>
        <v>Anh ấy có kế hoạch kinh doanh.</v>
      </c>
      <c r="F1016" s="128"/>
      <c r="G1016" s="36" t="b">
        <f t="shared" si="1"/>
        <v>0</v>
      </c>
      <c r="H1016" s="35" t="b">
        <v>1</v>
      </c>
      <c r="I1016" s="35" t="b">
        <v>0</v>
      </c>
      <c r="J1016" s="35" t="b">
        <v>0</v>
      </c>
      <c r="K1016" s="35" t="b">
        <v>0</v>
      </c>
      <c r="L1016" s="35" t="b">
        <v>0</v>
      </c>
      <c r="M1016" s="35" t="b">
        <v>0</v>
      </c>
      <c r="N1016" s="35" t="b">
        <v>0</v>
      </c>
      <c r="O1016" s="35" t="b">
        <v>0</v>
      </c>
      <c r="P1016" s="35" t="b">
        <v>0</v>
      </c>
      <c r="Q1016" s="35" t="b">
        <v>0</v>
      </c>
      <c r="R1016" s="14"/>
      <c r="S1016" s="14"/>
      <c r="T1016" s="14"/>
      <c r="U1016" s="14"/>
      <c r="V1016" s="14"/>
      <c r="W1016" s="14"/>
    </row>
    <row r="1017" ht="31.5" customHeight="1">
      <c r="A1017" s="109" t="s">
        <v>12700</v>
      </c>
      <c r="B1017" s="110" t="s">
        <v>12701</v>
      </c>
      <c r="C1017" s="111" t="s">
        <v>12702</v>
      </c>
      <c r="D1017" s="28" t="s">
        <v>12703</v>
      </c>
      <c r="E1017" s="28" t="str">
        <f>IFERROR(__xludf.DUMMYFUNCTION("GOOGLETRANSLATE(D1017,""zh-CN"",""vi"")"),"Cô ấy thông thạo nhiều ngôn ngữ.")</f>
        <v>Cô ấy thông thạo nhiều ngôn ngữ.</v>
      </c>
      <c r="F1017" s="128"/>
      <c r="G1017" s="36" t="b">
        <f t="shared" si="1"/>
        <v>0</v>
      </c>
      <c r="H1017" s="35" t="b">
        <v>1</v>
      </c>
      <c r="I1017" s="35" t="b">
        <v>0</v>
      </c>
      <c r="J1017" s="35" t="b">
        <v>0</v>
      </c>
      <c r="K1017" s="35" t="b">
        <v>0</v>
      </c>
      <c r="L1017" s="35" t="b">
        <v>0</v>
      </c>
      <c r="M1017" s="35" t="b">
        <v>0</v>
      </c>
      <c r="N1017" s="35" t="b">
        <v>0</v>
      </c>
      <c r="O1017" s="35" t="b">
        <v>0</v>
      </c>
      <c r="P1017" s="35" t="b">
        <v>0</v>
      </c>
      <c r="Q1017" s="35" t="b">
        <v>0</v>
      </c>
      <c r="R1017" s="14"/>
      <c r="S1017" s="14"/>
      <c r="T1017" s="14"/>
      <c r="U1017" s="14"/>
      <c r="V1017" s="14"/>
      <c r="W1017" s="14"/>
    </row>
    <row r="1018" ht="31.5" customHeight="1">
      <c r="A1018" s="109" t="s">
        <v>12708</v>
      </c>
      <c r="B1018" s="110" t="s">
        <v>12709</v>
      </c>
      <c r="C1018" s="111" t="s">
        <v>12710</v>
      </c>
      <c r="D1018" s="28" t="s">
        <v>12711</v>
      </c>
      <c r="E1018" s="28" t="str">
        <f>IFERROR(__xludf.DUMMYFUNCTION("GOOGLETRANSLATE(D1018,""zh-CN"",""vi"")"),"Con đường này xác định tọa độ của thành phố.")</f>
        <v>Con đường này xác định tọa độ của thành phố.</v>
      </c>
      <c r="F1018" s="128"/>
      <c r="G1018" s="36" t="b">
        <f t="shared" si="1"/>
        <v>0</v>
      </c>
      <c r="H1018" s="35" t="b">
        <v>1</v>
      </c>
      <c r="I1018" s="35" t="b">
        <v>0</v>
      </c>
      <c r="J1018" s="35" t="b">
        <v>0</v>
      </c>
      <c r="K1018" s="35" t="b">
        <v>0</v>
      </c>
      <c r="L1018" s="35" t="b">
        <v>0</v>
      </c>
      <c r="M1018" s="35" t="b">
        <v>0</v>
      </c>
      <c r="N1018" s="35" t="b">
        <v>0</v>
      </c>
      <c r="O1018" s="35" t="b">
        <v>0</v>
      </c>
      <c r="P1018" s="35" t="b">
        <v>0</v>
      </c>
      <c r="Q1018" s="35" t="b">
        <v>0</v>
      </c>
      <c r="R1018" s="14"/>
      <c r="S1018" s="14"/>
      <c r="T1018" s="14"/>
      <c r="U1018" s="14"/>
      <c r="V1018" s="14"/>
      <c r="W1018" s="14"/>
    </row>
    <row r="1019" ht="31.5" customHeight="1">
      <c r="A1019" s="109" t="s">
        <v>12712</v>
      </c>
      <c r="B1019" s="110" t="s">
        <v>12713</v>
      </c>
      <c r="C1019" s="111" t="s">
        <v>12715</v>
      </c>
      <c r="D1019" s="28" t="s">
        <v>12716</v>
      </c>
      <c r="E1019" s="28" t="str">
        <f>IFERROR(__xludf.DUMMYFUNCTION("GOOGLETRANSLATE(D1019,""zh-CN"",""vi"")"),"Cô ấy đã chuẩn bị một bữa tối được nấu rất kỹ lưỡng.")</f>
        <v>Cô ấy đã chuẩn bị một bữa tối được nấu rất kỹ lưỡng.</v>
      </c>
      <c r="F1019" s="128"/>
      <c r="G1019" s="36" t="b">
        <f t="shared" si="1"/>
        <v>0</v>
      </c>
      <c r="H1019" s="35" t="b">
        <v>1</v>
      </c>
      <c r="I1019" s="35" t="b">
        <v>0</v>
      </c>
      <c r="J1019" s="35" t="b">
        <v>0</v>
      </c>
      <c r="K1019" s="35" t="b">
        <v>0</v>
      </c>
      <c r="L1019" s="35" t="b">
        <v>0</v>
      </c>
      <c r="M1019" s="35" t="b">
        <v>0</v>
      </c>
      <c r="N1019" s="35" t="b">
        <v>0</v>
      </c>
      <c r="O1019" s="35" t="b">
        <v>0</v>
      </c>
      <c r="P1019" s="35" t="b">
        <v>0</v>
      </c>
      <c r="Q1019" s="35" t="b">
        <v>0</v>
      </c>
      <c r="R1019" s="14"/>
      <c r="S1019" s="14"/>
      <c r="T1019" s="14"/>
      <c r="U1019" s="14"/>
      <c r="V1019" s="14"/>
      <c r="W1019" s="14"/>
    </row>
    <row r="1020" ht="31.5" customHeight="1">
      <c r="A1020" s="109" t="s">
        <v>12720</v>
      </c>
      <c r="B1020" s="110" t="s">
        <v>12721</v>
      </c>
      <c r="C1020" s="111" t="s">
        <v>780</v>
      </c>
      <c r="D1020" s="28" t="s">
        <v>12722</v>
      </c>
      <c r="E1020" s="28" t="str">
        <f>IFERROR(__xludf.DUMMYFUNCTION("GOOGLETRANSLATE(D1020,""zh-CN"",""vi"")"),"Anh ấy rất ngạc nhiên.")</f>
        <v>Anh ấy rất ngạc nhiên.</v>
      </c>
      <c r="F1020" s="128"/>
      <c r="G1020" s="36" t="b">
        <f t="shared" si="1"/>
        <v>0</v>
      </c>
      <c r="H1020" s="35" t="b">
        <v>1</v>
      </c>
      <c r="I1020" s="35" t="b">
        <v>0</v>
      </c>
      <c r="J1020" s="35" t="b">
        <v>0</v>
      </c>
      <c r="K1020" s="35" t="b">
        <v>0</v>
      </c>
      <c r="L1020" s="35" t="b">
        <v>0</v>
      </c>
      <c r="M1020" s="35" t="b">
        <v>0</v>
      </c>
      <c r="N1020" s="35" t="b">
        <v>0</v>
      </c>
      <c r="O1020" s="35" t="b">
        <v>0</v>
      </c>
      <c r="P1020" s="35" t="b">
        <v>0</v>
      </c>
      <c r="Q1020" s="35" t="b">
        <v>0</v>
      </c>
      <c r="R1020" s="14"/>
      <c r="S1020" s="14"/>
      <c r="T1020" s="14"/>
      <c r="U1020" s="14"/>
      <c r="V1020" s="14"/>
      <c r="W1020" s="14"/>
    </row>
    <row r="1021" ht="31.5" customHeight="1">
      <c r="A1021" s="109" t="s">
        <v>12727</v>
      </c>
      <c r="B1021" s="110" t="s">
        <v>12728</v>
      </c>
      <c r="C1021" s="111" t="s">
        <v>12729</v>
      </c>
      <c r="D1021" s="28" t="s">
        <v>12730</v>
      </c>
      <c r="E1021" s="28" t="str">
        <f>IFERROR(__xludf.DUMMYFUNCTION("GOOGLETRANSLATE(D1021,""zh-CN"",""vi"")"),"Chúng tôi luôn nỗ lực hướng đến sự xuất sắc và theo đuổi sự hoàn hảo.")</f>
        <v>Chúng tôi luôn nỗ lực hướng đến sự xuất sắc và theo đuổi sự hoàn hảo.</v>
      </c>
      <c r="F1021" s="128"/>
      <c r="G1021" s="36" t="b">
        <f t="shared" si="1"/>
        <v>0</v>
      </c>
      <c r="H1021" s="35" t="b">
        <v>1</v>
      </c>
      <c r="I1021" s="35" t="b">
        <v>0</v>
      </c>
      <c r="J1021" s="35" t="b">
        <v>0</v>
      </c>
      <c r="K1021" s="35" t="b">
        <v>0</v>
      </c>
      <c r="L1021" s="35" t="b">
        <v>0</v>
      </c>
      <c r="M1021" s="35" t="b">
        <v>0</v>
      </c>
      <c r="N1021" s="35" t="b">
        <v>0</v>
      </c>
      <c r="O1021" s="35" t="b">
        <v>0</v>
      </c>
      <c r="P1021" s="35" t="b">
        <v>0</v>
      </c>
      <c r="Q1021" s="35" t="b">
        <v>0</v>
      </c>
      <c r="R1021" s="14"/>
      <c r="S1021" s="14"/>
      <c r="T1021" s="14"/>
      <c r="U1021" s="14"/>
      <c r="V1021" s="14"/>
      <c r="W1021" s="14"/>
    </row>
    <row r="1022" ht="31.5" customHeight="1">
      <c r="A1022" s="109" t="s">
        <v>12731</v>
      </c>
      <c r="B1022" s="110" t="s">
        <v>12732</v>
      </c>
      <c r="C1022" s="111" t="s">
        <v>12734</v>
      </c>
      <c r="D1022" s="28" t="s">
        <v>12736</v>
      </c>
      <c r="E1022" s="28" t="str">
        <f>IFERROR(__xludf.DUMMYFUNCTION("GOOGLETRANSLATE(D1022,""zh-CN"",""vi"")"),"Chiếc bình này được chế tác vô cùng tinh xảo.")</f>
        <v>Chiếc bình này được chế tác vô cùng tinh xảo.</v>
      </c>
      <c r="F1022" s="128"/>
      <c r="G1022" s="36" t="b">
        <f t="shared" si="1"/>
        <v>0</v>
      </c>
      <c r="H1022" s="35" t="b">
        <v>1</v>
      </c>
      <c r="I1022" s="35" t="b">
        <v>0</v>
      </c>
      <c r="J1022" s="35" t="b">
        <v>0</v>
      </c>
      <c r="K1022" s="35" t="b">
        <v>0</v>
      </c>
      <c r="L1022" s="35" t="b">
        <v>0</v>
      </c>
      <c r="M1022" s="35" t="b">
        <v>0</v>
      </c>
      <c r="N1022" s="35" t="b">
        <v>0</v>
      </c>
      <c r="O1022" s="35" t="b">
        <v>0</v>
      </c>
      <c r="P1022" s="35" t="b">
        <v>0</v>
      </c>
      <c r="Q1022" s="35" t="b">
        <v>0</v>
      </c>
      <c r="R1022" s="14"/>
      <c r="S1022" s="14"/>
      <c r="T1022" s="14"/>
      <c r="U1022" s="14"/>
      <c r="V1022" s="14"/>
      <c r="W1022" s="14"/>
    </row>
    <row r="1023" ht="31.5" customHeight="1">
      <c r="A1023" s="109" t="s">
        <v>12738</v>
      </c>
      <c r="B1023" s="110" t="s">
        <v>12739</v>
      </c>
      <c r="C1023" s="111" t="s">
        <v>12740</v>
      </c>
      <c r="D1023" s="28" t="s">
        <v>12741</v>
      </c>
      <c r="E1023" s="28" t="str">
        <f>IFERROR(__xludf.DUMMYFUNCTION("GOOGLETRANSLATE(D1023,""zh-CN"",""vi"")"),"Nước giếng rất mát.")</f>
        <v>Nước giếng rất mát.</v>
      </c>
      <c r="F1023" s="128"/>
      <c r="G1023" s="36" t="b">
        <f t="shared" si="1"/>
        <v>0</v>
      </c>
      <c r="H1023" s="35" t="b">
        <v>1</v>
      </c>
      <c r="I1023" s="35" t="b">
        <v>0</v>
      </c>
      <c r="J1023" s="35" t="b">
        <v>0</v>
      </c>
      <c r="K1023" s="35" t="b">
        <v>0</v>
      </c>
      <c r="L1023" s="35" t="b">
        <v>0</v>
      </c>
      <c r="M1023" s="35" t="b">
        <v>0</v>
      </c>
      <c r="N1023" s="35" t="b">
        <v>0</v>
      </c>
      <c r="O1023" s="35" t="b">
        <v>0</v>
      </c>
      <c r="P1023" s="35" t="b">
        <v>0</v>
      </c>
      <c r="Q1023" s="35" t="b">
        <v>0</v>
      </c>
      <c r="R1023" s="14"/>
      <c r="S1023" s="14"/>
      <c r="T1023" s="14"/>
      <c r="U1023" s="14"/>
      <c r="V1023" s="14"/>
      <c r="W1023" s="14"/>
    </row>
    <row r="1024" ht="31.5" customHeight="1">
      <c r="A1024" s="109" t="s">
        <v>12746</v>
      </c>
      <c r="B1024" s="110" t="s">
        <v>12747</v>
      </c>
      <c r="C1024" s="111" t="s">
        <v>12748</v>
      </c>
      <c r="D1024" s="28" t="s">
        <v>12749</v>
      </c>
      <c r="E1024" s="28" t="str">
        <f>IFERROR(__xludf.DUMMYFUNCTION("GOOGLETRANSLATE(D1024,""zh-CN"",""vi"")"),"Anh ta đã nhận được một lá thư cảnh cáo.")</f>
        <v>Anh ta đã nhận được một lá thư cảnh cáo.</v>
      </c>
      <c r="F1024" s="128"/>
      <c r="G1024" s="36" t="b">
        <f t="shared" si="1"/>
        <v>0</v>
      </c>
      <c r="H1024" s="35" t="b">
        <v>1</v>
      </c>
      <c r="I1024" s="35" t="b">
        <v>0</v>
      </c>
      <c r="J1024" s="35" t="b">
        <v>0</v>
      </c>
      <c r="K1024" s="35" t="b">
        <v>0</v>
      </c>
      <c r="L1024" s="35" t="b">
        <v>0</v>
      </c>
      <c r="M1024" s="35" t="b">
        <v>0</v>
      </c>
      <c r="N1024" s="35" t="b">
        <v>0</v>
      </c>
      <c r="O1024" s="35" t="b">
        <v>0</v>
      </c>
      <c r="P1024" s="35" t="b">
        <v>0</v>
      </c>
      <c r="Q1024" s="35" t="b">
        <v>0</v>
      </c>
      <c r="R1024" s="14"/>
      <c r="S1024" s="14"/>
      <c r="T1024" s="14"/>
      <c r="U1024" s="14"/>
      <c r="V1024" s="14"/>
      <c r="W1024" s="14"/>
    </row>
    <row r="1025" ht="31.5" customHeight="1">
      <c r="A1025" s="109" t="s">
        <v>12750</v>
      </c>
      <c r="B1025" s="110" t="s">
        <v>12751</v>
      </c>
      <c r="C1025" s="111" t="s">
        <v>12752</v>
      </c>
      <c r="D1025" s="28" t="s">
        <v>12753</v>
      </c>
      <c r="E1025" s="28" t="str">
        <f>IFERROR(__xludf.DUMMYFUNCTION("GOOGLETRANSLATE(D1025,""zh-CN"",""vi"")"),"Chúng ta cần phải cảnh giác trước những mối nguy hiểm.")</f>
        <v>Chúng ta cần phải cảnh giác trước những mối nguy hiểm.</v>
      </c>
      <c r="F1025" s="128"/>
      <c r="G1025" s="36" t="b">
        <f t="shared" si="1"/>
        <v>0</v>
      </c>
      <c r="H1025" s="35" t="b">
        <v>1</v>
      </c>
      <c r="I1025" s="35" t="b">
        <v>0</v>
      </c>
      <c r="J1025" s="35" t="b">
        <v>0</v>
      </c>
      <c r="K1025" s="35" t="b">
        <v>0</v>
      </c>
      <c r="L1025" s="35" t="b">
        <v>0</v>
      </c>
      <c r="M1025" s="35" t="b">
        <v>0</v>
      </c>
      <c r="N1025" s="35" t="b">
        <v>0</v>
      </c>
      <c r="O1025" s="35" t="b">
        <v>0</v>
      </c>
      <c r="P1025" s="35" t="b">
        <v>0</v>
      </c>
      <c r="Q1025" s="35" t="b">
        <v>0</v>
      </c>
      <c r="R1025" s="14"/>
      <c r="S1025" s="14"/>
      <c r="T1025" s="14"/>
      <c r="U1025" s="14"/>
      <c r="V1025" s="14"/>
      <c r="W1025" s="14"/>
    </row>
    <row r="1026" ht="31.5" customHeight="1">
      <c r="A1026" s="109" t="s">
        <v>12758</v>
      </c>
      <c r="B1026" s="110" t="s">
        <v>12759</v>
      </c>
      <c r="C1026" s="111" t="s">
        <v>12760</v>
      </c>
      <c r="D1026" s="28" t="s">
        <v>12761</v>
      </c>
      <c r="E1026" s="28" t="str">
        <f>IFERROR(__xludf.DUMMYFUNCTION("GOOGLETRANSLATE(D1026,""zh-CN"",""vi"")"),"Anh ấy có vấn đề về cột sống cổ.")</f>
        <v>Anh ấy có vấn đề về cột sống cổ.</v>
      </c>
      <c r="F1026" s="128"/>
      <c r="G1026" s="36" t="b">
        <f t="shared" si="1"/>
        <v>0</v>
      </c>
      <c r="H1026" s="35" t="b">
        <v>1</v>
      </c>
      <c r="I1026" s="35" t="b">
        <v>0</v>
      </c>
      <c r="J1026" s="35" t="b">
        <v>0</v>
      </c>
      <c r="K1026" s="35" t="b">
        <v>0</v>
      </c>
      <c r="L1026" s="35" t="b">
        <v>0</v>
      </c>
      <c r="M1026" s="35" t="b">
        <v>0</v>
      </c>
      <c r="N1026" s="35" t="b">
        <v>0</v>
      </c>
      <c r="O1026" s="35" t="b">
        <v>0</v>
      </c>
      <c r="P1026" s="35" t="b">
        <v>0</v>
      </c>
      <c r="Q1026" s="35" t="b">
        <v>0</v>
      </c>
      <c r="R1026" s="14"/>
      <c r="S1026" s="14"/>
      <c r="T1026" s="14"/>
      <c r="U1026" s="14"/>
      <c r="V1026" s="14"/>
      <c r="W1026" s="14"/>
    </row>
    <row r="1027" ht="31.5" customHeight="1">
      <c r="A1027" s="109" t="s">
        <v>12762</v>
      </c>
      <c r="B1027" s="110" t="s">
        <v>12763</v>
      </c>
      <c r="C1027" s="111" t="s">
        <v>12765</v>
      </c>
      <c r="D1027" s="28" t="s">
        <v>12766</v>
      </c>
      <c r="E1027" s="28" t="str">
        <f>IFERROR(__xludf.DUMMYFUNCTION("GOOGLETRANSLATE(D1027,""zh-CN"",""vi"")"),"Anh ấy đã đạt đến một đẳng cấp mới.")</f>
        <v>Anh ấy đã đạt đến một đẳng cấp mới.</v>
      </c>
      <c r="F1027" s="128"/>
      <c r="G1027" s="36" t="b">
        <f t="shared" si="1"/>
        <v>0</v>
      </c>
      <c r="H1027" s="35" t="b">
        <v>1</v>
      </c>
      <c r="I1027" s="35" t="b">
        <v>0</v>
      </c>
      <c r="J1027" s="35" t="b">
        <v>0</v>
      </c>
      <c r="K1027" s="35" t="b">
        <v>0</v>
      </c>
      <c r="L1027" s="35" t="b">
        <v>0</v>
      </c>
      <c r="M1027" s="35" t="b">
        <v>0</v>
      </c>
      <c r="N1027" s="35" t="b">
        <v>0</v>
      </c>
      <c r="O1027" s="35" t="b">
        <v>0</v>
      </c>
      <c r="P1027" s="35" t="b">
        <v>0</v>
      </c>
      <c r="Q1027" s="35" t="b">
        <v>0</v>
      </c>
      <c r="R1027" s="14"/>
      <c r="S1027" s="14"/>
      <c r="T1027" s="14"/>
      <c r="U1027" s="14"/>
      <c r="V1027" s="14"/>
      <c r="W1027" s="14"/>
    </row>
    <row r="1028" ht="31.5" customHeight="1">
      <c r="A1028" s="109" t="s">
        <v>12769</v>
      </c>
      <c r="B1028" s="110" t="s">
        <v>12770</v>
      </c>
      <c r="C1028" s="111" t="s">
        <v>12771</v>
      </c>
      <c r="D1028" s="28" t="s">
        <v>12772</v>
      </c>
      <c r="E1028" s="28" t="str">
        <f>IFERROR(__xludf.DUMMYFUNCTION("GOOGLETRANSLATE(D1028,""zh-CN"",""vi"")"),"Cảnh sát đã chào chúng tôi.")</f>
        <v>Cảnh sát đã chào chúng tôi.</v>
      </c>
      <c r="F1028" s="128"/>
      <c r="G1028" s="36" t="b">
        <f t="shared" si="1"/>
        <v>0</v>
      </c>
      <c r="H1028" s="35" t="b">
        <v>1</v>
      </c>
      <c r="I1028" s="35" t="b">
        <v>0</v>
      </c>
      <c r="J1028" s="35" t="b">
        <v>0</v>
      </c>
      <c r="K1028" s="35" t="b">
        <v>0</v>
      </c>
      <c r="L1028" s="35" t="b">
        <v>0</v>
      </c>
      <c r="M1028" s="35" t="b">
        <v>0</v>
      </c>
      <c r="N1028" s="35" t="b">
        <v>0</v>
      </c>
      <c r="O1028" s="35" t="b">
        <v>0</v>
      </c>
      <c r="P1028" s="35" t="b">
        <v>0</v>
      </c>
      <c r="Q1028" s="35" t="b">
        <v>0</v>
      </c>
      <c r="R1028" s="14"/>
      <c r="S1028" s="14"/>
      <c r="T1028" s="14"/>
      <c r="U1028" s="14"/>
      <c r="V1028" s="14"/>
      <c r="W1028" s="14"/>
    </row>
    <row r="1029" ht="31.5" customHeight="1">
      <c r="A1029" s="109" t="s">
        <v>12777</v>
      </c>
      <c r="B1029" s="110" t="s">
        <v>12778</v>
      </c>
      <c r="C1029" s="111" t="s">
        <v>12779</v>
      </c>
      <c r="D1029" s="28" t="s">
        <v>12780</v>
      </c>
      <c r="E1029" s="28" t="str">
        <f>IFERROR(__xludf.DUMMYFUNCTION("GOOGLETRANSLATE(D1029,""zh-CN"",""vi"")"),"Anh ấy đã giành chức vô địch trong cuộc thi.")</f>
        <v>Anh ấy đã giành chức vô địch trong cuộc thi.</v>
      </c>
      <c r="F1029" s="128"/>
      <c r="G1029" s="36" t="b">
        <f t="shared" si="1"/>
        <v>0</v>
      </c>
      <c r="H1029" s="35" t="b">
        <v>1</v>
      </c>
      <c r="I1029" s="35" t="b">
        <v>0</v>
      </c>
      <c r="J1029" s="35" t="b">
        <v>0</v>
      </c>
      <c r="K1029" s="35" t="b">
        <v>0</v>
      </c>
      <c r="L1029" s="35" t="b">
        <v>0</v>
      </c>
      <c r="M1029" s="35" t="b">
        <v>0</v>
      </c>
      <c r="N1029" s="35" t="b">
        <v>0</v>
      </c>
      <c r="O1029" s="35" t="b">
        <v>0</v>
      </c>
      <c r="P1029" s="35" t="b">
        <v>0</v>
      </c>
      <c r="Q1029" s="35" t="b">
        <v>0</v>
      </c>
      <c r="R1029" s="14"/>
      <c r="S1029" s="14"/>
      <c r="T1029" s="14"/>
      <c r="U1029" s="14"/>
      <c r="V1029" s="14"/>
      <c r="W1029" s="14"/>
    </row>
    <row r="1030" ht="31.5" customHeight="1">
      <c r="A1030" s="109" t="s">
        <v>12785</v>
      </c>
      <c r="B1030" s="110" t="s">
        <v>12786</v>
      </c>
      <c r="C1030" s="111" t="s">
        <v>12787</v>
      </c>
      <c r="D1030" s="28" t="s">
        <v>12788</v>
      </c>
      <c r="E1030" s="28" t="str">
        <f>IFERROR(__xludf.DUMMYFUNCTION("GOOGLETRANSLATE(D1030,""zh-CN"",""vi"")"),"Nhiếp ảnh gia đã điều chỉnh ống kính.")</f>
        <v>Nhiếp ảnh gia đã điều chỉnh ống kính.</v>
      </c>
      <c r="F1030" s="128"/>
      <c r="G1030" s="36" t="b">
        <f t="shared" si="1"/>
        <v>0</v>
      </c>
      <c r="H1030" s="35" t="b">
        <v>1</v>
      </c>
      <c r="I1030" s="35" t="b">
        <v>0</v>
      </c>
      <c r="J1030" s="35" t="b">
        <v>0</v>
      </c>
      <c r="K1030" s="35" t="b">
        <v>0</v>
      </c>
      <c r="L1030" s="35" t="b">
        <v>0</v>
      </c>
      <c r="M1030" s="35" t="b">
        <v>0</v>
      </c>
      <c r="N1030" s="35" t="b">
        <v>0</v>
      </c>
      <c r="O1030" s="35" t="b">
        <v>0</v>
      </c>
      <c r="P1030" s="35" t="b">
        <v>0</v>
      </c>
      <c r="Q1030" s="35" t="b">
        <v>0</v>
      </c>
      <c r="R1030" s="14"/>
      <c r="S1030" s="14"/>
      <c r="T1030" s="14"/>
      <c r="U1030" s="14"/>
      <c r="V1030" s="14"/>
      <c r="W1030" s="14"/>
    </row>
    <row r="1031" ht="31.5" customHeight="1">
      <c r="A1031" s="109" t="s">
        <v>12793</v>
      </c>
      <c r="B1031" s="110" t="s">
        <v>12794</v>
      </c>
      <c r="C1031" s="111" t="s">
        <v>12795</v>
      </c>
      <c r="D1031" s="28" t="s">
        <v>12796</v>
      </c>
      <c r="E1031" s="28" t="str">
        <f>IFERROR(__xludf.DUMMYFUNCTION("GOOGLETRANSLATE(D1031,""zh-CN"",""vi"")"),"Ông ấy đang tranh cử chức thị trưởng.")</f>
        <v>Ông ấy đang tranh cử chức thị trưởng.</v>
      </c>
      <c r="F1031" s="128"/>
      <c r="G1031" s="36" t="b">
        <f t="shared" si="1"/>
        <v>0</v>
      </c>
      <c r="H1031" s="35" t="b">
        <v>1</v>
      </c>
      <c r="I1031" s="35" t="b">
        <v>0</v>
      </c>
      <c r="J1031" s="35" t="b">
        <v>0</v>
      </c>
      <c r="K1031" s="35" t="b">
        <v>0</v>
      </c>
      <c r="L1031" s="35" t="b">
        <v>0</v>
      </c>
      <c r="M1031" s="35" t="b">
        <v>0</v>
      </c>
      <c r="N1031" s="35" t="b">
        <v>0</v>
      </c>
      <c r="O1031" s="35" t="b">
        <v>0</v>
      </c>
      <c r="P1031" s="35" t="b">
        <v>0</v>
      </c>
      <c r="Q1031" s="35" t="b">
        <v>0</v>
      </c>
      <c r="R1031" s="14"/>
      <c r="S1031" s="14"/>
      <c r="T1031" s="14"/>
      <c r="U1031" s="14"/>
      <c r="V1031" s="14"/>
      <c r="W1031" s="14"/>
    </row>
    <row r="1032" ht="31.5" customHeight="1">
      <c r="A1032" s="109" t="s">
        <v>12797</v>
      </c>
      <c r="B1032" s="110" t="s">
        <v>12799</v>
      </c>
      <c r="C1032" s="111" t="s">
        <v>12801</v>
      </c>
      <c r="D1032" s="28" t="s">
        <v>12803</v>
      </c>
      <c r="E1032" s="28" t="str">
        <f>IFERROR(__xludf.DUMMYFUNCTION("GOOGLETRANSLATE(D1032,""zh-CN"",""vi"")"),"Giữa họ có một cuộc tranh chấp.")</f>
        <v>Giữa họ có một cuộc tranh chấp.</v>
      </c>
      <c r="F1032" s="128"/>
      <c r="G1032" s="36" t="b">
        <f t="shared" si="1"/>
        <v>0</v>
      </c>
      <c r="H1032" s="35" t="b">
        <v>1</v>
      </c>
      <c r="I1032" s="35" t="b">
        <v>0</v>
      </c>
      <c r="J1032" s="35" t="b">
        <v>0</v>
      </c>
      <c r="K1032" s="35" t="b">
        <v>0</v>
      </c>
      <c r="L1032" s="35" t="b">
        <v>0</v>
      </c>
      <c r="M1032" s="35" t="b">
        <v>0</v>
      </c>
      <c r="N1032" s="35" t="b">
        <v>0</v>
      </c>
      <c r="O1032" s="35" t="b">
        <v>0</v>
      </c>
      <c r="P1032" s="35" t="b">
        <v>0</v>
      </c>
      <c r="Q1032" s="35" t="b">
        <v>0</v>
      </c>
      <c r="R1032" s="14"/>
      <c r="S1032" s="14"/>
      <c r="T1032" s="14"/>
      <c r="U1032" s="14"/>
      <c r="V1032" s="14"/>
      <c r="W1032" s="14"/>
    </row>
    <row r="1033" ht="31.5" customHeight="1">
      <c r="A1033" s="109" t="s">
        <v>12805</v>
      </c>
      <c r="B1033" s="110" t="s">
        <v>12806</v>
      </c>
      <c r="C1033" s="111" t="s">
        <v>12807</v>
      </c>
      <c r="D1033" s="28" t="s">
        <v>12808</v>
      </c>
      <c r="E1033" s="28" t="str">
        <f>IFERROR(__xludf.DUMMYFUNCTION("GOOGLETRANSLATE(D1033,""zh-CN"",""vi"")"),"Chúng ta phải sửa chữa những sai lầm của mình.")</f>
        <v>Chúng ta phải sửa chữa những sai lầm của mình.</v>
      </c>
      <c r="F1033" s="128"/>
      <c r="G1033" s="36" t="b">
        <f t="shared" si="1"/>
        <v>0</v>
      </c>
      <c r="H1033" s="35" t="b">
        <v>1</v>
      </c>
      <c r="I1033" s="35" t="b">
        <v>0</v>
      </c>
      <c r="J1033" s="35" t="b">
        <v>0</v>
      </c>
      <c r="K1033" s="35" t="b">
        <v>0</v>
      </c>
      <c r="L1033" s="35" t="b">
        <v>0</v>
      </c>
      <c r="M1033" s="35" t="b">
        <v>0</v>
      </c>
      <c r="N1033" s="35" t="b">
        <v>0</v>
      </c>
      <c r="O1033" s="35" t="b">
        <v>0</v>
      </c>
      <c r="P1033" s="35" t="b">
        <v>0</v>
      </c>
      <c r="Q1033" s="35" t="b">
        <v>0</v>
      </c>
      <c r="R1033" s="14"/>
      <c r="S1033" s="14"/>
      <c r="T1033" s="14"/>
      <c r="U1033" s="14"/>
      <c r="V1033" s="14"/>
      <c r="W1033" s="14"/>
    </row>
    <row r="1034" ht="31.5" customHeight="1">
      <c r="A1034" s="109" t="s">
        <v>12813</v>
      </c>
      <c r="B1034" s="110" t="s">
        <v>12814</v>
      </c>
      <c r="C1034" s="111" t="s">
        <v>12815</v>
      </c>
      <c r="D1034" s="28" t="s">
        <v>12816</v>
      </c>
      <c r="E1034" s="28" t="str">
        <f>IFERROR(__xludf.DUMMYFUNCTION("GOOGLETRANSLATE(D1034,""zh-CN"",""vi"")"),"Loại rượu này có nồng độ cồn cao.")</f>
        <v>Loại rượu này có nồng độ cồn cao.</v>
      </c>
      <c r="F1034" s="128"/>
      <c r="G1034" s="36" t="b">
        <f t="shared" si="1"/>
        <v>0</v>
      </c>
      <c r="H1034" s="35" t="b">
        <v>1</v>
      </c>
      <c r="I1034" s="35" t="b">
        <v>0</v>
      </c>
      <c r="J1034" s="35" t="b">
        <v>0</v>
      </c>
      <c r="K1034" s="35" t="b">
        <v>0</v>
      </c>
      <c r="L1034" s="35" t="b">
        <v>0</v>
      </c>
      <c r="M1034" s="35" t="b">
        <v>0</v>
      </c>
      <c r="N1034" s="35" t="b">
        <v>0</v>
      </c>
      <c r="O1034" s="35" t="b">
        <v>0</v>
      </c>
      <c r="P1034" s="35" t="b">
        <v>0</v>
      </c>
      <c r="Q1034" s="35" t="b">
        <v>0</v>
      </c>
      <c r="R1034" s="14"/>
      <c r="S1034" s="14"/>
      <c r="T1034" s="14"/>
      <c r="U1034" s="14"/>
      <c r="V1034" s="14"/>
      <c r="W1034" s="14"/>
    </row>
    <row r="1035" ht="31.5" customHeight="1">
      <c r="A1035" s="109" t="s">
        <v>12821</v>
      </c>
      <c r="B1035" s="110" t="s">
        <v>12822</v>
      </c>
      <c r="C1035" s="111" t="s">
        <v>12823</v>
      </c>
      <c r="D1035" s="28" t="s">
        <v>12824</v>
      </c>
      <c r="E1035" s="28" t="str">
        <f>IFERROR(__xludf.DUMMYFUNCTION("GOOGLETRANSLATE(D1035,""zh-CN"",""vi"")"),"Chính phủ đã cung cấp viện trợ khẩn cấp.")</f>
        <v>Chính phủ đã cung cấp viện trợ khẩn cấp.</v>
      </c>
      <c r="F1035" s="128"/>
      <c r="G1035" s="36" t="b">
        <f t="shared" si="1"/>
        <v>0</v>
      </c>
      <c r="H1035" s="35" t="b">
        <v>1</v>
      </c>
      <c r="I1035" s="35" t="b">
        <v>0</v>
      </c>
      <c r="J1035" s="35" t="b">
        <v>0</v>
      </c>
      <c r="K1035" s="35" t="b">
        <v>0</v>
      </c>
      <c r="L1035" s="35" t="b">
        <v>0</v>
      </c>
      <c r="M1035" s="35" t="b">
        <v>0</v>
      </c>
      <c r="N1035" s="35" t="b">
        <v>0</v>
      </c>
      <c r="O1035" s="35" t="b">
        <v>0</v>
      </c>
      <c r="P1035" s="35" t="b">
        <v>0</v>
      </c>
      <c r="Q1035" s="35" t="b">
        <v>0</v>
      </c>
      <c r="R1035" s="14"/>
      <c r="S1035" s="14"/>
      <c r="T1035" s="14"/>
      <c r="U1035" s="14"/>
      <c r="V1035" s="14"/>
      <c r="W1035" s="14"/>
    </row>
    <row r="1036" ht="31.5" customHeight="1">
      <c r="A1036" s="109" t="s">
        <v>12827</v>
      </c>
      <c r="B1036" s="110" t="s">
        <v>12828</v>
      </c>
      <c r="C1036" s="111" t="s">
        <v>12829</v>
      </c>
      <c r="D1036" s="28" t="s">
        <v>12830</v>
      </c>
      <c r="E1036" s="28" t="str">
        <f>IFERROR(__xludf.DUMMYFUNCTION("GOOGLETRANSLATE(D1036,""zh-CN"",""vi"")"),"Hãy tìm một nhà hàng gần đó để dùng bữa.")</f>
        <v>Hãy tìm một nhà hàng gần đó để dùng bữa.</v>
      </c>
      <c r="F1036" s="128"/>
      <c r="G1036" s="36" t="b">
        <f t="shared" si="1"/>
        <v>0</v>
      </c>
      <c r="H1036" s="35" t="b">
        <v>1</v>
      </c>
      <c r="I1036" s="35" t="b">
        <v>0</v>
      </c>
      <c r="J1036" s="35" t="b">
        <v>0</v>
      </c>
      <c r="K1036" s="35" t="b">
        <v>0</v>
      </c>
      <c r="L1036" s="35" t="b">
        <v>0</v>
      </c>
      <c r="M1036" s="35" t="b">
        <v>0</v>
      </c>
      <c r="N1036" s="35" t="b">
        <v>0</v>
      </c>
      <c r="O1036" s="35" t="b">
        <v>0</v>
      </c>
      <c r="P1036" s="35" t="b">
        <v>0</v>
      </c>
      <c r="Q1036" s="35" t="b">
        <v>0</v>
      </c>
      <c r="R1036" s="14"/>
      <c r="S1036" s="14"/>
      <c r="T1036" s="14"/>
      <c r="U1036" s="14"/>
      <c r="V1036" s="14"/>
      <c r="W1036" s="14"/>
    </row>
    <row r="1037" ht="31.5" customHeight="1">
      <c r="A1037" s="109" t="s">
        <v>12832</v>
      </c>
      <c r="B1037" s="110" t="s">
        <v>12833</v>
      </c>
      <c r="C1037" s="111" t="s">
        <v>12834</v>
      </c>
      <c r="D1037" s="28" t="s">
        <v>12835</v>
      </c>
      <c r="E1037" s="28" t="str">
        <f>IFERROR(__xludf.DUMMYFUNCTION("GOOGLETRANSLATE(D1037,""zh-CN"",""vi"")"),"Gần đây anh ấy đã tìm được một cơ hội việc làm.")</f>
        <v>Gần đây anh ấy đã tìm được một cơ hội việc làm.</v>
      </c>
      <c r="F1037" s="128"/>
      <c r="G1037" s="36" t="b">
        <f t="shared" si="1"/>
        <v>0</v>
      </c>
      <c r="H1037" s="35" t="b">
        <v>1</v>
      </c>
      <c r="I1037" s="35" t="b">
        <v>0</v>
      </c>
      <c r="J1037" s="35" t="b">
        <v>0</v>
      </c>
      <c r="K1037" s="35" t="b">
        <v>0</v>
      </c>
      <c r="L1037" s="35" t="b">
        <v>0</v>
      </c>
      <c r="M1037" s="35" t="b">
        <v>0</v>
      </c>
      <c r="N1037" s="35" t="b">
        <v>0</v>
      </c>
      <c r="O1037" s="35" t="b">
        <v>0</v>
      </c>
      <c r="P1037" s="35" t="b">
        <v>0</v>
      </c>
      <c r="Q1037" s="35" t="b">
        <v>0</v>
      </c>
      <c r="R1037" s="14"/>
      <c r="S1037" s="14"/>
      <c r="T1037" s="14"/>
      <c r="U1037" s="14"/>
      <c r="V1037" s="14"/>
      <c r="W1037" s="14"/>
    </row>
    <row r="1038" ht="31.5" customHeight="1">
      <c r="A1038" s="109" t="s">
        <v>12840</v>
      </c>
      <c r="B1038" s="110" t="s">
        <v>12841</v>
      </c>
      <c r="C1038" s="111" t="s">
        <v>12842</v>
      </c>
      <c r="D1038" s="28" t="s">
        <v>12843</v>
      </c>
      <c r="E1038" s="28" t="str">
        <f>IFERROR(__xludf.DUMMYFUNCTION("GOOGLETRANSLATE(D1038,""zh-CN"",""vi"")"),"Công ty mới của anh ấy rất tốt.")</f>
        <v>Công ty mới của anh ấy rất tốt.</v>
      </c>
      <c r="F1038" s="128"/>
      <c r="G1038" s="36" t="b">
        <f t="shared" si="1"/>
        <v>0</v>
      </c>
      <c r="H1038" s="35" t="b">
        <v>1</v>
      </c>
      <c r="I1038" s="35" t="b">
        <v>0</v>
      </c>
      <c r="J1038" s="35" t="b">
        <v>0</v>
      </c>
      <c r="K1038" s="35" t="b">
        <v>0</v>
      </c>
      <c r="L1038" s="35" t="b">
        <v>0</v>
      </c>
      <c r="M1038" s="35" t="b">
        <v>0</v>
      </c>
      <c r="N1038" s="35" t="b">
        <v>0</v>
      </c>
      <c r="O1038" s="35" t="b">
        <v>0</v>
      </c>
      <c r="P1038" s="35" t="b">
        <v>0</v>
      </c>
      <c r="Q1038" s="35" t="b">
        <v>0</v>
      </c>
      <c r="R1038" s="14"/>
      <c r="S1038" s="14"/>
      <c r="T1038" s="14"/>
      <c r="U1038" s="14"/>
      <c r="V1038" s="14"/>
      <c r="W1038" s="14"/>
    </row>
    <row r="1039" ht="31.5" customHeight="1">
      <c r="A1039" s="109" t="s">
        <v>12844</v>
      </c>
      <c r="B1039" s="110" t="s">
        <v>12845</v>
      </c>
      <c r="C1039" s="111" t="s">
        <v>12846</v>
      </c>
      <c r="D1039" s="28" t="s">
        <v>12847</v>
      </c>
      <c r="E1039" s="28" t="str">
        <f>IFERROR(__xludf.DUMMYFUNCTION("GOOGLETRANSLATE(D1039,""zh-CN"",""vi"")"),"Ông ấy cúi chào chúng tôi.")</f>
        <v>Ông ấy cúi chào chúng tôi.</v>
      </c>
      <c r="F1039" s="128"/>
      <c r="G1039" s="36" t="b">
        <f t="shared" si="1"/>
        <v>0</v>
      </c>
      <c r="H1039" s="35" t="b">
        <v>1</v>
      </c>
      <c r="I1039" s="35" t="b">
        <v>0</v>
      </c>
      <c r="J1039" s="35" t="b">
        <v>0</v>
      </c>
      <c r="K1039" s="35" t="b">
        <v>0</v>
      </c>
      <c r="L1039" s="35" t="b">
        <v>0</v>
      </c>
      <c r="M1039" s="35" t="b">
        <v>0</v>
      </c>
      <c r="N1039" s="35" t="b">
        <v>0</v>
      </c>
      <c r="O1039" s="35" t="b">
        <v>0</v>
      </c>
      <c r="P1039" s="35" t="b">
        <v>0</v>
      </c>
      <c r="Q1039" s="35" t="b">
        <v>0</v>
      </c>
      <c r="R1039" s="14"/>
      <c r="S1039" s="14"/>
      <c r="T1039" s="14"/>
      <c r="U1039" s="14"/>
      <c r="V1039" s="14"/>
      <c r="W1039" s="14"/>
    </row>
    <row r="1040" ht="31.5" customHeight="1">
      <c r="A1040" s="109" t="s">
        <v>12852</v>
      </c>
      <c r="B1040" s="110" t="s">
        <v>12853</v>
      </c>
      <c r="C1040" s="111" t="s">
        <v>12854</v>
      </c>
      <c r="D1040" s="28" t="s">
        <v>12855</v>
      </c>
      <c r="E1040" s="28" t="str">
        <f>IFERROR(__xludf.DUMMYFUNCTION("GOOGLETRANSLATE(D1040,""zh-CN"",""vi"")"),"Anh ta đã bị cảnh sát bắt giữ.")</f>
        <v>Anh ta đã bị cảnh sát bắt giữ.</v>
      </c>
      <c r="F1040" s="128"/>
      <c r="G1040" s="36" t="b">
        <f t="shared" si="1"/>
        <v>0</v>
      </c>
      <c r="H1040" s="35" t="b">
        <v>1</v>
      </c>
      <c r="I1040" s="35" t="b">
        <v>0</v>
      </c>
      <c r="J1040" s="35" t="b">
        <v>0</v>
      </c>
      <c r="K1040" s="35" t="b">
        <v>0</v>
      </c>
      <c r="L1040" s="35" t="b">
        <v>0</v>
      </c>
      <c r="M1040" s="35" t="b">
        <v>0</v>
      </c>
      <c r="N1040" s="35" t="b">
        <v>0</v>
      </c>
      <c r="O1040" s="35" t="b">
        <v>0</v>
      </c>
      <c r="P1040" s="35" t="b">
        <v>0</v>
      </c>
      <c r="Q1040" s="35" t="b">
        <v>0</v>
      </c>
      <c r="R1040" s="14"/>
      <c r="S1040" s="14"/>
      <c r="T1040" s="14"/>
      <c r="U1040" s="14"/>
      <c r="V1040" s="14"/>
      <c r="W1040" s="14"/>
    </row>
    <row r="1041" ht="31.5" customHeight="1">
      <c r="A1041" s="109" t="s">
        <v>12856</v>
      </c>
      <c r="B1041" s="110" t="s">
        <v>12857</v>
      </c>
      <c r="C1041" s="111" t="s">
        <v>12858</v>
      </c>
      <c r="D1041" s="28" t="s">
        <v>12860</v>
      </c>
      <c r="E1041" s="28" t="str">
        <f>IFERROR(__xludf.DUMMYFUNCTION("GOOGLETRANSLATE(D1041,""zh-CN"",""vi"")"),"Anh ấy hơi dè dặt.")</f>
        <v>Anh ấy hơi dè dặt.</v>
      </c>
      <c r="F1041" s="128"/>
      <c r="G1041" s="36" t="b">
        <f t="shared" si="1"/>
        <v>0</v>
      </c>
      <c r="H1041" s="35" t="b">
        <v>1</v>
      </c>
      <c r="I1041" s="35" t="b">
        <v>0</v>
      </c>
      <c r="J1041" s="35" t="b">
        <v>0</v>
      </c>
      <c r="K1041" s="35" t="b">
        <v>0</v>
      </c>
      <c r="L1041" s="35" t="b">
        <v>0</v>
      </c>
      <c r="M1041" s="35" t="b">
        <v>0</v>
      </c>
      <c r="N1041" s="35" t="b">
        <v>0</v>
      </c>
      <c r="O1041" s="35" t="b">
        <v>0</v>
      </c>
      <c r="P1041" s="35" t="b">
        <v>0</v>
      </c>
      <c r="Q1041" s="35" t="b">
        <v>0</v>
      </c>
      <c r="R1041" s="14"/>
      <c r="S1041" s="14"/>
      <c r="T1041" s="14"/>
      <c r="U1041" s="14"/>
      <c r="V1041" s="14"/>
      <c r="W1041" s="14"/>
    </row>
    <row r="1042" ht="31.5" customHeight="1">
      <c r="A1042" s="109" t="s">
        <v>12864</v>
      </c>
      <c r="B1042" s="110" t="s">
        <v>12865</v>
      </c>
      <c r="C1042" s="111" t="s">
        <v>12866</v>
      </c>
      <c r="D1042" s="28" t="s">
        <v>12867</v>
      </c>
      <c r="E1042" s="28" t="str">
        <f>IFERROR(__xludf.DUMMYFUNCTION("GOOGLETRANSLATE(D1042,""zh-CN"",""vi"")"),"Anh ấy sống ở trung tâm thành phố.")</f>
        <v>Anh ấy sống ở trung tâm thành phố.</v>
      </c>
      <c r="F1042" s="128"/>
      <c r="G1042" s="36" t="b">
        <f t="shared" si="1"/>
        <v>0</v>
      </c>
      <c r="H1042" s="35" t="b">
        <v>1</v>
      </c>
      <c r="I1042" s="35" t="b">
        <v>0</v>
      </c>
      <c r="J1042" s="35" t="b">
        <v>0</v>
      </c>
      <c r="K1042" s="35" t="b">
        <v>0</v>
      </c>
      <c r="L1042" s="35" t="b">
        <v>0</v>
      </c>
      <c r="M1042" s="35" t="b">
        <v>0</v>
      </c>
      <c r="N1042" s="35" t="b">
        <v>0</v>
      </c>
      <c r="O1042" s="35" t="b">
        <v>0</v>
      </c>
      <c r="P1042" s="35" t="b">
        <v>0</v>
      </c>
      <c r="Q1042" s="35" t="b">
        <v>0</v>
      </c>
      <c r="R1042" s="14"/>
      <c r="S1042" s="14"/>
      <c r="T1042" s="14"/>
      <c r="U1042" s="14"/>
      <c r="V1042" s="14"/>
      <c r="W1042" s="14"/>
    </row>
    <row r="1043" ht="31.5" customHeight="1">
      <c r="A1043" s="109" t="s">
        <v>12872</v>
      </c>
      <c r="B1043" s="110" t="s">
        <v>12873</v>
      </c>
      <c r="C1043" s="111" t="s">
        <v>12874</v>
      </c>
      <c r="D1043" s="28" t="s">
        <v>12875</v>
      </c>
      <c r="E1043" s="28" t="str">
        <f>IFERROR(__xludf.DUMMYFUNCTION("GOOGLETRANSLATE(D1043,""zh-CN"",""vi"")"),"Vấn đề này chỉ liên quan đến một phần của toàn bộ sự việc.")</f>
        <v>Vấn đề này chỉ liên quan đến một phần của toàn bộ sự việc.</v>
      </c>
      <c r="F1043" s="128"/>
      <c r="G1043" s="36" t="b">
        <f t="shared" si="1"/>
        <v>0</v>
      </c>
      <c r="H1043" s="35" t="b">
        <v>1</v>
      </c>
      <c r="I1043" s="35" t="b">
        <v>0</v>
      </c>
      <c r="J1043" s="35" t="b">
        <v>0</v>
      </c>
      <c r="K1043" s="35" t="b">
        <v>0</v>
      </c>
      <c r="L1043" s="35" t="b">
        <v>0</v>
      </c>
      <c r="M1043" s="35" t="b">
        <v>0</v>
      </c>
      <c r="N1043" s="35" t="b">
        <v>0</v>
      </c>
      <c r="O1043" s="35" t="b">
        <v>0</v>
      </c>
      <c r="P1043" s="35" t="b">
        <v>0</v>
      </c>
      <c r="Q1043" s="35" t="b">
        <v>0</v>
      </c>
      <c r="R1043" s="14"/>
      <c r="S1043" s="14"/>
      <c r="T1043" s="14"/>
      <c r="U1043" s="14"/>
      <c r="V1043" s="14"/>
      <c r="W1043" s="14"/>
    </row>
    <row r="1044" ht="31.5" customHeight="1">
      <c r="A1044" s="109" t="s">
        <v>12878</v>
      </c>
      <c r="B1044" s="110" t="s">
        <v>12879</v>
      </c>
      <c r="C1044" s="111" t="s">
        <v>12881</v>
      </c>
      <c r="D1044" s="28" t="s">
        <v>12882</v>
      </c>
      <c r="E1044" s="28" t="str">
        <f>IFERROR(__xludf.DUMMYFUNCTION("GOOGLETRANSLATE(D1044,""zh-CN"",""vi"")"),"Tình hình đang diễn biến theo chiều hướng đáng lo ngại.")</f>
        <v>Tình hình đang diễn biến theo chiều hướng đáng lo ngại.</v>
      </c>
      <c r="F1044" s="128"/>
      <c r="G1044" s="36" t="b">
        <f t="shared" si="1"/>
        <v>0</v>
      </c>
      <c r="H1044" s="35" t="b">
        <v>1</v>
      </c>
      <c r="I1044" s="35" t="b">
        <v>0</v>
      </c>
      <c r="J1044" s="35" t="b">
        <v>0</v>
      </c>
      <c r="K1044" s="35" t="b">
        <v>0</v>
      </c>
      <c r="L1044" s="35" t="b">
        <v>0</v>
      </c>
      <c r="M1044" s="35" t="b">
        <v>0</v>
      </c>
      <c r="N1044" s="35" t="b">
        <v>0</v>
      </c>
      <c r="O1044" s="35" t="b">
        <v>0</v>
      </c>
      <c r="P1044" s="35" t="b">
        <v>0</v>
      </c>
      <c r="Q1044" s="35" t="b">
        <v>0</v>
      </c>
      <c r="R1044" s="14"/>
      <c r="S1044" s="14"/>
      <c r="T1044" s="14"/>
      <c r="U1044" s="14"/>
      <c r="V1044" s="14"/>
      <c r="W1044" s="14"/>
    </row>
    <row r="1045" ht="31.5" customHeight="1">
      <c r="A1045" s="109" t="s">
        <v>12884</v>
      </c>
      <c r="B1045" s="110" t="s">
        <v>12885</v>
      </c>
      <c r="C1045" s="111" t="s">
        <v>12886</v>
      </c>
      <c r="D1045" s="28" t="s">
        <v>12887</v>
      </c>
      <c r="E1045" s="28" t="str">
        <f>IFERROR(__xludf.DUMMYFUNCTION("GOOGLETRANSLATE(D1045,""zh-CN"",""vi"")"),"Chính phủ đang đánh giá tình hình.")</f>
        <v>Chính phủ đang đánh giá tình hình.</v>
      </c>
      <c r="F1045" s="128"/>
      <c r="G1045" s="36" t="b">
        <f t="shared" si="1"/>
        <v>0</v>
      </c>
      <c r="H1045" s="35" t="b">
        <v>1</v>
      </c>
      <c r="I1045" s="35" t="b">
        <v>0</v>
      </c>
      <c r="J1045" s="35" t="b">
        <v>0</v>
      </c>
      <c r="K1045" s="35" t="b">
        <v>0</v>
      </c>
      <c r="L1045" s="35" t="b">
        <v>0</v>
      </c>
      <c r="M1045" s="35" t="b">
        <v>0</v>
      </c>
      <c r="N1045" s="35" t="b">
        <v>0</v>
      </c>
      <c r="O1045" s="35" t="b">
        <v>0</v>
      </c>
      <c r="P1045" s="35" t="b">
        <v>0</v>
      </c>
      <c r="Q1045" s="35" t="b">
        <v>0</v>
      </c>
      <c r="R1045" s="14"/>
      <c r="S1045" s="14"/>
      <c r="T1045" s="14"/>
      <c r="U1045" s="14"/>
      <c r="V1045" s="14"/>
      <c r="W1045" s="14"/>
    </row>
    <row r="1046" ht="31.5" customHeight="1">
      <c r="A1046" s="109" t="s">
        <v>12892</v>
      </c>
      <c r="B1046" s="110" t="s">
        <v>12893</v>
      </c>
      <c r="C1046" s="111" t="s">
        <v>12237</v>
      </c>
      <c r="D1046" s="28" t="s">
        <v>12894</v>
      </c>
      <c r="E1046" s="28" t="str">
        <f>IFERROR(__xludf.DUMMYFUNCTION("GOOGLETRANSLATE(D1046,""zh-CN"",""vi"")"),"Chúng ta cần phải thoát khỏi những giới hạn.")</f>
        <v>Chúng ta cần phải thoát khỏi những giới hạn.</v>
      </c>
      <c r="F1046" s="128"/>
      <c r="G1046" s="36" t="b">
        <f t="shared" si="1"/>
        <v>0</v>
      </c>
      <c r="H1046" s="35" t="b">
        <v>1</v>
      </c>
      <c r="I1046" s="35" t="b">
        <v>0</v>
      </c>
      <c r="J1046" s="35" t="b">
        <v>0</v>
      </c>
      <c r="K1046" s="35" t="b">
        <v>0</v>
      </c>
      <c r="L1046" s="35" t="b">
        <v>0</v>
      </c>
      <c r="M1046" s="35" t="b">
        <v>0</v>
      </c>
      <c r="N1046" s="35" t="b">
        <v>0</v>
      </c>
      <c r="O1046" s="35" t="b">
        <v>0</v>
      </c>
      <c r="P1046" s="35" t="b">
        <v>0</v>
      </c>
      <c r="Q1046" s="35" t="b">
        <v>0</v>
      </c>
      <c r="R1046" s="14"/>
      <c r="S1046" s="14"/>
      <c r="T1046" s="14"/>
      <c r="U1046" s="14"/>
      <c r="V1046" s="14"/>
      <c r="W1046" s="14"/>
    </row>
    <row r="1047" ht="31.5" customHeight="1">
      <c r="A1047" s="109" t="s">
        <v>12897</v>
      </c>
      <c r="B1047" s="110" t="s">
        <v>12899</v>
      </c>
      <c r="C1047" s="111" t="s">
        <v>12901</v>
      </c>
      <c r="D1047" s="28" t="s">
        <v>12902</v>
      </c>
      <c r="E1047" s="28" t="str">
        <f>IFERROR(__xludf.DUMMYFUNCTION("GOOGLETRANSLATE(D1047,""zh-CN"",""vi"")"),"Hành động của anh ta rất đáng ngờ.")</f>
        <v>Hành động của anh ta rất đáng ngờ.</v>
      </c>
      <c r="F1047" s="128"/>
      <c r="G1047" s="36" t="b">
        <f t="shared" si="1"/>
        <v>0</v>
      </c>
      <c r="H1047" s="35" t="b">
        <v>1</v>
      </c>
      <c r="I1047" s="35" t="b">
        <v>0</v>
      </c>
      <c r="J1047" s="35" t="b">
        <v>0</v>
      </c>
      <c r="K1047" s="35" t="b">
        <v>0</v>
      </c>
      <c r="L1047" s="35" t="b">
        <v>0</v>
      </c>
      <c r="M1047" s="35" t="b">
        <v>0</v>
      </c>
      <c r="N1047" s="35" t="b">
        <v>0</v>
      </c>
      <c r="O1047" s="35" t="b">
        <v>0</v>
      </c>
      <c r="P1047" s="35" t="b">
        <v>0</v>
      </c>
      <c r="Q1047" s="35" t="b">
        <v>0</v>
      </c>
      <c r="R1047" s="14"/>
      <c r="S1047" s="14"/>
      <c r="T1047" s="14"/>
      <c r="U1047" s="14"/>
      <c r="V1047" s="14"/>
      <c r="W1047" s="14"/>
    </row>
    <row r="1048" ht="31.5" customHeight="1">
      <c r="A1048" s="109" t="s">
        <v>12903</v>
      </c>
      <c r="B1048" s="110" t="s">
        <v>12904</v>
      </c>
      <c r="C1048" s="111" t="s">
        <v>12906</v>
      </c>
      <c r="D1048" s="28" t="s">
        <v>12908</v>
      </c>
      <c r="E1048" s="28" t="str">
        <f>IFERROR(__xludf.DUMMYFUNCTION("GOOGLETRANSLATE(D1048,""zh-CN"",""vi"")"),"Cô ấy đang nhai thức ăn.")</f>
        <v>Cô ấy đang nhai thức ăn.</v>
      </c>
      <c r="F1048" s="128"/>
      <c r="G1048" s="36" t="b">
        <f t="shared" si="1"/>
        <v>0</v>
      </c>
      <c r="H1048" s="35" t="b">
        <v>1</v>
      </c>
      <c r="I1048" s="35" t="b">
        <v>0</v>
      </c>
      <c r="J1048" s="35" t="b">
        <v>0</v>
      </c>
      <c r="K1048" s="35" t="b">
        <v>0</v>
      </c>
      <c r="L1048" s="35" t="b">
        <v>0</v>
      </c>
      <c r="M1048" s="35" t="b">
        <v>0</v>
      </c>
      <c r="N1048" s="35" t="b">
        <v>0</v>
      </c>
      <c r="O1048" s="35" t="b">
        <v>0</v>
      </c>
      <c r="P1048" s="35" t="b">
        <v>0</v>
      </c>
      <c r="Q1048" s="35" t="b">
        <v>0</v>
      </c>
      <c r="R1048" s="14"/>
      <c r="S1048" s="14"/>
      <c r="T1048" s="14"/>
      <c r="U1048" s="14"/>
      <c r="V1048" s="14"/>
      <c r="W1048" s="14"/>
    </row>
    <row r="1049" ht="31.5" customHeight="1">
      <c r="A1049" s="109" t="s">
        <v>12911</v>
      </c>
      <c r="B1049" s="110" t="s">
        <v>12912</v>
      </c>
      <c r="C1049" s="111" t="s">
        <v>12913</v>
      </c>
      <c r="D1049" s="28" t="s">
        <v>12914</v>
      </c>
      <c r="E1049" s="28" t="str">
        <f>IFERROR(__xludf.DUMMYFUNCTION("GOOGLETRANSLATE(D1049,""zh-CN"",""vi"")"),"Anh ấy rất bực bội.")</f>
        <v>Anh ấy rất bực bội.</v>
      </c>
      <c r="F1049" s="128"/>
      <c r="G1049" s="36" t="b">
        <f t="shared" si="1"/>
        <v>0</v>
      </c>
      <c r="H1049" s="35" t="b">
        <v>1</v>
      </c>
      <c r="I1049" s="35" t="b">
        <v>0</v>
      </c>
      <c r="J1049" s="35" t="b">
        <v>0</v>
      </c>
      <c r="K1049" s="35" t="b">
        <v>0</v>
      </c>
      <c r="L1049" s="35" t="b">
        <v>0</v>
      </c>
      <c r="M1049" s="35" t="b">
        <v>0</v>
      </c>
      <c r="N1049" s="35" t="b">
        <v>0</v>
      </c>
      <c r="O1049" s="35" t="b">
        <v>0</v>
      </c>
      <c r="P1049" s="35" t="b">
        <v>0</v>
      </c>
      <c r="Q1049" s="35" t="b">
        <v>0</v>
      </c>
      <c r="R1049" s="14"/>
      <c r="S1049" s="14"/>
      <c r="T1049" s="14"/>
      <c r="U1049" s="14"/>
      <c r="V1049" s="14"/>
      <c r="W1049" s="14"/>
    </row>
    <row r="1050" ht="31.5" customHeight="1">
      <c r="A1050" s="109" t="s">
        <v>12918</v>
      </c>
      <c r="B1050" s="110" t="s">
        <v>12919</v>
      </c>
      <c r="C1050" s="111" t="s">
        <v>12920</v>
      </c>
      <c r="D1050" s="28" t="s">
        <v>12921</v>
      </c>
      <c r="E1050" s="28" t="str">
        <f>IFERROR(__xludf.DUMMYFUNCTION("GOOGLETRANSLATE(D1050,""zh-CN"",""vi"")"),"Những phát minh của ông nổi tiếng khắp thế giới.")</f>
        <v>Những phát minh của ông nổi tiếng khắp thế giới.</v>
      </c>
      <c r="F1050" s="128"/>
      <c r="G1050" s="36" t="b">
        <f t="shared" si="1"/>
        <v>0</v>
      </c>
      <c r="H1050" s="35" t="b">
        <v>1</v>
      </c>
      <c r="I1050" s="35" t="b">
        <v>0</v>
      </c>
      <c r="J1050" s="35" t="b">
        <v>0</v>
      </c>
      <c r="K1050" s="35" t="b">
        <v>0</v>
      </c>
      <c r="L1050" s="35" t="b">
        <v>0</v>
      </c>
      <c r="M1050" s="35" t="b">
        <v>0</v>
      </c>
      <c r="N1050" s="35" t="b">
        <v>0</v>
      </c>
      <c r="O1050" s="35" t="b">
        <v>0</v>
      </c>
      <c r="P1050" s="35" t="b">
        <v>0</v>
      </c>
      <c r="Q1050" s="35" t="b">
        <v>0</v>
      </c>
      <c r="R1050" s="14"/>
      <c r="S1050" s="14"/>
      <c r="T1050" s="14"/>
      <c r="U1050" s="14"/>
      <c r="V1050" s="14"/>
      <c r="W1050" s="14"/>
    </row>
    <row r="1051" ht="31.5" customHeight="1">
      <c r="A1051" s="109" t="s">
        <v>12922</v>
      </c>
      <c r="B1051" s="110" t="s">
        <v>12923</v>
      </c>
      <c r="C1051" s="111" t="s">
        <v>12924</v>
      </c>
      <c r="D1051" s="28" t="s">
        <v>12926</v>
      </c>
      <c r="E1051" s="28" t="str">
        <f>IFERROR(__xludf.DUMMYFUNCTION("GOOGLETRANSLATE(D1051,""zh-CN"",""vi"")"),"Vấn đề này đã thu hút sự chú ý trên toàn thế giới.")</f>
        <v>Vấn đề này đã thu hút sự chú ý trên toàn thế giới.</v>
      </c>
      <c r="F1051" s="128"/>
      <c r="G1051" s="36" t="b">
        <f t="shared" si="1"/>
        <v>0</v>
      </c>
      <c r="H1051" s="35" t="b">
        <v>0</v>
      </c>
      <c r="I1051" s="35" t="b">
        <v>0</v>
      </c>
      <c r="J1051" s="35" t="b">
        <v>0</v>
      </c>
      <c r="K1051" s="35" t="b">
        <v>0</v>
      </c>
      <c r="L1051" s="35" t="b">
        <v>0</v>
      </c>
      <c r="M1051" s="35" t="b">
        <v>0</v>
      </c>
      <c r="N1051" s="35" t="b">
        <v>0</v>
      </c>
      <c r="O1051" s="35" t="b">
        <v>0</v>
      </c>
      <c r="P1051" s="35" t="b">
        <v>0</v>
      </c>
      <c r="Q1051" s="35" t="b">
        <v>0</v>
      </c>
      <c r="R1051" s="14"/>
      <c r="S1051" s="14"/>
      <c r="T1051" s="14"/>
      <c r="U1051" s="14"/>
      <c r="V1051" s="14"/>
      <c r="W1051" s="14"/>
    </row>
    <row r="1052" ht="31.5" customHeight="1">
      <c r="A1052" s="109" t="s">
        <v>12930</v>
      </c>
      <c r="B1052" s="110" t="s">
        <v>12931</v>
      </c>
      <c r="C1052" s="111" t="s">
        <v>12932</v>
      </c>
      <c r="D1052" s="28" t="s">
        <v>12933</v>
      </c>
      <c r="E1052" s="28" t="str">
        <f>IFERROR(__xludf.DUMMYFUNCTION("GOOGLETRANSLATE(D1052,""zh-CN"",""vi"")"),"Anh ấy đóng vai trò then chốt trong đội.")</f>
        <v>Anh ấy đóng vai trò then chốt trong đội.</v>
      </c>
      <c r="F1052" s="128"/>
      <c r="G1052" s="36" t="b">
        <f t="shared" si="1"/>
        <v>0</v>
      </c>
      <c r="H1052" s="35" t="b">
        <v>0</v>
      </c>
      <c r="I1052" s="35" t="b">
        <v>0</v>
      </c>
      <c r="J1052" s="35" t="b">
        <v>0</v>
      </c>
      <c r="K1052" s="35" t="b">
        <v>0</v>
      </c>
      <c r="L1052" s="35" t="b">
        <v>0</v>
      </c>
      <c r="M1052" s="35" t="b">
        <v>0</v>
      </c>
      <c r="N1052" s="35" t="b">
        <v>0</v>
      </c>
      <c r="O1052" s="35" t="b">
        <v>0</v>
      </c>
      <c r="P1052" s="35" t="b">
        <v>0</v>
      </c>
      <c r="Q1052" s="35" t="b">
        <v>0</v>
      </c>
      <c r="R1052" s="14"/>
      <c r="S1052" s="14"/>
      <c r="T1052" s="14"/>
      <c r="U1052" s="14"/>
      <c r="V1052" s="14"/>
      <c r="W1052" s="14"/>
    </row>
    <row r="1053" ht="31.5" customHeight="1">
      <c r="A1053" s="109" t="s">
        <v>12938</v>
      </c>
      <c r="B1053" s="110" t="s">
        <v>12939</v>
      </c>
      <c r="C1053" s="111" t="s">
        <v>12940</v>
      </c>
      <c r="D1053" s="28" t="s">
        <v>12941</v>
      </c>
      <c r="E1053" s="28" t="str">
        <f>IFERROR(__xludf.DUMMYFUNCTION("GOOGLETRANSLATE(D1053,""zh-CN"",""vi"")"),"Anh ấy đang viết kịch bản.")</f>
        <v>Anh ấy đang viết kịch bản.</v>
      </c>
      <c r="F1053" s="128"/>
      <c r="G1053" s="36" t="b">
        <f t="shared" si="1"/>
        <v>0</v>
      </c>
      <c r="H1053" s="35" t="b">
        <v>0</v>
      </c>
      <c r="I1053" s="35" t="b">
        <v>0</v>
      </c>
      <c r="J1053" s="35" t="b">
        <v>0</v>
      </c>
      <c r="K1053" s="35" t="b">
        <v>0</v>
      </c>
      <c r="L1053" s="35" t="b">
        <v>0</v>
      </c>
      <c r="M1053" s="35" t="b">
        <v>0</v>
      </c>
      <c r="N1053" s="35" t="b">
        <v>0</v>
      </c>
      <c r="O1053" s="35" t="b">
        <v>0</v>
      </c>
      <c r="P1053" s="35" t="b">
        <v>0</v>
      </c>
      <c r="Q1053" s="35" t="b">
        <v>0</v>
      </c>
      <c r="R1053" s="14"/>
      <c r="S1053" s="14"/>
      <c r="T1053" s="14"/>
      <c r="U1053" s="14"/>
      <c r="V1053" s="14"/>
      <c r="W1053" s="14"/>
    </row>
    <row r="1054" ht="31.5" customHeight="1">
      <c r="A1054" s="109" t="s">
        <v>12945</v>
      </c>
      <c r="B1054" s="110" t="s">
        <v>12946</v>
      </c>
      <c r="C1054" s="111" t="s">
        <v>12947</v>
      </c>
      <c r="D1054" s="28" t="s">
        <v>12948</v>
      </c>
      <c r="E1054" s="28" t="str">
        <f>IFERROR(__xludf.DUMMYFUNCTION("GOOGLETRANSLATE(D1054,""zh-CN"",""vi"")"),"Anh ấy lắng nghe chăm chú.")</f>
        <v>Anh ấy lắng nghe chăm chú.</v>
      </c>
      <c r="F1054" s="128"/>
      <c r="G1054" s="36" t="b">
        <f t="shared" si="1"/>
        <v>0</v>
      </c>
      <c r="H1054" s="35" t="b">
        <v>0</v>
      </c>
      <c r="I1054" s="35" t="b">
        <v>0</v>
      </c>
      <c r="J1054" s="35" t="b">
        <v>0</v>
      </c>
      <c r="K1054" s="35" t="b">
        <v>0</v>
      </c>
      <c r="L1054" s="35" t="b">
        <v>0</v>
      </c>
      <c r="M1054" s="35" t="b">
        <v>0</v>
      </c>
      <c r="N1054" s="35" t="b">
        <v>0</v>
      </c>
      <c r="O1054" s="35" t="b">
        <v>0</v>
      </c>
      <c r="P1054" s="35" t="b">
        <v>0</v>
      </c>
      <c r="Q1054" s="35" t="b">
        <v>0</v>
      </c>
      <c r="R1054" s="14"/>
      <c r="S1054" s="14"/>
      <c r="T1054" s="14"/>
      <c r="U1054" s="14"/>
      <c r="V1054" s="14"/>
      <c r="W1054" s="14"/>
    </row>
    <row r="1055" ht="31.5" customHeight="1">
      <c r="A1055" s="109" t="s">
        <v>12949</v>
      </c>
      <c r="B1055" s="110" t="s">
        <v>12950</v>
      </c>
      <c r="C1055" s="111" t="s">
        <v>12951</v>
      </c>
      <c r="D1055" s="28" t="s">
        <v>12953</v>
      </c>
      <c r="E1055" s="28" t="str">
        <f>IFERROR(__xludf.DUMMYFUNCTION("GOOGLETRANSLATE(D1055,""zh-CN"",""vi"")"),"Bài tập này vô cùng vất vả.")</f>
        <v>Bài tập này vô cùng vất vả.</v>
      </c>
      <c r="F1055" s="128"/>
      <c r="G1055" s="36" t="b">
        <f t="shared" si="1"/>
        <v>0</v>
      </c>
      <c r="H1055" s="35" t="b">
        <v>0</v>
      </c>
      <c r="I1055" s="35" t="b">
        <v>0</v>
      </c>
      <c r="J1055" s="35" t="b">
        <v>0</v>
      </c>
      <c r="K1055" s="35" t="b">
        <v>0</v>
      </c>
      <c r="L1055" s="35" t="b">
        <v>0</v>
      </c>
      <c r="M1055" s="35" t="b">
        <v>0</v>
      </c>
      <c r="N1055" s="35" t="b">
        <v>0</v>
      </c>
      <c r="O1055" s="35" t="b">
        <v>0</v>
      </c>
      <c r="P1055" s="35" t="b">
        <v>0</v>
      </c>
      <c r="Q1055" s="35" t="b">
        <v>0</v>
      </c>
      <c r="R1055" s="14"/>
      <c r="S1055" s="14"/>
      <c r="T1055" s="14"/>
      <c r="U1055" s="14"/>
      <c r="V1055" s="14"/>
      <c r="W1055" s="14"/>
    </row>
    <row r="1056" ht="31.5" customHeight="1">
      <c r="A1056" s="109" t="s">
        <v>12957</v>
      </c>
      <c r="B1056" s="110" t="s">
        <v>12958</v>
      </c>
      <c r="C1056" s="111" t="s">
        <v>12959</v>
      </c>
      <c r="D1056" s="28" t="s">
        <v>12960</v>
      </c>
      <c r="E1056" s="28" t="str">
        <f>IFERROR(__xludf.DUMMYFUNCTION("GOOGLETRANSLATE(D1056,""zh-CN"",""vi"")"),"Theo thông tin được biết, cuộc họp đã bị hoãn lại.")</f>
        <v>Theo thông tin được biết, cuộc họp đã bị hoãn lại.</v>
      </c>
      <c r="F1056" s="128"/>
      <c r="G1056" s="36" t="b">
        <f t="shared" si="1"/>
        <v>0</v>
      </c>
      <c r="H1056" s="35" t="b">
        <v>0</v>
      </c>
      <c r="I1056" s="35" t="b">
        <v>0</v>
      </c>
      <c r="J1056" s="35" t="b">
        <v>0</v>
      </c>
      <c r="K1056" s="35" t="b">
        <v>0</v>
      </c>
      <c r="L1056" s="35" t="b">
        <v>0</v>
      </c>
      <c r="M1056" s="35" t="b">
        <v>0</v>
      </c>
      <c r="N1056" s="35" t="b">
        <v>0</v>
      </c>
      <c r="O1056" s="35" t="b">
        <v>0</v>
      </c>
      <c r="P1056" s="35" t="b">
        <v>0</v>
      </c>
      <c r="Q1056" s="35" t="b">
        <v>0</v>
      </c>
      <c r="R1056" s="14"/>
      <c r="S1056" s="14"/>
      <c r="T1056" s="14"/>
      <c r="U1056" s="14"/>
      <c r="V1056" s="14"/>
      <c r="W1056" s="14"/>
    </row>
    <row r="1057" ht="31.5" customHeight="1">
      <c r="A1057" s="109" t="s">
        <v>12961</v>
      </c>
      <c r="B1057" s="110" t="s">
        <v>12962</v>
      </c>
      <c r="C1057" s="111" t="s">
        <v>12963</v>
      </c>
      <c r="D1057" s="28" t="s">
        <v>12964</v>
      </c>
      <c r="E1057" s="28" t="str">
        <f>IFERROR(__xludf.DUMMYFUNCTION("GOOGLETRANSLATE(D1057,""zh-CN"",""vi"")"),"Công ty đang đưa ra những quyết định mới.")</f>
        <v>Công ty đang đưa ra những quyết định mới.</v>
      </c>
      <c r="F1057" s="128"/>
      <c r="G1057" s="36" t="b">
        <f t="shared" si="1"/>
        <v>0</v>
      </c>
      <c r="H1057" s="35" t="b">
        <v>0</v>
      </c>
      <c r="I1057" s="35" t="b">
        <v>0</v>
      </c>
      <c r="J1057" s="35" t="b">
        <v>0</v>
      </c>
      <c r="K1057" s="35" t="b">
        <v>0</v>
      </c>
      <c r="L1057" s="35" t="b">
        <v>0</v>
      </c>
      <c r="M1057" s="35" t="b">
        <v>0</v>
      </c>
      <c r="N1057" s="35" t="b">
        <v>0</v>
      </c>
      <c r="O1057" s="35" t="b">
        <v>0</v>
      </c>
      <c r="P1057" s="35" t="b">
        <v>0</v>
      </c>
      <c r="Q1057" s="35" t="b">
        <v>0</v>
      </c>
      <c r="R1057" s="14"/>
      <c r="S1057" s="14"/>
      <c r="T1057" s="14"/>
      <c r="U1057" s="14"/>
      <c r="V1057" s="14"/>
      <c r="W1057" s="14"/>
    </row>
    <row r="1058" ht="31.5" customHeight="1">
      <c r="A1058" s="109" t="s">
        <v>12965</v>
      </c>
      <c r="B1058" s="110" t="s">
        <v>12966</v>
      </c>
      <c r="C1058" s="111" t="s">
        <v>12967</v>
      </c>
      <c r="D1058" s="28" t="s">
        <v>12968</v>
      </c>
      <c r="E1058" s="28" t="str">
        <f>IFERROR(__xludf.DUMMYFUNCTION("GOOGLETRANSLATE(D1058,""zh-CN"",""vi"")"),"Thái độ của anh ta thể hiện sự tuyệt vọng tột cùng.")</f>
        <v>Thái độ của anh ta thể hiện sự tuyệt vọng tột cùng.</v>
      </c>
      <c r="F1058" s="128"/>
      <c r="G1058" s="36" t="b">
        <f t="shared" si="1"/>
        <v>0</v>
      </c>
      <c r="H1058" s="35" t="b">
        <v>0</v>
      </c>
      <c r="I1058" s="35" t="b">
        <v>0</v>
      </c>
      <c r="J1058" s="35" t="b">
        <v>0</v>
      </c>
      <c r="K1058" s="35" t="b">
        <v>0</v>
      </c>
      <c r="L1058" s="35" t="b">
        <v>0</v>
      </c>
      <c r="M1058" s="35" t="b">
        <v>0</v>
      </c>
      <c r="N1058" s="35" t="b">
        <v>0</v>
      </c>
      <c r="O1058" s="35" t="b">
        <v>0</v>
      </c>
      <c r="P1058" s="35" t="b">
        <v>0</v>
      </c>
      <c r="Q1058" s="35" t="b">
        <v>0</v>
      </c>
      <c r="R1058" s="14"/>
      <c r="S1058" s="14"/>
      <c r="T1058" s="14"/>
      <c r="U1058" s="14"/>
      <c r="V1058" s="14"/>
      <c r="W1058" s="14"/>
    </row>
    <row r="1059" ht="31.5" customHeight="1">
      <c r="A1059" s="109" t="s">
        <v>12973</v>
      </c>
      <c r="B1059" s="110" t="s">
        <v>12974</v>
      </c>
      <c r="C1059" s="111" t="s">
        <v>12975</v>
      </c>
      <c r="D1059" s="28" t="s">
        <v>12976</v>
      </c>
      <c r="E1059" s="28" t="str">
        <f>IFERROR(__xludf.DUMMYFUNCTION("GOOGLETRANSLATE(D1059,""zh-CN"",""vi"")"),"Chúng ta cần nâng cao nhận thức.")</f>
        <v>Chúng ta cần nâng cao nhận thức.</v>
      </c>
      <c r="F1059" s="128"/>
      <c r="G1059" s="36" t="b">
        <f t="shared" si="1"/>
        <v>0</v>
      </c>
      <c r="H1059" s="35" t="b">
        <v>0</v>
      </c>
      <c r="I1059" s="35" t="b">
        <v>0</v>
      </c>
      <c r="J1059" s="35" t="b">
        <v>0</v>
      </c>
      <c r="K1059" s="35" t="b">
        <v>0</v>
      </c>
      <c r="L1059" s="35" t="b">
        <v>0</v>
      </c>
      <c r="M1059" s="35" t="b">
        <v>0</v>
      </c>
      <c r="N1059" s="35" t="b">
        <v>0</v>
      </c>
      <c r="O1059" s="35" t="b">
        <v>0</v>
      </c>
      <c r="P1059" s="35" t="b">
        <v>0</v>
      </c>
      <c r="Q1059" s="35" t="b">
        <v>0</v>
      </c>
      <c r="R1059" s="14"/>
      <c r="S1059" s="14"/>
      <c r="T1059" s="14"/>
      <c r="U1059" s="14"/>
      <c r="V1059" s="14"/>
      <c r="W1059" s="14"/>
    </row>
    <row r="1060" ht="31.5" customHeight="1">
      <c r="A1060" s="109" t="s">
        <v>12981</v>
      </c>
      <c r="B1060" s="110" t="s">
        <v>12982</v>
      </c>
      <c r="C1060" s="111" t="s">
        <v>12983</v>
      </c>
      <c r="D1060" s="28" t="s">
        <v>12984</v>
      </c>
      <c r="E1060" s="28" t="str">
        <f>IFERROR(__xludf.DUMMYFUNCTION("GOOGLETRANSLATE(D1060,""zh-CN"",""vi"")"),"Ông ấy tỉnh dậy trong lúc chiến tranh đang diễn ra.")</f>
        <v>Ông ấy tỉnh dậy trong lúc chiến tranh đang diễn ra.</v>
      </c>
      <c r="F1060" s="128"/>
      <c r="G1060" s="36" t="b">
        <f t="shared" si="1"/>
        <v>0</v>
      </c>
      <c r="H1060" s="35" t="b">
        <v>0</v>
      </c>
      <c r="I1060" s="35" t="b">
        <v>0</v>
      </c>
      <c r="J1060" s="35" t="b">
        <v>0</v>
      </c>
      <c r="K1060" s="35" t="b">
        <v>0</v>
      </c>
      <c r="L1060" s="35" t="b">
        <v>0</v>
      </c>
      <c r="M1060" s="35" t="b">
        <v>0</v>
      </c>
      <c r="N1060" s="35" t="b">
        <v>0</v>
      </c>
      <c r="O1060" s="35" t="b">
        <v>0</v>
      </c>
      <c r="P1060" s="35" t="b">
        <v>0</v>
      </c>
      <c r="Q1060" s="35" t="b">
        <v>0</v>
      </c>
      <c r="R1060" s="14"/>
      <c r="S1060" s="14"/>
      <c r="T1060" s="14"/>
      <c r="U1060" s="14"/>
      <c r="V1060" s="14"/>
      <c r="W1060" s="14"/>
    </row>
    <row r="1061" ht="31.5" customHeight="1">
      <c r="A1061" s="109" t="s">
        <v>12986</v>
      </c>
      <c r="B1061" s="110" t="s">
        <v>12988</v>
      </c>
      <c r="C1061" s="111" t="s">
        <v>12989</v>
      </c>
      <c r="D1061" s="28" t="s">
        <v>12991</v>
      </c>
      <c r="E1061" s="28" t="str">
        <f>IFERROR(__xludf.DUMMYFUNCTION("GOOGLETRANSLATE(D1061,""zh-CN"",""vi"")"),"Quân đội đang được triển khai dọc biên giới.")</f>
        <v>Quân đội đang được triển khai dọc biên giới.</v>
      </c>
      <c r="F1061" s="128"/>
      <c r="G1061" s="36" t="b">
        <f t="shared" si="1"/>
        <v>0</v>
      </c>
      <c r="H1061" s="35" t="b">
        <v>0</v>
      </c>
      <c r="I1061" s="35" t="b">
        <v>0</v>
      </c>
      <c r="J1061" s="35" t="b">
        <v>0</v>
      </c>
      <c r="K1061" s="35" t="b">
        <v>0</v>
      </c>
      <c r="L1061" s="35" t="b">
        <v>0</v>
      </c>
      <c r="M1061" s="35" t="b">
        <v>0</v>
      </c>
      <c r="N1061" s="35" t="b">
        <v>0</v>
      </c>
      <c r="O1061" s="35" t="b">
        <v>0</v>
      </c>
      <c r="P1061" s="35" t="b">
        <v>0</v>
      </c>
      <c r="Q1061" s="35" t="b">
        <v>0</v>
      </c>
      <c r="R1061" s="14"/>
      <c r="S1061" s="14"/>
      <c r="T1061" s="14"/>
      <c r="U1061" s="14"/>
      <c r="V1061" s="14"/>
      <c r="W1061" s="14"/>
    </row>
    <row r="1062" ht="31.5" customHeight="1">
      <c r="A1062" s="124" t="s">
        <v>12993</v>
      </c>
      <c r="B1062" s="125" t="s">
        <v>12994</v>
      </c>
      <c r="C1062" s="126" t="s">
        <v>12995</v>
      </c>
      <c r="D1062" s="127" t="s">
        <v>12996</v>
      </c>
      <c r="E1062" s="28" t="str">
        <f>IFERROR(__xludf.DUMMYFUNCTION("GOOGLETRANSLATE(D1062,""zh-CN"",""vi"")"),"Trẻ em rất thích xem phim hoạt hình.")</f>
        <v>Trẻ em rất thích xem phim hoạt hình.</v>
      </c>
      <c r="F1062" s="128"/>
      <c r="G1062" s="36" t="b">
        <f t="shared" si="1"/>
        <v>0</v>
      </c>
      <c r="H1062" s="35" t="b">
        <v>0</v>
      </c>
      <c r="I1062" s="35" t="b">
        <v>0</v>
      </c>
      <c r="J1062" s="35" t="b">
        <v>0</v>
      </c>
      <c r="K1062" s="35" t="b">
        <v>0</v>
      </c>
      <c r="L1062" s="35" t="b">
        <v>0</v>
      </c>
      <c r="M1062" s="35" t="b">
        <v>0</v>
      </c>
      <c r="N1062" s="35" t="b">
        <v>0</v>
      </c>
      <c r="O1062" s="35" t="b">
        <v>0</v>
      </c>
      <c r="P1062" s="35" t="b">
        <v>0</v>
      </c>
      <c r="Q1062" s="35" t="b">
        <v>0</v>
      </c>
      <c r="R1062" s="14"/>
      <c r="S1062" s="14"/>
      <c r="T1062" s="14"/>
      <c r="U1062" s="14"/>
      <c r="V1062" s="14"/>
      <c r="W1062" s="14"/>
    </row>
    <row r="1063" ht="31.5" customHeight="1">
      <c r="A1063" s="109" t="s">
        <v>13000</v>
      </c>
      <c r="B1063" s="110" t="s">
        <v>13001</v>
      </c>
      <c r="C1063" s="111" t="s">
        <v>13002</v>
      </c>
      <c r="D1063" s="28" t="s">
        <v>13003</v>
      </c>
      <c r="E1063" s="28" t="str">
        <f>IFERROR(__xludf.DUMMYFUNCTION("GOOGLETRANSLATE(D1063,""zh-CN"",""vi"")"),"Các thợ mỏ đang khai thác quặng trên núi.")</f>
        <v>Các thợ mỏ đang khai thác quặng trên núi.</v>
      </c>
      <c r="F1063" s="128"/>
      <c r="G1063" s="36" t="b">
        <f t="shared" si="1"/>
        <v>0</v>
      </c>
      <c r="H1063" s="35" t="b">
        <v>0</v>
      </c>
      <c r="I1063" s="35" t="b">
        <v>0</v>
      </c>
      <c r="J1063" s="35" t="b">
        <v>0</v>
      </c>
      <c r="K1063" s="35" t="b">
        <v>0</v>
      </c>
      <c r="L1063" s="35" t="b">
        <v>0</v>
      </c>
      <c r="M1063" s="35" t="b">
        <v>0</v>
      </c>
      <c r="N1063" s="35" t="b">
        <v>0</v>
      </c>
      <c r="O1063" s="35" t="b">
        <v>0</v>
      </c>
      <c r="P1063" s="35" t="b">
        <v>0</v>
      </c>
      <c r="Q1063" s="35" t="b">
        <v>0</v>
      </c>
      <c r="R1063" s="14"/>
      <c r="S1063" s="14"/>
      <c r="T1063" s="14"/>
      <c r="U1063" s="14"/>
      <c r="V1063" s="14"/>
      <c r="W1063" s="14"/>
    </row>
    <row r="1064" ht="31.5" customHeight="1">
      <c r="A1064" s="109" t="s">
        <v>13005</v>
      </c>
      <c r="B1064" s="110" t="s">
        <v>13006</v>
      </c>
      <c r="C1064" s="111" t="s">
        <v>13008</v>
      </c>
      <c r="D1064" s="28" t="s">
        <v>13010</v>
      </c>
      <c r="E1064" s="28" t="str">
        <f>IFERROR(__xludf.DUMMYFUNCTION("GOOGLETRANSLATE(D1064,""zh-CN"",""vi"")"),"Anh ta bị đuổi học.")</f>
        <v>Anh ta bị đuổi học.</v>
      </c>
      <c r="F1064" s="128"/>
      <c r="G1064" s="36" t="b">
        <f t="shared" si="1"/>
        <v>0</v>
      </c>
      <c r="H1064" s="35" t="b">
        <v>0</v>
      </c>
      <c r="I1064" s="35" t="b">
        <v>0</v>
      </c>
      <c r="J1064" s="35" t="b">
        <v>0</v>
      </c>
      <c r="K1064" s="35" t="b">
        <v>0</v>
      </c>
      <c r="L1064" s="35" t="b">
        <v>0</v>
      </c>
      <c r="M1064" s="35" t="b">
        <v>0</v>
      </c>
      <c r="N1064" s="35" t="b">
        <v>0</v>
      </c>
      <c r="O1064" s="35" t="b">
        <v>0</v>
      </c>
      <c r="P1064" s="35" t="b">
        <v>0</v>
      </c>
      <c r="Q1064" s="35" t="b">
        <v>0</v>
      </c>
      <c r="R1064" s="14"/>
      <c r="S1064" s="14"/>
      <c r="T1064" s="14"/>
      <c r="U1064" s="14"/>
      <c r="V1064" s="14"/>
      <c r="W1064" s="14"/>
    </row>
    <row r="1065" ht="31.5" customHeight="1">
      <c r="A1065" s="109" t="s">
        <v>13012</v>
      </c>
      <c r="B1065" s="110" t="s">
        <v>13013</v>
      </c>
      <c r="C1065" s="111" t="s">
        <v>13014</v>
      </c>
      <c r="D1065" s="28" t="s">
        <v>13015</v>
      </c>
      <c r="E1065" s="28" t="str">
        <f>IFERROR(__xludf.DUMMYFUNCTION("GOOGLETRANSLATE(D1065,""zh-CN"",""vi"")"),"Chúng ta cần mở rộng tầm nhìn.")</f>
        <v>Chúng ta cần mở rộng tầm nhìn.</v>
      </c>
      <c r="F1065" s="128"/>
      <c r="G1065" s="36" t="b">
        <f t="shared" si="1"/>
        <v>0</v>
      </c>
      <c r="H1065" s="35" t="b">
        <v>0</v>
      </c>
      <c r="I1065" s="35" t="b">
        <v>0</v>
      </c>
      <c r="J1065" s="35" t="b">
        <v>0</v>
      </c>
      <c r="K1065" s="35" t="b">
        <v>0</v>
      </c>
      <c r="L1065" s="35" t="b">
        <v>0</v>
      </c>
      <c r="M1065" s="35" t="b">
        <v>0</v>
      </c>
      <c r="N1065" s="35" t="b">
        <v>0</v>
      </c>
      <c r="O1065" s="35" t="b">
        <v>0</v>
      </c>
      <c r="P1065" s="35" t="b">
        <v>0</v>
      </c>
      <c r="Q1065" s="35" t="b">
        <v>0</v>
      </c>
      <c r="R1065" s="14"/>
      <c r="S1065" s="14"/>
      <c r="T1065" s="14"/>
      <c r="U1065" s="14"/>
      <c r="V1065" s="14"/>
      <c r="W1065" s="14"/>
    </row>
    <row r="1066" ht="31.5" customHeight="1">
      <c r="A1066" s="109" t="s">
        <v>13020</v>
      </c>
      <c r="B1066" s="110" t="s">
        <v>13021</v>
      </c>
      <c r="C1066" s="111" t="s">
        <v>13022</v>
      </c>
      <c r="D1066" s="28" t="s">
        <v>13023</v>
      </c>
      <c r="E1066" s="28" t="str">
        <f>IFERROR(__xludf.DUMMYFUNCTION("GOOGLETRANSLATE(D1066,""zh-CN"",""vi"")"),"Cô ấy có tính cách rất vui vẻ.")</f>
        <v>Cô ấy có tính cách rất vui vẻ.</v>
      </c>
      <c r="F1066" s="128"/>
      <c r="G1066" s="36" t="b">
        <f t="shared" si="1"/>
        <v>0</v>
      </c>
      <c r="H1066" s="35" t="b">
        <v>0</v>
      </c>
      <c r="I1066" s="35" t="b">
        <v>0</v>
      </c>
      <c r="J1066" s="35" t="b">
        <v>0</v>
      </c>
      <c r="K1066" s="35" t="b">
        <v>0</v>
      </c>
      <c r="L1066" s="35" t="b">
        <v>0</v>
      </c>
      <c r="M1066" s="35" t="b">
        <v>0</v>
      </c>
      <c r="N1066" s="35" t="b">
        <v>0</v>
      </c>
      <c r="O1066" s="35" t="b">
        <v>0</v>
      </c>
      <c r="P1066" s="35" t="b">
        <v>0</v>
      </c>
      <c r="Q1066" s="35" t="b">
        <v>0</v>
      </c>
      <c r="R1066" s="14"/>
      <c r="S1066" s="14"/>
      <c r="T1066" s="14"/>
      <c r="U1066" s="14"/>
      <c r="V1066" s="14"/>
      <c r="W1066" s="14"/>
    </row>
    <row r="1067" ht="31.5" customHeight="1">
      <c r="A1067" s="109" t="s">
        <v>13026</v>
      </c>
      <c r="B1067" s="110" t="s">
        <v>13028</v>
      </c>
      <c r="C1067" s="111" t="s">
        <v>13030</v>
      </c>
      <c r="D1067" s="28" t="s">
        <v>13031</v>
      </c>
      <c r="E1067" s="28" t="str">
        <f>IFERROR(__xludf.DUMMYFUNCTION("GOOGLETRANSLATE(D1067,""zh-CN"",""vi"")"),"Ông ấy là một nhà lãnh đạo sáng suốt.")</f>
        <v>Ông ấy là một nhà lãnh đạo sáng suốt.</v>
      </c>
      <c r="F1067" s="128"/>
      <c r="G1067" s="36" t="b">
        <f t="shared" si="1"/>
        <v>0</v>
      </c>
      <c r="H1067" s="35" t="b">
        <v>0</v>
      </c>
      <c r="I1067" s="35" t="b">
        <v>0</v>
      </c>
      <c r="J1067" s="35" t="b">
        <v>0</v>
      </c>
      <c r="K1067" s="35" t="b">
        <v>0</v>
      </c>
      <c r="L1067" s="35" t="b">
        <v>0</v>
      </c>
      <c r="M1067" s="35" t="b">
        <v>0</v>
      </c>
      <c r="N1067" s="35" t="b">
        <v>0</v>
      </c>
      <c r="O1067" s="35" t="b">
        <v>0</v>
      </c>
      <c r="P1067" s="35" t="b">
        <v>0</v>
      </c>
      <c r="Q1067" s="35" t="b">
        <v>0</v>
      </c>
      <c r="R1067" s="14"/>
      <c r="S1067" s="14"/>
      <c r="T1067" s="14"/>
      <c r="U1067" s="14"/>
      <c r="V1067" s="14"/>
      <c r="W1067" s="14"/>
    </row>
    <row r="1068" ht="31.5" customHeight="1">
      <c r="A1068" s="109" t="s">
        <v>13032</v>
      </c>
      <c r="B1068" s="110" t="s">
        <v>13033</v>
      </c>
      <c r="C1068" s="111" t="s">
        <v>13034</v>
      </c>
      <c r="D1068" s="28" t="s">
        <v>13035</v>
      </c>
      <c r="E1068" s="28" t="str">
        <f>IFERROR(__xludf.DUMMYFUNCTION("GOOGLETRANSLATE(D1068,""zh-CN"",""vi"")"),"Chúng tôi đang mở rộng sang các thị trường mới.")</f>
        <v>Chúng tôi đang mở rộng sang các thị trường mới.</v>
      </c>
      <c r="F1068" s="128"/>
      <c r="G1068" s="36" t="b">
        <f t="shared" si="1"/>
        <v>0</v>
      </c>
      <c r="H1068" s="35" t="b">
        <v>0</v>
      </c>
      <c r="I1068" s="35" t="b">
        <v>0</v>
      </c>
      <c r="J1068" s="35" t="b">
        <v>0</v>
      </c>
      <c r="K1068" s="35" t="b">
        <v>0</v>
      </c>
      <c r="L1068" s="35" t="b">
        <v>0</v>
      </c>
      <c r="M1068" s="35" t="b">
        <v>0</v>
      </c>
      <c r="N1068" s="35" t="b">
        <v>0</v>
      </c>
      <c r="O1068" s="35" t="b">
        <v>0</v>
      </c>
      <c r="P1068" s="35" t="b">
        <v>0</v>
      </c>
      <c r="Q1068" s="35" t="b">
        <v>0</v>
      </c>
      <c r="R1068" s="14"/>
      <c r="S1068" s="14"/>
      <c r="T1068" s="14"/>
      <c r="U1068" s="14"/>
      <c r="V1068" s="14"/>
      <c r="W1068" s="14"/>
    </row>
    <row r="1069" ht="31.5" customHeight="1">
      <c r="A1069" s="109" t="s">
        <v>8323</v>
      </c>
      <c r="B1069" s="110" t="s">
        <v>8324</v>
      </c>
      <c r="C1069" s="111" t="s">
        <v>8325</v>
      </c>
      <c r="D1069" s="28" t="s">
        <v>13040</v>
      </c>
      <c r="E1069" s="28" t="str">
        <f>IFERROR(__xludf.DUMMYFUNCTION("GOOGLETRANSLATE(D1069,""zh-CN"",""vi"")"),"Làm ơn cho tôi một cốc nước sôi.")</f>
        <v>Làm ơn cho tôi một cốc nước sôi.</v>
      </c>
      <c r="F1069" s="128"/>
      <c r="G1069" s="36" t="b">
        <f t="shared" si="1"/>
        <v>0</v>
      </c>
      <c r="H1069" s="35" t="b">
        <v>0</v>
      </c>
      <c r="I1069" s="35" t="b">
        <v>0</v>
      </c>
      <c r="J1069" s="35" t="b">
        <v>0</v>
      </c>
      <c r="K1069" s="35" t="b">
        <v>0</v>
      </c>
      <c r="L1069" s="35" t="b">
        <v>0</v>
      </c>
      <c r="M1069" s="35" t="b">
        <v>0</v>
      </c>
      <c r="N1069" s="35" t="b">
        <v>0</v>
      </c>
      <c r="O1069" s="35" t="b">
        <v>0</v>
      </c>
      <c r="P1069" s="35" t="b">
        <v>0</v>
      </c>
      <c r="Q1069" s="35" t="b">
        <v>0</v>
      </c>
      <c r="R1069" s="14"/>
      <c r="S1069" s="14"/>
      <c r="T1069" s="14"/>
      <c r="U1069" s="14"/>
      <c r="V1069" s="14"/>
      <c r="W1069" s="14"/>
    </row>
    <row r="1070" ht="31.5" customHeight="1">
      <c r="A1070" s="109" t="s">
        <v>13045</v>
      </c>
      <c r="B1070" s="110" t="s">
        <v>13046</v>
      </c>
      <c r="C1070" s="111" t="s">
        <v>13047</v>
      </c>
      <c r="D1070" s="28" t="s">
        <v>13048</v>
      </c>
      <c r="E1070" s="28" t="str">
        <f>IFERROR(__xludf.DUMMYFUNCTION("GOOGLETRANSLATE(D1070,""zh-CN"",""vi"")"),"Chúng tôi đang mở rộng sang các lĩnh vực kinh doanh mới.")</f>
        <v>Chúng tôi đang mở rộng sang các lĩnh vực kinh doanh mới.</v>
      </c>
      <c r="F1070" s="128"/>
      <c r="G1070" s="36" t="b">
        <f t="shared" si="1"/>
        <v>0</v>
      </c>
      <c r="H1070" s="35" t="b">
        <v>0</v>
      </c>
      <c r="I1070" s="35" t="b">
        <v>0</v>
      </c>
      <c r="J1070" s="35" t="b">
        <v>0</v>
      </c>
      <c r="K1070" s="35" t="b">
        <v>0</v>
      </c>
      <c r="L1070" s="35" t="b">
        <v>0</v>
      </c>
      <c r="M1070" s="35" t="b">
        <v>0</v>
      </c>
      <c r="N1070" s="35" t="b">
        <v>0</v>
      </c>
      <c r="O1070" s="35" t="b">
        <v>0</v>
      </c>
      <c r="P1070" s="35" t="b">
        <v>0</v>
      </c>
      <c r="Q1070" s="35" t="b">
        <v>0</v>
      </c>
      <c r="R1070" s="14"/>
      <c r="S1070" s="14"/>
      <c r="T1070" s="14"/>
      <c r="U1070" s="14"/>
      <c r="V1070" s="14"/>
      <c r="W1070" s="14"/>
    </row>
    <row r="1071" ht="31.5" customHeight="1">
      <c r="A1071" s="109" t="s">
        <v>13049</v>
      </c>
      <c r="B1071" s="110" t="s">
        <v>13050</v>
      </c>
      <c r="C1071" s="111" t="s">
        <v>13051</v>
      </c>
      <c r="D1071" s="28" t="s">
        <v>13052</v>
      </c>
      <c r="E1071" s="28" t="str">
        <f>IFERROR(__xludf.DUMMYFUNCTION("GOOGLETRANSLATE(D1071,""zh-CN"",""vi"")"),"Sự kiện đang diễn ra sôi nổi.")</f>
        <v>Sự kiện đang diễn ra sôi nổi.</v>
      </c>
      <c r="F1071" s="128"/>
      <c r="G1071" s="36" t="b">
        <f t="shared" si="1"/>
        <v>0</v>
      </c>
      <c r="H1071" s="35" t="b">
        <v>0</v>
      </c>
      <c r="I1071" s="35" t="b">
        <v>0</v>
      </c>
      <c r="J1071" s="35" t="b">
        <v>0</v>
      </c>
      <c r="K1071" s="35" t="b">
        <v>0</v>
      </c>
      <c r="L1071" s="35" t="b">
        <v>0</v>
      </c>
      <c r="M1071" s="35" t="b">
        <v>0</v>
      </c>
      <c r="N1071" s="35" t="b">
        <v>0</v>
      </c>
      <c r="O1071" s="35" t="b">
        <v>0</v>
      </c>
      <c r="P1071" s="35" t="b">
        <v>0</v>
      </c>
      <c r="Q1071" s="35" t="b">
        <v>0</v>
      </c>
      <c r="R1071" s="14"/>
      <c r="S1071" s="14"/>
      <c r="T1071" s="14"/>
      <c r="U1071" s="14"/>
      <c r="V1071" s="14"/>
      <c r="W1071" s="14"/>
    </row>
    <row r="1072" ht="31.5" customHeight="1">
      <c r="A1072" s="109" t="s">
        <v>13056</v>
      </c>
      <c r="B1072" s="110" t="s">
        <v>13057</v>
      </c>
      <c r="C1072" s="111" t="s">
        <v>13058</v>
      </c>
      <c r="D1072" s="28" t="s">
        <v>13059</v>
      </c>
      <c r="E1072" s="28" t="str">
        <f>IFERROR(__xludf.DUMMYFUNCTION("GOOGLETRANSLATE(D1072,""zh-CN"",""vi"")"),"Chi phí của công ty liên tục tăng lên.")</f>
        <v>Chi phí của công ty liên tục tăng lên.</v>
      </c>
      <c r="F1072" s="128"/>
      <c r="G1072" s="36" t="b">
        <f t="shared" si="1"/>
        <v>0</v>
      </c>
      <c r="H1072" s="35" t="b">
        <v>0</v>
      </c>
      <c r="I1072" s="35" t="b">
        <v>0</v>
      </c>
      <c r="J1072" s="35" t="b">
        <v>0</v>
      </c>
      <c r="K1072" s="35" t="b">
        <v>0</v>
      </c>
      <c r="L1072" s="35" t="b">
        <v>0</v>
      </c>
      <c r="M1072" s="35" t="b">
        <v>0</v>
      </c>
      <c r="N1072" s="35" t="b">
        <v>0</v>
      </c>
      <c r="O1072" s="35" t="b">
        <v>0</v>
      </c>
      <c r="P1072" s="35" t="b">
        <v>0</v>
      </c>
      <c r="Q1072" s="35" t="b">
        <v>0</v>
      </c>
      <c r="R1072" s="14"/>
      <c r="S1072" s="14"/>
      <c r="T1072" s="14"/>
      <c r="U1072" s="14"/>
      <c r="V1072" s="14"/>
      <c r="W1072" s="14"/>
    </row>
    <row r="1073" ht="31.5" customHeight="1">
      <c r="A1073" s="109" t="s">
        <v>13063</v>
      </c>
      <c r="B1073" s="110" t="s">
        <v>13064</v>
      </c>
      <c r="C1073" s="111" t="s">
        <v>13065</v>
      </c>
      <c r="D1073" s="28" t="s">
        <v>13066</v>
      </c>
      <c r="E1073" s="28" t="str">
        <f>IFERROR(__xludf.DUMMYFUNCTION("GOOGLETRANSLATE(D1073,""zh-CN"",""vi"")"),"Tin tức đã được đăng tải trên báo.")</f>
        <v>Tin tức đã được đăng tải trên báo.</v>
      </c>
      <c r="F1073" s="128"/>
      <c r="G1073" s="36" t="b">
        <f t="shared" si="1"/>
        <v>0</v>
      </c>
      <c r="H1073" s="35" t="b">
        <v>0</v>
      </c>
      <c r="I1073" s="35" t="b">
        <v>0</v>
      </c>
      <c r="J1073" s="35" t="b">
        <v>0</v>
      </c>
      <c r="K1073" s="35" t="b">
        <v>0</v>
      </c>
      <c r="L1073" s="35" t="b">
        <v>0</v>
      </c>
      <c r="M1073" s="35" t="b">
        <v>0</v>
      </c>
      <c r="N1073" s="35" t="b">
        <v>0</v>
      </c>
      <c r="O1073" s="35" t="b">
        <v>0</v>
      </c>
      <c r="P1073" s="35" t="b">
        <v>0</v>
      </c>
      <c r="Q1073" s="35" t="b">
        <v>0</v>
      </c>
      <c r="R1073" s="14"/>
      <c r="S1073" s="14"/>
      <c r="T1073" s="14"/>
      <c r="U1073" s="14"/>
      <c r="V1073" s="14"/>
      <c r="W1073" s="14"/>
    </row>
    <row r="1074" ht="31.5" customHeight="1">
      <c r="A1074" s="109" t="s">
        <v>13067</v>
      </c>
      <c r="B1074" s="110" t="s">
        <v>13068</v>
      </c>
      <c r="C1074" s="111" t="s">
        <v>13069</v>
      </c>
      <c r="D1074" s="28" t="s">
        <v>13070</v>
      </c>
      <c r="E1074" s="28" t="str">
        <f>IFERROR(__xludf.DUMMYFUNCTION("GOOGLETRANSLATE(D1074,""zh-CN"",""vi"")"),"Họ đang tìm kiếm tài nguyên ở vùng núi.")</f>
        <v>Họ đang tìm kiếm tài nguyên ở vùng núi.</v>
      </c>
      <c r="F1074" s="128"/>
      <c r="G1074" s="36" t="b">
        <f t="shared" si="1"/>
        <v>0</v>
      </c>
      <c r="H1074" s="35" t="b">
        <v>0</v>
      </c>
      <c r="I1074" s="35" t="b">
        <v>0</v>
      </c>
      <c r="J1074" s="35" t="b">
        <v>0</v>
      </c>
      <c r="K1074" s="35" t="b">
        <v>0</v>
      </c>
      <c r="L1074" s="35" t="b">
        <v>0</v>
      </c>
      <c r="M1074" s="35" t="b">
        <v>0</v>
      </c>
      <c r="N1074" s="35" t="b">
        <v>0</v>
      </c>
      <c r="O1074" s="35" t="b">
        <v>0</v>
      </c>
      <c r="P1074" s="35" t="b">
        <v>0</v>
      </c>
      <c r="Q1074" s="35" t="b">
        <v>0</v>
      </c>
      <c r="R1074" s="14"/>
      <c r="S1074" s="14"/>
      <c r="T1074" s="14"/>
      <c r="U1074" s="14"/>
      <c r="V1074" s="14"/>
      <c r="W1074" s="14"/>
    </row>
    <row r="1075" ht="31.5" customHeight="1">
      <c r="A1075" s="109" t="s">
        <v>13075</v>
      </c>
      <c r="B1075" s="110" t="s">
        <v>13076</v>
      </c>
      <c r="C1075" s="111" t="s">
        <v>13077</v>
      </c>
      <c r="D1075" s="28" t="s">
        <v>13078</v>
      </c>
      <c r="E1075" s="28" t="str">
        <f>IFERROR(__xludf.DUMMYFUNCTION("GOOGLETRANSLATE(D1075,""zh-CN"",""vi"")"),"Ấn phẩm này rất được ưa chuộng.")</f>
        <v>Ấn phẩm này rất được ưa chuộng.</v>
      </c>
      <c r="F1075" s="128"/>
      <c r="G1075" s="36" t="b">
        <f t="shared" si="1"/>
        <v>0</v>
      </c>
      <c r="H1075" s="35" t="b">
        <v>0</v>
      </c>
      <c r="I1075" s="35" t="b">
        <v>0</v>
      </c>
      <c r="J1075" s="35" t="b">
        <v>0</v>
      </c>
      <c r="K1075" s="35" t="b">
        <v>0</v>
      </c>
      <c r="L1075" s="35" t="b">
        <v>0</v>
      </c>
      <c r="M1075" s="35" t="b">
        <v>0</v>
      </c>
      <c r="N1075" s="35" t="b">
        <v>0</v>
      </c>
      <c r="O1075" s="35" t="b">
        <v>0</v>
      </c>
      <c r="P1075" s="35" t="b">
        <v>0</v>
      </c>
      <c r="Q1075" s="35" t="b">
        <v>0</v>
      </c>
      <c r="R1075" s="14"/>
      <c r="S1075" s="14"/>
      <c r="T1075" s="14"/>
      <c r="U1075" s="14"/>
      <c r="V1075" s="14"/>
      <c r="W1075" s="14"/>
    </row>
    <row r="1076" ht="31.5" customHeight="1">
      <c r="A1076" s="109" t="s">
        <v>13083</v>
      </c>
      <c r="B1076" s="110" t="s">
        <v>13084</v>
      </c>
      <c r="C1076" s="111" t="s">
        <v>13085</v>
      </c>
      <c r="D1076" s="28" t="s">
        <v>13086</v>
      </c>
      <c r="E1076" s="28" t="str">
        <f>IFERROR(__xludf.DUMMYFUNCTION("GOOGLETRANSLATE(D1076,""zh-CN"",""vi"")"),"Chúng ta cần phải xem xét vấn đề này một cách nghiêm túc.")</f>
        <v>Chúng ta cần phải xem xét vấn đề này một cách nghiêm túc.</v>
      </c>
      <c r="F1076" s="128"/>
      <c r="G1076" s="36" t="b">
        <f t="shared" si="1"/>
        <v>0</v>
      </c>
      <c r="H1076" s="35" t="b">
        <v>0</v>
      </c>
      <c r="I1076" s="35" t="b">
        <v>0</v>
      </c>
      <c r="J1076" s="35" t="b">
        <v>0</v>
      </c>
      <c r="K1076" s="35" t="b">
        <v>0</v>
      </c>
      <c r="L1076" s="35" t="b">
        <v>0</v>
      </c>
      <c r="M1076" s="35" t="b">
        <v>0</v>
      </c>
      <c r="N1076" s="35" t="b">
        <v>0</v>
      </c>
      <c r="O1076" s="35" t="b">
        <v>0</v>
      </c>
      <c r="P1076" s="35" t="b">
        <v>0</v>
      </c>
      <c r="Q1076" s="35" t="b">
        <v>0</v>
      </c>
      <c r="R1076" s="14"/>
      <c r="S1076" s="14"/>
      <c r="T1076" s="14"/>
      <c r="U1076" s="14"/>
      <c r="V1076" s="14"/>
      <c r="W1076" s="14"/>
    </row>
    <row r="1077" ht="31.5" customHeight="1">
      <c r="A1077" s="109" t="s">
        <v>13087</v>
      </c>
      <c r="B1077" s="110" t="s">
        <v>13089</v>
      </c>
      <c r="C1077" s="111" t="s">
        <v>13091</v>
      </c>
      <c r="D1077" s="28" t="s">
        <v>13092</v>
      </c>
      <c r="E1077" s="28" t="str">
        <f>IFERROR(__xludf.DUMMYFUNCTION("GOOGLETRANSLATE(D1077,""zh-CN"",""vi"")"),"Trời có vẻ sắp mưa hôm nay.")</f>
        <v>Trời có vẻ sắp mưa hôm nay.</v>
      </c>
      <c r="F1077" s="128"/>
      <c r="G1077" s="36" t="b">
        <f t="shared" si="1"/>
        <v>0</v>
      </c>
      <c r="H1077" s="35" t="b">
        <v>0</v>
      </c>
      <c r="I1077" s="35" t="b">
        <v>0</v>
      </c>
      <c r="J1077" s="35" t="b">
        <v>0</v>
      </c>
      <c r="K1077" s="35" t="b">
        <v>0</v>
      </c>
      <c r="L1077" s="35" t="b">
        <v>0</v>
      </c>
      <c r="M1077" s="35" t="b">
        <v>0</v>
      </c>
      <c r="N1077" s="35" t="b">
        <v>0</v>
      </c>
      <c r="O1077" s="35" t="b">
        <v>0</v>
      </c>
      <c r="P1077" s="35" t="b">
        <v>0</v>
      </c>
      <c r="Q1077" s="35" t="b">
        <v>0</v>
      </c>
      <c r="R1077" s="14"/>
      <c r="S1077" s="14"/>
      <c r="T1077" s="14"/>
      <c r="U1077" s="14"/>
      <c r="V1077" s="14"/>
      <c r="W1077" s="14"/>
    </row>
    <row r="1078" ht="31.5" customHeight="1">
      <c r="A1078" s="109" t="s">
        <v>8347</v>
      </c>
      <c r="B1078" s="110" t="s">
        <v>8348</v>
      </c>
      <c r="C1078" s="111" t="s">
        <v>13095</v>
      </c>
      <c r="D1078" s="28" t="s">
        <v>13096</v>
      </c>
      <c r="E1078" s="28" t="str">
        <f>IFERROR(__xludf.DUMMYFUNCTION("GOOGLETRANSLATE(D1078,""zh-CN"",""vi"")"),"Anh ấy đến thăm người bạn đang ốm của mình.")</f>
        <v>Anh ấy đến thăm người bạn đang ốm của mình.</v>
      </c>
      <c r="F1078" s="128"/>
      <c r="G1078" s="36" t="b">
        <f t="shared" si="1"/>
        <v>0</v>
      </c>
      <c r="H1078" s="35" t="b">
        <v>0</v>
      </c>
      <c r="I1078" s="35" t="b">
        <v>0</v>
      </c>
      <c r="J1078" s="35" t="b">
        <v>0</v>
      </c>
      <c r="K1078" s="35" t="b">
        <v>0</v>
      </c>
      <c r="L1078" s="35" t="b">
        <v>0</v>
      </c>
      <c r="M1078" s="35" t="b">
        <v>0</v>
      </c>
      <c r="N1078" s="35" t="b">
        <v>0</v>
      </c>
      <c r="O1078" s="35" t="b">
        <v>0</v>
      </c>
      <c r="P1078" s="35" t="b">
        <v>0</v>
      </c>
      <c r="Q1078" s="35" t="b">
        <v>0</v>
      </c>
      <c r="R1078" s="14"/>
      <c r="S1078" s="14"/>
      <c r="T1078" s="14"/>
      <c r="U1078" s="14"/>
      <c r="V1078" s="14"/>
      <c r="W1078" s="14"/>
    </row>
    <row r="1079" ht="31.5" customHeight="1">
      <c r="A1079" s="109" t="s">
        <v>13101</v>
      </c>
      <c r="B1079" s="110" t="s">
        <v>13102</v>
      </c>
      <c r="C1079" s="111" t="s">
        <v>13103</v>
      </c>
      <c r="D1079" s="28" t="s">
        <v>13104</v>
      </c>
      <c r="E1079" s="28" t="str">
        <f>IFERROR(__xludf.DUMMYFUNCTION("GOOGLETRANSLATE(D1079,""zh-CN"",""vi"")"),"Ông ấy đã quyên góp rất hào phóng.")</f>
        <v>Ông ấy đã quyên góp rất hào phóng.</v>
      </c>
      <c r="F1079" s="128"/>
      <c r="G1079" s="36" t="b">
        <f t="shared" si="1"/>
        <v>0</v>
      </c>
      <c r="H1079" s="35" t="b">
        <v>0</v>
      </c>
      <c r="I1079" s="35" t="b">
        <v>0</v>
      </c>
      <c r="J1079" s="35" t="b">
        <v>0</v>
      </c>
      <c r="K1079" s="35" t="b">
        <v>0</v>
      </c>
      <c r="L1079" s="35" t="b">
        <v>0</v>
      </c>
      <c r="M1079" s="35" t="b">
        <v>0</v>
      </c>
      <c r="N1079" s="35" t="b">
        <v>0</v>
      </c>
      <c r="O1079" s="35" t="b">
        <v>0</v>
      </c>
      <c r="P1079" s="35" t="b">
        <v>0</v>
      </c>
      <c r="Q1079" s="35" t="b">
        <v>0</v>
      </c>
      <c r="R1079" s="14"/>
      <c r="S1079" s="14"/>
      <c r="T1079" s="14"/>
      <c r="U1079" s="14"/>
      <c r="V1079" s="14"/>
      <c r="W1079" s="14"/>
    </row>
    <row r="1080" ht="31.5" customHeight="1">
      <c r="A1080" s="109" t="s">
        <v>13105</v>
      </c>
      <c r="B1080" s="110" t="s">
        <v>13106</v>
      </c>
      <c r="C1080" s="111" t="s">
        <v>13107</v>
      </c>
      <c r="D1080" s="28" t="s">
        <v>13108</v>
      </c>
      <c r="E1080" s="28" t="str">
        <f>IFERROR(__xludf.DUMMYFUNCTION("GOOGLETRANSLATE(D1080,""zh-CN"",""vi"")"),"Các nhà khoa học đang tiến hành nghiên cứu địa chất tại đây.")</f>
        <v>Các nhà khoa học đang tiến hành nghiên cứu địa chất tại đây.</v>
      </c>
      <c r="F1080" s="128"/>
      <c r="G1080" s="36" t="b">
        <f t="shared" si="1"/>
        <v>0</v>
      </c>
      <c r="H1080" s="35" t="b">
        <v>0</v>
      </c>
      <c r="I1080" s="35" t="b">
        <v>0</v>
      </c>
      <c r="J1080" s="35" t="b">
        <v>0</v>
      </c>
      <c r="K1080" s="35" t="b">
        <v>0</v>
      </c>
      <c r="L1080" s="35" t="b">
        <v>0</v>
      </c>
      <c r="M1080" s="35" t="b">
        <v>0</v>
      </c>
      <c r="N1080" s="35" t="b">
        <v>0</v>
      </c>
      <c r="O1080" s="35" t="b">
        <v>0</v>
      </c>
      <c r="P1080" s="35" t="b">
        <v>0</v>
      </c>
      <c r="Q1080" s="35" t="b">
        <v>0</v>
      </c>
      <c r="R1080" s="14"/>
      <c r="S1080" s="14"/>
      <c r="T1080" s="14"/>
      <c r="U1080" s="14"/>
      <c r="V1080" s="14"/>
      <c r="W1080" s="14"/>
    </row>
    <row r="1081" ht="31.5" customHeight="1">
      <c r="A1081" s="109" t="s">
        <v>13113</v>
      </c>
      <c r="B1081" s="110" t="s">
        <v>13114</v>
      </c>
      <c r="C1081" s="111" t="s">
        <v>13115</v>
      </c>
      <c r="D1081" s="28" t="s">
        <v>13116</v>
      </c>
      <c r="E1081" s="28" t="str">
        <f>IFERROR(__xludf.DUMMYFUNCTION("GOOGLETRANSLATE(D1081,""zh-CN"",""vi"")"),"Ông ấy rất quan tâm đến văn hóa cổ đại.")</f>
        <v>Ông ấy rất quan tâm đến văn hóa cổ đại.</v>
      </c>
      <c r="F1081" s="128"/>
      <c r="G1081" s="36" t="b">
        <f t="shared" si="1"/>
        <v>0</v>
      </c>
      <c r="H1081" s="35" t="b">
        <v>0</v>
      </c>
      <c r="I1081" s="35" t="b">
        <v>0</v>
      </c>
      <c r="J1081" s="35" t="b">
        <v>0</v>
      </c>
      <c r="K1081" s="35" t="b">
        <v>0</v>
      </c>
      <c r="L1081" s="35" t="b">
        <v>0</v>
      </c>
      <c r="M1081" s="35" t="b">
        <v>0</v>
      </c>
      <c r="N1081" s="35" t="b">
        <v>0</v>
      </c>
      <c r="O1081" s="35" t="b">
        <v>0</v>
      </c>
      <c r="P1081" s="35" t="b">
        <v>0</v>
      </c>
      <c r="Q1081" s="35" t="b">
        <v>0</v>
      </c>
      <c r="R1081" s="14"/>
      <c r="S1081" s="14"/>
      <c r="T1081" s="14"/>
      <c r="U1081" s="14"/>
      <c r="V1081" s="14"/>
      <c r="W1081" s="14"/>
    </row>
    <row r="1082" ht="31.5" customHeight="1">
      <c r="A1082" s="109" t="s">
        <v>13119</v>
      </c>
      <c r="B1082" s="110" t="s">
        <v>13120</v>
      </c>
      <c r="C1082" s="111" t="s">
        <v>13121</v>
      </c>
      <c r="D1082" s="28" t="s">
        <v>13123</v>
      </c>
      <c r="E1082" s="28" t="str">
        <f>IFERROR(__xludf.DUMMYFUNCTION("GOOGLETRANSLATE(D1082,""zh-CN"",""vi"")"),"Công ty sẽ tiến hành đánh giá hiệu quả làm việc của nhân viên.")</f>
        <v>Công ty sẽ tiến hành đánh giá hiệu quả làm việc của nhân viên.</v>
      </c>
      <c r="F1082" s="128"/>
      <c r="G1082" s="36" t="b">
        <f t="shared" si="1"/>
        <v>0</v>
      </c>
      <c r="H1082" s="35" t="b">
        <v>0</v>
      </c>
      <c r="I1082" s="35" t="b">
        <v>0</v>
      </c>
      <c r="J1082" s="35" t="b">
        <v>0</v>
      </c>
      <c r="K1082" s="35" t="b">
        <v>0</v>
      </c>
      <c r="L1082" s="35" t="b">
        <v>0</v>
      </c>
      <c r="M1082" s="35" t="b">
        <v>0</v>
      </c>
      <c r="N1082" s="35" t="b">
        <v>0</v>
      </c>
      <c r="O1082" s="35" t="b">
        <v>0</v>
      </c>
      <c r="P1082" s="35" t="b">
        <v>0</v>
      </c>
      <c r="Q1082" s="35" t="b">
        <v>0</v>
      </c>
      <c r="R1082" s="14"/>
      <c r="S1082" s="14"/>
      <c r="T1082" s="14"/>
      <c r="U1082" s="14"/>
      <c r="V1082" s="14"/>
      <c r="W1082" s="14"/>
    </row>
    <row r="1083" ht="31.5" customHeight="1">
      <c r="A1083" s="109" t="s">
        <v>13124</v>
      </c>
      <c r="B1083" s="110" t="s">
        <v>13125</v>
      </c>
      <c r="C1083" s="111" t="s">
        <v>13126</v>
      </c>
      <c r="D1083" s="28" t="s">
        <v>13127</v>
      </c>
      <c r="E1083" s="28" t="str">
        <f>IFERROR(__xludf.DUMMYFUNCTION("GOOGLETRANSLATE(D1083,""zh-CN"",""vi"")"),"Điều này nhằm kiểm tra khả năng của anh ấy.")</f>
        <v>Điều này nhằm kiểm tra khả năng của anh ấy.</v>
      </c>
      <c r="F1083" s="128"/>
      <c r="G1083" s="36" t="b">
        <f t="shared" si="1"/>
        <v>0</v>
      </c>
      <c r="H1083" s="35" t="b">
        <v>0</v>
      </c>
      <c r="I1083" s="35" t="b">
        <v>0</v>
      </c>
      <c r="J1083" s="35" t="b">
        <v>0</v>
      </c>
      <c r="K1083" s="35" t="b">
        <v>0</v>
      </c>
      <c r="L1083" s="35" t="b">
        <v>0</v>
      </c>
      <c r="M1083" s="35" t="b">
        <v>0</v>
      </c>
      <c r="N1083" s="35" t="b">
        <v>0</v>
      </c>
      <c r="O1083" s="35" t="b">
        <v>0</v>
      </c>
      <c r="P1083" s="35" t="b">
        <v>0</v>
      </c>
      <c r="Q1083" s="35" t="b">
        <v>0</v>
      </c>
      <c r="R1083" s="14"/>
      <c r="S1083" s="14"/>
      <c r="T1083" s="14"/>
      <c r="U1083" s="14"/>
      <c r="V1083" s="14"/>
      <c r="W1083" s="14"/>
    </row>
    <row r="1084" ht="31.5" customHeight="1">
      <c r="A1084" s="109" t="s">
        <v>13131</v>
      </c>
      <c r="B1084" s="110" t="s">
        <v>13132</v>
      </c>
      <c r="C1084" s="111" t="s">
        <v>13133</v>
      </c>
      <c r="D1084" s="28" t="s">
        <v>13134</v>
      </c>
      <c r="E1084" s="28" t="str">
        <f>IFERROR(__xludf.DUMMYFUNCTION("GOOGLETRANSLATE(D1084,""zh-CN"",""vi"")"),"Chúng ta nên cùng nhau tiến về phía trước.")</f>
        <v>Chúng ta nên cùng nhau tiến về phía trước.</v>
      </c>
      <c r="F1084" s="128"/>
      <c r="G1084" s="36" t="b">
        <f t="shared" si="1"/>
        <v>0</v>
      </c>
      <c r="H1084" s="35" t="b">
        <v>0</v>
      </c>
      <c r="I1084" s="35" t="b">
        <v>0</v>
      </c>
      <c r="J1084" s="35" t="b">
        <v>0</v>
      </c>
      <c r="K1084" s="35" t="b">
        <v>0</v>
      </c>
      <c r="L1084" s="35" t="b">
        <v>0</v>
      </c>
      <c r="M1084" s="35" t="b">
        <v>0</v>
      </c>
      <c r="N1084" s="35" t="b">
        <v>0</v>
      </c>
      <c r="O1084" s="35" t="b">
        <v>0</v>
      </c>
      <c r="P1084" s="35" t="b">
        <v>0</v>
      </c>
      <c r="Q1084" s="35" t="b">
        <v>0</v>
      </c>
      <c r="R1084" s="14"/>
      <c r="S1084" s="14"/>
      <c r="T1084" s="14"/>
      <c r="U1084" s="14"/>
      <c r="V1084" s="14"/>
      <c r="W1084" s="14"/>
    </row>
    <row r="1085" ht="31.5" customHeight="1">
      <c r="A1085" s="109" t="s">
        <v>13135</v>
      </c>
      <c r="B1085" s="110" t="s">
        <v>3009</v>
      </c>
      <c r="C1085" s="111" t="s">
        <v>13138</v>
      </c>
      <c r="D1085" s="28" t="s">
        <v>13139</v>
      </c>
      <c r="E1085" s="28" t="str">
        <f>IFERROR(__xludf.DUMMYFUNCTION("GOOGLETRANSLATE(D1085,""zh-CN"",""vi"")"),"Anh ấy vô tình bị đập đầu.")</f>
        <v>Anh ấy vô tình bị đập đầu.</v>
      </c>
      <c r="F1085" s="128"/>
      <c r="G1085" s="36" t="b">
        <f t="shared" si="1"/>
        <v>0</v>
      </c>
      <c r="H1085" s="35" t="b">
        <v>0</v>
      </c>
      <c r="I1085" s="35" t="b">
        <v>0</v>
      </c>
      <c r="J1085" s="35" t="b">
        <v>0</v>
      </c>
      <c r="K1085" s="35" t="b">
        <v>0</v>
      </c>
      <c r="L1085" s="35" t="b">
        <v>0</v>
      </c>
      <c r="M1085" s="35" t="b">
        <v>0</v>
      </c>
      <c r="N1085" s="35" t="b">
        <v>0</v>
      </c>
      <c r="O1085" s="35" t="b">
        <v>0</v>
      </c>
      <c r="P1085" s="35" t="b">
        <v>0</v>
      </c>
      <c r="Q1085" s="35" t="b">
        <v>0</v>
      </c>
      <c r="R1085" s="14"/>
      <c r="S1085" s="14"/>
      <c r="T1085" s="14"/>
      <c r="U1085" s="14"/>
      <c r="V1085" s="14"/>
      <c r="W1085" s="14"/>
    </row>
    <row r="1086" ht="31.5" customHeight="1">
      <c r="A1086" s="109" t="s">
        <v>13142</v>
      </c>
      <c r="B1086" s="110" t="s">
        <v>13143</v>
      </c>
      <c r="C1086" s="111" t="s">
        <v>13144</v>
      </c>
      <c r="D1086" s="28" t="s">
        <v>13145</v>
      </c>
      <c r="E1086" s="28" t="str">
        <f>IFERROR(__xludf.DUMMYFUNCTION("GOOGLETRANSLATE(D1086,""zh-CN"",""vi"")"),"Thuốc này có nhiều hạt nhỏ.")</f>
        <v>Thuốc này có nhiều hạt nhỏ.</v>
      </c>
      <c r="F1086" s="128"/>
      <c r="G1086" s="36" t="b">
        <f t="shared" si="1"/>
        <v>0</v>
      </c>
      <c r="H1086" s="35" t="b">
        <v>0</v>
      </c>
      <c r="I1086" s="35" t="b">
        <v>0</v>
      </c>
      <c r="J1086" s="35" t="b">
        <v>0</v>
      </c>
      <c r="K1086" s="35" t="b">
        <v>0</v>
      </c>
      <c r="L1086" s="35" t="b">
        <v>0</v>
      </c>
      <c r="M1086" s="35" t="b">
        <v>0</v>
      </c>
      <c r="N1086" s="35" t="b">
        <v>0</v>
      </c>
      <c r="O1086" s="35" t="b">
        <v>0</v>
      </c>
      <c r="P1086" s="35" t="b">
        <v>0</v>
      </c>
      <c r="Q1086" s="35" t="b">
        <v>0</v>
      </c>
      <c r="R1086" s="14"/>
      <c r="S1086" s="14"/>
      <c r="T1086" s="14"/>
      <c r="U1086" s="14"/>
      <c r="V1086" s="14"/>
      <c r="W1086" s="14"/>
    </row>
    <row r="1087" ht="31.5" customHeight="1">
      <c r="A1087" s="109" t="s">
        <v>13149</v>
      </c>
      <c r="B1087" s="110" t="s">
        <v>13151</v>
      </c>
      <c r="C1087" s="111" t="s">
        <v>8425</v>
      </c>
      <c r="D1087" s="28" t="s">
        <v>13152</v>
      </c>
      <c r="E1087" s="28" t="str">
        <f>IFERROR(__xludf.DUMMYFUNCTION("GOOGLETRANSLATE(D1087,""zh-CN"",""vi"")"),"Toán học là môn học chính của anh ấy.")</f>
        <v>Toán học là môn học chính của anh ấy.</v>
      </c>
      <c r="F1087" s="128"/>
      <c r="G1087" s="36" t="b">
        <f t="shared" si="1"/>
        <v>0</v>
      </c>
      <c r="H1087" s="35" t="b">
        <v>0</v>
      </c>
      <c r="I1087" s="35" t="b">
        <v>0</v>
      </c>
      <c r="J1087" s="35" t="b">
        <v>0</v>
      </c>
      <c r="K1087" s="35" t="b">
        <v>0</v>
      </c>
      <c r="L1087" s="35" t="b">
        <v>0</v>
      </c>
      <c r="M1087" s="35" t="b">
        <v>0</v>
      </c>
      <c r="N1087" s="35" t="b">
        <v>0</v>
      </c>
      <c r="O1087" s="35" t="b">
        <v>0</v>
      </c>
      <c r="P1087" s="35" t="b">
        <v>0</v>
      </c>
      <c r="Q1087" s="35" t="b">
        <v>0</v>
      </c>
      <c r="R1087" s="14"/>
      <c r="S1087" s="14"/>
      <c r="T1087" s="14"/>
      <c r="U1087" s="14"/>
      <c r="V1087" s="14"/>
      <c r="W1087" s="14"/>
    </row>
    <row r="1088" ht="31.5" customHeight="1">
      <c r="A1088" s="109" t="s">
        <v>13153</v>
      </c>
      <c r="B1088" s="110" t="s">
        <v>13154</v>
      </c>
      <c r="C1088" s="111" t="s">
        <v>13155</v>
      </c>
      <c r="D1088" s="28" t="s">
        <v>13156</v>
      </c>
      <c r="E1088" s="28" t="str">
        <f>IFERROR(__xludf.DUMMYFUNCTION("GOOGLETRANSLATE(D1088,""zh-CN"",""vi"")"),"Cảnh quan tại địa điểm này vô cùng ngoạn mục.")</f>
        <v>Cảnh quan tại địa điểm này vô cùng ngoạn mục.</v>
      </c>
      <c r="F1088" s="128"/>
      <c r="G1088" s="36" t="b">
        <f t="shared" si="1"/>
        <v>0</v>
      </c>
      <c r="H1088" s="35" t="b">
        <v>0</v>
      </c>
      <c r="I1088" s="35" t="b">
        <v>0</v>
      </c>
      <c r="J1088" s="35" t="b">
        <v>0</v>
      </c>
      <c r="K1088" s="35" t="b">
        <v>0</v>
      </c>
      <c r="L1088" s="35" t="b">
        <v>0</v>
      </c>
      <c r="M1088" s="35" t="b">
        <v>0</v>
      </c>
      <c r="N1088" s="35" t="b">
        <v>0</v>
      </c>
      <c r="O1088" s="35" t="b">
        <v>0</v>
      </c>
      <c r="P1088" s="35" t="b">
        <v>0</v>
      </c>
      <c r="Q1088" s="35" t="b">
        <v>0</v>
      </c>
      <c r="R1088" s="14"/>
      <c r="S1088" s="14"/>
      <c r="T1088" s="14"/>
      <c r="U1088" s="14"/>
      <c r="V1088" s="14"/>
      <c r="W1088" s="14"/>
    </row>
    <row r="1089" ht="31.5" customHeight="1">
      <c r="A1089" s="109" t="s">
        <v>13157</v>
      </c>
      <c r="B1089" s="110" t="s">
        <v>13159</v>
      </c>
      <c r="C1089" s="111" t="s">
        <v>13160</v>
      </c>
      <c r="D1089" s="28" t="s">
        <v>13162</v>
      </c>
      <c r="E1089" s="28" t="str">
        <f>IFERROR(__xludf.DUMMYFUNCTION("GOOGLETRANSLATE(D1089,""zh-CN"",""vi"")"),"Món này rất ngon và hấp dẫn.")</f>
        <v>Món này rất ngon và hấp dẫn.</v>
      </c>
      <c r="F1089" s="128"/>
      <c r="G1089" s="36" t="b">
        <f t="shared" si="1"/>
        <v>0</v>
      </c>
      <c r="H1089" s="35" t="b">
        <v>0</v>
      </c>
      <c r="I1089" s="35" t="b">
        <v>0</v>
      </c>
      <c r="J1089" s="35" t="b">
        <v>0</v>
      </c>
      <c r="K1089" s="35" t="b">
        <v>0</v>
      </c>
      <c r="L1089" s="35" t="b">
        <v>0</v>
      </c>
      <c r="M1089" s="35" t="b">
        <v>0</v>
      </c>
      <c r="N1089" s="35" t="b">
        <v>0</v>
      </c>
      <c r="O1089" s="35" t="b">
        <v>0</v>
      </c>
      <c r="P1089" s="35" t="b">
        <v>0</v>
      </c>
      <c r="Q1089" s="35" t="b">
        <v>0</v>
      </c>
      <c r="R1089" s="14"/>
      <c r="S1089" s="14"/>
      <c r="T1089" s="14"/>
      <c r="U1089" s="14"/>
      <c r="V1089" s="14"/>
      <c r="W1089" s="14"/>
    </row>
    <row r="1090" ht="31.5" customHeight="1">
      <c r="A1090" s="109" t="s">
        <v>13164</v>
      </c>
      <c r="B1090" s="110" t="s">
        <v>13165</v>
      </c>
      <c r="C1090" s="111" t="s">
        <v>13166</v>
      </c>
      <c r="D1090" s="28" t="s">
        <v>13167</v>
      </c>
      <c r="E1090" s="28" t="str">
        <f>IFERROR(__xludf.DUMMYFUNCTION("GOOGLETRANSLATE(D1090,""zh-CN"",""vi"")"),"Anh ấy khao khát thành công.")</f>
        <v>Anh ấy khao khát thành công.</v>
      </c>
      <c r="F1090" s="128"/>
      <c r="G1090" s="36" t="b">
        <f t="shared" si="1"/>
        <v>0</v>
      </c>
      <c r="H1090" s="35" t="b">
        <v>0</v>
      </c>
      <c r="I1090" s="35" t="b">
        <v>0</v>
      </c>
      <c r="J1090" s="35" t="b">
        <v>0</v>
      </c>
      <c r="K1090" s="35" t="b">
        <v>0</v>
      </c>
      <c r="L1090" s="35" t="b">
        <v>0</v>
      </c>
      <c r="M1090" s="35" t="b">
        <v>0</v>
      </c>
      <c r="N1090" s="35" t="b">
        <v>0</v>
      </c>
      <c r="O1090" s="35" t="b">
        <v>0</v>
      </c>
      <c r="P1090" s="35" t="b">
        <v>0</v>
      </c>
      <c r="Q1090" s="35" t="b">
        <v>0</v>
      </c>
      <c r="R1090" s="14"/>
      <c r="S1090" s="14"/>
      <c r="T1090" s="14"/>
      <c r="U1090" s="14"/>
      <c r="V1090" s="14"/>
      <c r="W1090" s="14"/>
    </row>
    <row r="1091" ht="31.5" customHeight="1">
      <c r="A1091" s="109" t="s">
        <v>13172</v>
      </c>
      <c r="B1091" s="110" t="s">
        <v>13173</v>
      </c>
      <c r="C1091" s="111" t="s">
        <v>13174</v>
      </c>
      <c r="D1091" s="28" t="s">
        <v>13175</v>
      </c>
      <c r="E1091" s="28" t="str">
        <f>IFERROR(__xludf.DUMMYFUNCTION("GOOGLETRANSLATE(D1091,""zh-CN"",""vi"")"),"Người này thật đáng khinh bỉ.")</f>
        <v>Người này thật đáng khinh bỉ.</v>
      </c>
      <c r="F1091" s="128"/>
      <c r="G1091" s="36" t="b">
        <f t="shared" si="1"/>
        <v>0</v>
      </c>
      <c r="H1091" s="35" t="b">
        <v>0</v>
      </c>
      <c r="I1091" s="35" t="b">
        <v>0</v>
      </c>
      <c r="J1091" s="35" t="b">
        <v>0</v>
      </c>
      <c r="K1091" s="35" t="b">
        <v>0</v>
      </c>
      <c r="L1091" s="35" t="b">
        <v>0</v>
      </c>
      <c r="M1091" s="35" t="b">
        <v>0</v>
      </c>
      <c r="N1091" s="35" t="b">
        <v>0</v>
      </c>
      <c r="O1091" s="35" t="b">
        <v>0</v>
      </c>
      <c r="P1091" s="35" t="b">
        <v>0</v>
      </c>
      <c r="Q1091" s="35" t="b">
        <v>0</v>
      </c>
      <c r="R1091" s="14"/>
      <c r="S1091" s="14"/>
      <c r="T1091" s="14"/>
      <c r="U1091" s="14"/>
      <c r="V1091" s="14"/>
      <c r="W1091" s="14"/>
    </row>
    <row r="1092" ht="31.5" customHeight="1">
      <c r="A1092" s="109" t="s">
        <v>13176</v>
      </c>
      <c r="B1092" s="110" t="s">
        <v>13177</v>
      </c>
      <c r="C1092" s="111" t="s">
        <v>13178</v>
      </c>
      <c r="D1092" s="28" t="s">
        <v>13179</v>
      </c>
      <c r="E1092" s="28" t="str">
        <f>IFERROR(__xludf.DUMMYFUNCTION("GOOGLETRANSLATE(D1092,""zh-CN"",""vi"")"),"Hành vi của anh ta thật lố bịch.")</f>
        <v>Hành vi của anh ta thật lố bịch.</v>
      </c>
      <c r="F1092" s="128"/>
      <c r="G1092" s="36" t="b">
        <f t="shared" si="1"/>
        <v>0</v>
      </c>
      <c r="H1092" s="35" t="b">
        <v>0</v>
      </c>
      <c r="I1092" s="35" t="b">
        <v>0</v>
      </c>
      <c r="J1092" s="35" t="b">
        <v>0</v>
      </c>
      <c r="K1092" s="35" t="b">
        <v>0</v>
      </c>
      <c r="L1092" s="35" t="b">
        <v>0</v>
      </c>
      <c r="M1092" s="35" t="b">
        <v>0</v>
      </c>
      <c r="N1092" s="35" t="b">
        <v>0</v>
      </c>
      <c r="O1092" s="35" t="b">
        <v>0</v>
      </c>
      <c r="P1092" s="35" t="b">
        <v>0</v>
      </c>
      <c r="Q1092" s="35" t="b">
        <v>0</v>
      </c>
      <c r="R1092" s="14"/>
      <c r="S1092" s="14"/>
      <c r="T1092" s="14"/>
      <c r="U1092" s="14"/>
      <c r="V1092" s="14"/>
      <c r="W1092" s="14"/>
    </row>
    <row r="1093" ht="31.5" customHeight="1">
      <c r="A1093" s="109" t="s">
        <v>13184</v>
      </c>
      <c r="B1093" s="110" t="s">
        <v>13185</v>
      </c>
      <c r="C1093" s="111" t="s">
        <v>13186</v>
      </c>
      <c r="D1093" s="28" t="s">
        <v>13187</v>
      </c>
      <c r="E1093" s="28" t="str">
        <f>IFERROR(__xludf.DUMMYFUNCTION("GOOGLETRANSLATE(D1093,""zh-CN"",""vi"")"),"Kế hoạch này khả thi.")</f>
        <v>Kế hoạch này khả thi.</v>
      </c>
      <c r="F1093" s="128"/>
      <c r="G1093" s="36" t="b">
        <f t="shared" si="1"/>
        <v>0</v>
      </c>
      <c r="H1093" s="35" t="b">
        <v>0</v>
      </c>
      <c r="I1093" s="35" t="b">
        <v>0</v>
      </c>
      <c r="J1093" s="35" t="b">
        <v>0</v>
      </c>
      <c r="K1093" s="35" t="b">
        <v>0</v>
      </c>
      <c r="L1093" s="35" t="b">
        <v>0</v>
      </c>
      <c r="M1093" s="35" t="b">
        <v>0</v>
      </c>
      <c r="N1093" s="35" t="b">
        <v>0</v>
      </c>
      <c r="O1093" s="35" t="b">
        <v>0</v>
      </c>
      <c r="P1093" s="35" t="b">
        <v>0</v>
      </c>
      <c r="Q1093" s="35" t="b">
        <v>0</v>
      </c>
      <c r="R1093" s="14"/>
      <c r="S1093" s="14"/>
      <c r="T1093" s="14"/>
      <c r="U1093" s="14"/>
      <c r="V1093" s="14"/>
      <c r="W1093" s="14"/>
    </row>
    <row r="1094" ht="31.5" customHeight="1">
      <c r="A1094" s="109" t="s">
        <v>13188</v>
      </c>
      <c r="B1094" s="110" t="s">
        <v>13189</v>
      </c>
      <c r="C1094" s="111" t="s">
        <v>13190</v>
      </c>
      <c r="D1094" s="28" t="s">
        <v>13191</v>
      </c>
      <c r="E1094" s="28" t="str">
        <f>IFERROR(__xludf.DUMMYFUNCTION("GOOGLETRANSLATE(D1094,""zh-CN"",""vi"")"),"Chúng ta phải hành động ngay lập tức.")</f>
        <v>Chúng ta phải hành động ngay lập tức.</v>
      </c>
      <c r="F1094" s="128"/>
      <c r="G1094" s="36" t="b">
        <f t="shared" si="1"/>
        <v>0</v>
      </c>
      <c r="H1094" s="35" t="b">
        <v>0</v>
      </c>
      <c r="I1094" s="35" t="b">
        <v>0</v>
      </c>
      <c r="J1094" s="35" t="b">
        <v>0</v>
      </c>
      <c r="K1094" s="35" t="b">
        <v>0</v>
      </c>
      <c r="L1094" s="35" t="b">
        <v>0</v>
      </c>
      <c r="M1094" s="35" t="b">
        <v>0</v>
      </c>
      <c r="N1094" s="35" t="b">
        <v>0</v>
      </c>
      <c r="O1094" s="35" t="b">
        <v>0</v>
      </c>
      <c r="P1094" s="35" t="b">
        <v>0</v>
      </c>
      <c r="Q1094" s="35" t="b">
        <v>0</v>
      </c>
      <c r="R1094" s="14"/>
      <c r="S1094" s="14"/>
      <c r="T1094" s="14"/>
      <c r="U1094" s="14"/>
      <c r="V1094" s="14"/>
      <c r="W1094" s="14"/>
    </row>
    <row r="1095" ht="31.5" customHeight="1">
      <c r="A1095" s="109" t="s">
        <v>13196</v>
      </c>
      <c r="B1095" s="110" t="s">
        <v>13197</v>
      </c>
      <c r="C1095" s="111" t="s">
        <v>1828</v>
      </c>
      <c r="D1095" s="28" t="s">
        <v>13198</v>
      </c>
      <c r="E1095" s="28" t="str">
        <f>IFERROR(__xludf.DUMMYFUNCTION("GOOGLETRANSLATE(D1095,""zh-CN"",""vi"")"),"Chúng ta cần tập trung vào nhu cầu của khách hàng.")</f>
        <v>Chúng ta cần tập trung vào nhu cầu của khách hàng.</v>
      </c>
      <c r="F1095" s="128"/>
      <c r="G1095" s="36" t="b">
        <f t="shared" si="1"/>
        <v>0</v>
      </c>
      <c r="H1095" s="35" t="b">
        <v>1</v>
      </c>
      <c r="I1095" s="35" t="b">
        <v>0</v>
      </c>
      <c r="J1095" s="35" t="b">
        <v>0</v>
      </c>
      <c r="K1095" s="35" t="b">
        <v>0</v>
      </c>
      <c r="L1095" s="35" t="b">
        <v>0</v>
      </c>
      <c r="M1095" s="35" t="b">
        <v>0</v>
      </c>
      <c r="N1095" s="35" t="b">
        <v>0</v>
      </c>
      <c r="O1095" s="35" t="b">
        <v>0</v>
      </c>
      <c r="P1095" s="35" t="b">
        <v>0</v>
      </c>
      <c r="Q1095" s="35" t="b">
        <v>0</v>
      </c>
      <c r="R1095" s="14"/>
      <c r="S1095" s="14"/>
      <c r="T1095" s="14"/>
      <c r="U1095" s="14"/>
      <c r="V1095" s="14"/>
      <c r="W1095" s="14"/>
    </row>
    <row r="1096" ht="31.5" customHeight="1">
      <c r="A1096" s="109" t="s">
        <v>13202</v>
      </c>
      <c r="B1096" s="110" t="s">
        <v>13204</v>
      </c>
      <c r="C1096" s="111" t="s">
        <v>13205</v>
      </c>
      <c r="D1096" s="28" t="s">
        <v>13206</v>
      </c>
      <c r="E1096" s="28" t="str">
        <f>IFERROR(__xludf.DUMMYFUNCTION("GOOGLETRANSLATE(D1096,""zh-CN"",""vi"")"),"Đề tài nghiên cứu này rất thú vị.")</f>
        <v>Đề tài nghiên cứu này rất thú vị.</v>
      </c>
      <c r="F1096" s="128"/>
      <c r="G1096" s="36" t="b">
        <f t="shared" si="1"/>
        <v>0</v>
      </c>
      <c r="H1096" s="35" t="b">
        <v>1</v>
      </c>
      <c r="I1096" s="35" t="b">
        <v>0</v>
      </c>
      <c r="J1096" s="35" t="b">
        <v>0</v>
      </c>
      <c r="K1096" s="35" t="b">
        <v>0</v>
      </c>
      <c r="L1096" s="35" t="b">
        <v>0</v>
      </c>
      <c r="M1096" s="35" t="b">
        <v>0</v>
      </c>
      <c r="N1096" s="35" t="b">
        <v>0</v>
      </c>
      <c r="O1096" s="35" t="b">
        <v>0</v>
      </c>
      <c r="P1096" s="35" t="b">
        <v>0</v>
      </c>
      <c r="Q1096" s="35" t="b">
        <v>0</v>
      </c>
      <c r="R1096" s="14"/>
      <c r="S1096" s="14"/>
      <c r="T1096" s="14"/>
      <c r="U1096" s="14"/>
      <c r="V1096" s="14"/>
      <c r="W1096" s="14"/>
    </row>
    <row r="1097" ht="31.5" customHeight="1">
      <c r="A1097" s="109" t="s">
        <v>13207</v>
      </c>
      <c r="B1097" s="110" t="s">
        <v>13208</v>
      </c>
      <c r="C1097" s="111" t="s">
        <v>13209</v>
      </c>
      <c r="D1097" s="28" t="s">
        <v>13210</v>
      </c>
      <c r="E1097" s="28" t="str">
        <f>IFERROR(__xludf.DUMMYFUNCTION("GOOGLETRANSLATE(D1097,""zh-CN"",""vi"")"),"Nó cứ tiếp tục gặm khúc xương.")</f>
        <v>Nó cứ tiếp tục gặm khúc xương.</v>
      </c>
      <c r="F1097" s="128"/>
      <c r="G1097" s="36" t="b">
        <f t="shared" si="1"/>
        <v>0</v>
      </c>
      <c r="H1097" s="35" t="b">
        <v>1</v>
      </c>
      <c r="I1097" s="35" t="b">
        <v>0</v>
      </c>
      <c r="J1097" s="35" t="b">
        <v>0</v>
      </c>
      <c r="K1097" s="35" t="b">
        <v>0</v>
      </c>
      <c r="L1097" s="35" t="b">
        <v>0</v>
      </c>
      <c r="M1097" s="35" t="b">
        <v>0</v>
      </c>
      <c r="N1097" s="35" t="b">
        <v>0</v>
      </c>
      <c r="O1097" s="35" t="b">
        <v>0</v>
      </c>
      <c r="P1097" s="35" t="b">
        <v>0</v>
      </c>
      <c r="Q1097" s="35" t="b">
        <v>0</v>
      </c>
      <c r="R1097" s="14"/>
      <c r="S1097" s="14"/>
      <c r="T1097" s="14"/>
      <c r="U1097" s="14"/>
      <c r="V1097" s="14"/>
      <c r="W1097" s="14"/>
    </row>
    <row r="1098" ht="31.5" customHeight="1">
      <c r="A1098" s="109" t="s">
        <v>13214</v>
      </c>
      <c r="B1098" s="110" t="s">
        <v>13215</v>
      </c>
      <c r="C1098" s="111" t="s">
        <v>13216</v>
      </c>
      <c r="D1098" s="28" t="s">
        <v>13217</v>
      </c>
      <c r="E1098" s="28" t="str">
        <f>IFERROR(__xludf.DUMMYFUNCTION("GOOGLETRANSLATE(D1098,""zh-CN"",""vi"")"),"Lời nói của anh ấy rất chân thành.")</f>
        <v>Lời nói của anh ấy rất chân thành.</v>
      </c>
      <c r="F1098" s="128"/>
      <c r="G1098" s="36" t="b">
        <f t="shared" si="1"/>
        <v>0</v>
      </c>
      <c r="H1098" s="35" t="b">
        <v>1</v>
      </c>
      <c r="I1098" s="35" t="b">
        <v>0</v>
      </c>
      <c r="J1098" s="35" t="b">
        <v>0</v>
      </c>
      <c r="K1098" s="35" t="b">
        <v>0</v>
      </c>
      <c r="L1098" s="35" t="b">
        <v>0</v>
      </c>
      <c r="M1098" s="35" t="b">
        <v>0</v>
      </c>
      <c r="N1098" s="35" t="b">
        <v>0</v>
      </c>
      <c r="O1098" s="35" t="b">
        <v>0</v>
      </c>
      <c r="P1098" s="35" t="b">
        <v>0</v>
      </c>
      <c r="Q1098" s="35" t="b">
        <v>0</v>
      </c>
      <c r="R1098" s="14"/>
      <c r="S1098" s="14"/>
      <c r="T1098" s="14"/>
      <c r="U1098" s="14"/>
      <c r="V1098" s="14"/>
      <c r="W1098" s="14"/>
    </row>
    <row r="1099" ht="31.5" customHeight="1">
      <c r="A1099" s="109" t="s">
        <v>13218</v>
      </c>
      <c r="B1099" s="110" t="s">
        <v>13219</v>
      </c>
      <c r="C1099" s="111" t="s">
        <v>13220</v>
      </c>
      <c r="D1099" s="28" t="s">
        <v>13221</v>
      </c>
      <c r="E1099" s="28" t="str">
        <f>IFERROR(__xludf.DUMMYFUNCTION("GOOGLETRANSLATE(D1099,""zh-CN"",""vi"")"),"Hãy cẩn thận đừng rơi xuống hố.")</f>
        <v>Hãy cẩn thận đừng rơi xuống hố.</v>
      </c>
      <c r="F1099" s="128"/>
      <c r="G1099" s="36" t="b">
        <f t="shared" si="1"/>
        <v>0</v>
      </c>
      <c r="H1099" s="35" t="b">
        <v>1</v>
      </c>
      <c r="I1099" s="35" t="b">
        <v>0</v>
      </c>
      <c r="J1099" s="35" t="b">
        <v>0</v>
      </c>
      <c r="K1099" s="35" t="b">
        <v>0</v>
      </c>
      <c r="L1099" s="35" t="b">
        <v>0</v>
      </c>
      <c r="M1099" s="35" t="b">
        <v>0</v>
      </c>
      <c r="N1099" s="35" t="b">
        <v>0</v>
      </c>
      <c r="O1099" s="35" t="b">
        <v>0</v>
      </c>
      <c r="P1099" s="35" t="b">
        <v>0</v>
      </c>
      <c r="Q1099" s="35" t="b">
        <v>0</v>
      </c>
      <c r="R1099" s="14"/>
      <c r="S1099" s="14"/>
      <c r="T1099" s="14"/>
      <c r="U1099" s="14"/>
      <c r="V1099" s="14"/>
      <c r="W1099" s="14"/>
    </row>
    <row r="1100" ht="31.5" customHeight="1">
      <c r="A1100" s="109" t="s">
        <v>13226</v>
      </c>
      <c r="B1100" s="110" t="s">
        <v>13227</v>
      </c>
      <c r="C1100" s="111" t="s">
        <v>13228</v>
      </c>
      <c r="D1100" s="28" t="s">
        <v>13229</v>
      </c>
      <c r="E1100" s="28" t="str">
        <f>IFERROR(__xludf.DUMMYFUNCTION("GOOGLETRANSLATE(D1100,""zh-CN"",""vi"")"),"Cái lỗ này rất rỗng.")</f>
        <v>Cái lỗ này rất rỗng.</v>
      </c>
      <c r="F1100" s="128"/>
      <c r="G1100" s="36" t="b">
        <f t="shared" si="1"/>
        <v>0</v>
      </c>
      <c r="H1100" s="35" t="b">
        <v>1</v>
      </c>
      <c r="I1100" s="35" t="b">
        <v>0</v>
      </c>
      <c r="J1100" s="35" t="b">
        <v>0</v>
      </c>
      <c r="K1100" s="35" t="b">
        <v>0</v>
      </c>
      <c r="L1100" s="35" t="b">
        <v>0</v>
      </c>
      <c r="M1100" s="35" t="b">
        <v>0</v>
      </c>
      <c r="N1100" s="35" t="b">
        <v>0</v>
      </c>
      <c r="O1100" s="35" t="b">
        <v>0</v>
      </c>
      <c r="P1100" s="35" t="b">
        <v>0</v>
      </c>
      <c r="Q1100" s="35" t="b">
        <v>0</v>
      </c>
      <c r="R1100" s="14"/>
      <c r="S1100" s="14"/>
      <c r="T1100" s="14"/>
      <c r="U1100" s="14"/>
      <c r="V1100" s="14"/>
      <c r="W1100" s="14"/>
    </row>
    <row r="1101" ht="31.5" customHeight="1">
      <c r="A1101" s="109" t="s">
        <v>13230</v>
      </c>
      <c r="B1101" s="110" t="s">
        <v>13232</v>
      </c>
      <c r="C1101" s="111" t="s">
        <v>13234</v>
      </c>
      <c r="D1101" s="28" t="s">
        <v>13236</v>
      </c>
      <c r="E1101" s="28" t="str">
        <f>IFERROR(__xludf.DUMMYFUNCTION("GOOGLETRANSLATE(D1101,""zh-CN"",""vi"")"),"Những thành tựu của ông ấy là chưa từng có và không gì sánh kịp.")</f>
        <v>Những thành tựu của ông ấy là chưa từng có và không gì sánh kịp.</v>
      </c>
      <c r="F1101" s="128"/>
      <c r="G1101" s="36" t="b">
        <f t="shared" si="1"/>
        <v>0</v>
      </c>
      <c r="H1101" s="35" t="b">
        <v>1</v>
      </c>
      <c r="I1101" s="35" t="b">
        <v>0</v>
      </c>
      <c r="J1101" s="35" t="b">
        <v>0</v>
      </c>
      <c r="K1101" s="35" t="b">
        <v>0</v>
      </c>
      <c r="L1101" s="35" t="b">
        <v>0</v>
      </c>
      <c r="M1101" s="35" t="b">
        <v>0</v>
      </c>
      <c r="N1101" s="35" t="b">
        <v>0</v>
      </c>
      <c r="O1101" s="35" t="b">
        <v>0</v>
      </c>
      <c r="P1101" s="35" t="b">
        <v>0</v>
      </c>
      <c r="Q1101" s="35" t="b">
        <v>0</v>
      </c>
      <c r="R1101" s="14"/>
      <c r="S1101" s="14"/>
      <c r="T1101" s="14"/>
      <c r="U1101" s="14"/>
      <c r="V1101" s="14"/>
      <c r="W1101" s="14"/>
    </row>
    <row r="1102" ht="31.5" customHeight="1">
      <c r="A1102" s="109" t="s">
        <v>13238</v>
      </c>
      <c r="B1102" s="110" t="s">
        <v>13239</v>
      </c>
      <c r="C1102" s="111" t="s">
        <v>13240</v>
      </c>
      <c r="D1102" s="28" t="s">
        <v>13241</v>
      </c>
      <c r="E1102" s="28" t="str">
        <f>IFERROR(__xludf.DUMMYFUNCTION("GOOGLETRANSLATE(D1102,""zh-CN"",""vi"")"),"Cô ấy luôn mơ mộng về tương lai.")</f>
        <v>Cô ấy luôn mơ mộng về tương lai.</v>
      </c>
      <c r="F1102" s="128"/>
      <c r="G1102" s="36" t="b">
        <f t="shared" si="1"/>
        <v>0</v>
      </c>
      <c r="H1102" s="35" t="b">
        <v>1</v>
      </c>
      <c r="I1102" s="35" t="b">
        <v>0</v>
      </c>
      <c r="J1102" s="35" t="b">
        <v>0</v>
      </c>
      <c r="K1102" s="35" t="b">
        <v>0</v>
      </c>
      <c r="L1102" s="35" t="b">
        <v>0</v>
      </c>
      <c r="M1102" s="35" t="b">
        <v>0</v>
      </c>
      <c r="N1102" s="35" t="b">
        <v>0</v>
      </c>
      <c r="O1102" s="35" t="b">
        <v>0</v>
      </c>
      <c r="P1102" s="35" t="b">
        <v>0</v>
      </c>
      <c r="Q1102" s="35" t="b">
        <v>0</v>
      </c>
      <c r="R1102" s="14"/>
      <c r="S1102" s="14"/>
      <c r="T1102" s="14"/>
      <c r="U1102" s="14"/>
      <c r="V1102" s="14"/>
      <c r="W1102" s="14"/>
    </row>
    <row r="1103" ht="31.5" customHeight="1">
      <c r="A1103" s="109" t="s">
        <v>13242</v>
      </c>
      <c r="B1103" s="110" t="s">
        <v>13243</v>
      </c>
      <c r="C1103" s="111" t="s">
        <v>13244</v>
      </c>
      <c r="D1103" s="28" t="s">
        <v>13245</v>
      </c>
      <c r="E1103" s="28" t="str">
        <f>IFERROR(__xludf.DUMMYFUNCTION("GOOGLETRANSLATE(D1103,""zh-CN"",""vi"")"),"Anh ấy cảm thấy vô cùng trống rỗng.")</f>
        <v>Anh ấy cảm thấy vô cùng trống rỗng.</v>
      </c>
      <c r="F1103" s="128"/>
      <c r="G1103" s="36" t="b">
        <f t="shared" si="1"/>
        <v>0</v>
      </c>
      <c r="H1103" s="35" t="b">
        <v>1</v>
      </c>
      <c r="I1103" s="35" t="b">
        <v>0</v>
      </c>
      <c r="J1103" s="35" t="b">
        <v>0</v>
      </c>
      <c r="K1103" s="35" t="b">
        <v>0</v>
      </c>
      <c r="L1103" s="35" t="b">
        <v>0</v>
      </c>
      <c r="M1103" s="35" t="b">
        <v>0</v>
      </c>
      <c r="N1103" s="35" t="b">
        <v>0</v>
      </c>
      <c r="O1103" s="35" t="b">
        <v>0</v>
      </c>
      <c r="P1103" s="35" t="b">
        <v>0</v>
      </c>
      <c r="Q1103" s="35" t="b">
        <v>0</v>
      </c>
      <c r="R1103" s="14"/>
      <c r="S1103" s="14"/>
      <c r="T1103" s="14"/>
      <c r="U1103" s="14"/>
      <c r="V1103" s="14"/>
      <c r="W1103" s="14"/>
    </row>
    <row r="1104" ht="31.5" customHeight="1">
      <c r="A1104" s="109" t="s">
        <v>13246</v>
      </c>
      <c r="B1104" s="110" t="s">
        <v>13247</v>
      </c>
      <c r="C1104" s="111" t="s">
        <v>13248</v>
      </c>
      <c r="D1104" s="28" t="s">
        <v>13249</v>
      </c>
      <c r="E1104" s="28" t="str">
        <f>IFERROR(__xludf.DUMMYFUNCTION("GOOGLETRANSLATE(D1104,""zh-CN"",""vi"")"),"Cái hố này rất sâu.")</f>
        <v>Cái hố này rất sâu.</v>
      </c>
      <c r="F1104" s="128"/>
      <c r="G1104" s="36" t="b">
        <f t="shared" si="1"/>
        <v>0</v>
      </c>
      <c r="H1104" s="35" t="b">
        <v>1</v>
      </c>
      <c r="I1104" s="35" t="b">
        <v>0</v>
      </c>
      <c r="J1104" s="35" t="b">
        <v>0</v>
      </c>
      <c r="K1104" s="35" t="b">
        <v>0</v>
      </c>
      <c r="L1104" s="35" t="b">
        <v>0</v>
      </c>
      <c r="M1104" s="35" t="b">
        <v>0</v>
      </c>
      <c r="N1104" s="35" t="b">
        <v>0</v>
      </c>
      <c r="O1104" s="35" t="b">
        <v>0</v>
      </c>
      <c r="P1104" s="35" t="b">
        <v>0</v>
      </c>
      <c r="Q1104" s="35" t="b">
        <v>0</v>
      </c>
      <c r="R1104" s="14"/>
      <c r="S1104" s="14"/>
      <c r="T1104" s="14"/>
      <c r="U1104" s="14"/>
      <c r="V1104" s="14"/>
      <c r="W1104" s="14"/>
    </row>
    <row r="1105" ht="31.5" customHeight="1">
      <c r="A1105" s="109" t="s">
        <v>13250</v>
      </c>
      <c r="B1105" s="110" t="s">
        <v>13251</v>
      </c>
      <c r="C1105" s="111" t="s">
        <v>13252</v>
      </c>
      <c r="D1105" s="28" t="s">
        <v>13253</v>
      </c>
      <c r="E1105" s="28" t="str">
        <f>IFERROR(__xludf.DUMMYFUNCTION("GOOGLETRANSLATE(D1105,""zh-CN"",""vi"")"),"Anh ta đã bị đe dọa.")</f>
        <v>Anh ta đã bị đe dọa.</v>
      </c>
      <c r="F1105" s="128"/>
      <c r="G1105" s="36" t="b">
        <f t="shared" si="1"/>
        <v>0</v>
      </c>
      <c r="H1105" s="35" t="b">
        <v>1</v>
      </c>
      <c r="I1105" s="35" t="b">
        <v>0</v>
      </c>
      <c r="J1105" s="35" t="b">
        <v>0</v>
      </c>
      <c r="K1105" s="35" t="b">
        <v>0</v>
      </c>
      <c r="L1105" s="35" t="b">
        <v>0</v>
      </c>
      <c r="M1105" s="35" t="b">
        <v>0</v>
      </c>
      <c r="N1105" s="35" t="b">
        <v>0</v>
      </c>
      <c r="O1105" s="35" t="b">
        <v>0</v>
      </c>
      <c r="P1105" s="35" t="b">
        <v>0</v>
      </c>
      <c r="Q1105" s="35" t="b">
        <v>0</v>
      </c>
      <c r="R1105" s="14"/>
      <c r="S1105" s="14"/>
      <c r="T1105" s="14"/>
      <c r="U1105" s="14"/>
      <c r="V1105" s="14"/>
      <c r="W1105" s="14"/>
    </row>
    <row r="1106" ht="31.5" customHeight="1">
      <c r="A1106" s="109" t="s">
        <v>13254</v>
      </c>
      <c r="B1106" s="110" t="s">
        <v>13256</v>
      </c>
      <c r="C1106" s="111" t="s">
        <v>13257</v>
      </c>
      <c r="D1106" s="28" t="s">
        <v>13258</v>
      </c>
      <c r="E1106" s="28" t="str">
        <f>IFERROR(__xludf.DUMMYFUNCTION("GOOGLETRANSLATE(D1106,""zh-CN"",""vi"")"),"Cô ấy sợ nhện.")</f>
        <v>Cô ấy sợ nhện.</v>
      </c>
      <c r="F1106" s="128"/>
      <c r="G1106" s="36" t="b">
        <f t="shared" si="1"/>
        <v>0</v>
      </c>
      <c r="H1106" s="35" t="b">
        <v>1</v>
      </c>
      <c r="I1106" s="35" t="b">
        <v>0</v>
      </c>
      <c r="J1106" s="35" t="b">
        <v>0</v>
      </c>
      <c r="K1106" s="35" t="b">
        <v>0</v>
      </c>
      <c r="L1106" s="35" t="b">
        <v>0</v>
      </c>
      <c r="M1106" s="35" t="b">
        <v>0</v>
      </c>
      <c r="N1106" s="35" t="b">
        <v>0</v>
      </c>
      <c r="O1106" s="35" t="b">
        <v>0</v>
      </c>
      <c r="P1106" s="35" t="b">
        <v>0</v>
      </c>
      <c r="Q1106" s="35" t="b">
        <v>0</v>
      </c>
      <c r="R1106" s="14"/>
      <c r="S1106" s="14"/>
      <c r="T1106" s="14"/>
      <c r="U1106" s="14"/>
      <c r="V1106" s="14"/>
      <c r="W1106" s="14"/>
    </row>
    <row r="1107" ht="31.5" customHeight="1">
      <c r="A1107" s="109" t="s">
        <v>13262</v>
      </c>
      <c r="B1107" s="110" t="s">
        <v>13263</v>
      </c>
      <c r="C1107" s="111" t="s">
        <v>13264</v>
      </c>
      <c r="D1107" s="28" t="s">
        <v>13265</v>
      </c>
      <c r="E1107" s="28" t="str">
        <f>IFERROR(__xludf.DUMMYFUNCTION("GOOGLETRANSLATE(D1107,""zh-CN"",""vi"")"),"Sổ tay của anh ấy có rất nhiều chỗ trống.")</f>
        <v>Sổ tay của anh ấy có rất nhiều chỗ trống.</v>
      </c>
      <c r="F1107" s="128"/>
      <c r="G1107" s="36" t="b">
        <f t="shared" si="1"/>
        <v>0</v>
      </c>
      <c r="H1107" s="35" t="b">
        <v>1</v>
      </c>
      <c r="I1107" s="35" t="b">
        <v>0</v>
      </c>
      <c r="J1107" s="35" t="b">
        <v>0</v>
      </c>
      <c r="K1107" s="35" t="b">
        <v>0</v>
      </c>
      <c r="L1107" s="35" t="b">
        <v>0</v>
      </c>
      <c r="M1107" s="35" t="b">
        <v>0</v>
      </c>
      <c r="N1107" s="35" t="b">
        <v>0</v>
      </c>
      <c r="O1107" s="35" t="b">
        <v>0</v>
      </c>
      <c r="P1107" s="35" t="b">
        <v>0</v>
      </c>
      <c r="Q1107" s="35" t="b">
        <v>0</v>
      </c>
      <c r="R1107" s="14"/>
      <c r="S1107" s="14"/>
      <c r="T1107" s="14"/>
      <c r="U1107" s="14"/>
      <c r="V1107" s="14"/>
      <c r="W1107" s="14"/>
    </row>
    <row r="1108" ht="31.5" customHeight="1">
      <c r="A1108" s="109" t="s">
        <v>13267</v>
      </c>
      <c r="B1108" s="110" t="s">
        <v>13269</v>
      </c>
      <c r="C1108" s="111" t="s">
        <v>13271</v>
      </c>
      <c r="D1108" s="28" t="s">
        <v>13273</v>
      </c>
      <c r="E1108" s="28" t="str">
        <f>IFERROR(__xludf.DUMMYFUNCTION("GOOGLETRANSLATE(D1108,""zh-CN"",""vi"")"),"Có một khe hở trên tường.")</f>
        <v>Có một khe hở trên tường.</v>
      </c>
      <c r="F1108" s="128"/>
      <c r="G1108" s="36" t="b">
        <f t="shared" si="1"/>
        <v>0</v>
      </c>
      <c r="H1108" s="35" t="b">
        <v>1</v>
      </c>
      <c r="I1108" s="35" t="b">
        <v>0</v>
      </c>
      <c r="J1108" s="35" t="b">
        <v>0</v>
      </c>
      <c r="K1108" s="35" t="b">
        <v>0</v>
      </c>
      <c r="L1108" s="35" t="b">
        <v>0</v>
      </c>
      <c r="M1108" s="35" t="b">
        <v>0</v>
      </c>
      <c r="N1108" s="35" t="b">
        <v>0</v>
      </c>
      <c r="O1108" s="35" t="b">
        <v>0</v>
      </c>
      <c r="P1108" s="35" t="b">
        <v>0</v>
      </c>
      <c r="Q1108" s="35" t="b">
        <v>0</v>
      </c>
      <c r="R1108" s="14"/>
      <c r="S1108" s="14"/>
      <c r="T1108" s="14"/>
      <c r="U1108" s="14"/>
      <c r="V1108" s="14"/>
      <c r="W1108" s="14"/>
    </row>
    <row r="1109" ht="31.5" customHeight="1">
      <c r="A1109" s="109" t="s">
        <v>13274</v>
      </c>
      <c r="B1109" s="110" t="s">
        <v>13275</v>
      </c>
      <c r="C1109" s="111" t="s">
        <v>13276</v>
      </c>
      <c r="D1109" s="28" t="s">
        <v>13277</v>
      </c>
      <c r="E1109" s="28" t="str">
        <f>IFERROR(__xludf.DUMMYFUNCTION("GOOGLETRANSLATE(D1109,""zh-CN"",""vi"")"),"Ông ấy nói với sự tin tưởng tuyệt đối.")</f>
        <v>Ông ấy nói với sự tin tưởng tuyệt đối.</v>
      </c>
      <c r="F1109" s="128"/>
      <c r="G1109" s="36" t="b">
        <f t="shared" si="1"/>
        <v>0</v>
      </c>
      <c r="H1109" s="35" t="b">
        <v>1</v>
      </c>
      <c r="I1109" s="35" t="b">
        <v>0</v>
      </c>
      <c r="J1109" s="35" t="b">
        <v>0</v>
      </c>
      <c r="K1109" s="35" t="b">
        <v>0</v>
      </c>
      <c r="L1109" s="35" t="b">
        <v>0</v>
      </c>
      <c r="M1109" s="35" t="b">
        <v>0</v>
      </c>
      <c r="N1109" s="35" t="b">
        <v>0</v>
      </c>
      <c r="O1109" s="35" t="b">
        <v>0</v>
      </c>
      <c r="P1109" s="35" t="b">
        <v>0</v>
      </c>
      <c r="Q1109" s="35" t="b">
        <v>0</v>
      </c>
      <c r="R1109" s="14"/>
      <c r="S1109" s="14"/>
      <c r="T1109" s="14"/>
      <c r="U1109" s="14"/>
      <c r="V1109" s="14"/>
      <c r="W1109" s="14"/>
    </row>
    <row r="1110" ht="31.5" customHeight="1">
      <c r="A1110" s="109" t="s">
        <v>13282</v>
      </c>
      <c r="B1110" s="110" t="s">
        <v>13283</v>
      </c>
      <c r="C1110" s="111" t="s">
        <v>13284</v>
      </c>
      <c r="D1110" s="28" t="s">
        <v>13285</v>
      </c>
      <c r="E1110" s="28" t="str">
        <f>IFERROR(__xludf.DUMMYFUNCTION("GOOGLETRANSLATE(D1110,""zh-CN"",""vi"")"),"Anh ấy có vấn đề về sức khỏe răng miệng.")</f>
        <v>Anh ấy có vấn đề về sức khỏe răng miệng.</v>
      </c>
      <c r="F1110" s="128"/>
      <c r="G1110" s="36" t="b">
        <f t="shared" si="1"/>
        <v>0</v>
      </c>
      <c r="H1110" s="35" t="b">
        <v>1</v>
      </c>
      <c r="I1110" s="35" t="b">
        <v>0</v>
      </c>
      <c r="J1110" s="35" t="b">
        <v>0</v>
      </c>
      <c r="K1110" s="35" t="b">
        <v>0</v>
      </c>
      <c r="L1110" s="35" t="b">
        <v>0</v>
      </c>
      <c r="M1110" s="35" t="b">
        <v>0</v>
      </c>
      <c r="N1110" s="35" t="b">
        <v>0</v>
      </c>
      <c r="O1110" s="35" t="b">
        <v>0</v>
      </c>
      <c r="P1110" s="35" t="b">
        <v>0</v>
      </c>
      <c r="Q1110" s="35" t="b">
        <v>0</v>
      </c>
      <c r="R1110" s="14"/>
      <c r="S1110" s="14"/>
      <c r="T1110" s="14"/>
      <c r="U1110" s="14"/>
      <c r="V1110" s="14"/>
      <c r="W1110" s="14"/>
    </row>
    <row r="1111" ht="31.5" customHeight="1">
      <c r="A1111" s="109" t="s">
        <v>13287</v>
      </c>
      <c r="B1111" s="110" t="s">
        <v>13289</v>
      </c>
      <c r="C1111" s="111" t="s">
        <v>13291</v>
      </c>
      <c r="D1111" s="28" t="s">
        <v>13293</v>
      </c>
      <c r="E1111" s="28" t="str">
        <f>IFERROR(__xludf.DUMMYFUNCTION("GOOGLETRANSLATE(D1111,""zh-CN"",""vi"")"),"Họ đã có một cuộc tranh luận miệng.")</f>
        <v>Họ đã có một cuộc tranh luận miệng.</v>
      </c>
      <c r="F1111" s="128"/>
      <c r="G1111" s="36" t="b">
        <f t="shared" si="1"/>
        <v>0</v>
      </c>
      <c r="H1111" s="35" t="b">
        <v>1</v>
      </c>
      <c r="I1111" s="35" t="b">
        <v>0</v>
      </c>
      <c r="J1111" s="35" t="b">
        <v>0</v>
      </c>
      <c r="K1111" s="35" t="b">
        <v>0</v>
      </c>
      <c r="L1111" s="35" t="b">
        <v>0</v>
      </c>
      <c r="M1111" s="35" t="b">
        <v>0</v>
      </c>
      <c r="N1111" s="35" t="b">
        <v>0</v>
      </c>
      <c r="O1111" s="35" t="b">
        <v>0</v>
      </c>
      <c r="P1111" s="35" t="b">
        <v>0</v>
      </c>
      <c r="Q1111" s="35" t="b">
        <v>0</v>
      </c>
      <c r="R1111" s="14"/>
      <c r="S1111" s="14"/>
      <c r="T1111" s="14"/>
      <c r="U1111" s="14"/>
      <c r="V1111" s="14"/>
      <c r="W1111" s="14"/>
    </row>
    <row r="1112" ht="31.5" customHeight="1">
      <c r="A1112" s="109" t="s">
        <v>13294</v>
      </c>
      <c r="B1112" s="110" t="s">
        <v>13296</v>
      </c>
      <c r="C1112" s="111" t="s">
        <v>13298</v>
      </c>
      <c r="D1112" s="28" t="s">
        <v>13299</v>
      </c>
      <c r="E1112" s="28" t="str">
        <f>IFERROR(__xludf.DUMMYFUNCTION("GOOGLETRANSLATE(D1112,""zh-CN"",""vi"")"),"Anh ấy nói giọng vùng quê.")</f>
        <v>Anh ấy nói giọng vùng quê.</v>
      </c>
      <c r="F1112" s="128"/>
      <c r="G1112" s="36" t="b">
        <f t="shared" si="1"/>
        <v>0</v>
      </c>
      <c r="H1112" s="35" t="b">
        <v>1</v>
      </c>
      <c r="I1112" s="35" t="b">
        <v>0</v>
      </c>
      <c r="J1112" s="35" t="b">
        <v>0</v>
      </c>
      <c r="K1112" s="35" t="b">
        <v>0</v>
      </c>
      <c r="L1112" s="35" t="b">
        <v>0</v>
      </c>
      <c r="M1112" s="35" t="b">
        <v>0</v>
      </c>
      <c r="N1112" s="35" t="b">
        <v>0</v>
      </c>
      <c r="O1112" s="35" t="b">
        <v>0</v>
      </c>
      <c r="P1112" s="35" t="b">
        <v>0</v>
      </c>
      <c r="Q1112" s="35" t="b">
        <v>0</v>
      </c>
      <c r="R1112" s="14"/>
      <c r="S1112" s="14"/>
      <c r="T1112" s="14"/>
      <c r="U1112" s="14"/>
      <c r="V1112" s="14"/>
      <c r="W1112" s="14"/>
    </row>
    <row r="1113" ht="31.5" customHeight="1">
      <c r="A1113" s="109" t="s">
        <v>13302</v>
      </c>
      <c r="B1113" s="110" t="s">
        <v>13303</v>
      </c>
      <c r="C1113" s="111" t="s">
        <v>13304</v>
      </c>
      <c r="D1113" s="28" t="s">
        <v>13305</v>
      </c>
      <c r="E1113" s="28" t="str">
        <f>IFERROR(__xludf.DUMMYFUNCTION("GOOGLETRANSLATE(D1113,""zh-CN"",""vi"")"),"Dòng sông đã cạn khô.")</f>
        <v>Dòng sông đã cạn khô.</v>
      </c>
      <c r="F1113" s="128"/>
      <c r="G1113" s="36" t="b">
        <f t="shared" si="1"/>
        <v>0</v>
      </c>
      <c r="H1113" s="35" t="b">
        <v>1</v>
      </c>
      <c r="I1113" s="35" t="b">
        <v>0</v>
      </c>
      <c r="J1113" s="35" t="b">
        <v>0</v>
      </c>
      <c r="K1113" s="35" t="b">
        <v>0</v>
      </c>
      <c r="L1113" s="35" t="b">
        <v>0</v>
      </c>
      <c r="M1113" s="35" t="b">
        <v>0</v>
      </c>
      <c r="N1113" s="35" t="b">
        <v>0</v>
      </c>
      <c r="O1113" s="35" t="b">
        <v>0</v>
      </c>
      <c r="P1113" s="35" t="b">
        <v>0</v>
      </c>
      <c r="Q1113" s="35" t="b">
        <v>0</v>
      </c>
      <c r="R1113" s="14"/>
      <c r="S1113" s="14"/>
      <c r="T1113" s="14"/>
      <c r="U1113" s="14"/>
      <c r="V1113" s="14"/>
      <c r="W1113" s="14"/>
    </row>
    <row r="1114" ht="31.5" customHeight="1">
      <c r="A1114" s="109" t="s">
        <v>13310</v>
      </c>
      <c r="B1114" s="110" t="s">
        <v>13311</v>
      </c>
      <c r="C1114" s="111" t="s">
        <v>13312</v>
      </c>
      <c r="D1114" s="28" t="s">
        <v>13313</v>
      </c>
      <c r="E1114" s="28" t="str">
        <f>IFERROR(__xludf.DUMMYFUNCTION("GOOGLETRANSLATE(D1114,""zh-CN"",""vi"")"),"Cuốn sách này khô khan quá.")</f>
        <v>Cuốn sách này khô khan quá.</v>
      </c>
      <c r="F1114" s="128"/>
      <c r="G1114" s="36" t="b">
        <f t="shared" si="1"/>
        <v>0</v>
      </c>
      <c r="H1114" s="35" t="b">
        <v>1</v>
      </c>
      <c r="I1114" s="35" t="b">
        <v>0</v>
      </c>
      <c r="J1114" s="35" t="b">
        <v>0</v>
      </c>
      <c r="K1114" s="35" t="b">
        <v>0</v>
      </c>
      <c r="L1114" s="35" t="b">
        <v>0</v>
      </c>
      <c r="M1114" s="35" t="b">
        <v>0</v>
      </c>
      <c r="N1114" s="35" t="b">
        <v>0</v>
      </c>
      <c r="O1114" s="35" t="b">
        <v>0</v>
      </c>
      <c r="P1114" s="35" t="b">
        <v>0</v>
      </c>
      <c r="Q1114" s="35" t="b">
        <v>0</v>
      </c>
      <c r="R1114" s="14"/>
      <c r="S1114" s="14"/>
      <c r="T1114" s="14"/>
      <c r="U1114" s="14"/>
      <c r="V1114" s="14"/>
      <c r="W1114" s="14"/>
    </row>
    <row r="1115" ht="31.5" customHeight="1">
      <c r="A1115" s="109" t="s">
        <v>13318</v>
      </c>
      <c r="B1115" s="110" t="s">
        <v>13319</v>
      </c>
      <c r="C1115" s="111" t="s">
        <v>13320</v>
      </c>
      <c r="D1115" s="28" t="s">
        <v>13321</v>
      </c>
      <c r="E1115" s="28" t="str">
        <f>IFERROR(__xludf.DUMMYFUNCTION("GOOGLETRANSLATE(D1115,""zh-CN"",""vi"")"),"Họ đã trải qua nỗi cay đắng, nhưng cuối cùng nỗi cay đắng đó đã nhường chỗ cho niềm hạnh phúc.")</f>
        <v>Họ đã trải qua nỗi cay đắng, nhưng cuối cùng nỗi cay đắng đó đã nhường chỗ cho niềm hạnh phúc.</v>
      </c>
      <c r="F1115" s="128"/>
      <c r="G1115" s="36" t="b">
        <f t="shared" si="1"/>
        <v>0</v>
      </c>
      <c r="H1115" s="35" t="b">
        <v>1</v>
      </c>
      <c r="I1115" s="35" t="b">
        <v>0</v>
      </c>
      <c r="J1115" s="35" t="b">
        <v>0</v>
      </c>
      <c r="K1115" s="35" t="b">
        <v>0</v>
      </c>
      <c r="L1115" s="35" t="b">
        <v>0</v>
      </c>
      <c r="M1115" s="35" t="b">
        <v>0</v>
      </c>
      <c r="N1115" s="35" t="b">
        <v>0</v>
      </c>
      <c r="O1115" s="35" t="b">
        <v>0</v>
      </c>
      <c r="P1115" s="35" t="b">
        <v>0</v>
      </c>
      <c r="Q1115" s="35" t="b">
        <v>0</v>
      </c>
      <c r="R1115" s="14"/>
      <c r="S1115" s="14"/>
      <c r="T1115" s="14"/>
      <c r="U1115" s="14"/>
      <c r="V1115" s="14"/>
      <c r="W1115" s="14"/>
    </row>
    <row r="1116" ht="31.5" customHeight="1">
      <c r="A1116" s="109" t="s">
        <v>13322</v>
      </c>
      <c r="B1116" s="110" t="s">
        <v>13323</v>
      </c>
      <c r="C1116" s="111" t="s">
        <v>13325</v>
      </c>
      <c r="D1116" s="28" t="s">
        <v>13327</v>
      </c>
      <c r="E1116" s="28" t="str">
        <f>IFERROR(__xludf.DUMMYFUNCTION("GOOGLETRANSLATE(D1116,""zh-CN"",""vi"")"),"Cô ấy đang cầm một chiếc túi nhỏ.")</f>
        <v>Cô ấy đang cầm một chiếc túi nhỏ.</v>
      </c>
      <c r="F1116" s="128"/>
      <c r="G1116" s="36" t="b">
        <f t="shared" si="1"/>
        <v>0</v>
      </c>
      <c r="H1116" s="35" t="b">
        <v>1</v>
      </c>
      <c r="I1116" s="35" t="b">
        <v>0</v>
      </c>
      <c r="J1116" s="35" t="b">
        <v>0</v>
      </c>
      <c r="K1116" s="35" t="b">
        <v>0</v>
      </c>
      <c r="L1116" s="35" t="b">
        <v>0</v>
      </c>
      <c r="M1116" s="35" t="b">
        <v>0</v>
      </c>
      <c r="N1116" s="35" t="b">
        <v>0</v>
      </c>
      <c r="O1116" s="35" t="b">
        <v>0</v>
      </c>
      <c r="P1116" s="35" t="b">
        <v>0</v>
      </c>
      <c r="Q1116" s="35" t="b">
        <v>0</v>
      </c>
      <c r="R1116" s="14"/>
      <c r="S1116" s="14"/>
      <c r="T1116" s="14"/>
      <c r="U1116" s="14"/>
      <c r="V1116" s="14"/>
      <c r="W1116" s="14"/>
    </row>
    <row r="1117" ht="31.5" customHeight="1">
      <c r="A1117" s="109" t="s">
        <v>13330</v>
      </c>
      <c r="B1117" s="110" t="s">
        <v>13323</v>
      </c>
      <c r="C1117" s="111" t="s">
        <v>13331</v>
      </c>
      <c r="D1117" s="28" t="s">
        <v>13332</v>
      </c>
      <c r="E1117" s="28" t="str">
        <f>IFERROR(__xludf.DUMMYFUNCTION("GOOGLETRANSLATE(D1117,""zh-CN"",""vi"")"),"Anh ấy có thể dễ dàng vượt qua mọi trở ngại.")</f>
        <v>Anh ấy có thể dễ dàng vượt qua mọi trở ngại.</v>
      </c>
      <c r="F1117" s="128"/>
      <c r="G1117" s="36" t="b">
        <f t="shared" si="1"/>
        <v>0</v>
      </c>
      <c r="H1117" s="35" t="b">
        <v>1</v>
      </c>
      <c r="I1117" s="35" t="b">
        <v>0</v>
      </c>
      <c r="J1117" s="35" t="b">
        <v>0</v>
      </c>
      <c r="K1117" s="35" t="b">
        <v>0</v>
      </c>
      <c r="L1117" s="35" t="b">
        <v>0</v>
      </c>
      <c r="M1117" s="35" t="b">
        <v>0</v>
      </c>
      <c r="N1117" s="35" t="b">
        <v>0</v>
      </c>
      <c r="O1117" s="35" t="b">
        <v>0</v>
      </c>
      <c r="P1117" s="35" t="b">
        <v>0</v>
      </c>
      <c r="Q1117" s="35" t="b">
        <v>0</v>
      </c>
      <c r="R1117" s="14"/>
      <c r="S1117" s="14"/>
      <c r="T1117" s="14"/>
      <c r="U1117" s="14"/>
      <c r="V1117" s="14"/>
      <c r="W1117" s="14"/>
    </row>
    <row r="1118" ht="31.5" customHeight="1">
      <c r="A1118" s="109" t="s">
        <v>13337</v>
      </c>
      <c r="B1118" s="110" t="s">
        <v>13338</v>
      </c>
      <c r="C1118" s="111" t="s">
        <v>13339</v>
      </c>
      <c r="D1118" s="28" t="s">
        <v>13340</v>
      </c>
      <c r="E1118" s="28" t="str">
        <f>IFERROR(__xludf.DUMMYFUNCTION("GOOGLETRANSLATE(D1118,""zh-CN"",""vi"")"),"Họ rất hạnh phúc.")</f>
        <v>Họ rất hạnh phúc.</v>
      </c>
      <c r="F1118" s="128"/>
      <c r="G1118" s="36" t="b">
        <f t="shared" si="1"/>
        <v>0</v>
      </c>
      <c r="H1118" s="35" t="b">
        <v>1</v>
      </c>
      <c r="I1118" s="35" t="b">
        <v>0</v>
      </c>
      <c r="J1118" s="35" t="b">
        <v>0</v>
      </c>
      <c r="K1118" s="35" t="b">
        <v>0</v>
      </c>
      <c r="L1118" s="35" t="b">
        <v>0</v>
      </c>
      <c r="M1118" s="35" t="b">
        <v>0</v>
      </c>
      <c r="N1118" s="35" t="b">
        <v>0</v>
      </c>
      <c r="O1118" s="35" t="b">
        <v>0</v>
      </c>
      <c r="P1118" s="35" t="b">
        <v>0</v>
      </c>
      <c r="Q1118" s="35" t="b">
        <v>0</v>
      </c>
      <c r="R1118" s="14"/>
      <c r="S1118" s="14"/>
      <c r="T1118" s="14"/>
      <c r="U1118" s="14"/>
      <c r="V1118" s="14"/>
      <c r="W1118" s="14"/>
    </row>
    <row r="1119" ht="31.5" customHeight="1">
      <c r="A1119" s="109" t="s">
        <v>13342</v>
      </c>
      <c r="B1119" s="110" t="s">
        <v>13344</v>
      </c>
      <c r="C1119" s="111" t="s">
        <v>13345</v>
      </c>
      <c r="D1119" s="28" t="s">
        <v>13346</v>
      </c>
      <c r="E1119" s="28" t="str">
        <f>IFERROR(__xludf.DUMMYFUNCTION("GOOGLETRANSLATE(D1119,""zh-CN"",""vi"")"),"Căn phòng rộng rãi.")</f>
        <v>Căn phòng rộng rãi.</v>
      </c>
      <c r="F1119" s="128"/>
      <c r="G1119" s="36" t="b">
        <f t="shared" si="1"/>
        <v>0</v>
      </c>
      <c r="H1119" s="35" t="b">
        <v>1</v>
      </c>
      <c r="I1119" s="35" t="b">
        <v>0</v>
      </c>
      <c r="J1119" s="35" t="b">
        <v>0</v>
      </c>
      <c r="K1119" s="35" t="b">
        <v>0</v>
      </c>
      <c r="L1119" s="35" t="b">
        <v>0</v>
      </c>
      <c r="M1119" s="35" t="b">
        <v>0</v>
      </c>
      <c r="N1119" s="35" t="b">
        <v>0</v>
      </c>
      <c r="O1119" s="35" t="b">
        <v>0</v>
      </c>
      <c r="P1119" s="35" t="b">
        <v>0</v>
      </c>
      <c r="Q1119" s="35" t="b">
        <v>0</v>
      </c>
      <c r="R1119" s="14"/>
      <c r="S1119" s="14"/>
      <c r="T1119" s="14"/>
      <c r="U1119" s="14"/>
      <c r="V1119" s="14"/>
      <c r="W1119" s="14"/>
    </row>
    <row r="1120" ht="31.5" customHeight="1">
      <c r="A1120" s="109" t="s">
        <v>13349</v>
      </c>
      <c r="B1120" s="110" t="s">
        <v>13350</v>
      </c>
      <c r="C1120" s="111" t="s">
        <v>13351</v>
      </c>
      <c r="D1120" s="28" t="s">
        <v>13352</v>
      </c>
      <c r="E1120" s="28" t="str">
        <f>IFERROR(__xludf.DUMMYFUNCTION("GOOGLETRANSLATE(D1120,""zh-CN"",""vi"")"),"Ông ấy đã chiêu đãi tất cả khách mời một bữa ăn ngon.")</f>
        <v>Ông ấy đã chiêu đãi tất cả khách mời một bữa ăn ngon.</v>
      </c>
      <c r="F1120" s="128"/>
      <c r="G1120" s="36" t="b">
        <f t="shared" si="1"/>
        <v>0</v>
      </c>
      <c r="H1120" s="35" t="b">
        <v>1</v>
      </c>
      <c r="I1120" s="35" t="b">
        <v>0</v>
      </c>
      <c r="J1120" s="35" t="b">
        <v>0</v>
      </c>
      <c r="K1120" s="35" t="b">
        <v>0</v>
      </c>
      <c r="L1120" s="35" t="b">
        <v>0</v>
      </c>
      <c r="M1120" s="35" t="b">
        <v>0</v>
      </c>
      <c r="N1120" s="35" t="b">
        <v>0</v>
      </c>
      <c r="O1120" s="35" t="b">
        <v>0</v>
      </c>
      <c r="P1120" s="35" t="b">
        <v>0</v>
      </c>
      <c r="Q1120" s="35" t="b">
        <v>0</v>
      </c>
      <c r="R1120" s="14"/>
      <c r="S1120" s="14"/>
      <c r="T1120" s="14"/>
      <c r="U1120" s="14"/>
      <c r="V1120" s="14"/>
      <c r="W1120" s="14"/>
    </row>
    <row r="1121" ht="31.5" customHeight="1">
      <c r="A1121" s="109" t="s">
        <v>13357</v>
      </c>
      <c r="B1121" s="110" t="s">
        <v>13358</v>
      </c>
      <c r="C1121" s="111" t="s">
        <v>13359</v>
      </c>
      <c r="D1121" s="28" t="s">
        <v>13360</v>
      </c>
      <c r="E1121" s="28" t="str">
        <f>IFERROR(__xludf.DUMMYFUNCTION("GOOGLETRANSLATE(D1121,""zh-CN"",""vi"")"),"Bộ trang phục này rất thời trang.")</f>
        <v>Bộ trang phục này rất thời trang.</v>
      </c>
      <c r="F1121" s="128"/>
      <c r="G1121" s="36" t="b">
        <f t="shared" si="1"/>
        <v>0</v>
      </c>
      <c r="H1121" s="35" t="b">
        <v>1</v>
      </c>
      <c r="I1121" s="35" t="b">
        <v>0</v>
      </c>
      <c r="J1121" s="35" t="b">
        <v>0</v>
      </c>
      <c r="K1121" s="35" t="b">
        <v>0</v>
      </c>
      <c r="L1121" s="35" t="b">
        <v>0</v>
      </c>
      <c r="M1121" s="35" t="b">
        <v>0</v>
      </c>
      <c r="N1121" s="35" t="b">
        <v>0</v>
      </c>
      <c r="O1121" s="35" t="b">
        <v>0</v>
      </c>
      <c r="P1121" s="35" t="b">
        <v>0</v>
      </c>
      <c r="Q1121" s="35" t="b">
        <v>0</v>
      </c>
      <c r="R1121" s="14"/>
      <c r="S1121" s="14"/>
      <c r="T1121" s="14"/>
      <c r="U1121" s="14"/>
      <c r="V1121" s="14"/>
      <c r="W1121" s="14"/>
    </row>
    <row r="1122" ht="31.5" customHeight="1">
      <c r="A1122" s="109" t="s">
        <v>13361</v>
      </c>
      <c r="B1122" s="110" t="s">
        <v>13363</v>
      </c>
      <c r="C1122" s="111" t="s">
        <v>13364</v>
      </c>
      <c r="D1122" s="28" t="s">
        <v>13365</v>
      </c>
      <c r="E1122" s="28" t="str">
        <f>IFERROR(__xludf.DUMMYFUNCTION("GOOGLETRANSLATE(D1122,""zh-CN"",""vi"")"),"Ông ta thu gom trái cây vào một cái giỏ.")</f>
        <v>Ông ta thu gom trái cây vào một cái giỏ.</v>
      </c>
      <c r="F1122" s="128"/>
      <c r="G1122" s="36" t="b">
        <f t="shared" si="1"/>
        <v>0</v>
      </c>
      <c r="H1122" s="35" t="b">
        <v>1</v>
      </c>
      <c r="I1122" s="35" t="b">
        <v>0</v>
      </c>
      <c r="J1122" s="35" t="b">
        <v>0</v>
      </c>
      <c r="K1122" s="35" t="b">
        <v>0</v>
      </c>
      <c r="L1122" s="35" t="b">
        <v>0</v>
      </c>
      <c r="M1122" s="35" t="b">
        <v>0</v>
      </c>
      <c r="N1122" s="35" t="b">
        <v>0</v>
      </c>
      <c r="O1122" s="35" t="b">
        <v>0</v>
      </c>
      <c r="P1122" s="35" t="b">
        <v>0</v>
      </c>
      <c r="Q1122" s="35" t="b">
        <v>0</v>
      </c>
      <c r="R1122" s="14"/>
      <c r="S1122" s="14"/>
      <c r="T1122" s="14"/>
      <c r="U1122" s="14"/>
      <c r="V1122" s="14"/>
      <c r="W1122" s="14"/>
    </row>
    <row r="1123" ht="31.5" customHeight="1">
      <c r="A1123" s="109" t="s">
        <v>13369</v>
      </c>
      <c r="B1123" s="110" t="s">
        <v>13370</v>
      </c>
      <c r="C1123" s="111" t="s">
        <v>13371</v>
      </c>
      <c r="D1123" s="28" t="s">
        <v>13372</v>
      </c>
      <c r="E1123" s="28" t="str">
        <f>IFERROR(__xludf.DUMMYFUNCTION("GOOGLETRANSLATE(D1123,""zh-CN"",""vi"")"),"Ngôi nhà có kết cấu chắc chắn.")</f>
        <v>Ngôi nhà có kết cấu chắc chắn.</v>
      </c>
      <c r="F1123" s="128"/>
      <c r="G1123" s="36" t="b">
        <f t="shared" si="1"/>
        <v>0</v>
      </c>
      <c r="H1123" s="35" t="b">
        <v>1</v>
      </c>
      <c r="I1123" s="35" t="b">
        <v>0</v>
      </c>
      <c r="J1123" s="35" t="b">
        <v>0</v>
      </c>
      <c r="K1123" s="35" t="b">
        <v>0</v>
      </c>
      <c r="L1123" s="35" t="b">
        <v>0</v>
      </c>
      <c r="M1123" s="35" t="b">
        <v>0</v>
      </c>
      <c r="N1123" s="35" t="b">
        <v>0</v>
      </c>
      <c r="O1123" s="35" t="b">
        <v>0</v>
      </c>
      <c r="P1123" s="35" t="b">
        <v>0</v>
      </c>
      <c r="Q1123" s="35" t="b">
        <v>0</v>
      </c>
      <c r="R1123" s="14"/>
      <c r="S1123" s="14"/>
      <c r="T1123" s="14"/>
      <c r="U1123" s="14"/>
      <c r="V1123" s="14"/>
      <c r="W1123" s="14"/>
    </row>
    <row r="1124" ht="31.5" customHeight="1">
      <c r="A1124" s="109" t="s">
        <v>13377</v>
      </c>
      <c r="B1124" s="110" t="s">
        <v>13378</v>
      </c>
      <c r="C1124" s="111" t="s">
        <v>13379</v>
      </c>
      <c r="D1124" s="28" t="s">
        <v>13380</v>
      </c>
      <c r="E1124" s="28" t="str">
        <f>IFERROR(__xludf.DUMMYFUNCTION("GOOGLETRANSLATE(D1124,""zh-CN"",""vi"")"),"Cậu ta đã nghỉ học vài ngày.")</f>
        <v>Cậu ta đã nghỉ học vài ngày.</v>
      </c>
      <c r="F1124" s="128"/>
      <c r="G1124" s="36" t="b">
        <f t="shared" si="1"/>
        <v>0</v>
      </c>
      <c r="H1124" s="35" t="b">
        <v>1</v>
      </c>
      <c r="I1124" s="35" t="b">
        <v>0</v>
      </c>
      <c r="J1124" s="35" t="b">
        <v>0</v>
      </c>
      <c r="K1124" s="35" t="b">
        <v>0</v>
      </c>
      <c r="L1124" s="35" t="b">
        <v>0</v>
      </c>
      <c r="M1124" s="35" t="b">
        <v>0</v>
      </c>
      <c r="N1124" s="35" t="b">
        <v>0</v>
      </c>
      <c r="O1124" s="35" t="b">
        <v>0</v>
      </c>
      <c r="P1124" s="35" t="b">
        <v>0</v>
      </c>
      <c r="Q1124" s="35" t="b">
        <v>0</v>
      </c>
      <c r="R1124" s="14"/>
      <c r="S1124" s="14"/>
      <c r="T1124" s="14"/>
      <c r="U1124" s="14"/>
      <c r="V1124" s="14"/>
      <c r="W1124" s="14"/>
    </row>
    <row r="1125" ht="31.5" customHeight="1">
      <c r="A1125" s="109" t="s">
        <v>13381</v>
      </c>
      <c r="B1125" s="110" t="s">
        <v>13382</v>
      </c>
      <c r="C1125" s="111" t="s">
        <v>13384</v>
      </c>
      <c r="D1125" s="28" t="s">
        <v>13386</v>
      </c>
      <c r="E1125" s="28" t="str">
        <f>IFERROR(__xludf.DUMMYFUNCTION("GOOGLETRANSLATE(D1125,""zh-CN"",""vi"")"),"Ngoài ra, chúng tôi vẫn chưa đưa ra quyết định.")</f>
        <v>Ngoài ra, chúng tôi vẫn chưa đưa ra quyết định.</v>
      </c>
      <c r="F1125" s="128"/>
      <c r="G1125" s="36" t="b">
        <f t="shared" si="1"/>
        <v>0</v>
      </c>
      <c r="H1125" s="35" t="b">
        <v>1</v>
      </c>
      <c r="I1125" s="35" t="b">
        <v>0</v>
      </c>
      <c r="J1125" s="35" t="b">
        <v>0</v>
      </c>
      <c r="K1125" s="35" t="b">
        <v>0</v>
      </c>
      <c r="L1125" s="35" t="b">
        <v>0</v>
      </c>
      <c r="M1125" s="35" t="b">
        <v>0</v>
      </c>
      <c r="N1125" s="35" t="b">
        <v>0</v>
      </c>
      <c r="O1125" s="35" t="b">
        <v>0</v>
      </c>
      <c r="P1125" s="35" t="b">
        <v>0</v>
      </c>
      <c r="Q1125" s="35" t="b">
        <v>0</v>
      </c>
      <c r="R1125" s="14"/>
      <c r="S1125" s="14"/>
      <c r="T1125" s="14"/>
      <c r="U1125" s="14"/>
      <c r="V1125" s="14"/>
      <c r="W1125" s="14"/>
    </row>
    <row r="1126" ht="31.5" customHeight="1">
      <c r="A1126" s="109" t="s">
        <v>13389</v>
      </c>
      <c r="B1126" s="110" t="s">
        <v>13390</v>
      </c>
      <c r="C1126" s="111" t="s">
        <v>13391</v>
      </c>
      <c r="D1126" s="28" t="s">
        <v>13392</v>
      </c>
      <c r="E1126" s="28" t="str">
        <f>IFERROR(__xludf.DUMMYFUNCTION("GOOGLETRANSLATE(D1126,""zh-CN"",""vi"")"),"Anh ấy cảm thấy mình đã bị đối xử bất công.")</f>
        <v>Anh ấy cảm thấy mình đã bị đối xử bất công.</v>
      </c>
      <c r="F1126" s="128"/>
      <c r="G1126" s="36" t="b">
        <f t="shared" si="1"/>
        <v>0</v>
      </c>
      <c r="H1126" s="35" t="b">
        <v>1</v>
      </c>
      <c r="I1126" s="35" t="b">
        <v>0</v>
      </c>
      <c r="J1126" s="35" t="b">
        <v>0</v>
      </c>
      <c r="K1126" s="35" t="b">
        <v>0</v>
      </c>
      <c r="L1126" s="35" t="b">
        <v>0</v>
      </c>
      <c r="M1126" s="35" t="b">
        <v>0</v>
      </c>
      <c r="N1126" s="35" t="b">
        <v>0</v>
      </c>
      <c r="O1126" s="35" t="b">
        <v>0</v>
      </c>
      <c r="P1126" s="35" t="b">
        <v>0</v>
      </c>
      <c r="Q1126" s="35" t="b">
        <v>0</v>
      </c>
      <c r="R1126" s="14"/>
      <c r="S1126" s="14"/>
      <c r="T1126" s="14"/>
      <c r="U1126" s="14"/>
      <c r="V1126" s="14"/>
      <c r="W1126" s="14"/>
    </row>
    <row r="1127" ht="31.5" customHeight="1">
      <c r="A1127" s="109" t="s">
        <v>13397</v>
      </c>
      <c r="B1127" s="110" t="s">
        <v>13398</v>
      </c>
      <c r="C1127" s="111" t="s">
        <v>13399</v>
      </c>
      <c r="D1127" s="28" t="s">
        <v>13400</v>
      </c>
      <c r="E1127" s="28" t="str">
        <f>IFERROR(__xludf.DUMMYFUNCTION("GOOGLETRANSLATE(D1127,""zh-CN"",""vi"")"),"Công ty đã bị thua lỗ.")</f>
        <v>Công ty đã bị thua lỗ.</v>
      </c>
      <c r="F1127" s="128"/>
      <c r="G1127" s="36" t="b">
        <f t="shared" si="1"/>
        <v>0</v>
      </c>
      <c r="H1127" s="35" t="b">
        <v>1</v>
      </c>
      <c r="I1127" s="35" t="b">
        <v>0</v>
      </c>
      <c r="J1127" s="35" t="b">
        <v>0</v>
      </c>
      <c r="K1127" s="35" t="b">
        <v>0</v>
      </c>
      <c r="L1127" s="35" t="b">
        <v>0</v>
      </c>
      <c r="M1127" s="35" t="b">
        <v>0</v>
      </c>
      <c r="N1127" s="35" t="b">
        <v>0</v>
      </c>
      <c r="O1127" s="35" t="b">
        <v>0</v>
      </c>
      <c r="P1127" s="35" t="b">
        <v>0</v>
      </c>
      <c r="Q1127" s="35" t="b">
        <v>0</v>
      </c>
      <c r="R1127" s="14"/>
      <c r="S1127" s="14"/>
      <c r="T1127" s="14"/>
      <c r="U1127" s="14"/>
      <c r="V1127" s="14"/>
      <c r="W1127" s="14"/>
    </row>
    <row r="1128" ht="31.5" customHeight="1">
      <c r="A1128" s="109" t="s">
        <v>8494</v>
      </c>
      <c r="B1128" s="110" t="s">
        <v>8495</v>
      </c>
      <c r="C1128" s="111" t="s">
        <v>13403</v>
      </c>
      <c r="D1128" s="28" t="s">
        <v>13406</v>
      </c>
      <c r="E1128" s="28" t="str">
        <f>IFERROR(__xludf.DUMMYFUNCTION("GOOGLETRANSLATE(D1128,""zh-CN"",""vi"")"),"Anh ấy thích nghiên cứu côn trùng.")</f>
        <v>Anh ấy thích nghiên cứu côn trùng.</v>
      </c>
      <c r="F1128" s="131"/>
      <c r="G1128" s="36" t="b">
        <f t="shared" si="1"/>
        <v>0</v>
      </c>
      <c r="H1128" s="35" t="b">
        <v>1</v>
      </c>
      <c r="I1128" s="35" t="b">
        <v>0</v>
      </c>
      <c r="J1128" s="35" t="b">
        <v>0</v>
      </c>
      <c r="K1128" s="35" t="b">
        <v>0</v>
      </c>
      <c r="L1128" s="35" t="b">
        <v>0</v>
      </c>
      <c r="M1128" s="35" t="b">
        <v>0</v>
      </c>
      <c r="N1128" s="35" t="b">
        <v>0</v>
      </c>
      <c r="O1128" s="35" t="b">
        <v>0</v>
      </c>
      <c r="P1128" s="35" t="b">
        <v>0</v>
      </c>
      <c r="Q1128" s="35" t="b">
        <v>0</v>
      </c>
      <c r="R1128" s="14"/>
      <c r="S1128" s="14"/>
      <c r="T1128" s="14"/>
      <c r="U1128" s="14"/>
      <c r="V1128" s="14"/>
      <c r="W1128" s="14"/>
    </row>
    <row r="1129" ht="31.5" customHeight="1">
      <c r="A1129" s="109" t="s">
        <v>13415</v>
      </c>
      <c r="B1129" s="110" t="s">
        <v>13416</v>
      </c>
      <c r="C1129" s="111" t="s">
        <v>13417</v>
      </c>
      <c r="D1129" s="28" t="s">
        <v>13418</v>
      </c>
      <c r="E1129" s="28" t="str">
        <f>IFERROR(__xludf.DUMMYFUNCTION("GOOGLETRANSLATE(D1129,""zh-CN"",""vi"")"),"Cô ấy buộc chặt chiếc hộp lại.")</f>
        <v>Cô ấy buộc chặt chiếc hộp lại.</v>
      </c>
      <c r="F1129" s="131"/>
      <c r="G1129" s="36" t="b">
        <f t="shared" si="1"/>
        <v>0</v>
      </c>
      <c r="H1129" s="35" t="b">
        <v>1</v>
      </c>
      <c r="I1129" s="35" t="b">
        <v>0</v>
      </c>
      <c r="J1129" s="35" t="b">
        <v>0</v>
      </c>
      <c r="K1129" s="35" t="b">
        <v>0</v>
      </c>
      <c r="L1129" s="35" t="b">
        <v>0</v>
      </c>
      <c r="M1129" s="35" t="b">
        <v>0</v>
      </c>
      <c r="N1129" s="35" t="b">
        <v>0</v>
      </c>
      <c r="O1129" s="35" t="b">
        <v>0</v>
      </c>
      <c r="P1129" s="35" t="b">
        <v>0</v>
      </c>
      <c r="Q1129" s="35" t="b">
        <v>0</v>
      </c>
      <c r="R1129" s="14"/>
      <c r="S1129" s="14"/>
      <c r="T1129" s="14"/>
      <c r="U1129" s="14"/>
      <c r="V1129" s="14"/>
      <c r="W1129" s="14"/>
    </row>
    <row r="1130" ht="31.5" customHeight="1">
      <c r="A1130" s="109" t="s">
        <v>13423</v>
      </c>
      <c r="B1130" s="110" t="s">
        <v>13424</v>
      </c>
      <c r="C1130" s="111" t="s">
        <v>13425</v>
      </c>
      <c r="D1130" s="28" t="s">
        <v>13426</v>
      </c>
      <c r="E1130" s="28" t="str">
        <f>IFERROR(__xludf.DUMMYFUNCTION("GOOGLETRANSLATE(D1130,""zh-CN"",""vi"")"),"Công ty đang mở rộng hoạt động kinh doanh.")</f>
        <v>Công ty đang mở rộng hoạt động kinh doanh.</v>
      </c>
      <c r="F1130" s="131"/>
      <c r="G1130" s="36" t="b">
        <f t="shared" si="1"/>
        <v>0</v>
      </c>
      <c r="H1130" s="35" t="b">
        <v>1</v>
      </c>
      <c r="I1130" s="35" t="b">
        <v>0</v>
      </c>
      <c r="J1130" s="35" t="b">
        <v>0</v>
      </c>
      <c r="K1130" s="35" t="b">
        <v>0</v>
      </c>
      <c r="L1130" s="35" t="b">
        <v>0</v>
      </c>
      <c r="M1130" s="35" t="b">
        <v>0</v>
      </c>
      <c r="N1130" s="35" t="b">
        <v>0</v>
      </c>
      <c r="O1130" s="35" t="b">
        <v>0</v>
      </c>
      <c r="P1130" s="35" t="b">
        <v>0</v>
      </c>
      <c r="Q1130" s="35" t="b">
        <v>0</v>
      </c>
      <c r="R1130" s="14"/>
      <c r="S1130" s="14"/>
      <c r="T1130" s="14"/>
      <c r="U1130" s="14"/>
      <c r="V1130" s="14"/>
      <c r="W1130" s="14"/>
    </row>
    <row r="1131" ht="31.5" customHeight="1">
      <c r="A1131" s="109" t="s">
        <v>13427</v>
      </c>
      <c r="B1131" s="110" t="s">
        <v>13428</v>
      </c>
      <c r="C1131" s="111" t="s">
        <v>13429</v>
      </c>
      <c r="D1131" s="28" t="s">
        <v>13431</v>
      </c>
      <c r="E1131" s="28" t="str">
        <f>IFERROR(__xludf.DUMMYFUNCTION("GOOGLETRANSLATE(D1131,""zh-CN"",""vi"")"),"Những tin đồn này lan truyền rất nhanh.")</f>
        <v>Những tin đồn này lan truyền rất nhanh.</v>
      </c>
      <c r="F1131" s="131"/>
      <c r="G1131" s="36" t="b">
        <f t="shared" si="1"/>
        <v>0</v>
      </c>
      <c r="H1131" s="35" t="b">
        <v>1</v>
      </c>
      <c r="I1131" s="35" t="b">
        <v>0</v>
      </c>
      <c r="J1131" s="35" t="b">
        <v>0</v>
      </c>
      <c r="K1131" s="35" t="b">
        <v>0</v>
      </c>
      <c r="L1131" s="35" t="b">
        <v>0</v>
      </c>
      <c r="M1131" s="35" t="b">
        <v>0</v>
      </c>
      <c r="N1131" s="35" t="b">
        <v>0</v>
      </c>
      <c r="O1131" s="35" t="b">
        <v>0</v>
      </c>
      <c r="P1131" s="35" t="b">
        <v>0</v>
      </c>
      <c r="Q1131" s="35" t="b">
        <v>0</v>
      </c>
      <c r="R1131" s="14"/>
      <c r="S1131" s="14"/>
      <c r="T1131" s="14"/>
      <c r="U1131" s="14"/>
      <c r="V1131" s="14"/>
      <c r="W1131" s="14"/>
    </row>
    <row r="1132" ht="31.5" customHeight="1">
      <c r="A1132" s="109" t="s">
        <v>13435</v>
      </c>
      <c r="B1132" s="110" t="s">
        <v>13436</v>
      </c>
      <c r="C1132" s="111" t="s">
        <v>13437</v>
      </c>
      <c r="D1132" s="28" t="s">
        <v>13438</v>
      </c>
      <c r="E1132" s="28" t="str">
        <f>IFERROR(__xludf.DUMMYFUNCTION("GOOGLETRANSLATE(D1132,""zh-CN"",""vi"")"),"Đế chế tiếp tục mở rộng.")</f>
        <v>Đế chế tiếp tục mở rộng.</v>
      </c>
      <c r="F1132" s="131"/>
      <c r="G1132" s="36" t="b">
        <f t="shared" si="1"/>
        <v>0</v>
      </c>
      <c r="H1132" s="35" t="b">
        <v>1</v>
      </c>
      <c r="I1132" s="35" t="b">
        <v>0</v>
      </c>
      <c r="J1132" s="35" t="b">
        <v>0</v>
      </c>
      <c r="K1132" s="35" t="b">
        <v>0</v>
      </c>
      <c r="L1132" s="35" t="b">
        <v>0</v>
      </c>
      <c r="M1132" s="35" t="b">
        <v>0</v>
      </c>
      <c r="N1132" s="35" t="b">
        <v>0</v>
      </c>
      <c r="O1132" s="35" t="b">
        <v>0</v>
      </c>
      <c r="P1132" s="35" t="b">
        <v>0</v>
      </c>
      <c r="Q1132" s="35" t="b">
        <v>0</v>
      </c>
      <c r="R1132" s="14"/>
      <c r="S1132" s="14"/>
      <c r="T1132" s="14"/>
      <c r="U1132" s="14"/>
      <c r="V1132" s="14"/>
      <c r="W1132" s="14"/>
    </row>
    <row r="1133" ht="31.5" customHeight="1">
      <c r="A1133" s="109" t="s">
        <v>13443</v>
      </c>
      <c r="B1133" s="110" t="s">
        <v>13444</v>
      </c>
      <c r="C1133" s="111" t="s">
        <v>13445</v>
      </c>
      <c r="D1133" s="28" t="s">
        <v>13446</v>
      </c>
      <c r="E1133" s="28" t="str">
        <f>IFERROR(__xludf.DUMMYFUNCTION("GOOGLETRANSLATE(D1133,""zh-CN"",""vi"")"),"Anh ấy đã trở lại! Tôi vui quá.")</f>
        <v>Anh ấy đã trở lại! Tôi vui quá.</v>
      </c>
      <c r="F1133" s="131"/>
      <c r="G1133" s="36" t="b">
        <f t="shared" si="1"/>
        <v>0</v>
      </c>
      <c r="H1133" s="35" t="b">
        <v>1</v>
      </c>
      <c r="I1133" s="35" t="b">
        <v>0</v>
      </c>
      <c r="J1133" s="35" t="b">
        <v>0</v>
      </c>
      <c r="K1133" s="35" t="b">
        <v>0</v>
      </c>
      <c r="L1133" s="35" t="b">
        <v>0</v>
      </c>
      <c r="M1133" s="35" t="b">
        <v>0</v>
      </c>
      <c r="N1133" s="35" t="b">
        <v>0</v>
      </c>
      <c r="O1133" s="35" t="b">
        <v>0</v>
      </c>
      <c r="P1133" s="35" t="b">
        <v>0</v>
      </c>
      <c r="Q1133" s="35" t="b">
        <v>0</v>
      </c>
      <c r="R1133" s="14"/>
      <c r="S1133" s="14"/>
      <c r="T1133" s="14"/>
      <c r="U1133" s="14"/>
      <c r="V1133" s="14"/>
      <c r="W1133" s="14"/>
    </row>
    <row r="1134" ht="31.5" customHeight="1">
      <c r="A1134" s="109" t="s">
        <v>13448</v>
      </c>
      <c r="B1134" s="110" t="s">
        <v>13449</v>
      </c>
      <c r="C1134" s="111" t="s">
        <v>13451</v>
      </c>
      <c r="D1134" s="28" t="s">
        <v>13453</v>
      </c>
      <c r="E1134" s="28" t="str">
        <f>IFERROR(__xludf.DUMMYFUNCTION("GOOGLETRANSLATE(D1134,""zh-CN"",""vi"")"),"Anh ấy chơi kèn trumpet rất giỏi.")</f>
        <v>Anh ấy chơi kèn trumpet rất giỏi.</v>
      </c>
      <c r="F1134" s="131"/>
      <c r="G1134" s="36" t="b">
        <f t="shared" si="1"/>
        <v>0</v>
      </c>
      <c r="H1134" s="35" t="b">
        <v>1</v>
      </c>
      <c r="I1134" s="35" t="b">
        <v>0</v>
      </c>
      <c r="J1134" s="35" t="b">
        <v>0</v>
      </c>
      <c r="K1134" s="35" t="b">
        <v>0</v>
      </c>
      <c r="L1134" s="35" t="b">
        <v>0</v>
      </c>
      <c r="M1134" s="35" t="b">
        <v>0</v>
      </c>
      <c r="N1134" s="35" t="b">
        <v>0</v>
      </c>
      <c r="O1134" s="35" t="b">
        <v>0</v>
      </c>
      <c r="P1134" s="35" t="b">
        <v>0</v>
      </c>
      <c r="Q1134" s="35" t="b">
        <v>0</v>
      </c>
      <c r="R1134" s="14"/>
      <c r="S1134" s="14"/>
      <c r="T1134" s="14"/>
      <c r="U1134" s="14"/>
      <c r="V1134" s="14"/>
      <c r="W1134" s="14"/>
    </row>
    <row r="1135" ht="31.5" customHeight="1">
      <c r="A1135" s="109" t="s">
        <v>13455</v>
      </c>
      <c r="B1135" s="110" t="s">
        <v>13456</v>
      </c>
      <c r="C1135" s="111" t="s">
        <v>13457</v>
      </c>
      <c r="D1135" s="28" t="s">
        <v>13458</v>
      </c>
      <c r="E1135" s="28" t="str">
        <f>IFERROR(__xludf.DUMMYFUNCTION("GOOGLETRANSLATE(D1135,""zh-CN"",""vi"")"),"Nguồn gốc của anh ta không rõ.")</f>
        <v>Nguồn gốc của anh ta không rõ.</v>
      </c>
      <c r="F1135" s="131"/>
      <c r="G1135" s="36" t="b">
        <f t="shared" si="1"/>
        <v>0</v>
      </c>
      <c r="H1135" s="35" t="b">
        <v>1</v>
      </c>
      <c r="I1135" s="35" t="b">
        <v>0</v>
      </c>
      <c r="J1135" s="35" t="b">
        <v>0</v>
      </c>
      <c r="K1135" s="35" t="b">
        <v>0</v>
      </c>
      <c r="L1135" s="35" t="b">
        <v>0</v>
      </c>
      <c r="M1135" s="35" t="b">
        <v>0</v>
      </c>
      <c r="N1135" s="35" t="b">
        <v>0</v>
      </c>
      <c r="O1135" s="35" t="b">
        <v>0</v>
      </c>
      <c r="P1135" s="35" t="b">
        <v>0</v>
      </c>
      <c r="Q1135" s="35" t="b">
        <v>0</v>
      </c>
      <c r="R1135" s="14"/>
      <c r="S1135" s="14"/>
      <c r="T1135" s="14"/>
      <c r="U1135" s="14"/>
      <c r="V1135" s="14"/>
      <c r="W1135" s="14"/>
    </row>
    <row r="1136" ht="31.5" customHeight="1">
      <c r="A1136" s="109" t="s">
        <v>13463</v>
      </c>
      <c r="B1136" s="110" t="s">
        <v>13464</v>
      </c>
      <c r="C1136" s="111" t="s">
        <v>13465</v>
      </c>
      <c r="D1136" s="28" t="s">
        <v>13466</v>
      </c>
      <c r="E1136" s="28" t="str">
        <f>IFERROR(__xludf.DUMMYFUNCTION("GOOGLETRANSLATE(D1136,""zh-CN"",""vi"")"),"Nguồn nước này đến từ đâu?")</f>
        <v>Nguồn nước này đến từ đâu?</v>
      </c>
      <c r="F1136" s="131"/>
      <c r="G1136" s="36" t="b">
        <f t="shared" si="1"/>
        <v>0</v>
      </c>
      <c r="H1136" s="35" t="b">
        <v>1</v>
      </c>
      <c r="I1136" s="35" t="b">
        <v>0</v>
      </c>
      <c r="J1136" s="35" t="b">
        <v>0</v>
      </c>
      <c r="K1136" s="35" t="b">
        <v>0</v>
      </c>
      <c r="L1136" s="35" t="b">
        <v>0</v>
      </c>
      <c r="M1136" s="35" t="b">
        <v>0</v>
      </c>
      <c r="N1136" s="35" t="b">
        <v>0</v>
      </c>
      <c r="O1136" s="35" t="b">
        <v>0</v>
      </c>
      <c r="P1136" s="35" t="b">
        <v>0</v>
      </c>
      <c r="Q1136" s="35" t="b">
        <v>0</v>
      </c>
      <c r="R1136" s="14"/>
      <c r="S1136" s="14"/>
      <c r="T1136" s="14"/>
      <c r="U1136" s="14"/>
      <c r="V1136" s="14"/>
      <c r="W1136" s="14"/>
    </row>
    <row r="1137" ht="31.5" customHeight="1">
      <c r="A1137" s="109" t="s">
        <v>13471</v>
      </c>
      <c r="B1137" s="110" t="s">
        <v>13472</v>
      </c>
      <c r="C1137" s="111" t="s">
        <v>13473</v>
      </c>
      <c r="D1137" s="28" t="s">
        <v>13474</v>
      </c>
      <c r="E1137" s="28" t="str">
        <f>IFERROR(__xludf.DUMMYFUNCTION("GOOGLETRANSLATE(D1137,""zh-CN"",""vi"")"),"Anh ấy từng dẫn chương trình.")</f>
        <v>Anh ấy từng dẫn chương trình.</v>
      </c>
      <c r="F1137" s="131"/>
      <c r="G1137" s="36" t="b">
        <f t="shared" si="1"/>
        <v>0</v>
      </c>
      <c r="H1137" s="35" t="b">
        <v>1</v>
      </c>
      <c r="I1137" s="35" t="b">
        <v>0</v>
      </c>
      <c r="J1137" s="35" t="b">
        <v>0</v>
      </c>
      <c r="K1137" s="35" t="b">
        <v>0</v>
      </c>
      <c r="L1137" s="35" t="b">
        <v>0</v>
      </c>
      <c r="M1137" s="35" t="b">
        <v>0</v>
      </c>
      <c r="N1137" s="35" t="b">
        <v>0</v>
      </c>
      <c r="O1137" s="35" t="b">
        <v>0</v>
      </c>
      <c r="P1137" s="35" t="b">
        <v>0</v>
      </c>
      <c r="Q1137" s="35" t="b">
        <v>0</v>
      </c>
      <c r="R1137" s="14"/>
      <c r="S1137" s="14"/>
      <c r="T1137" s="14"/>
      <c r="U1137" s="14"/>
      <c r="V1137" s="14"/>
      <c r="W1137" s="14"/>
    </row>
    <row r="1138" ht="31.5" customHeight="1">
      <c r="A1138" s="109" t="s">
        <v>13478</v>
      </c>
      <c r="B1138" s="110" t="s">
        <v>13480</v>
      </c>
      <c r="C1138" s="111" t="s">
        <v>3218</v>
      </c>
      <c r="D1138" s="28" t="s">
        <v>13481</v>
      </c>
      <c r="E1138" s="28" t="str">
        <f>IFERROR(__xludf.DUMMYFUNCTION("GOOGLETRANSLATE(D1138,""zh-CN"",""vi"")"),"Anh ta lười biếng.")</f>
        <v>Anh ta lười biếng.</v>
      </c>
      <c r="F1138" s="131"/>
      <c r="G1138" s="36" t="b">
        <f t="shared" si="1"/>
        <v>0</v>
      </c>
      <c r="H1138" s="35" t="b">
        <v>1</v>
      </c>
      <c r="I1138" s="35" t="b">
        <v>0</v>
      </c>
      <c r="J1138" s="35" t="b">
        <v>0</v>
      </c>
      <c r="K1138" s="35" t="b">
        <v>0</v>
      </c>
      <c r="L1138" s="35" t="b">
        <v>0</v>
      </c>
      <c r="M1138" s="35" t="b">
        <v>0</v>
      </c>
      <c r="N1138" s="35" t="b">
        <v>0</v>
      </c>
      <c r="O1138" s="35" t="b">
        <v>0</v>
      </c>
      <c r="P1138" s="35" t="b">
        <v>0</v>
      </c>
      <c r="Q1138" s="35" t="b">
        <v>0</v>
      </c>
      <c r="R1138" s="14"/>
      <c r="S1138" s="14"/>
      <c r="T1138" s="14"/>
      <c r="U1138" s="14"/>
      <c r="V1138" s="14"/>
      <c r="W1138" s="14"/>
    </row>
    <row r="1139" ht="31.5" customHeight="1">
      <c r="A1139" s="109" t="s">
        <v>13482</v>
      </c>
      <c r="B1139" s="110" t="s">
        <v>13483</v>
      </c>
      <c r="C1139" s="111" t="s">
        <v>13484</v>
      </c>
      <c r="D1139" s="28" t="s">
        <v>13485</v>
      </c>
      <c r="E1139" s="28" t="str">
        <f>IFERROR(__xludf.DUMMYFUNCTION("GOOGLETRANSLATE(D1139,""zh-CN"",""vi"")"),"Anh ấy cảm thấy xấu hổ.")</f>
        <v>Anh ấy cảm thấy xấu hổ.</v>
      </c>
      <c r="F1139" s="131"/>
      <c r="G1139" s="36" t="b">
        <f t="shared" si="1"/>
        <v>0</v>
      </c>
      <c r="H1139" s="35" t="b">
        <v>1</v>
      </c>
      <c r="I1139" s="35" t="b">
        <v>0</v>
      </c>
      <c r="J1139" s="35" t="b">
        <v>0</v>
      </c>
      <c r="K1139" s="35" t="b">
        <v>0</v>
      </c>
      <c r="L1139" s="35" t="b">
        <v>0</v>
      </c>
      <c r="M1139" s="35" t="b">
        <v>0</v>
      </c>
      <c r="N1139" s="35" t="b">
        <v>0</v>
      </c>
      <c r="O1139" s="35" t="b">
        <v>0</v>
      </c>
      <c r="P1139" s="35" t="b">
        <v>0</v>
      </c>
      <c r="Q1139" s="35" t="b">
        <v>0</v>
      </c>
      <c r="R1139" s="14"/>
      <c r="S1139" s="14"/>
      <c r="T1139" s="14"/>
      <c r="U1139" s="14"/>
      <c r="V1139" s="14"/>
      <c r="W1139" s="14"/>
    </row>
    <row r="1140" ht="31.5" customHeight="1">
      <c r="A1140" s="109" t="s">
        <v>8533</v>
      </c>
      <c r="B1140" s="110" t="s">
        <v>8535</v>
      </c>
      <c r="C1140" s="111" t="s">
        <v>13490</v>
      </c>
      <c r="D1140" s="28" t="s">
        <v>13491</v>
      </c>
      <c r="E1140" s="28" t="str">
        <f>IFERROR(__xludf.DUMMYFUNCTION("GOOGLETRANSLATE(D1140,""zh-CN"",""vi"")"),"Anh ấy đọc to bài báo.")</f>
        <v>Anh ấy đọc to bài báo.</v>
      </c>
      <c r="F1140" s="131"/>
      <c r="G1140" s="36" t="b">
        <f t="shared" si="1"/>
        <v>0</v>
      </c>
      <c r="H1140" s="35" t="b">
        <v>1</v>
      </c>
      <c r="I1140" s="35" t="b">
        <v>0</v>
      </c>
      <c r="J1140" s="35" t="b">
        <v>0</v>
      </c>
      <c r="K1140" s="35" t="b">
        <v>0</v>
      </c>
      <c r="L1140" s="35" t="b">
        <v>0</v>
      </c>
      <c r="M1140" s="35" t="b">
        <v>0</v>
      </c>
      <c r="N1140" s="35" t="b">
        <v>0</v>
      </c>
      <c r="O1140" s="35" t="b">
        <v>0</v>
      </c>
      <c r="P1140" s="35" t="b">
        <v>0</v>
      </c>
      <c r="Q1140" s="35" t="b">
        <v>0</v>
      </c>
      <c r="R1140" s="14"/>
      <c r="S1140" s="14"/>
      <c r="T1140" s="14"/>
      <c r="U1140" s="14"/>
      <c r="V1140" s="14"/>
      <c r="W1140" s="14"/>
    </row>
    <row r="1141" ht="31.5" customHeight="1">
      <c r="A1141" s="109" t="s">
        <v>13496</v>
      </c>
      <c r="B1141" s="110" t="s">
        <v>13497</v>
      </c>
      <c r="C1141" s="111" t="s">
        <v>13498</v>
      </c>
      <c r="D1141" s="28" t="s">
        <v>13499</v>
      </c>
      <c r="E1141" s="28" t="str">
        <f>IFERROR(__xludf.DUMMYFUNCTION("GOOGLETRANSLATE(D1141,""zh-CN"",""vi"")"),"Anh ta vớt cá ra khỏi nước.")</f>
        <v>Anh ta vớt cá ra khỏi nước.</v>
      </c>
      <c r="F1141" s="131"/>
      <c r="G1141" s="36" t="b">
        <f t="shared" si="1"/>
        <v>0</v>
      </c>
      <c r="H1141" s="35" t="b">
        <v>1</v>
      </c>
      <c r="I1141" s="35" t="b">
        <v>0</v>
      </c>
      <c r="J1141" s="35" t="b">
        <v>0</v>
      </c>
      <c r="K1141" s="35" t="b">
        <v>0</v>
      </c>
      <c r="L1141" s="35" t="b">
        <v>0</v>
      </c>
      <c r="M1141" s="35" t="b">
        <v>0</v>
      </c>
      <c r="N1141" s="35" t="b">
        <v>0</v>
      </c>
      <c r="O1141" s="35" t="b">
        <v>0</v>
      </c>
      <c r="P1141" s="35" t="b">
        <v>0</v>
      </c>
      <c r="Q1141" s="35" t="b">
        <v>0</v>
      </c>
      <c r="R1141" s="14"/>
      <c r="S1141" s="14"/>
      <c r="T1141" s="14"/>
      <c r="U1141" s="14"/>
      <c r="V1141" s="14"/>
      <c r="W1141" s="14"/>
    </row>
    <row r="1142" ht="31.5" customHeight="1">
      <c r="A1142" s="109" t="s">
        <v>13501</v>
      </c>
      <c r="B1142" s="110" t="s">
        <v>13503</v>
      </c>
      <c r="C1142" s="111" t="s">
        <v>13505</v>
      </c>
      <c r="D1142" s="28" t="s">
        <v>13507</v>
      </c>
      <c r="E1142" s="28" t="str">
        <f>IFERROR(__xludf.DUMMYFUNCTION("GOOGLETRANSLATE(D1142,""zh-CN"",""vi"")"),"Cô ấy lúc nào cũng cằn nhằn.")</f>
        <v>Cô ấy lúc nào cũng cằn nhằn.</v>
      </c>
      <c r="F1142" s="131"/>
      <c r="G1142" s="36" t="b">
        <f t="shared" si="1"/>
        <v>0</v>
      </c>
      <c r="H1142" s="35" t="b">
        <v>1</v>
      </c>
      <c r="I1142" s="35" t="b">
        <v>0</v>
      </c>
      <c r="J1142" s="35" t="b">
        <v>0</v>
      </c>
      <c r="K1142" s="35" t="b">
        <v>0</v>
      </c>
      <c r="L1142" s="35" t="b">
        <v>0</v>
      </c>
      <c r="M1142" s="35" t="b">
        <v>0</v>
      </c>
      <c r="N1142" s="35" t="b">
        <v>0</v>
      </c>
      <c r="O1142" s="35" t="b">
        <v>0</v>
      </c>
      <c r="P1142" s="35" t="b">
        <v>0</v>
      </c>
      <c r="Q1142" s="35" t="b">
        <v>0</v>
      </c>
      <c r="R1142" s="14"/>
      <c r="S1142" s="14"/>
      <c r="T1142" s="14"/>
      <c r="U1142" s="14"/>
      <c r="V1142" s="14"/>
      <c r="W1142" s="14"/>
    </row>
    <row r="1143" ht="31.5" customHeight="1">
      <c r="A1143" s="109" t="s">
        <v>13508</v>
      </c>
      <c r="B1143" s="110" t="s">
        <v>13509</v>
      </c>
      <c r="C1143" s="111" t="s">
        <v>13510</v>
      </c>
      <c r="D1143" s="28" t="s">
        <v>13511</v>
      </c>
      <c r="E1143" s="28" t="str">
        <f>IFERROR(__xludf.DUMMYFUNCTION("GOOGLETRANSLATE(D1143,""zh-CN"",""vi"")"),"Cây cầu rất vững chắc.")</f>
        <v>Cây cầu rất vững chắc.</v>
      </c>
      <c r="F1143" s="131"/>
      <c r="G1143" s="36" t="b">
        <f t="shared" si="1"/>
        <v>0</v>
      </c>
      <c r="H1143" s="35" t="b">
        <v>1</v>
      </c>
      <c r="I1143" s="35" t="b">
        <v>0</v>
      </c>
      <c r="J1143" s="35" t="b">
        <v>0</v>
      </c>
      <c r="K1143" s="35" t="b">
        <v>0</v>
      </c>
      <c r="L1143" s="35" t="b">
        <v>0</v>
      </c>
      <c r="M1143" s="35" t="b">
        <v>0</v>
      </c>
      <c r="N1143" s="35" t="b">
        <v>0</v>
      </c>
      <c r="O1143" s="35" t="b">
        <v>0</v>
      </c>
      <c r="P1143" s="35" t="b">
        <v>0</v>
      </c>
      <c r="Q1143" s="35" t="b">
        <v>0</v>
      </c>
      <c r="R1143" s="14"/>
      <c r="S1143" s="14"/>
      <c r="T1143" s="14"/>
      <c r="U1143" s="14"/>
      <c r="V1143" s="14"/>
      <c r="W1143" s="14"/>
    </row>
    <row r="1144" ht="31.5" customHeight="1">
      <c r="A1144" s="109" t="s">
        <v>13515</v>
      </c>
      <c r="B1144" s="110" t="s">
        <v>13516</v>
      </c>
      <c r="C1144" s="111" t="s">
        <v>13517</v>
      </c>
      <c r="D1144" s="28" t="s">
        <v>13518</v>
      </c>
      <c r="E1144" s="28" t="str">
        <f>IFERROR(__xludf.DUMMYFUNCTION("GOOGLETRANSLATE(D1144,""zh-CN"",""vi"")"),"Anh ta liên tục phàn nàn về công việc của mình.")</f>
        <v>Anh ta liên tục phàn nàn về công việc của mình.</v>
      </c>
      <c r="F1144" s="131"/>
      <c r="G1144" s="36" t="b">
        <f t="shared" si="1"/>
        <v>0</v>
      </c>
      <c r="H1144" s="35" t="b">
        <v>1</v>
      </c>
      <c r="I1144" s="35" t="b">
        <v>0</v>
      </c>
      <c r="J1144" s="35" t="b">
        <v>0</v>
      </c>
      <c r="K1144" s="35" t="b">
        <v>0</v>
      </c>
      <c r="L1144" s="35" t="b">
        <v>0</v>
      </c>
      <c r="M1144" s="35" t="b">
        <v>0</v>
      </c>
      <c r="N1144" s="35" t="b">
        <v>0</v>
      </c>
      <c r="O1144" s="35" t="b">
        <v>0</v>
      </c>
      <c r="P1144" s="35" t="b">
        <v>0</v>
      </c>
      <c r="Q1144" s="35" t="b">
        <v>0</v>
      </c>
      <c r="R1144" s="14"/>
      <c r="S1144" s="14"/>
      <c r="T1144" s="14"/>
      <c r="U1144" s="14"/>
      <c r="V1144" s="14"/>
      <c r="W1144" s="14"/>
    </row>
    <row r="1145" ht="31.5" customHeight="1">
      <c r="A1145" s="109" t="s">
        <v>13523</v>
      </c>
      <c r="B1145" s="110" t="s">
        <v>13524</v>
      </c>
      <c r="C1145" s="111" t="s">
        <v>13525</v>
      </c>
      <c r="D1145" s="28" t="s">
        <v>13526</v>
      </c>
      <c r="E1145" s="28" t="str">
        <f>IFERROR(__xludf.DUMMYFUNCTION("GOOGLETRANSLATE(D1145,""zh-CN"",""vi"")"),"Tác phẩm của anh ấy tràn đầy niềm vui.")</f>
        <v>Tác phẩm của anh ấy tràn đầy niềm vui.</v>
      </c>
      <c r="F1145" s="131"/>
      <c r="G1145" s="36" t="b">
        <f t="shared" si="1"/>
        <v>0</v>
      </c>
      <c r="H1145" s="35" t="b">
        <v>1</v>
      </c>
      <c r="I1145" s="35" t="b">
        <v>0</v>
      </c>
      <c r="J1145" s="35" t="b">
        <v>0</v>
      </c>
      <c r="K1145" s="35" t="b">
        <v>0</v>
      </c>
      <c r="L1145" s="35" t="b">
        <v>0</v>
      </c>
      <c r="M1145" s="35" t="b">
        <v>0</v>
      </c>
      <c r="N1145" s="35" t="b">
        <v>0</v>
      </c>
      <c r="O1145" s="35" t="b">
        <v>0</v>
      </c>
      <c r="P1145" s="35" t="b">
        <v>0</v>
      </c>
      <c r="Q1145" s="35" t="b">
        <v>0</v>
      </c>
      <c r="R1145" s="14"/>
      <c r="S1145" s="14"/>
      <c r="T1145" s="14"/>
      <c r="U1145" s="14"/>
      <c r="V1145" s="14"/>
      <c r="W1145" s="14"/>
    </row>
    <row r="1146" ht="31.5" customHeight="1">
      <c r="A1146" s="109" t="s">
        <v>13527</v>
      </c>
      <c r="B1146" s="110" t="s">
        <v>13528</v>
      </c>
      <c r="C1146" s="111" t="s">
        <v>13529</v>
      </c>
      <c r="D1146" s="28" t="s">
        <v>13530</v>
      </c>
      <c r="E1146" s="28" t="str">
        <f>IFERROR(__xludf.DUMMYFUNCTION("GOOGLETRANSLATE(D1146,""zh-CN"",""vi"")"),"Tôi rất sẵn lòng giúp đỡ bạn.")</f>
        <v>Tôi rất sẵn lòng giúp đỡ bạn.</v>
      </c>
      <c r="F1146" s="131"/>
      <c r="G1146" s="36" t="b">
        <f t="shared" si="1"/>
        <v>0</v>
      </c>
      <c r="H1146" s="35" t="b">
        <v>1</v>
      </c>
      <c r="I1146" s="35" t="b">
        <v>0</v>
      </c>
      <c r="J1146" s="35" t="b">
        <v>0</v>
      </c>
      <c r="K1146" s="35" t="b">
        <v>0</v>
      </c>
      <c r="L1146" s="35" t="b">
        <v>0</v>
      </c>
      <c r="M1146" s="35" t="b">
        <v>0</v>
      </c>
      <c r="N1146" s="35" t="b">
        <v>0</v>
      </c>
      <c r="O1146" s="35" t="b">
        <v>0</v>
      </c>
      <c r="P1146" s="35" t="b">
        <v>0</v>
      </c>
      <c r="Q1146" s="35" t="b">
        <v>0</v>
      </c>
      <c r="R1146" s="14"/>
      <c r="S1146" s="14"/>
      <c r="T1146" s="14"/>
      <c r="U1146" s="14"/>
      <c r="V1146" s="14"/>
      <c r="W1146" s="14"/>
    </row>
    <row r="1147" ht="31.5" customHeight="1">
      <c r="A1147" s="109" t="s">
        <v>13535</v>
      </c>
      <c r="B1147" s="110" t="s">
        <v>13536</v>
      </c>
      <c r="C1147" s="111" t="s">
        <v>13537</v>
      </c>
      <c r="D1147" s="28" t="s">
        <v>13538</v>
      </c>
      <c r="E1147" s="28" t="str">
        <f>IFERROR(__xludf.DUMMYFUNCTION("GOOGLETRANSLATE(D1147,""zh-CN"",""vi"")"),"Hệ thống radar đã phát hiện mục tiêu.")</f>
        <v>Hệ thống radar đã phát hiện mục tiêu.</v>
      </c>
      <c r="F1147" s="131"/>
      <c r="G1147" s="36" t="b">
        <f t="shared" si="1"/>
        <v>0</v>
      </c>
      <c r="H1147" s="35" t="b">
        <v>1</v>
      </c>
      <c r="I1147" s="35" t="b">
        <v>0</v>
      </c>
      <c r="J1147" s="35" t="b">
        <v>0</v>
      </c>
      <c r="K1147" s="35" t="b">
        <v>0</v>
      </c>
      <c r="L1147" s="35" t="b">
        <v>0</v>
      </c>
      <c r="M1147" s="35" t="b">
        <v>0</v>
      </c>
      <c r="N1147" s="35" t="b">
        <v>0</v>
      </c>
      <c r="O1147" s="35" t="b">
        <v>0</v>
      </c>
      <c r="P1147" s="35" t="b">
        <v>0</v>
      </c>
      <c r="Q1147" s="35" t="b">
        <v>0</v>
      </c>
      <c r="R1147" s="14"/>
      <c r="S1147" s="14"/>
      <c r="T1147" s="14"/>
      <c r="U1147" s="14"/>
      <c r="V1147" s="14"/>
      <c r="W1147" s="14"/>
    </row>
    <row r="1148" ht="31.5" customHeight="1">
      <c r="A1148" s="109" t="s">
        <v>13542</v>
      </c>
      <c r="B1148" s="110" t="s">
        <v>13544</v>
      </c>
      <c r="C1148" s="111" t="s">
        <v>13545</v>
      </c>
      <c r="D1148" s="28" t="s">
        <v>13546</v>
      </c>
      <c r="E1148" s="28" t="str">
        <f>IFERROR(__xludf.DUMMYFUNCTION("GOOGLETRANSLATE(D1148,""zh-CN"",""vi"")"),"Những tình huống này tương tự nhau.")</f>
        <v>Những tình huống này tương tự nhau.</v>
      </c>
      <c r="F1148" s="131"/>
      <c r="G1148" s="36" t="b">
        <f t="shared" si="1"/>
        <v>0</v>
      </c>
      <c r="H1148" s="35" t="b">
        <v>1</v>
      </c>
      <c r="I1148" s="35" t="b">
        <v>0</v>
      </c>
      <c r="J1148" s="35" t="b">
        <v>0</v>
      </c>
      <c r="K1148" s="35" t="b">
        <v>0</v>
      </c>
      <c r="L1148" s="35" t="b">
        <v>0</v>
      </c>
      <c r="M1148" s="35" t="b">
        <v>0</v>
      </c>
      <c r="N1148" s="35" t="b">
        <v>0</v>
      </c>
      <c r="O1148" s="35" t="b">
        <v>0</v>
      </c>
      <c r="P1148" s="35" t="b">
        <v>0</v>
      </c>
      <c r="Q1148" s="35" t="b">
        <v>0</v>
      </c>
      <c r="R1148" s="14"/>
      <c r="S1148" s="14"/>
      <c r="T1148" s="14"/>
      <c r="U1148" s="14"/>
      <c r="V1148" s="14"/>
      <c r="W1148" s="14"/>
    </row>
    <row r="1149" ht="31.5" customHeight="1">
      <c r="A1149" s="109" t="s">
        <v>8632</v>
      </c>
      <c r="B1149" s="110" t="s">
        <v>8633</v>
      </c>
      <c r="C1149" s="111" t="s">
        <v>13547</v>
      </c>
      <c r="D1149" s="28" t="s">
        <v>13548</v>
      </c>
      <c r="E1149" s="28" t="str">
        <f>IFERROR(__xludf.DUMMYFUNCTION("GOOGLETRANSLATE(D1149,""zh-CN"",""vi"")"),"Anh ta rất lạnh lùng với chúng tôi.")</f>
        <v>Anh ta rất lạnh lùng với chúng tôi.</v>
      </c>
      <c r="F1149" s="131"/>
      <c r="G1149" s="36" t="b">
        <f t="shared" si="1"/>
        <v>0</v>
      </c>
      <c r="H1149" s="35" t="b">
        <v>1</v>
      </c>
      <c r="I1149" s="35" t="b">
        <v>0</v>
      </c>
      <c r="J1149" s="35" t="b">
        <v>0</v>
      </c>
      <c r="K1149" s="35" t="b">
        <v>0</v>
      </c>
      <c r="L1149" s="35" t="b">
        <v>0</v>
      </c>
      <c r="M1149" s="35" t="b">
        <v>0</v>
      </c>
      <c r="N1149" s="35" t="b">
        <v>0</v>
      </c>
      <c r="O1149" s="35" t="b">
        <v>0</v>
      </c>
      <c r="P1149" s="35" t="b">
        <v>0</v>
      </c>
      <c r="Q1149" s="35" t="b">
        <v>0</v>
      </c>
      <c r="R1149" s="14"/>
      <c r="S1149" s="14"/>
      <c r="T1149" s="14"/>
      <c r="U1149" s="14"/>
      <c r="V1149" s="14"/>
      <c r="W1149" s="14"/>
    </row>
    <row r="1150" ht="31.5" customHeight="1">
      <c r="A1150" s="109" t="s">
        <v>13553</v>
      </c>
      <c r="B1150" s="110" t="s">
        <v>13554</v>
      </c>
      <c r="C1150" s="111" t="s">
        <v>13555</v>
      </c>
      <c r="D1150" s="28" t="s">
        <v>13556</v>
      </c>
      <c r="E1150" s="28" t="str">
        <f>IFERROR(__xludf.DUMMYFUNCTION("GOOGLETRANSLATE(D1150,""zh-CN"",""vi"")"),"Thái độ của anh ta lạnh lùng.")</f>
        <v>Thái độ của anh ta lạnh lùng.</v>
      </c>
      <c r="F1150" s="131"/>
      <c r="G1150" s="36" t="b">
        <f t="shared" si="1"/>
        <v>0</v>
      </c>
      <c r="H1150" s="35" t="b">
        <v>1</v>
      </c>
      <c r="I1150" s="35" t="b">
        <v>0</v>
      </c>
      <c r="J1150" s="35" t="b">
        <v>0</v>
      </c>
      <c r="K1150" s="35" t="b">
        <v>0</v>
      </c>
      <c r="L1150" s="35" t="b">
        <v>0</v>
      </c>
      <c r="M1150" s="35" t="b">
        <v>0</v>
      </c>
      <c r="N1150" s="35" t="b">
        <v>0</v>
      </c>
      <c r="O1150" s="35" t="b">
        <v>0</v>
      </c>
      <c r="P1150" s="35" t="b">
        <v>0</v>
      </c>
      <c r="Q1150" s="35" t="b">
        <v>0</v>
      </c>
      <c r="R1150" s="14"/>
      <c r="S1150" s="14"/>
      <c r="T1150" s="14"/>
      <c r="U1150" s="14"/>
      <c r="V1150" s="14"/>
      <c r="W1150" s="14"/>
    </row>
    <row r="1151" ht="31.5" customHeight="1">
      <c r="A1151" s="109" t="s">
        <v>13561</v>
      </c>
      <c r="B1151" s="110" t="s">
        <v>13562</v>
      </c>
      <c r="C1151" s="111" t="s">
        <v>13563</v>
      </c>
      <c r="D1151" s="28" t="s">
        <v>13564</v>
      </c>
      <c r="E1151" s="28" t="str">
        <f>IFERROR(__xludf.DUMMYFUNCTION("GOOGLETRANSLATE(D1151,""zh-CN"",""vi"")"),"Đá nguội đi rất nhanh.")</f>
        <v>Đá nguội đi rất nhanh.</v>
      </c>
      <c r="F1151" s="131"/>
      <c r="G1151" s="36" t="b">
        <f t="shared" si="1"/>
        <v>0</v>
      </c>
      <c r="H1151" s="35" t="b">
        <v>1</v>
      </c>
      <c r="I1151" s="35" t="b">
        <v>0</v>
      </c>
      <c r="J1151" s="35" t="b">
        <v>0</v>
      </c>
      <c r="K1151" s="35" t="b">
        <v>0</v>
      </c>
      <c r="L1151" s="35" t="b">
        <v>0</v>
      </c>
      <c r="M1151" s="35" t="b">
        <v>0</v>
      </c>
      <c r="N1151" s="35" t="b">
        <v>0</v>
      </c>
      <c r="O1151" s="35" t="b">
        <v>0</v>
      </c>
      <c r="P1151" s="35" t="b">
        <v>0</v>
      </c>
      <c r="Q1151" s="35" t="b">
        <v>0</v>
      </c>
      <c r="R1151" s="14"/>
      <c r="S1151" s="14"/>
      <c r="T1151" s="14"/>
      <c r="U1151" s="14"/>
      <c r="V1151" s="14"/>
      <c r="W1151" s="14"/>
    </row>
    <row r="1152" ht="31.5" customHeight="1">
      <c r="A1152" s="109" t="s">
        <v>13565</v>
      </c>
      <c r="B1152" s="110" t="s">
        <v>13566</v>
      </c>
      <c r="C1152" s="111" t="s">
        <v>13567</v>
      </c>
      <c r="D1152" s="28" t="s">
        <v>13568</v>
      </c>
      <c r="E1152" s="28" t="str">
        <f>IFERROR(__xludf.DUMMYFUNCTION("GOOGLETRANSLATE(D1152,""zh-CN"",""vi"")"),"Anh ấy dừng lại một lát.")</f>
        <v>Anh ấy dừng lại một lát.</v>
      </c>
      <c r="F1152" s="128"/>
      <c r="G1152" s="36" t="b">
        <f t="shared" si="1"/>
        <v>0</v>
      </c>
      <c r="H1152" s="35" t="b">
        <v>1</v>
      </c>
      <c r="I1152" s="35" t="b">
        <v>0</v>
      </c>
      <c r="J1152" s="35" t="b">
        <v>0</v>
      </c>
      <c r="K1152" s="35" t="b">
        <v>0</v>
      </c>
      <c r="L1152" s="35" t="b">
        <v>0</v>
      </c>
      <c r="M1152" s="35" t="b">
        <v>0</v>
      </c>
      <c r="N1152" s="35" t="b">
        <v>0</v>
      </c>
      <c r="O1152" s="35" t="b">
        <v>0</v>
      </c>
      <c r="P1152" s="35" t="b">
        <v>0</v>
      </c>
      <c r="Q1152" s="35" t="b">
        <v>0</v>
      </c>
      <c r="R1152" s="14"/>
      <c r="S1152" s="14"/>
      <c r="T1152" s="14"/>
      <c r="U1152" s="14"/>
      <c r="V1152" s="14"/>
      <c r="W1152" s="14"/>
    </row>
    <row r="1153" ht="31.5" customHeight="1">
      <c r="A1153" s="109" t="s">
        <v>13571</v>
      </c>
      <c r="B1153" s="110" t="s">
        <v>13573</v>
      </c>
      <c r="C1153" s="111" t="s">
        <v>13575</v>
      </c>
      <c r="D1153" s="28" t="s">
        <v>13576</v>
      </c>
      <c r="E1153" s="28" t="str">
        <f>IFERROR(__xludf.DUMMYFUNCTION("GOOGLETRANSLATE(D1153,""zh-CN"",""vi"")"),"Lúc bình minh, bầu trời thật đẹp.")</f>
        <v>Lúc bình minh, bầu trời thật đẹp.</v>
      </c>
      <c r="F1153" s="128"/>
      <c r="G1153" s="36" t="b">
        <f t="shared" si="1"/>
        <v>0</v>
      </c>
      <c r="H1153" s="35" t="b">
        <v>1</v>
      </c>
      <c r="I1153" s="35" t="b">
        <v>0</v>
      </c>
      <c r="J1153" s="35" t="b">
        <v>0</v>
      </c>
      <c r="K1153" s="35" t="b">
        <v>0</v>
      </c>
      <c r="L1153" s="35" t="b">
        <v>0</v>
      </c>
      <c r="M1153" s="35" t="b">
        <v>0</v>
      </c>
      <c r="N1153" s="35" t="b">
        <v>0</v>
      </c>
      <c r="O1153" s="35" t="b">
        <v>0</v>
      </c>
      <c r="P1153" s="35" t="b">
        <v>0</v>
      </c>
      <c r="Q1153" s="35" t="b">
        <v>0</v>
      </c>
      <c r="R1153" s="14"/>
      <c r="S1153" s="14"/>
      <c r="T1153" s="14"/>
      <c r="U1153" s="14"/>
      <c r="V1153" s="14"/>
      <c r="W1153" s="14"/>
    </row>
    <row r="1154" ht="31.5" customHeight="1">
      <c r="A1154" s="109" t="s">
        <v>13577</v>
      </c>
      <c r="B1154" s="110" t="s">
        <v>13578</v>
      </c>
      <c r="C1154" s="111" t="s">
        <v>13579</v>
      </c>
      <c r="D1154" s="28" t="s">
        <v>13580</v>
      </c>
      <c r="E1154" s="28" t="str">
        <f>IFERROR(__xludf.DUMMYFUNCTION("GOOGLETRANSLATE(D1154,""zh-CN"",""vi"")"),"Anh ta phớt lờ ý kiến ​​của người khác.")</f>
        <v>Anh ta phớt lờ ý kiến ​​của người khác.</v>
      </c>
      <c r="F1154" s="128"/>
      <c r="G1154" s="36" t="b">
        <f t="shared" si="1"/>
        <v>0</v>
      </c>
      <c r="H1154" s="35" t="b">
        <v>1</v>
      </c>
      <c r="I1154" s="35" t="b">
        <v>0</v>
      </c>
      <c r="J1154" s="35" t="b">
        <v>0</v>
      </c>
      <c r="K1154" s="35" t="b">
        <v>0</v>
      </c>
      <c r="L1154" s="35" t="b">
        <v>0</v>
      </c>
      <c r="M1154" s="35" t="b">
        <v>0</v>
      </c>
      <c r="N1154" s="35" t="b">
        <v>0</v>
      </c>
      <c r="O1154" s="35" t="b">
        <v>0</v>
      </c>
      <c r="P1154" s="35" t="b">
        <v>0</v>
      </c>
      <c r="Q1154" s="35" t="b">
        <v>0</v>
      </c>
      <c r="R1154" s="14"/>
      <c r="S1154" s="14"/>
      <c r="T1154" s="14"/>
      <c r="U1154" s="14"/>
      <c r="V1154" s="14"/>
      <c r="W1154" s="14"/>
    </row>
    <row r="1155" ht="31.5" customHeight="1">
      <c r="A1155" s="109" t="s">
        <v>13585</v>
      </c>
      <c r="B1155" s="110" t="s">
        <v>13586</v>
      </c>
      <c r="C1155" s="111" t="s">
        <v>13587</v>
      </c>
      <c r="D1155" s="28" t="s">
        <v>13588</v>
      </c>
      <c r="E1155" s="28" t="str">
        <f>IFERROR(__xludf.DUMMYFUNCTION("GOOGLETRANSLATE(D1155,""zh-CN"",""vi"")"),"Cuộc họp này là một cột mốc quan trọng.")</f>
        <v>Cuộc họp này là một cột mốc quan trọng.</v>
      </c>
      <c r="F1155" s="128"/>
      <c r="G1155" s="36" t="b">
        <f t="shared" si="1"/>
        <v>0</v>
      </c>
      <c r="H1155" s="35" t="b">
        <v>1</v>
      </c>
      <c r="I1155" s="35" t="b">
        <v>0</v>
      </c>
      <c r="J1155" s="35" t="b">
        <v>0</v>
      </c>
      <c r="K1155" s="35" t="b">
        <v>0</v>
      </c>
      <c r="L1155" s="35" t="b">
        <v>0</v>
      </c>
      <c r="M1155" s="35" t="b">
        <v>0</v>
      </c>
      <c r="N1155" s="35" t="b">
        <v>0</v>
      </c>
      <c r="O1155" s="35" t="b">
        <v>0</v>
      </c>
      <c r="P1155" s="35" t="b">
        <v>0</v>
      </c>
      <c r="Q1155" s="35" t="b">
        <v>0</v>
      </c>
      <c r="R1155" s="14"/>
      <c r="S1155" s="14"/>
      <c r="T1155" s="14"/>
      <c r="U1155" s="14"/>
      <c r="V1155" s="14"/>
      <c r="W1155" s="14"/>
    </row>
    <row r="1156" ht="31.5" customHeight="1">
      <c r="A1156" s="109" t="s">
        <v>13593</v>
      </c>
      <c r="B1156" s="110" t="s">
        <v>13594</v>
      </c>
      <c r="C1156" s="111" t="s">
        <v>13595</v>
      </c>
      <c r="D1156" s="28" t="s">
        <v>13596</v>
      </c>
      <c r="E1156" s="28" t="str">
        <f>IFERROR(__xludf.DUMMYFUNCTION("GOOGLETRANSLATE(D1156,""zh-CN"",""vi"")"),"Họ tuân thủ phép tắc ứng xử.")</f>
        <v>Họ tuân thủ phép tắc ứng xử.</v>
      </c>
      <c r="F1156" s="128"/>
      <c r="G1156" s="36" t="b">
        <f t="shared" si="1"/>
        <v>0</v>
      </c>
      <c r="H1156" s="35" t="b">
        <v>1</v>
      </c>
      <c r="I1156" s="35" t="b">
        <v>0</v>
      </c>
      <c r="J1156" s="35" t="b">
        <v>0</v>
      </c>
      <c r="K1156" s="35" t="b">
        <v>0</v>
      </c>
      <c r="L1156" s="35" t="b">
        <v>0</v>
      </c>
      <c r="M1156" s="35" t="b">
        <v>0</v>
      </c>
      <c r="N1156" s="35" t="b">
        <v>0</v>
      </c>
      <c r="O1156" s="35" t="b">
        <v>0</v>
      </c>
      <c r="P1156" s="35" t="b">
        <v>0</v>
      </c>
      <c r="Q1156" s="35" t="b">
        <v>0</v>
      </c>
      <c r="R1156" s="14"/>
      <c r="S1156" s="14"/>
      <c r="T1156" s="14"/>
      <c r="U1156" s="14"/>
      <c r="V1156" s="14"/>
      <c r="W1156" s="14"/>
    </row>
    <row r="1157" ht="31.5" customHeight="1">
      <c r="A1157" s="109" t="s">
        <v>13601</v>
      </c>
      <c r="B1157" s="110" t="s">
        <v>13602</v>
      </c>
      <c r="C1157" s="111" t="s">
        <v>13603</v>
      </c>
      <c r="D1157" s="28" t="s">
        <v>13604</v>
      </c>
      <c r="E1157" s="28" t="str">
        <f>IFERROR(__xludf.DUMMYFUNCTION("GOOGLETRANSLATE(D1157,""zh-CN"",""vi"")"),"Điều này là lẽ tự nhiên.")</f>
        <v>Điều này là lẽ tự nhiên.</v>
      </c>
      <c r="F1157" s="128"/>
      <c r="G1157" s="36" t="b">
        <f t="shared" si="1"/>
        <v>0</v>
      </c>
      <c r="H1157" s="35" t="b">
        <v>1</v>
      </c>
      <c r="I1157" s="35" t="b">
        <v>0</v>
      </c>
      <c r="J1157" s="35" t="b">
        <v>0</v>
      </c>
      <c r="K1157" s="35" t="b">
        <v>0</v>
      </c>
      <c r="L1157" s="35" t="b">
        <v>0</v>
      </c>
      <c r="M1157" s="35" t="b">
        <v>0</v>
      </c>
      <c r="N1157" s="35" t="b">
        <v>0</v>
      </c>
      <c r="O1157" s="35" t="b">
        <v>0</v>
      </c>
      <c r="P1157" s="35" t="b">
        <v>0</v>
      </c>
      <c r="Q1157" s="35" t="b">
        <v>0</v>
      </c>
      <c r="R1157" s="14"/>
      <c r="S1157" s="14"/>
      <c r="T1157" s="14"/>
      <c r="U1157" s="14"/>
      <c r="V1157" s="14"/>
      <c r="W1157" s="14"/>
    </row>
    <row r="1158" ht="31.5" customHeight="1">
      <c r="A1158" s="109" t="s">
        <v>13609</v>
      </c>
      <c r="B1158" s="110" t="s">
        <v>13610</v>
      </c>
      <c r="C1158" s="111" t="s">
        <v>13611</v>
      </c>
      <c r="D1158" s="28" t="s">
        <v>13612</v>
      </c>
      <c r="E1158" s="28" t="str">
        <f>IFERROR(__xludf.DUMMYFUNCTION("GOOGLETRANSLATE(D1158,""zh-CN"",""vi"")"),"Anh ấy trả lời một cách tự tin.")</f>
        <v>Anh ấy trả lời một cách tự tin.</v>
      </c>
      <c r="F1158" s="128"/>
      <c r="G1158" s="36" t="b">
        <f t="shared" si="1"/>
        <v>0</v>
      </c>
      <c r="H1158" s="35" t="b">
        <v>1</v>
      </c>
      <c r="I1158" s="35" t="b">
        <v>0</v>
      </c>
      <c r="J1158" s="35" t="b">
        <v>0</v>
      </c>
      <c r="K1158" s="35" t="b">
        <v>0</v>
      </c>
      <c r="L1158" s="35" t="b">
        <v>0</v>
      </c>
      <c r="M1158" s="35" t="b">
        <v>0</v>
      </c>
      <c r="N1158" s="35" t="b">
        <v>0</v>
      </c>
      <c r="O1158" s="35" t="b">
        <v>0</v>
      </c>
      <c r="P1158" s="35" t="b">
        <v>0</v>
      </c>
      <c r="Q1158" s="35" t="b">
        <v>0</v>
      </c>
      <c r="R1158" s="14"/>
      <c r="S1158" s="14"/>
      <c r="T1158" s="14"/>
      <c r="U1158" s="14"/>
      <c r="V1158" s="14"/>
      <c r="W1158" s="14"/>
    </row>
    <row r="1159" ht="31.5" customHeight="1">
      <c r="A1159" s="109" t="s">
        <v>13617</v>
      </c>
      <c r="B1159" s="110" t="s">
        <v>13618</v>
      </c>
      <c r="C1159" s="111" t="s">
        <v>13619</v>
      </c>
      <c r="D1159" s="28" t="s">
        <v>13620</v>
      </c>
      <c r="E1159" s="28" t="str">
        <f>IFERROR(__xludf.DUMMYFUNCTION("GOOGLETRANSLATE(D1159,""zh-CN"",""vi"")"),"Anh ấy rất lý trí.")</f>
        <v>Anh ấy rất lý trí.</v>
      </c>
      <c r="F1159" s="128"/>
      <c r="G1159" s="36" t="b">
        <f t="shared" si="1"/>
        <v>0</v>
      </c>
      <c r="H1159" s="35" t="b">
        <v>1</v>
      </c>
      <c r="I1159" s="35" t="b">
        <v>0</v>
      </c>
      <c r="J1159" s="35" t="b">
        <v>0</v>
      </c>
      <c r="K1159" s="35" t="b">
        <v>0</v>
      </c>
      <c r="L1159" s="35" t="b">
        <v>0</v>
      </c>
      <c r="M1159" s="35" t="b">
        <v>0</v>
      </c>
      <c r="N1159" s="35" t="b">
        <v>0</v>
      </c>
      <c r="O1159" s="35" t="b">
        <v>0</v>
      </c>
      <c r="P1159" s="35" t="b">
        <v>0</v>
      </c>
      <c r="Q1159" s="35" t="b">
        <v>0</v>
      </c>
      <c r="R1159" s="14"/>
      <c r="S1159" s="14"/>
      <c r="T1159" s="14"/>
      <c r="U1159" s="14"/>
      <c r="V1159" s="14"/>
      <c r="W1159" s="14"/>
    </row>
    <row r="1160" ht="31.5" customHeight="1">
      <c r="A1160" s="109" t="s">
        <v>13623</v>
      </c>
      <c r="B1160" s="110" t="s">
        <v>13625</v>
      </c>
      <c r="C1160" s="111" t="s">
        <v>13627</v>
      </c>
      <c r="D1160" s="28" t="s">
        <v>13628</v>
      </c>
      <c r="E1160" s="28" t="str">
        <f>IFERROR(__xludf.DUMMYFUNCTION("GOOGLETRANSLATE(D1160,""zh-CN"",""vi"")"),"Lập trường của ông ấy rất rõ ràng.")</f>
        <v>Lập trường của ông ấy rất rõ ràng.</v>
      </c>
      <c r="F1160" s="128"/>
      <c r="G1160" s="36" t="b">
        <f t="shared" si="1"/>
        <v>0</v>
      </c>
      <c r="H1160" s="35" t="b">
        <v>1</v>
      </c>
      <c r="I1160" s="35" t="b">
        <v>0</v>
      </c>
      <c r="J1160" s="35" t="b">
        <v>0</v>
      </c>
      <c r="K1160" s="35" t="b">
        <v>0</v>
      </c>
      <c r="L1160" s="35" t="b">
        <v>0</v>
      </c>
      <c r="M1160" s="35" t="b">
        <v>0</v>
      </c>
      <c r="N1160" s="35" t="b">
        <v>0</v>
      </c>
      <c r="O1160" s="35" t="b">
        <v>0</v>
      </c>
      <c r="P1160" s="35" t="b">
        <v>0</v>
      </c>
      <c r="Q1160" s="35" t="b">
        <v>0</v>
      </c>
      <c r="R1160" s="14"/>
      <c r="S1160" s="14"/>
      <c r="T1160" s="14"/>
      <c r="U1160" s="14"/>
      <c r="V1160" s="14"/>
      <c r="W1160" s="14"/>
    </row>
    <row r="1161" ht="31.5" customHeight="1">
      <c r="A1161" s="109" t="s">
        <v>13629</v>
      </c>
      <c r="B1161" s="110" t="s">
        <v>13630</v>
      </c>
      <c r="C1161" s="111" t="s">
        <v>13632</v>
      </c>
      <c r="D1161" s="28" t="s">
        <v>13634</v>
      </c>
      <c r="E1161" s="28" t="str">
        <f>IFERROR(__xludf.DUMMYFUNCTION("GOOGLETRANSLATE(D1161,""zh-CN"",""vi"")"),"Những truyền thống này đã được lưu truyền qua nhiều thế hệ.")</f>
        <v>Những truyền thống này đã được lưu truyền qua nhiều thế hệ.</v>
      </c>
      <c r="F1161" s="128"/>
      <c r="G1161" s="36" t="b">
        <f t="shared" si="1"/>
        <v>0</v>
      </c>
      <c r="H1161" s="35" t="b">
        <v>1</v>
      </c>
      <c r="I1161" s="35" t="b">
        <v>0</v>
      </c>
      <c r="J1161" s="35" t="b">
        <v>0</v>
      </c>
      <c r="K1161" s="35" t="b">
        <v>0</v>
      </c>
      <c r="L1161" s="35" t="b">
        <v>0</v>
      </c>
      <c r="M1161" s="35" t="b">
        <v>0</v>
      </c>
      <c r="N1161" s="35" t="b">
        <v>0</v>
      </c>
      <c r="O1161" s="35" t="b">
        <v>0</v>
      </c>
      <c r="P1161" s="35" t="b">
        <v>0</v>
      </c>
      <c r="Q1161" s="35" t="b">
        <v>0</v>
      </c>
      <c r="R1161" s="14"/>
      <c r="S1161" s="14"/>
      <c r="T1161" s="14"/>
      <c r="U1161" s="14"/>
      <c r="V1161" s="14"/>
      <c r="W1161" s="14"/>
    </row>
    <row r="1162" ht="31.5" customHeight="1">
      <c r="A1162" s="109" t="s">
        <v>13637</v>
      </c>
      <c r="B1162" s="110" t="s">
        <v>13638</v>
      </c>
      <c r="C1162" s="111" t="s">
        <v>13640</v>
      </c>
      <c r="D1162" s="28" t="s">
        <v>13642</v>
      </c>
      <c r="E1162" s="28" t="str">
        <f>IFERROR(__xludf.DUMMYFUNCTION("GOOGLETRANSLATE(D1162,""zh-CN"",""vi"")"),"Lợi ích của họ đan xen lẫn nhau.")</f>
        <v>Lợi ích của họ đan xen lẫn nhau.</v>
      </c>
      <c r="F1162" s="128"/>
      <c r="G1162" s="36" t="b">
        <f t="shared" si="1"/>
        <v>0</v>
      </c>
      <c r="H1162" s="35" t="b">
        <v>1</v>
      </c>
      <c r="I1162" s="35" t="b">
        <v>0</v>
      </c>
      <c r="J1162" s="35" t="b">
        <v>0</v>
      </c>
      <c r="K1162" s="35" t="b">
        <v>0</v>
      </c>
      <c r="L1162" s="35" t="b">
        <v>0</v>
      </c>
      <c r="M1162" s="35" t="b">
        <v>0</v>
      </c>
      <c r="N1162" s="35" t="b">
        <v>0</v>
      </c>
      <c r="O1162" s="35" t="b">
        <v>0</v>
      </c>
      <c r="P1162" s="35" t="b">
        <v>0</v>
      </c>
      <c r="Q1162" s="35" t="b">
        <v>0</v>
      </c>
      <c r="R1162" s="14"/>
      <c r="S1162" s="14"/>
      <c r="T1162" s="14"/>
      <c r="U1162" s="14"/>
      <c r="V1162" s="14"/>
      <c r="W1162" s="14"/>
    </row>
    <row r="1163" ht="31.5" customHeight="1">
      <c r="A1163" s="109" t="s">
        <v>13645</v>
      </c>
      <c r="B1163" s="110" t="s">
        <v>13646</v>
      </c>
      <c r="C1163" s="111" t="s">
        <v>13647</v>
      </c>
      <c r="D1163" s="28" t="s">
        <v>13648</v>
      </c>
      <c r="E1163" s="28" t="str">
        <f>IFERROR(__xludf.DUMMYFUNCTION("GOOGLETRANSLATE(D1163,""zh-CN"",""vi"")"),"Thành phố này có rất nhiều cầu vượt.")</f>
        <v>Thành phố này có rất nhiều cầu vượt.</v>
      </c>
      <c r="F1163" s="128"/>
      <c r="G1163" s="36" t="b">
        <f t="shared" si="1"/>
        <v>0</v>
      </c>
      <c r="H1163" s="35" t="b">
        <v>1</v>
      </c>
      <c r="I1163" s="35" t="b">
        <v>0</v>
      </c>
      <c r="J1163" s="35" t="b">
        <v>0</v>
      </c>
      <c r="K1163" s="35" t="b">
        <v>0</v>
      </c>
      <c r="L1163" s="35" t="b">
        <v>0</v>
      </c>
      <c r="M1163" s="35" t="b">
        <v>0</v>
      </c>
      <c r="N1163" s="35" t="b">
        <v>0</v>
      </c>
      <c r="O1163" s="35" t="b">
        <v>0</v>
      </c>
      <c r="P1163" s="35" t="b">
        <v>0</v>
      </c>
      <c r="Q1163" s="35" t="b">
        <v>0</v>
      </c>
      <c r="R1163" s="14"/>
      <c r="S1163" s="14"/>
      <c r="T1163" s="14"/>
      <c r="U1163" s="14"/>
      <c r="V1163" s="14"/>
      <c r="W1163" s="14"/>
    </row>
    <row r="1164" ht="31.5" customHeight="1">
      <c r="A1164" s="109" t="s">
        <v>13655</v>
      </c>
      <c r="B1164" s="110" t="s">
        <v>13657</v>
      </c>
      <c r="C1164" s="111" t="s">
        <v>13658</v>
      </c>
      <c r="D1164" s="28" t="s">
        <v>13659</v>
      </c>
      <c r="E1164" s="28" t="str">
        <f>IFERROR(__xludf.DUMMYFUNCTION("GOOGLETRANSLATE(D1164,""zh-CN"",""vi"")"),"Phong tục này đã tồn tại từ lâu.")</f>
        <v>Phong tục này đã tồn tại từ lâu.</v>
      </c>
      <c r="F1164" s="128"/>
      <c r="G1164" s="36" t="b">
        <f t="shared" si="1"/>
        <v>0</v>
      </c>
      <c r="H1164" s="35" t="b">
        <v>1</v>
      </c>
      <c r="I1164" s="35" t="b">
        <v>0</v>
      </c>
      <c r="J1164" s="35" t="b">
        <v>0</v>
      </c>
      <c r="K1164" s="35" t="b">
        <v>0</v>
      </c>
      <c r="L1164" s="35" t="b">
        <v>0</v>
      </c>
      <c r="M1164" s="35" t="b">
        <v>0</v>
      </c>
      <c r="N1164" s="35" t="b">
        <v>0</v>
      </c>
      <c r="O1164" s="35" t="b">
        <v>0</v>
      </c>
      <c r="P1164" s="35" t="b">
        <v>0</v>
      </c>
      <c r="Q1164" s="35" t="b">
        <v>0</v>
      </c>
      <c r="R1164" s="14"/>
      <c r="S1164" s="14"/>
      <c r="T1164" s="14"/>
      <c r="U1164" s="14"/>
      <c r="V1164" s="14"/>
      <c r="W1164" s="14"/>
    </row>
    <row r="1165" ht="31.5" customHeight="1">
      <c r="A1165" s="109" t="s">
        <v>13662</v>
      </c>
      <c r="B1165" s="110" t="s">
        <v>13664</v>
      </c>
      <c r="C1165" s="111" t="s">
        <v>13665</v>
      </c>
      <c r="D1165" s="28" t="s">
        <v>13666</v>
      </c>
      <c r="E1165" s="28" t="str">
        <f>IFERROR(__xludf.DUMMYFUNCTION("GOOGLETRANSLATE(D1165,""zh-CN"",""vi"")"),"Lãi suất ngân hàng rất cao.")</f>
        <v>Lãi suất ngân hàng rất cao.</v>
      </c>
      <c r="F1165" s="128"/>
      <c r="G1165" s="36" t="b">
        <f t="shared" si="1"/>
        <v>0</v>
      </c>
      <c r="H1165" s="35" t="b">
        <v>1</v>
      </c>
      <c r="I1165" s="35" t="b">
        <v>0</v>
      </c>
      <c r="J1165" s="35" t="b">
        <v>0</v>
      </c>
      <c r="K1165" s="35" t="b">
        <v>0</v>
      </c>
      <c r="L1165" s="35" t="b">
        <v>0</v>
      </c>
      <c r="M1165" s="35" t="b">
        <v>0</v>
      </c>
      <c r="N1165" s="35" t="b">
        <v>0</v>
      </c>
      <c r="O1165" s="35" t="b">
        <v>0</v>
      </c>
      <c r="P1165" s="35" t="b">
        <v>0</v>
      </c>
      <c r="Q1165" s="35" t="b">
        <v>0</v>
      </c>
      <c r="R1165" s="14"/>
      <c r="S1165" s="14"/>
      <c r="T1165" s="14"/>
      <c r="U1165" s="14"/>
      <c r="V1165" s="14"/>
      <c r="W1165" s="14"/>
    </row>
    <row r="1166" ht="31.5" customHeight="1">
      <c r="A1166" s="109" t="s">
        <v>13669</v>
      </c>
      <c r="B1166" s="110" t="s">
        <v>13671</v>
      </c>
      <c r="C1166" s="111" t="s">
        <v>13673</v>
      </c>
      <c r="D1166" s="28" t="s">
        <v>13674</v>
      </c>
      <c r="E1166" s="28" t="str">
        <f>IFERROR(__xludf.DUMMYFUNCTION("GOOGLETRANSLATE(D1166,""zh-CN"",""vi"")"),"Anh ấy đã làm hết sức mình.")</f>
        <v>Anh ấy đã làm hết sức mình.</v>
      </c>
      <c r="F1166" s="128"/>
      <c r="G1166" s="36" t="b">
        <f t="shared" si="1"/>
        <v>0</v>
      </c>
      <c r="H1166" s="35" t="b">
        <v>1</v>
      </c>
      <c r="I1166" s="35" t="b">
        <v>0</v>
      </c>
      <c r="J1166" s="35" t="b">
        <v>0</v>
      </c>
      <c r="K1166" s="35" t="b">
        <v>0</v>
      </c>
      <c r="L1166" s="35" t="b">
        <v>0</v>
      </c>
      <c r="M1166" s="35" t="b">
        <v>0</v>
      </c>
      <c r="N1166" s="35" t="b">
        <v>0</v>
      </c>
      <c r="O1166" s="35" t="b">
        <v>0</v>
      </c>
      <c r="P1166" s="35" t="b">
        <v>0</v>
      </c>
      <c r="Q1166" s="35" t="b">
        <v>0</v>
      </c>
      <c r="R1166" s="14"/>
      <c r="S1166" s="14"/>
      <c r="T1166" s="14"/>
      <c r="U1166" s="14"/>
      <c r="V1166" s="14"/>
      <c r="W1166" s="14"/>
    </row>
    <row r="1167" ht="31.5" customHeight="1">
      <c r="A1167" s="109" t="s">
        <v>13679</v>
      </c>
      <c r="B1167" s="110" t="s">
        <v>13680</v>
      </c>
      <c r="C1167" s="111" t="s">
        <v>13681</v>
      </c>
      <c r="D1167" s="28" t="s">
        <v>13682</v>
      </c>
      <c r="E1167" s="28" t="str">
        <f>IFERROR(__xludf.DUMMYFUNCTION("GOOGLETRANSLATE(D1167,""zh-CN"",""vi"")"),"Đây là một tác phẩm điêu khắc ba chiều.")</f>
        <v>Đây là một tác phẩm điêu khắc ba chiều.</v>
      </c>
      <c r="F1167" s="128"/>
      <c r="G1167" s="36" t="b">
        <f t="shared" si="1"/>
        <v>0</v>
      </c>
      <c r="H1167" s="35" t="b">
        <v>1</v>
      </c>
      <c r="I1167" s="35" t="b">
        <v>0</v>
      </c>
      <c r="J1167" s="35" t="b">
        <v>0</v>
      </c>
      <c r="K1167" s="35" t="b">
        <v>0</v>
      </c>
      <c r="L1167" s="35" t="b">
        <v>0</v>
      </c>
      <c r="M1167" s="35" t="b">
        <v>0</v>
      </c>
      <c r="N1167" s="35" t="b">
        <v>0</v>
      </c>
      <c r="O1167" s="35" t="b">
        <v>0</v>
      </c>
      <c r="P1167" s="35" t="b">
        <v>0</v>
      </c>
      <c r="Q1167" s="35" t="b">
        <v>0</v>
      </c>
      <c r="R1167" s="14"/>
      <c r="S1167" s="14"/>
      <c r="T1167" s="14"/>
      <c r="U1167" s="14"/>
      <c r="V1167" s="14"/>
      <c r="W1167" s="14"/>
    </row>
    <row r="1168" ht="31.5" customHeight="1">
      <c r="A1168" s="109" t="s">
        <v>13687</v>
      </c>
      <c r="B1168" s="110" t="s">
        <v>13688</v>
      </c>
      <c r="C1168" s="111" t="s">
        <v>13689</v>
      </c>
      <c r="D1168" s="28" t="s">
        <v>13690</v>
      </c>
      <c r="E1168" s="28" t="str">
        <f>IFERROR(__xludf.DUMMYFUNCTION("GOOGLETRANSLATE(D1168,""zh-CN"",""vi"")"),"Anh ấy đã cố gắng giải quyết vấn đề.")</f>
        <v>Anh ấy đã cố gắng giải quyết vấn đề.</v>
      </c>
      <c r="F1168" s="128"/>
      <c r="G1168" s="36" t="b">
        <f t="shared" si="1"/>
        <v>0</v>
      </c>
      <c r="H1168" s="35" t="b">
        <v>1</v>
      </c>
      <c r="I1168" s="35" t="b">
        <v>0</v>
      </c>
      <c r="J1168" s="35" t="b">
        <v>0</v>
      </c>
      <c r="K1168" s="35" t="b">
        <v>0</v>
      </c>
      <c r="L1168" s="35" t="b">
        <v>0</v>
      </c>
      <c r="M1168" s="35" t="b">
        <v>0</v>
      </c>
      <c r="N1168" s="35" t="b">
        <v>0</v>
      </c>
      <c r="O1168" s="35" t="b">
        <v>0</v>
      </c>
      <c r="P1168" s="35" t="b">
        <v>0</v>
      </c>
      <c r="Q1168" s="35" t="b">
        <v>0</v>
      </c>
      <c r="R1168" s="14"/>
      <c r="S1168" s="14"/>
      <c r="T1168" s="14"/>
      <c r="U1168" s="14"/>
      <c r="V1168" s="14"/>
      <c r="W1168" s="14"/>
    </row>
    <row r="1169" ht="31.5" customHeight="1">
      <c r="A1169" s="109" t="s">
        <v>13694</v>
      </c>
      <c r="B1169" s="110" t="s">
        <v>13695</v>
      </c>
      <c r="C1169" s="111" t="s">
        <v>13696</v>
      </c>
      <c r="D1169" s="28" t="s">
        <v>13697</v>
      </c>
      <c r="E1169" s="28" t="str">
        <f>IFERROR(__xludf.DUMMYFUNCTION("GOOGLETRANSLATE(D1169,""zh-CN"",""vi"")"),"Đây là một trường hợp ngoại lệ.")</f>
        <v>Đây là một trường hợp ngoại lệ.</v>
      </c>
      <c r="F1169" s="128"/>
      <c r="G1169" s="36" t="b">
        <f t="shared" si="1"/>
        <v>0</v>
      </c>
      <c r="H1169" s="35" t="b">
        <v>1</v>
      </c>
      <c r="I1169" s="35" t="b">
        <v>0</v>
      </c>
      <c r="J1169" s="35" t="b">
        <v>0</v>
      </c>
      <c r="K1169" s="35" t="b">
        <v>0</v>
      </c>
      <c r="L1169" s="35" t="b">
        <v>0</v>
      </c>
      <c r="M1169" s="35" t="b">
        <v>0</v>
      </c>
      <c r="N1169" s="35" t="b">
        <v>0</v>
      </c>
      <c r="O1169" s="35" t="b">
        <v>0</v>
      </c>
      <c r="P1169" s="35" t="b">
        <v>0</v>
      </c>
      <c r="Q1169" s="35" t="b">
        <v>0</v>
      </c>
      <c r="R1169" s="14"/>
      <c r="S1169" s="14"/>
      <c r="T1169" s="14"/>
      <c r="U1169" s="14"/>
      <c r="V1169" s="14"/>
      <c r="W1169" s="14"/>
    </row>
    <row r="1170" ht="31.5" customHeight="1">
      <c r="A1170" s="109" t="s">
        <v>13699</v>
      </c>
      <c r="B1170" s="110" t="s">
        <v>13701</v>
      </c>
      <c r="C1170" s="111" t="s">
        <v>13703</v>
      </c>
      <c r="D1170" s="28" t="s">
        <v>13704</v>
      </c>
      <c r="E1170" s="28" t="str">
        <f>IFERROR(__xludf.DUMMYFUNCTION("GOOGLETRANSLATE(D1170,""zh-CN"",""vi"")"),"Anh ấy luôn nỗ lực để đạt được mục tiêu của mình.")</f>
        <v>Anh ấy luôn nỗ lực để đạt được mục tiêu của mình.</v>
      </c>
      <c r="F1170" s="128"/>
      <c r="G1170" s="36" t="b">
        <f t="shared" si="1"/>
        <v>0</v>
      </c>
      <c r="H1170" s="35" t="b">
        <v>1</v>
      </c>
      <c r="I1170" s="35" t="b">
        <v>0</v>
      </c>
      <c r="J1170" s="35" t="b">
        <v>0</v>
      </c>
      <c r="K1170" s="35" t="b">
        <v>0</v>
      </c>
      <c r="L1170" s="35" t="b">
        <v>0</v>
      </c>
      <c r="M1170" s="35" t="b">
        <v>0</v>
      </c>
      <c r="N1170" s="35" t="b">
        <v>0</v>
      </c>
      <c r="O1170" s="35" t="b">
        <v>0</v>
      </c>
      <c r="P1170" s="35" t="b">
        <v>0</v>
      </c>
      <c r="Q1170" s="35" t="b">
        <v>0</v>
      </c>
      <c r="R1170" s="14"/>
      <c r="S1170" s="14"/>
      <c r="T1170" s="14"/>
      <c r="U1170" s="14"/>
      <c r="V1170" s="14"/>
      <c r="W1170" s="14"/>
    </row>
    <row r="1171" ht="31.5" customHeight="1">
      <c r="A1171" s="109" t="s">
        <v>13705</v>
      </c>
      <c r="B1171" s="110" t="s">
        <v>13707</v>
      </c>
      <c r="C1171" s="111" t="s">
        <v>13708</v>
      </c>
      <c r="D1171" s="127" t="s">
        <v>13710</v>
      </c>
      <c r="E1171" s="28" t="str">
        <f>IFERROR(__xludf.DUMMYFUNCTION("GOOGLETRANSLATE(D1171,""zh-CN"",""vi"")"),"Chỉ khi tập trung vào hiện tại, chúng ta mới có thể hiểu rõ hơn về tương lai.")</f>
        <v>Chỉ khi tập trung vào hiện tại, chúng ta mới có thể hiểu rõ hơn về tương lai.</v>
      </c>
      <c r="F1171" s="128"/>
      <c r="G1171" s="36" t="b">
        <f t="shared" si="1"/>
        <v>0</v>
      </c>
      <c r="H1171" s="35" t="b">
        <v>1</v>
      </c>
      <c r="I1171" s="35" t="b">
        <v>0</v>
      </c>
      <c r="J1171" s="35" t="b">
        <v>0</v>
      </c>
      <c r="K1171" s="35" t="b">
        <v>0</v>
      </c>
      <c r="L1171" s="35" t="b">
        <v>0</v>
      </c>
      <c r="M1171" s="35" t="b">
        <v>0</v>
      </c>
      <c r="N1171" s="35" t="b">
        <v>0</v>
      </c>
      <c r="O1171" s="35" t="b">
        <v>0</v>
      </c>
      <c r="P1171" s="35" t="b">
        <v>0</v>
      </c>
      <c r="Q1171" s="35" t="b">
        <v>0</v>
      </c>
      <c r="R1171" s="14"/>
      <c r="S1171" s="14"/>
      <c r="T1171" s="14"/>
      <c r="U1171" s="14"/>
      <c r="V1171" s="14"/>
      <c r="W1171" s="14"/>
    </row>
    <row r="1172" ht="31.5" customHeight="1">
      <c r="A1172" s="109" t="s">
        <v>13717</v>
      </c>
      <c r="B1172" s="110" t="s">
        <v>13718</v>
      </c>
      <c r="C1172" s="111" t="s">
        <v>13719</v>
      </c>
      <c r="D1172" s="28" t="s">
        <v>13720</v>
      </c>
      <c r="E1172" s="28" t="str">
        <f>IFERROR(__xludf.DUMMYFUNCTION("GOOGLETRANSLATE(D1172,""zh-CN"",""vi"")"),"Họ đã tổ chức một bữa tiệc.")</f>
        <v>Họ đã tổ chức một bữa tiệc.</v>
      </c>
      <c r="F1172" s="131"/>
      <c r="G1172" s="36" t="b">
        <f t="shared" si="1"/>
        <v>0</v>
      </c>
      <c r="H1172" s="35" t="b">
        <v>1</v>
      </c>
      <c r="I1172" s="35" t="b">
        <v>0</v>
      </c>
      <c r="J1172" s="35" t="b">
        <v>0</v>
      </c>
      <c r="K1172" s="35" t="b">
        <v>0</v>
      </c>
      <c r="L1172" s="35" t="b">
        <v>0</v>
      </c>
      <c r="M1172" s="35" t="b">
        <v>0</v>
      </c>
      <c r="N1172" s="35" t="b">
        <v>0</v>
      </c>
      <c r="O1172" s="35" t="b">
        <v>0</v>
      </c>
      <c r="P1172" s="35" t="b">
        <v>0</v>
      </c>
      <c r="Q1172" s="35" t="b">
        <v>0</v>
      </c>
      <c r="R1172" s="14"/>
      <c r="S1172" s="14"/>
      <c r="T1172" s="14"/>
      <c r="U1172" s="14"/>
      <c r="V1172" s="14"/>
      <c r="W1172" s="14"/>
    </row>
    <row r="1173" ht="31.5" customHeight="1">
      <c r="A1173" s="109" t="s">
        <v>13721</v>
      </c>
      <c r="B1173" s="110" t="s">
        <v>13722</v>
      </c>
      <c r="C1173" s="111" t="s">
        <v>13723</v>
      </c>
      <c r="D1173" s="28" t="s">
        <v>13724</v>
      </c>
      <c r="E1173" s="28" t="str">
        <f>IFERROR(__xludf.DUMMYFUNCTION("GOOGLETRANSLATE(D1173,""zh-CN"",""vi"")"),"Ông ấy là một quan chức trung thực và liêm khiết.")</f>
        <v>Ông ấy là một quan chức trung thực và liêm khiết.</v>
      </c>
      <c r="F1173" s="128"/>
      <c r="G1173" s="36" t="b">
        <f t="shared" si="1"/>
        <v>0</v>
      </c>
      <c r="H1173" s="35" t="b">
        <v>1</v>
      </c>
      <c r="I1173" s="35" t="b">
        <v>0</v>
      </c>
      <c r="J1173" s="35" t="b">
        <v>0</v>
      </c>
      <c r="K1173" s="35" t="b">
        <v>0</v>
      </c>
      <c r="L1173" s="35" t="b">
        <v>0</v>
      </c>
      <c r="M1173" s="35" t="b">
        <v>0</v>
      </c>
      <c r="N1173" s="35" t="b">
        <v>0</v>
      </c>
      <c r="O1173" s="35" t="b">
        <v>0</v>
      </c>
      <c r="P1173" s="35" t="b">
        <v>0</v>
      </c>
      <c r="Q1173" s="35" t="b">
        <v>0</v>
      </c>
      <c r="R1173" s="14"/>
      <c r="S1173" s="14"/>
      <c r="T1173" s="14"/>
      <c r="U1173" s="14"/>
      <c r="V1173" s="14"/>
      <c r="W1173" s="14"/>
    </row>
    <row r="1174" ht="31.5" customHeight="1">
      <c r="A1174" s="109" t="s">
        <v>13725</v>
      </c>
      <c r="B1174" s="110" t="s">
        <v>13726</v>
      </c>
      <c r="C1174" s="111" t="s">
        <v>13727</v>
      </c>
      <c r="D1174" s="28" t="s">
        <v>13728</v>
      </c>
      <c r="E1174" s="28" t="str">
        <f>IFERROR(__xludf.DUMMYFUNCTION("GOOGLETRANSLATE(D1174,""zh-CN"",""vi"")"),"Chúng tôi đã liên hệ với rất nhiều người.")</f>
        <v>Chúng tôi đã liên hệ với rất nhiều người.</v>
      </c>
      <c r="F1174" s="128"/>
      <c r="G1174" s="36" t="b">
        <f t="shared" si="1"/>
        <v>0</v>
      </c>
      <c r="H1174" s="35" t="b">
        <v>1</v>
      </c>
      <c r="I1174" s="35" t="b">
        <v>0</v>
      </c>
      <c r="J1174" s="35" t="b">
        <v>0</v>
      </c>
      <c r="K1174" s="35" t="b">
        <v>0</v>
      </c>
      <c r="L1174" s="35" t="b">
        <v>0</v>
      </c>
      <c r="M1174" s="35" t="b">
        <v>0</v>
      </c>
      <c r="N1174" s="35" t="b">
        <v>0</v>
      </c>
      <c r="O1174" s="35" t="b">
        <v>0</v>
      </c>
      <c r="P1174" s="35" t="b">
        <v>0</v>
      </c>
      <c r="Q1174" s="35" t="b">
        <v>0</v>
      </c>
      <c r="R1174" s="14"/>
      <c r="S1174" s="14"/>
      <c r="T1174" s="14"/>
      <c r="U1174" s="14"/>
      <c r="V1174" s="14"/>
      <c r="W1174" s="14"/>
    </row>
    <row r="1175" ht="31.5" customHeight="1">
      <c r="A1175" s="109" t="s">
        <v>13733</v>
      </c>
      <c r="B1175" s="110" t="s">
        <v>13734</v>
      </c>
      <c r="C1175" s="111" t="s">
        <v>13735</v>
      </c>
      <c r="D1175" s="28" t="s">
        <v>13736</v>
      </c>
      <c r="E1175" s="28" t="str">
        <f>IFERROR(__xludf.DUMMYFUNCTION("GOOGLETRANSLATE(D1175,""zh-CN"",""vi"")"),"Họ đã thành lập một liên minh.")</f>
        <v>Họ đã thành lập một liên minh.</v>
      </c>
      <c r="F1175" s="128"/>
      <c r="G1175" s="36" t="b">
        <f t="shared" si="1"/>
        <v>0</v>
      </c>
      <c r="H1175" s="35" t="b">
        <v>1</v>
      </c>
      <c r="I1175" s="35" t="b">
        <v>0</v>
      </c>
      <c r="J1175" s="35" t="b">
        <v>0</v>
      </c>
      <c r="K1175" s="35" t="b">
        <v>0</v>
      </c>
      <c r="L1175" s="35" t="b">
        <v>0</v>
      </c>
      <c r="M1175" s="35" t="b">
        <v>0</v>
      </c>
      <c r="N1175" s="35" t="b">
        <v>0</v>
      </c>
      <c r="O1175" s="35" t="b">
        <v>0</v>
      </c>
      <c r="P1175" s="35" t="b">
        <v>0</v>
      </c>
      <c r="Q1175" s="35" t="b">
        <v>0</v>
      </c>
      <c r="R1175" s="14"/>
      <c r="S1175" s="14"/>
      <c r="T1175" s="14"/>
      <c r="U1175" s="14"/>
      <c r="V1175" s="14"/>
      <c r="W1175" s="14"/>
    </row>
    <row r="1176" ht="31.5" customHeight="1">
      <c r="A1176" s="109" t="s">
        <v>13737</v>
      </c>
      <c r="B1176" s="110" t="s">
        <v>13738</v>
      </c>
      <c r="C1176" s="111" t="s">
        <v>13739</v>
      </c>
      <c r="D1176" s="28" t="s">
        <v>13740</v>
      </c>
      <c r="E1176" s="28" t="str">
        <f>IFERROR(__xludf.DUMMYFUNCTION("GOOGLETRANSLATE(D1176,""zh-CN"",""vi"")"),"Nhiều năm hạn hán đã ảnh hưởng đến nông nghiệp.")</f>
        <v>Nhiều năm hạn hán đã ảnh hưởng đến nông nghiệp.</v>
      </c>
      <c r="F1176" s="128"/>
      <c r="G1176" s="36" t="b">
        <f t="shared" si="1"/>
        <v>0</v>
      </c>
      <c r="H1176" s="35" t="b">
        <v>1</v>
      </c>
      <c r="I1176" s="35" t="b">
        <v>0</v>
      </c>
      <c r="J1176" s="35" t="b">
        <v>0</v>
      </c>
      <c r="K1176" s="35" t="b">
        <v>0</v>
      </c>
      <c r="L1176" s="35" t="b">
        <v>0</v>
      </c>
      <c r="M1176" s="35" t="b">
        <v>0</v>
      </c>
      <c r="N1176" s="35" t="b">
        <v>0</v>
      </c>
      <c r="O1176" s="35" t="b">
        <v>0</v>
      </c>
      <c r="P1176" s="35" t="b">
        <v>0</v>
      </c>
      <c r="Q1176" s="35" t="b">
        <v>0</v>
      </c>
      <c r="R1176" s="14"/>
      <c r="S1176" s="14"/>
      <c r="T1176" s="14"/>
      <c r="U1176" s="14"/>
      <c r="V1176" s="14"/>
      <c r="W1176" s="14"/>
    </row>
    <row r="1177" ht="31.5" customHeight="1">
      <c r="A1177" s="109" t="s">
        <v>13745</v>
      </c>
      <c r="B1177" s="110" t="s">
        <v>13746</v>
      </c>
      <c r="C1177" s="111" t="s">
        <v>13747</v>
      </c>
      <c r="D1177" s="28" t="s">
        <v>13748</v>
      </c>
      <c r="E1177" s="28" t="str">
        <f>IFERROR(__xludf.DUMMYFUNCTION("GOOGLETRANSLATE(D1177,""zh-CN"",""vi"")"),"Phản ứng dây chuyền đã dẫn đến tai nạn.")</f>
        <v>Phản ứng dây chuyền đã dẫn đến tai nạn.</v>
      </c>
      <c r="F1177" s="128"/>
      <c r="G1177" s="36" t="b">
        <f t="shared" si="1"/>
        <v>0</v>
      </c>
      <c r="H1177" s="35" t="b">
        <v>1</v>
      </c>
      <c r="I1177" s="35" t="b">
        <v>0</v>
      </c>
      <c r="J1177" s="35" t="b">
        <v>0</v>
      </c>
      <c r="K1177" s="35" t="b">
        <v>0</v>
      </c>
      <c r="L1177" s="35" t="b">
        <v>0</v>
      </c>
      <c r="M1177" s="35" t="b">
        <v>0</v>
      </c>
      <c r="N1177" s="35" t="b">
        <v>0</v>
      </c>
      <c r="O1177" s="35" t="b">
        <v>0</v>
      </c>
      <c r="P1177" s="35" t="b">
        <v>0</v>
      </c>
      <c r="Q1177" s="35" t="b">
        <v>0</v>
      </c>
      <c r="R1177" s="14"/>
      <c r="S1177" s="14"/>
      <c r="T1177" s="14"/>
      <c r="U1177" s="14"/>
      <c r="V1177" s="14"/>
      <c r="W1177" s="14"/>
    </row>
    <row r="1178" ht="31.5" customHeight="1">
      <c r="A1178" s="109" t="s">
        <v>13753</v>
      </c>
      <c r="B1178" s="110" t="s">
        <v>13754</v>
      </c>
      <c r="C1178" s="111" t="s">
        <v>13755</v>
      </c>
      <c r="D1178" s="28" t="s">
        <v>13756</v>
      </c>
      <c r="E1178" s="28" t="str">
        <f>IFERROR(__xludf.DUMMYFUNCTION("GOOGLETRANSLATE(D1178,""zh-CN"",""vi"")"),"Vui lòng gửi kèm tệp tin đó cùng với email.")</f>
        <v>Vui lòng gửi kèm tệp tin đó cùng với email.</v>
      </c>
      <c r="F1178" s="128"/>
      <c r="G1178" s="36" t="b">
        <f t="shared" si="1"/>
        <v>0</v>
      </c>
      <c r="H1178" s="35" t="b">
        <v>1</v>
      </c>
      <c r="I1178" s="35" t="b">
        <v>0</v>
      </c>
      <c r="J1178" s="35" t="b">
        <v>0</v>
      </c>
      <c r="K1178" s="35" t="b">
        <v>0</v>
      </c>
      <c r="L1178" s="35" t="b">
        <v>0</v>
      </c>
      <c r="M1178" s="35" t="b">
        <v>0</v>
      </c>
      <c r="N1178" s="35" t="b">
        <v>0</v>
      </c>
      <c r="O1178" s="35" t="b">
        <v>0</v>
      </c>
      <c r="P1178" s="35" t="b">
        <v>0</v>
      </c>
      <c r="Q1178" s="35" t="b">
        <v>0</v>
      </c>
      <c r="R1178" s="14"/>
      <c r="S1178" s="14"/>
      <c r="T1178" s="14"/>
      <c r="U1178" s="14"/>
      <c r="V1178" s="14"/>
      <c r="W1178" s="14"/>
    </row>
    <row r="1179" ht="31.5" customHeight="1">
      <c r="A1179" s="109" t="s">
        <v>13757</v>
      </c>
      <c r="B1179" s="110" t="s">
        <v>13758</v>
      </c>
      <c r="C1179" s="111" t="s">
        <v>13759</v>
      </c>
      <c r="D1179" s="28" t="s">
        <v>13761</v>
      </c>
      <c r="E1179" s="28" t="str">
        <f>IFERROR(__xludf.DUMMYFUNCTION("GOOGLETRANSLATE(D1179,""zh-CN"",""vi"")"),"Điều này làm tôi nhớ về thời thơ ấu.")</f>
        <v>Điều này làm tôi nhớ về thời thơ ấu.</v>
      </c>
      <c r="F1179" s="128"/>
      <c r="G1179" s="36" t="b">
        <f t="shared" si="1"/>
        <v>0</v>
      </c>
      <c r="H1179" s="35" t="b">
        <v>1</v>
      </c>
      <c r="I1179" s="35" t="b">
        <v>0</v>
      </c>
      <c r="J1179" s="35" t="b">
        <v>0</v>
      </c>
      <c r="K1179" s="35" t="b">
        <v>0</v>
      </c>
      <c r="L1179" s="35" t="b">
        <v>0</v>
      </c>
      <c r="M1179" s="35" t="b">
        <v>0</v>
      </c>
      <c r="N1179" s="35" t="b">
        <v>0</v>
      </c>
      <c r="O1179" s="35" t="b">
        <v>0</v>
      </c>
      <c r="P1179" s="35" t="b">
        <v>0</v>
      </c>
      <c r="Q1179" s="35" t="b">
        <v>0</v>
      </c>
      <c r="R1179" s="14"/>
      <c r="S1179" s="14"/>
      <c r="T1179" s="14"/>
      <c r="U1179" s="14"/>
      <c r="V1179" s="14"/>
      <c r="W1179" s="14"/>
    </row>
    <row r="1180" ht="31.5" customHeight="1">
      <c r="A1180" s="109" t="s">
        <v>13765</v>
      </c>
      <c r="B1180" s="110" t="s">
        <v>13766</v>
      </c>
      <c r="C1180" s="111" t="s">
        <v>13767</v>
      </c>
      <c r="D1180" s="28" t="s">
        <v>13768</v>
      </c>
      <c r="E1180" s="28" t="str">
        <f>IFERROR(__xludf.DUMMYFUNCTION("GOOGLETRANSLATE(D1180,""zh-CN"",""vi"")"),"Lương tâm anh ấy trong sạch.")</f>
        <v>Lương tâm anh ấy trong sạch.</v>
      </c>
      <c r="F1180" s="128"/>
      <c r="G1180" s="36" t="b">
        <f t="shared" si="1"/>
        <v>0</v>
      </c>
      <c r="H1180" s="35" t="b">
        <v>1</v>
      </c>
      <c r="I1180" s="35" t="b">
        <v>0</v>
      </c>
      <c r="J1180" s="35" t="b">
        <v>0</v>
      </c>
      <c r="K1180" s="35" t="b">
        <v>0</v>
      </c>
      <c r="L1180" s="35" t="b">
        <v>0</v>
      </c>
      <c r="M1180" s="35" t="b">
        <v>0</v>
      </c>
      <c r="N1180" s="35" t="b">
        <v>0</v>
      </c>
      <c r="O1180" s="35" t="b">
        <v>0</v>
      </c>
      <c r="P1180" s="35" t="b">
        <v>0</v>
      </c>
      <c r="Q1180" s="35" t="b">
        <v>0</v>
      </c>
      <c r="R1180" s="14"/>
      <c r="S1180" s="14"/>
      <c r="T1180" s="14"/>
      <c r="U1180" s="14"/>
      <c r="V1180" s="14"/>
      <c r="W1180" s="14"/>
    </row>
    <row r="1181" ht="31.5" customHeight="1">
      <c r="A1181" s="109" t="s">
        <v>13773</v>
      </c>
      <c r="B1181" s="110" t="s">
        <v>2318</v>
      </c>
      <c r="C1181" s="111" t="s">
        <v>13774</v>
      </c>
      <c r="D1181" s="28" t="s">
        <v>13775</v>
      </c>
      <c r="E1181" s="28" t="str">
        <f>IFERROR(__xludf.DUMMYFUNCTION("GOOGLETRANSLATE(D1181,""zh-CN"",""vi"")"),"Hãy để quần áo khô tự nhiên.")</f>
        <v>Hãy để quần áo khô tự nhiên.</v>
      </c>
      <c r="F1181" s="128"/>
      <c r="G1181" s="36" t="b">
        <f t="shared" si="1"/>
        <v>0</v>
      </c>
      <c r="H1181" s="35" t="b">
        <v>1</v>
      </c>
      <c r="I1181" s="35" t="b">
        <v>0</v>
      </c>
      <c r="J1181" s="35" t="b">
        <v>0</v>
      </c>
      <c r="K1181" s="35" t="b">
        <v>0</v>
      </c>
      <c r="L1181" s="35" t="b">
        <v>0</v>
      </c>
      <c r="M1181" s="35" t="b">
        <v>0</v>
      </c>
      <c r="N1181" s="35" t="b">
        <v>0</v>
      </c>
      <c r="O1181" s="35" t="b">
        <v>0</v>
      </c>
      <c r="P1181" s="35" t="b">
        <v>0</v>
      </c>
      <c r="Q1181" s="35" t="b">
        <v>0</v>
      </c>
      <c r="R1181" s="14"/>
      <c r="S1181" s="14"/>
      <c r="T1181" s="14"/>
      <c r="U1181" s="14"/>
      <c r="V1181" s="14"/>
      <c r="W1181" s="14"/>
    </row>
    <row r="1182" ht="31.5" customHeight="1">
      <c r="A1182" s="109" t="s">
        <v>13780</v>
      </c>
      <c r="B1182" s="110" t="s">
        <v>13781</v>
      </c>
      <c r="C1182" s="111" t="s">
        <v>13782</v>
      </c>
      <c r="D1182" s="28" t="s">
        <v>13783</v>
      </c>
      <c r="E1182" s="28" t="str">
        <f>IFERROR(__xludf.DUMMYFUNCTION("GOOGLETRANSLATE(D1182,""zh-CN"",""vi"")"),"Chúng tôi đã đạt được sự hiểu biết chung.")</f>
        <v>Chúng tôi đã đạt được sự hiểu biết chung.</v>
      </c>
      <c r="F1182" s="128"/>
      <c r="G1182" s="36" t="b">
        <f t="shared" si="1"/>
        <v>0</v>
      </c>
      <c r="H1182" s="35" t="b">
        <v>1</v>
      </c>
      <c r="I1182" s="35" t="b">
        <v>0</v>
      </c>
      <c r="J1182" s="35" t="b">
        <v>0</v>
      </c>
      <c r="K1182" s="35" t="b">
        <v>0</v>
      </c>
      <c r="L1182" s="35" t="b">
        <v>0</v>
      </c>
      <c r="M1182" s="35" t="b">
        <v>0</v>
      </c>
      <c r="N1182" s="35" t="b">
        <v>0</v>
      </c>
      <c r="O1182" s="35" t="b">
        <v>0</v>
      </c>
      <c r="P1182" s="35" t="b">
        <v>0</v>
      </c>
      <c r="Q1182" s="35" t="b">
        <v>0</v>
      </c>
      <c r="R1182" s="14"/>
      <c r="S1182" s="14"/>
      <c r="T1182" s="14"/>
      <c r="U1182" s="14"/>
      <c r="V1182" s="14"/>
      <c r="W1182" s="14"/>
    </row>
    <row r="1183" ht="31.5" customHeight="1">
      <c r="A1183" s="109" t="s">
        <v>13786</v>
      </c>
      <c r="B1183" s="110" t="s">
        <v>13787</v>
      </c>
      <c r="C1183" s="111" t="s">
        <v>13789</v>
      </c>
      <c r="D1183" s="28" t="s">
        <v>13790</v>
      </c>
      <c r="E1183" s="28" t="str">
        <f>IFERROR(__xludf.DUMMYFUNCTION("GOOGLETRANSLATE(D1183,""zh-CN"",""vi"")"),"Những thảo nguyên trải dài mênh mông và vô tận.")</f>
        <v>Những thảo nguyên trải dài mênh mông và vô tận.</v>
      </c>
      <c r="F1183" s="128"/>
      <c r="G1183" s="36" t="b">
        <f t="shared" si="1"/>
        <v>0</v>
      </c>
      <c r="H1183" s="35" t="b">
        <v>1</v>
      </c>
      <c r="I1183" s="35" t="b">
        <v>0</v>
      </c>
      <c r="J1183" s="35" t="b">
        <v>0</v>
      </c>
      <c r="K1183" s="35" t="b">
        <v>0</v>
      </c>
      <c r="L1183" s="35" t="b">
        <v>0</v>
      </c>
      <c r="M1183" s="35" t="b">
        <v>0</v>
      </c>
      <c r="N1183" s="35" t="b">
        <v>0</v>
      </c>
      <c r="O1183" s="35" t="b">
        <v>0</v>
      </c>
      <c r="P1183" s="35" t="b">
        <v>0</v>
      </c>
      <c r="Q1183" s="35" t="b">
        <v>0</v>
      </c>
      <c r="R1183" s="14"/>
      <c r="S1183" s="14"/>
      <c r="T1183" s="14"/>
      <c r="U1183" s="14"/>
      <c r="V1183" s="14"/>
      <c r="W1183" s="14"/>
    </row>
    <row r="1184" ht="31.5" customHeight="1">
      <c r="A1184" s="109" t="s">
        <v>13792</v>
      </c>
      <c r="B1184" s="110" t="s">
        <v>13793</v>
      </c>
      <c r="C1184" s="111" t="s">
        <v>13794</v>
      </c>
      <c r="D1184" s="28" t="s">
        <v>13795</v>
      </c>
      <c r="E1184" s="28" t="str">
        <f>IFERROR(__xludf.DUMMYFUNCTION("GOOGLETRANSLATE(D1184,""zh-CN"",""vi"")"),"Vui lòng cung cấp một vài ví dụ.")</f>
        <v>Vui lòng cung cấp một vài ví dụ.</v>
      </c>
      <c r="F1184" s="128"/>
      <c r="G1184" s="36" t="b">
        <f t="shared" si="1"/>
        <v>0</v>
      </c>
      <c r="H1184" s="35" t="b">
        <v>1</v>
      </c>
      <c r="I1184" s="35" t="b">
        <v>0</v>
      </c>
      <c r="J1184" s="35" t="b">
        <v>0</v>
      </c>
      <c r="K1184" s="35" t="b">
        <v>0</v>
      </c>
      <c r="L1184" s="35" t="b">
        <v>0</v>
      </c>
      <c r="M1184" s="35" t="b">
        <v>0</v>
      </c>
      <c r="N1184" s="35" t="b">
        <v>0</v>
      </c>
      <c r="O1184" s="35" t="b">
        <v>0</v>
      </c>
      <c r="P1184" s="35" t="b">
        <v>0</v>
      </c>
      <c r="Q1184" s="35" t="b">
        <v>0</v>
      </c>
      <c r="R1184" s="14"/>
      <c r="S1184" s="14"/>
      <c r="T1184" s="14"/>
      <c r="U1184" s="14"/>
      <c r="V1184" s="14"/>
      <c r="W1184" s="14"/>
    </row>
    <row r="1185" ht="31.5" customHeight="1">
      <c r="A1185" s="109" t="s">
        <v>13800</v>
      </c>
      <c r="B1185" s="110" t="s">
        <v>13801</v>
      </c>
      <c r="C1185" s="111" t="s">
        <v>13802</v>
      </c>
      <c r="D1185" s="28" t="s">
        <v>13803</v>
      </c>
      <c r="E1185" s="28" t="str">
        <f>IFERROR(__xludf.DUMMYFUNCTION("GOOGLETRANSLATE(D1185,""zh-CN"",""vi"")"),"Cơn mưa làm ướt sũng quần áo tôi.")</f>
        <v>Cơn mưa làm ướt sũng quần áo tôi.</v>
      </c>
      <c r="F1185" s="128"/>
      <c r="G1185" s="36" t="b">
        <f t="shared" si="1"/>
        <v>0</v>
      </c>
      <c r="H1185" s="35" t="b">
        <v>1</v>
      </c>
      <c r="I1185" s="35" t="b">
        <v>0</v>
      </c>
      <c r="J1185" s="35" t="b">
        <v>0</v>
      </c>
      <c r="K1185" s="35" t="b">
        <v>0</v>
      </c>
      <c r="L1185" s="35" t="b">
        <v>0</v>
      </c>
      <c r="M1185" s="35" t="b">
        <v>0</v>
      </c>
      <c r="N1185" s="35" t="b">
        <v>0</v>
      </c>
      <c r="O1185" s="35" t="b">
        <v>0</v>
      </c>
      <c r="P1185" s="35" t="b">
        <v>0</v>
      </c>
      <c r="Q1185" s="35" t="b">
        <v>0</v>
      </c>
      <c r="R1185" s="14"/>
      <c r="S1185" s="14"/>
      <c r="T1185" s="14"/>
      <c r="U1185" s="14"/>
      <c r="V1185" s="14"/>
      <c r="W1185" s="14"/>
    </row>
    <row r="1186" ht="31.5" customHeight="1">
      <c r="A1186" s="109" t="s">
        <v>13804</v>
      </c>
      <c r="B1186" s="110" t="s">
        <v>13805</v>
      </c>
      <c r="C1186" s="111" t="s">
        <v>13806</v>
      </c>
      <c r="D1186" s="28" t="s">
        <v>13807</v>
      </c>
      <c r="E1186" s="28" t="str">
        <f>IFERROR(__xludf.DUMMYFUNCTION("GOOGLETRANSLATE(D1186,""zh-CN"",""vi"")"),"Các bác sĩ đang tiến hành các thử nghiệm lâm sàng.")</f>
        <v>Các bác sĩ đang tiến hành các thử nghiệm lâm sàng.</v>
      </c>
      <c r="F1186" s="128"/>
      <c r="G1186" s="36" t="b">
        <f t="shared" si="1"/>
        <v>0</v>
      </c>
      <c r="H1186" s="35" t="b">
        <v>1</v>
      </c>
      <c r="I1186" s="35" t="b">
        <v>0</v>
      </c>
      <c r="J1186" s="35" t="b">
        <v>0</v>
      </c>
      <c r="K1186" s="35" t="b">
        <v>0</v>
      </c>
      <c r="L1186" s="35" t="b">
        <v>0</v>
      </c>
      <c r="M1186" s="35" t="b">
        <v>0</v>
      </c>
      <c r="N1186" s="35" t="b">
        <v>0</v>
      </c>
      <c r="O1186" s="35" t="b">
        <v>0</v>
      </c>
      <c r="P1186" s="35" t="b">
        <v>0</v>
      </c>
      <c r="Q1186" s="35" t="b">
        <v>0</v>
      </c>
      <c r="R1186" s="14"/>
      <c r="S1186" s="14"/>
      <c r="T1186" s="14"/>
      <c r="U1186" s="14"/>
      <c r="V1186" s="14"/>
      <c r="W1186" s="14"/>
    </row>
    <row r="1187" ht="31.5" customHeight="1">
      <c r="A1187" s="109" t="s">
        <v>13812</v>
      </c>
      <c r="B1187" s="110" t="s">
        <v>13813</v>
      </c>
      <c r="C1187" s="111" t="s">
        <v>13814</v>
      </c>
      <c r="D1187" s="28" t="s">
        <v>13815</v>
      </c>
      <c r="E1187" s="28" t="str">
        <f>IFERROR(__xludf.DUMMYFUNCTION("GOOGLETRANSLATE(D1187,""zh-CN"",""vi"")"),"Anh ta keo kiệt và không muốn chia sẻ.")</f>
        <v>Anh ta keo kiệt và không muốn chia sẻ.</v>
      </c>
      <c r="F1187" s="128"/>
      <c r="G1187" s="36" t="b">
        <f t="shared" si="1"/>
        <v>0</v>
      </c>
      <c r="H1187" s="35" t="b">
        <v>1</v>
      </c>
      <c r="I1187" s="35" t="b">
        <v>0</v>
      </c>
      <c r="J1187" s="35" t="b">
        <v>0</v>
      </c>
      <c r="K1187" s="35" t="b">
        <v>0</v>
      </c>
      <c r="L1187" s="35" t="b">
        <v>0</v>
      </c>
      <c r="M1187" s="35" t="b">
        <v>0</v>
      </c>
      <c r="N1187" s="35" t="b">
        <v>0</v>
      </c>
      <c r="O1187" s="35" t="b">
        <v>0</v>
      </c>
      <c r="P1187" s="35" t="b">
        <v>0</v>
      </c>
      <c r="Q1187" s="35" t="b">
        <v>0</v>
      </c>
      <c r="R1187" s="14"/>
      <c r="S1187" s="14"/>
      <c r="T1187" s="14"/>
      <c r="U1187" s="14"/>
      <c r="V1187" s="14"/>
      <c r="W1187" s="14"/>
    </row>
    <row r="1188" ht="31.5" customHeight="1">
      <c r="A1188" s="109" t="s">
        <v>13816</v>
      </c>
      <c r="B1188" s="110" t="s">
        <v>13817</v>
      </c>
      <c r="C1188" s="111" t="s">
        <v>13819</v>
      </c>
      <c r="D1188" s="28" t="s">
        <v>13821</v>
      </c>
      <c r="E1188" s="28" t="str">
        <f>IFERROR(__xludf.DUMMYFUNCTION("GOOGLETRANSLATE(D1188,""zh-CN"",""vi"")"),"Ông ấy vẫn còn làm việc đến tận những giờ đầu buổi sáng.")</f>
        <v>Ông ấy vẫn còn làm việc đến tận những giờ đầu buổi sáng.</v>
      </c>
      <c r="F1188" s="128"/>
      <c r="G1188" s="36" t="b">
        <f t="shared" si="1"/>
        <v>0</v>
      </c>
      <c r="H1188" s="35" t="b">
        <v>1</v>
      </c>
      <c r="I1188" s="35" t="b">
        <v>0</v>
      </c>
      <c r="J1188" s="35" t="b">
        <v>0</v>
      </c>
      <c r="K1188" s="35" t="b">
        <v>0</v>
      </c>
      <c r="L1188" s="35" t="b">
        <v>0</v>
      </c>
      <c r="M1188" s="35" t="b">
        <v>0</v>
      </c>
      <c r="N1188" s="35" t="b">
        <v>0</v>
      </c>
      <c r="O1188" s="35" t="b">
        <v>0</v>
      </c>
      <c r="P1188" s="35" t="b">
        <v>0</v>
      </c>
      <c r="Q1188" s="35" t="b">
        <v>0</v>
      </c>
      <c r="R1188" s="14"/>
      <c r="S1188" s="14"/>
      <c r="T1188" s="14"/>
      <c r="U1188" s="14"/>
      <c r="V1188" s="14"/>
      <c r="W1188" s="14"/>
    </row>
    <row r="1189" ht="31.5" customHeight="1">
      <c r="A1189" s="109" t="s">
        <v>13824</v>
      </c>
      <c r="B1189" s="110" t="s">
        <v>13825</v>
      </c>
      <c r="C1189" s="111" t="s">
        <v>13826</v>
      </c>
      <c r="D1189" s="28" t="s">
        <v>13827</v>
      </c>
      <c r="E1189" s="28" t="str">
        <f>IFERROR(__xludf.DUMMYFUNCTION("GOOGLETRANSLATE(D1189,""zh-CN"",""vi"")"),"Anh ấy đang tìm kiếm nguồn cảm hứng.")</f>
        <v>Anh ấy đang tìm kiếm nguồn cảm hứng.</v>
      </c>
      <c r="F1189" s="128"/>
      <c r="G1189" s="36" t="b">
        <f t="shared" si="1"/>
        <v>0</v>
      </c>
      <c r="H1189" s="35" t="b">
        <v>1</v>
      </c>
      <c r="I1189" s="35" t="b">
        <v>0</v>
      </c>
      <c r="J1189" s="35" t="b">
        <v>0</v>
      </c>
      <c r="K1189" s="35" t="b">
        <v>0</v>
      </c>
      <c r="L1189" s="35" t="b">
        <v>0</v>
      </c>
      <c r="M1189" s="35" t="b">
        <v>0</v>
      </c>
      <c r="N1189" s="35" t="b">
        <v>0</v>
      </c>
      <c r="O1189" s="35" t="b">
        <v>0</v>
      </c>
      <c r="P1189" s="35" t="b">
        <v>0</v>
      </c>
      <c r="Q1189" s="35" t="b">
        <v>0</v>
      </c>
      <c r="R1189" s="14"/>
      <c r="S1189" s="14"/>
      <c r="T1189" s="14"/>
      <c r="U1189" s="14"/>
      <c r="V1189" s="14"/>
      <c r="W1189" s="14"/>
    </row>
    <row r="1190" ht="31.5" customHeight="1">
      <c r="A1190" s="109" t="s">
        <v>13832</v>
      </c>
      <c r="B1190" s="110" t="s">
        <v>13833</v>
      </c>
      <c r="C1190" s="111" t="s">
        <v>13834</v>
      </c>
      <c r="D1190" s="28" t="s">
        <v>13835</v>
      </c>
      <c r="E1190" s="28" t="str">
        <f>IFERROR(__xludf.DUMMYFUNCTION("GOOGLETRANSLATE(D1190,""zh-CN"",""vi"")"),"Tâm hồn anh ấy trong sáng.")</f>
        <v>Tâm hồn anh ấy trong sáng.</v>
      </c>
      <c r="F1190" s="128"/>
      <c r="G1190" s="36" t="b">
        <f t="shared" si="1"/>
        <v>0</v>
      </c>
      <c r="H1190" s="35" t="b">
        <v>1</v>
      </c>
      <c r="I1190" s="35" t="b">
        <v>0</v>
      </c>
      <c r="J1190" s="35" t="b">
        <v>0</v>
      </c>
      <c r="K1190" s="35" t="b">
        <v>0</v>
      </c>
      <c r="L1190" s="35" t="b">
        <v>0</v>
      </c>
      <c r="M1190" s="35" t="b">
        <v>0</v>
      </c>
      <c r="N1190" s="35" t="b">
        <v>0</v>
      </c>
      <c r="O1190" s="35" t="b">
        <v>0</v>
      </c>
      <c r="P1190" s="35" t="b">
        <v>0</v>
      </c>
      <c r="Q1190" s="35" t="b">
        <v>0</v>
      </c>
      <c r="R1190" s="14"/>
      <c r="S1190" s="14"/>
      <c r="T1190" s="14"/>
      <c r="U1190" s="14"/>
      <c r="V1190" s="14"/>
      <c r="W1190" s="14"/>
    </row>
    <row r="1191" ht="31.5" customHeight="1">
      <c r="A1191" s="109" t="s">
        <v>13836</v>
      </c>
      <c r="B1191" s="110" t="s">
        <v>13837</v>
      </c>
      <c r="C1191" s="111" t="s">
        <v>13838</v>
      </c>
      <c r="D1191" s="28" t="s">
        <v>13839</v>
      </c>
      <c r="E1191" s="28" t="str">
        <f>IFERROR(__xludf.DUMMYFUNCTION("GOOGLETRANSLATE(D1191,""zh-CN"",""vi"")"),"Cô ấy nhanh trí và trả lời rất nhanh.")</f>
        <v>Cô ấy nhanh trí và trả lời rất nhanh.</v>
      </c>
      <c r="F1191" s="128"/>
      <c r="G1191" s="36" t="b">
        <f t="shared" si="1"/>
        <v>0</v>
      </c>
      <c r="H1191" s="35" t="b">
        <v>1</v>
      </c>
      <c r="I1191" s="35" t="b">
        <v>0</v>
      </c>
      <c r="J1191" s="35" t="b">
        <v>0</v>
      </c>
      <c r="K1191" s="35" t="b">
        <v>0</v>
      </c>
      <c r="L1191" s="35" t="b">
        <v>0</v>
      </c>
      <c r="M1191" s="35" t="b">
        <v>0</v>
      </c>
      <c r="N1191" s="35" t="b">
        <v>0</v>
      </c>
      <c r="O1191" s="35" t="b">
        <v>0</v>
      </c>
      <c r="P1191" s="35" t="b">
        <v>0</v>
      </c>
      <c r="Q1191" s="35" t="b">
        <v>0</v>
      </c>
      <c r="R1191" s="14"/>
      <c r="S1191" s="14"/>
      <c r="T1191" s="14"/>
      <c r="U1191" s="14"/>
      <c r="V1191" s="14"/>
      <c r="W1191" s="14"/>
    </row>
    <row r="1192" ht="31.5" customHeight="1">
      <c r="A1192" s="109" t="s">
        <v>13843</v>
      </c>
      <c r="B1192" s="110" t="s">
        <v>13844</v>
      </c>
      <c r="C1192" s="111" t="s">
        <v>13845</v>
      </c>
      <c r="D1192" s="28" t="s">
        <v>13846</v>
      </c>
      <c r="E1192" s="28" t="str">
        <f>IFERROR(__xludf.DUMMYFUNCTION("GOOGLETRANSLATE(D1192,""zh-CN"",""vi"")"),"Phản ứng của anh ấy rất nhanh.")</f>
        <v>Phản ứng của anh ấy rất nhanh.</v>
      </c>
      <c r="F1192" s="128"/>
      <c r="G1192" s="36" t="b">
        <f t="shared" si="1"/>
        <v>0</v>
      </c>
      <c r="H1192" s="35" t="b">
        <v>1</v>
      </c>
      <c r="I1192" s="35" t="b">
        <v>0</v>
      </c>
      <c r="J1192" s="35" t="b">
        <v>0</v>
      </c>
      <c r="K1192" s="35" t="b">
        <v>0</v>
      </c>
      <c r="L1192" s="35" t="b">
        <v>0</v>
      </c>
      <c r="M1192" s="35" t="b">
        <v>0</v>
      </c>
      <c r="N1192" s="35" t="b">
        <v>0</v>
      </c>
      <c r="O1192" s="35" t="b">
        <v>0</v>
      </c>
      <c r="P1192" s="35" t="b">
        <v>0</v>
      </c>
      <c r="Q1192" s="35" t="b">
        <v>0</v>
      </c>
      <c r="R1192" s="14"/>
      <c r="S1192" s="14"/>
      <c r="T1192" s="14"/>
      <c r="U1192" s="14"/>
      <c r="V1192" s="14"/>
      <c r="W1192" s="14"/>
    </row>
    <row r="1193" ht="31.5" customHeight="1">
      <c r="A1193" s="109" t="s">
        <v>13848</v>
      </c>
      <c r="B1193" s="110" t="s">
        <v>13849</v>
      </c>
      <c r="C1193" s="111" t="s">
        <v>13850</v>
      </c>
      <c r="D1193" s="28" t="s">
        <v>13851</v>
      </c>
      <c r="E1193" s="28" t="str">
        <f>IFERROR(__xludf.DUMMYFUNCTION("GOOGLETRANSLATE(D1193,""zh-CN"",""vi"")"),"Ông ấy đã thu thập được rất nhiều thông tin rải rác.")</f>
        <v>Ông ấy đã thu thập được rất nhiều thông tin rải rác.</v>
      </c>
      <c r="F1193" s="133"/>
      <c r="G1193" s="36" t="b">
        <f t="shared" si="1"/>
        <v>0</v>
      </c>
      <c r="H1193" s="35" t="b">
        <v>1</v>
      </c>
      <c r="I1193" s="35" t="b">
        <v>0</v>
      </c>
      <c r="J1193" s="35" t="b">
        <v>0</v>
      </c>
      <c r="K1193" s="35" t="b">
        <v>0</v>
      </c>
      <c r="L1193" s="35" t="b">
        <v>0</v>
      </c>
      <c r="M1193" s="35" t="b">
        <v>0</v>
      </c>
      <c r="N1193" s="35" t="b">
        <v>0</v>
      </c>
      <c r="O1193" s="35" t="b">
        <v>0</v>
      </c>
      <c r="P1193" s="35" t="b">
        <v>0</v>
      </c>
      <c r="Q1193" s="35" t="b">
        <v>0</v>
      </c>
      <c r="R1193" s="14"/>
      <c r="S1193" s="14"/>
      <c r="T1193" s="14"/>
      <c r="U1193" s="14"/>
      <c r="V1193" s="14"/>
      <c r="W1193" s="14"/>
    </row>
    <row r="1194" ht="31.5" customHeight="1">
      <c r="A1194" s="109" t="s">
        <v>13852</v>
      </c>
      <c r="B1194" s="110" t="s">
        <v>13853</v>
      </c>
      <c r="C1194" s="111" t="s">
        <v>13854</v>
      </c>
      <c r="D1194" s="28" t="s">
        <v>13855</v>
      </c>
      <c r="E1194" s="28" t="str">
        <f>IFERROR(__xludf.DUMMYFUNCTION("GOOGLETRANSLATE(D1194,""zh-CN"",""vi"")"),"Anh ấy có thể nắm bắt được ý nghĩa sâu xa hơn của bài viết này.")</f>
        <v>Anh ấy có thể nắm bắt được ý nghĩa sâu xa hơn của bài viết này.</v>
      </c>
      <c r="F1194" s="128"/>
      <c r="G1194" s="36" t="b">
        <f t="shared" si="1"/>
        <v>0</v>
      </c>
      <c r="H1194" s="35" t="b">
        <v>1</v>
      </c>
      <c r="I1194" s="35" t="b">
        <v>0</v>
      </c>
      <c r="J1194" s="35" t="b">
        <v>0</v>
      </c>
      <c r="K1194" s="35" t="b">
        <v>0</v>
      </c>
      <c r="L1194" s="35" t="b">
        <v>0</v>
      </c>
      <c r="M1194" s="35" t="b">
        <v>0</v>
      </c>
      <c r="N1194" s="35" t="b">
        <v>0</v>
      </c>
      <c r="O1194" s="35" t="b">
        <v>0</v>
      </c>
      <c r="P1194" s="35" t="b">
        <v>0</v>
      </c>
      <c r="Q1194" s="35" t="b">
        <v>0</v>
      </c>
      <c r="R1194" s="14"/>
      <c r="S1194" s="14"/>
      <c r="T1194" s="14"/>
      <c r="U1194" s="14"/>
      <c r="V1194" s="14"/>
      <c r="W1194" s="14"/>
    </row>
    <row r="1195" ht="31.5" customHeight="1">
      <c r="A1195" s="109" t="s">
        <v>13856</v>
      </c>
      <c r="B1195" s="110" t="s">
        <v>13857</v>
      </c>
      <c r="C1195" s="111" t="s">
        <v>13858</v>
      </c>
      <c r="D1195" s="28" t="s">
        <v>13859</v>
      </c>
      <c r="E1195" s="28" t="str">
        <f>IFERROR(__xludf.DUMMYFUNCTION("GOOGLETRANSLATE(D1195,""zh-CN"",""vi"")"),"Họ đã đến thăm lãnh sự quán.")</f>
        <v>Họ đã đến thăm lãnh sự quán.</v>
      </c>
      <c r="F1195" s="128"/>
      <c r="G1195" s="36" t="b">
        <f t="shared" si="1"/>
        <v>0</v>
      </c>
      <c r="H1195" s="35" t="b">
        <v>1</v>
      </c>
      <c r="I1195" s="35" t="b">
        <v>0</v>
      </c>
      <c r="J1195" s="35" t="b">
        <v>0</v>
      </c>
      <c r="K1195" s="35" t="b">
        <v>0</v>
      </c>
      <c r="L1195" s="35" t="b">
        <v>0</v>
      </c>
      <c r="M1195" s="35" t="b">
        <v>0</v>
      </c>
      <c r="N1195" s="35" t="b">
        <v>0</v>
      </c>
      <c r="O1195" s="35" t="b">
        <v>0</v>
      </c>
      <c r="P1195" s="35" t="b">
        <v>0</v>
      </c>
      <c r="Q1195" s="35" t="b">
        <v>0</v>
      </c>
      <c r="R1195" s="14"/>
      <c r="S1195" s="14"/>
      <c r="T1195" s="14"/>
      <c r="U1195" s="14"/>
      <c r="V1195" s="14"/>
      <c r="W1195" s="14"/>
    </row>
    <row r="1196" ht="31.5" customHeight="1">
      <c r="A1196" s="109" t="s">
        <v>13860</v>
      </c>
      <c r="B1196" s="110" t="s">
        <v>13861</v>
      </c>
      <c r="C1196" s="111" t="s">
        <v>13862</v>
      </c>
      <c r="D1196" s="28" t="s">
        <v>13863</v>
      </c>
      <c r="E1196" s="28" t="str">
        <f>IFERROR(__xludf.DUMMYFUNCTION("GOOGLETRANSLATE(D1196,""zh-CN"",""vi"")"),"Lãnh thổ này thuộc về Trung Quốc.")</f>
        <v>Lãnh thổ này thuộc về Trung Quốc.</v>
      </c>
      <c r="F1196" s="128"/>
      <c r="G1196" s="36" t="b">
        <f t="shared" si="1"/>
        <v>0</v>
      </c>
      <c r="H1196" s="35" t="b">
        <v>1</v>
      </c>
      <c r="I1196" s="35" t="b">
        <v>0</v>
      </c>
      <c r="J1196" s="35" t="b">
        <v>0</v>
      </c>
      <c r="K1196" s="35" t="b">
        <v>0</v>
      </c>
      <c r="L1196" s="35" t="b">
        <v>0</v>
      </c>
      <c r="M1196" s="35" t="b">
        <v>0</v>
      </c>
      <c r="N1196" s="35" t="b">
        <v>0</v>
      </c>
      <c r="O1196" s="35" t="b">
        <v>0</v>
      </c>
      <c r="P1196" s="35" t="b">
        <v>0</v>
      </c>
      <c r="Q1196" s="35" t="b">
        <v>0</v>
      </c>
      <c r="R1196" s="14"/>
      <c r="S1196" s="14"/>
      <c r="T1196" s="14"/>
      <c r="U1196" s="14"/>
      <c r="V1196" s="14"/>
      <c r="W1196" s="14"/>
    </row>
    <row r="1197" ht="31.5" customHeight="1">
      <c r="A1197" s="109" t="s">
        <v>13864</v>
      </c>
      <c r="B1197" s="110" t="s">
        <v>13865</v>
      </c>
      <c r="C1197" s="111" t="s">
        <v>13866</v>
      </c>
      <c r="D1197" s="28" t="s">
        <v>13867</v>
      </c>
      <c r="E1197" s="28" t="str">
        <f>IFERROR(__xludf.DUMMYFUNCTION("GOOGLETRANSLATE(D1197,""zh-CN"",""vi"")"),"Cuối cùng anh ta cũng đã hiểu ra sự thật.")</f>
        <v>Cuối cùng anh ta cũng đã hiểu ra sự thật.</v>
      </c>
      <c r="F1197" s="128"/>
      <c r="G1197" s="36" t="b">
        <f t="shared" si="1"/>
        <v>0</v>
      </c>
      <c r="H1197" s="35" t="b">
        <v>1</v>
      </c>
      <c r="I1197" s="35" t="b">
        <v>0</v>
      </c>
      <c r="J1197" s="35" t="b">
        <v>0</v>
      </c>
      <c r="K1197" s="35" t="b">
        <v>0</v>
      </c>
      <c r="L1197" s="35" t="b">
        <v>0</v>
      </c>
      <c r="M1197" s="35" t="b">
        <v>0</v>
      </c>
      <c r="N1197" s="35" t="b">
        <v>0</v>
      </c>
      <c r="O1197" s="35" t="b">
        <v>0</v>
      </c>
      <c r="P1197" s="35" t="b">
        <v>0</v>
      </c>
      <c r="Q1197" s="35" t="b">
        <v>0</v>
      </c>
      <c r="R1197" s="14"/>
      <c r="S1197" s="14"/>
      <c r="T1197" s="14"/>
      <c r="U1197" s="14"/>
      <c r="V1197" s="14"/>
      <c r="W1197" s="14"/>
    </row>
    <row r="1198" ht="31.5" customHeight="1">
      <c r="A1198" s="109" t="s">
        <v>13868</v>
      </c>
      <c r="B1198" s="110" t="s">
        <v>13869</v>
      </c>
      <c r="C1198" s="111" t="s">
        <v>13870</v>
      </c>
      <c r="D1198" s="28" t="s">
        <v>13871</v>
      </c>
      <c r="E1198" s="28" t="str">
        <f>IFERROR(__xludf.DUMMYFUNCTION("GOOGLETRANSLATE(D1198,""zh-CN"",""vi"")"),"Anh ấy đã dẫn đầu trong suốt trận đấu.")</f>
        <v>Anh ấy đã dẫn đầu trong suốt trận đấu.</v>
      </c>
      <c r="F1198" s="128"/>
      <c r="G1198" s="36" t="b">
        <f t="shared" si="1"/>
        <v>0</v>
      </c>
      <c r="H1198" s="35" t="b">
        <v>1</v>
      </c>
      <c r="I1198" s="35" t="b">
        <v>0</v>
      </c>
      <c r="J1198" s="35" t="b">
        <v>0</v>
      </c>
      <c r="K1198" s="35" t="b">
        <v>0</v>
      </c>
      <c r="L1198" s="35" t="b">
        <v>0</v>
      </c>
      <c r="M1198" s="35" t="b">
        <v>0</v>
      </c>
      <c r="N1198" s="35" t="b">
        <v>0</v>
      </c>
      <c r="O1198" s="35" t="b">
        <v>0</v>
      </c>
      <c r="P1198" s="35" t="b">
        <v>0</v>
      </c>
      <c r="Q1198" s="35" t="b">
        <v>0</v>
      </c>
      <c r="R1198" s="14"/>
      <c r="S1198" s="14"/>
      <c r="T1198" s="14"/>
      <c r="U1198" s="14"/>
      <c r="V1198" s="14"/>
      <c r="W1198" s="14"/>
    </row>
    <row r="1199" ht="31.5" customHeight="1">
      <c r="A1199" s="109" t="s">
        <v>13873</v>
      </c>
      <c r="B1199" s="110" t="s">
        <v>13875</v>
      </c>
      <c r="C1199" s="111" t="s">
        <v>13876</v>
      </c>
      <c r="D1199" s="28" t="s">
        <v>13877</v>
      </c>
      <c r="E1199" s="28" t="str">
        <f>IFERROR(__xludf.DUMMYFUNCTION("GOOGLETRANSLATE(D1199,""zh-CN"",""vi"")"),"Ông ấy là một nhà lãnh đạo vĩ đại.")</f>
        <v>Ông ấy là một nhà lãnh đạo vĩ đại.</v>
      </c>
      <c r="F1199" s="128"/>
      <c r="G1199" s="36" t="b">
        <f t="shared" si="1"/>
        <v>0</v>
      </c>
      <c r="H1199" s="35" t="b">
        <v>1</v>
      </c>
      <c r="I1199" s="35" t="b">
        <v>0</v>
      </c>
      <c r="J1199" s="35" t="b">
        <v>0</v>
      </c>
      <c r="K1199" s="35" t="b">
        <v>0</v>
      </c>
      <c r="L1199" s="35" t="b">
        <v>0</v>
      </c>
      <c r="M1199" s="35" t="b">
        <v>0</v>
      </c>
      <c r="N1199" s="35" t="b">
        <v>0</v>
      </c>
      <c r="O1199" s="35" t="b">
        <v>0</v>
      </c>
      <c r="P1199" s="35" t="b">
        <v>0</v>
      </c>
      <c r="Q1199" s="35" t="b">
        <v>0</v>
      </c>
      <c r="R1199" s="14"/>
      <c r="S1199" s="14"/>
      <c r="T1199" s="14"/>
      <c r="U1199" s="14"/>
      <c r="V1199" s="14"/>
      <c r="W1199" s="14"/>
    </row>
    <row r="1200" ht="31.5" customHeight="1">
      <c r="A1200" s="109" t="s">
        <v>13879</v>
      </c>
      <c r="B1200" s="110" t="s">
        <v>13880</v>
      </c>
      <c r="C1200" s="111" t="s">
        <v>13881</v>
      </c>
      <c r="D1200" s="28" t="s">
        <v>13882</v>
      </c>
      <c r="E1200" s="28" t="str">
        <f>IFERROR(__xludf.DUMMYFUNCTION("GOOGLETRANSLATE(D1200,""zh-CN"",""vi"")"),"Các em nhỏ đang trượt băng trong sân.")</f>
        <v>Các em nhỏ đang trượt băng trong sân.</v>
      </c>
      <c r="F1200" s="128"/>
      <c r="G1200" s="36" t="b">
        <f t="shared" si="1"/>
        <v>0</v>
      </c>
      <c r="H1200" s="35" t="b">
        <v>1</v>
      </c>
      <c r="I1200" s="35" t="b">
        <v>0</v>
      </c>
      <c r="J1200" s="35" t="b">
        <v>0</v>
      </c>
      <c r="K1200" s="35" t="b">
        <v>0</v>
      </c>
      <c r="L1200" s="35" t="b">
        <v>0</v>
      </c>
      <c r="M1200" s="35" t="b">
        <v>0</v>
      </c>
      <c r="N1200" s="35" t="b">
        <v>0</v>
      </c>
      <c r="O1200" s="35" t="b">
        <v>0</v>
      </c>
      <c r="P1200" s="35" t="b">
        <v>0</v>
      </c>
      <c r="Q1200" s="35" t="b">
        <v>0</v>
      </c>
      <c r="R1200" s="14"/>
      <c r="S1200" s="14"/>
      <c r="T1200" s="14"/>
      <c r="U1200" s="14"/>
      <c r="V1200" s="14"/>
      <c r="W1200" s="14"/>
    </row>
    <row r="1201" ht="31.5" customHeight="1">
      <c r="A1201" s="109" t="s">
        <v>13884</v>
      </c>
      <c r="B1201" s="110" t="s">
        <v>13885</v>
      </c>
      <c r="C1201" s="111" t="s">
        <v>13886</v>
      </c>
      <c r="D1201" s="28" t="s">
        <v>13887</v>
      </c>
      <c r="E1201" s="28" t="str">
        <f>IFERROR(__xludf.DUMMYFUNCTION("GOOGLETRANSLATE(D1201,""zh-CN"",""vi"")"),"Anh ta lang thang khắp thành phố một thời gian dài.")</f>
        <v>Anh ta lang thang khắp thành phố một thời gian dài.</v>
      </c>
      <c r="F1201" s="128"/>
      <c r="G1201" s="36" t="b">
        <f t="shared" si="1"/>
        <v>0</v>
      </c>
      <c r="H1201" s="35" t="b">
        <v>1</v>
      </c>
      <c r="I1201" s="35" t="b">
        <v>0</v>
      </c>
      <c r="J1201" s="35" t="b">
        <v>0</v>
      </c>
      <c r="K1201" s="35" t="b">
        <v>0</v>
      </c>
      <c r="L1201" s="35" t="b">
        <v>0</v>
      </c>
      <c r="M1201" s="35" t="b">
        <v>0</v>
      </c>
      <c r="N1201" s="35" t="b">
        <v>0</v>
      </c>
      <c r="O1201" s="35" t="b">
        <v>0</v>
      </c>
      <c r="P1201" s="35" t="b">
        <v>0</v>
      </c>
      <c r="Q1201" s="35" t="b">
        <v>0</v>
      </c>
      <c r="R1201" s="14"/>
      <c r="S1201" s="14"/>
      <c r="T1201" s="14"/>
      <c r="U1201" s="14"/>
      <c r="V1201" s="14"/>
      <c r="W1201" s="14"/>
    </row>
    <row r="1202" ht="31.5" customHeight="1">
      <c r="A1202" s="109" t="s">
        <v>13888</v>
      </c>
      <c r="B1202" s="110" t="s">
        <v>13889</v>
      </c>
      <c r="C1202" s="111" t="s">
        <v>13890</v>
      </c>
      <c r="D1202" s="28" t="s">
        <v>13891</v>
      </c>
      <c r="E1202" s="28" t="str">
        <f>IFERROR(__xludf.DUMMYFUNCTION("GOOGLETRANSLATE(D1202,""zh-CN"",""vi"")"),"Cô ấy có tình cảm sâu sắc với quê hương mình.")</f>
        <v>Cô ấy có tình cảm sâu sắc với quê hương mình.</v>
      </c>
      <c r="F1202" s="128"/>
      <c r="G1202" s="36" t="b">
        <f t="shared" si="1"/>
        <v>0</v>
      </c>
      <c r="H1202" s="35" t="b">
        <v>1</v>
      </c>
      <c r="I1202" s="35" t="b">
        <v>0</v>
      </c>
      <c r="J1202" s="35" t="b">
        <v>0</v>
      </c>
      <c r="K1202" s="35" t="b">
        <v>0</v>
      </c>
      <c r="L1202" s="35" t="b">
        <v>0</v>
      </c>
      <c r="M1202" s="35" t="b">
        <v>0</v>
      </c>
      <c r="N1202" s="35" t="b">
        <v>0</v>
      </c>
      <c r="O1202" s="35" t="b">
        <v>0</v>
      </c>
      <c r="P1202" s="35" t="b">
        <v>0</v>
      </c>
      <c r="Q1202" s="35" t="b">
        <v>0</v>
      </c>
      <c r="R1202" s="14"/>
      <c r="S1202" s="14"/>
      <c r="T1202" s="14"/>
      <c r="U1202" s="14"/>
      <c r="V1202" s="14"/>
      <c r="W1202" s="14"/>
    </row>
    <row r="1203" ht="31.5" customHeight="1">
      <c r="A1203" s="109" t="s">
        <v>13892</v>
      </c>
      <c r="B1203" s="110" t="s">
        <v>13893</v>
      </c>
      <c r="C1203" s="111" t="s">
        <v>13894</v>
      </c>
      <c r="D1203" s="28" t="s">
        <v>13895</v>
      </c>
      <c r="E1203" s="28" t="str">
        <f>IFERROR(__xludf.DUMMYFUNCTION("GOOGLETRANSLATE(D1203,""zh-CN"",""vi"")"),"Ánh mắt anh lộ vẻ buồn bã.")</f>
        <v>Ánh mắt anh lộ vẻ buồn bã.</v>
      </c>
      <c r="F1203" s="128"/>
      <c r="G1203" s="36" t="b">
        <f t="shared" si="1"/>
        <v>0</v>
      </c>
      <c r="H1203" s="35" t="b">
        <v>1</v>
      </c>
      <c r="I1203" s="35" t="b">
        <v>0</v>
      </c>
      <c r="J1203" s="35" t="b">
        <v>0</v>
      </c>
      <c r="K1203" s="35" t="b">
        <v>0</v>
      </c>
      <c r="L1203" s="35" t="b">
        <v>0</v>
      </c>
      <c r="M1203" s="35" t="b">
        <v>0</v>
      </c>
      <c r="N1203" s="35" t="b">
        <v>0</v>
      </c>
      <c r="O1203" s="35" t="b">
        <v>0</v>
      </c>
      <c r="P1203" s="35" t="b">
        <v>0</v>
      </c>
      <c r="Q1203" s="35" t="b">
        <v>0</v>
      </c>
      <c r="R1203" s="14"/>
      <c r="S1203" s="14"/>
      <c r="T1203" s="14"/>
      <c r="U1203" s="14"/>
      <c r="V1203" s="14"/>
      <c r="W1203" s="14"/>
    </row>
    <row r="1204" ht="31.5" customHeight="1">
      <c r="A1204" s="109" t="s">
        <v>13896</v>
      </c>
      <c r="B1204" s="110" t="s">
        <v>13897</v>
      </c>
      <c r="C1204" s="111" t="s">
        <v>13898</v>
      </c>
      <c r="D1204" s="28" t="s">
        <v>13899</v>
      </c>
      <c r="E1204" s="28" t="str">
        <f>IFERROR(__xludf.DUMMYFUNCTION("GOOGLETRANSLATE(D1204,""zh-CN"",""vi"")"),"Trước đây hắn từng là một tên côn đồ.")</f>
        <v>Trước đây hắn từng là một tên côn đồ.</v>
      </c>
      <c r="F1204" s="128"/>
      <c r="G1204" s="36" t="b">
        <f t="shared" si="1"/>
        <v>0</v>
      </c>
      <c r="H1204" s="35" t="b">
        <v>0</v>
      </c>
      <c r="I1204" s="35" t="b">
        <v>0</v>
      </c>
      <c r="J1204" s="35" t="b">
        <v>0</v>
      </c>
      <c r="K1204" s="35" t="b">
        <v>0</v>
      </c>
      <c r="L1204" s="35" t="b">
        <v>0</v>
      </c>
      <c r="M1204" s="35" t="b">
        <v>0</v>
      </c>
      <c r="N1204" s="35" t="b">
        <v>0</v>
      </c>
      <c r="O1204" s="35" t="b">
        <v>0</v>
      </c>
      <c r="P1204" s="35" t="b">
        <v>0</v>
      </c>
      <c r="Q1204" s="35" t="b">
        <v>0</v>
      </c>
      <c r="R1204" s="14"/>
      <c r="S1204" s="14"/>
      <c r="T1204" s="14"/>
      <c r="U1204" s="14"/>
      <c r="V1204" s="14"/>
      <c r="W1204" s="14"/>
    </row>
    <row r="1205" ht="31.5" customHeight="1">
      <c r="A1205" s="109" t="s">
        <v>13900</v>
      </c>
      <c r="B1205" s="110" t="s">
        <v>13901</v>
      </c>
      <c r="C1205" s="111" t="s">
        <v>13902</v>
      </c>
      <c r="D1205" s="28" t="s">
        <v>13903</v>
      </c>
      <c r="E1205" s="28" t="str">
        <f>IFERROR(__xludf.DUMMYFUNCTION("GOOGLETRANSLATE(D1205,""zh-CN"",""vi"")"),"Hãy trân trọng khoảnh khắc tuyệt vời này.")</f>
        <v>Hãy trân trọng khoảnh khắc tuyệt vời này.</v>
      </c>
      <c r="F1205" s="128"/>
      <c r="G1205" s="36" t="b">
        <f t="shared" si="1"/>
        <v>0</v>
      </c>
      <c r="H1205" s="35" t="b">
        <v>0</v>
      </c>
      <c r="I1205" s="35" t="b">
        <v>0</v>
      </c>
      <c r="J1205" s="35" t="b">
        <v>0</v>
      </c>
      <c r="K1205" s="35" t="b">
        <v>0</v>
      </c>
      <c r="L1205" s="35" t="b">
        <v>0</v>
      </c>
      <c r="M1205" s="35" t="b">
        <v>0</v>
      </c>
      <c r="N1205" s="35" t="b">
        <v>0</v>
      </c>
      <c r="O1205" s="35" t="b">
        <v>0</v>
      </c>
      <c r="P1205" s="35" t="b">
        <v>0</v>
      </c>
      <c r="Q1205" s="35" t="b">
        <v>0</v>
      </c>
      <c r="R1205" s="14"/>
      <c r="S1205" s="14"/>
      <c r="T1205" s="14"/>
      <c r="U1205" s="14"/>
      <c r="V1205" s="14"/>
      <c r="W1205" s="14"/>
    </row>
    <row r="1206" ht="31.5" customHeight="1">
      <c r="A1206" s="109" t="s">
        <v>13908</v>
      </c>
      <c r="B1206" s="110" t="s">
        <v>13909</v>
      </c>
      <c r="C1206" s="111" t="s">
        <v>13910</v>
      </c>
      <c r="D1206" s="28" t="s">
        <v>13911</v>
      </c>
      <c r="E1206" s="28" t="str">
        <f>IFERROR(__xludf.DUMMYFUNCTION("GOOGLETRANSLATE(D1206,""zh-CN"",""vi"")"),"Hãy cẩn thận khi qua đường.")</f>
        <v>Hãy cẩn thận khi qua đường.</v>
      </c>
      <c r="F1206" s="128"/>
      <c r="G1206" s="36" t="b">
        <f t="shared" si="1"/>
        <v>0</v>
      </c>
      <c r="H1206" s="35" t="b">
        <v>0</v>
      </c>
      <c r="I1206" s="35" t="b">
        <v>0</v>
      </c>
      <c r="J1206" s="35" t="b">
        <v>0</v>
      </c>
      <c r="K1206" s="35" t="b">
        <v>0</v>
      </c>
      <c r="L1206" s="35" t="b">
        <v>0</v>
      </c>
      <c r="M1206" s="35" t="b">
        <v>0</v>
      </c>
      <c r="N1206" s="35" t="b">
        <v>0</v>
      </c>
      <c r="O1206" s="35" t="b">
        <v>0</v>
      </c>
      <c r="P1206" s="35" t="b">
        <v>0</v>
      </c>
      <c r="Q1206" s="35" t="b">
        <v>0</v>
      </c>
      <c r="R1206" s="14"/>
      <c r="S1206" s="14"/>
      <c r="T1206" s="14"/>
      <c r="U1206" s="14"/>
      <c r="V1206" s="14"/>
      <c r="W1206" s="14"/>
    </row>
    <row r="1207" ht="31.5" customHeight="1">
      <c r="A1207" s="109" t="s">
        <v>13912</v>
      </c>
      <c r="B1207" s="110" t="s">
        <v>13913</v>
      </c>
      <c r="C1207" s="111" t="s">
        <v>13914</v>
      </c>
      <c r="D1207" s="28" t="s">
        <v>13915</v>
      </c>
      <c r="E1207" s="28" t="str">
        <f>IFERROR(__xludf.DUMMYFUNCTION("GOOGLETRANSLATE(D1207,""zh-CN"",""vi"")"),"Hàng hóa cần được lưu thông trước khi có thể bán được.")</f>
        <v>Hàng hóa cần được lưu thông trước khi có thể bán được.</v>
      </c>
      <c r="F1207" s="128"/>
      <c r="G1207" s="36" t="b">
        <f t="shared" si="1"/>
        <v>0</v>
      </c>
      <c r="H1207" s="35" t="b">
        <v>0</v>
      </c>
      <c r="I1207" s="35" t="b">
        <v>0</v>
      </c>
      <c r="J1207" s="35" t="b">
        <v>0</v>
      </c>
      <c r="K1207" s="35" t="b">
        <v>0</v>
      </c>
      <c r="L1207" s="35" t="b">
        <v>0</v>
      </c>
      <c r="M1207" s="35" t="b">
        <v>0</v>
      </c>
      <c r="N1207" s="35" t="b">
        <v>0</v>
      </c>
      <c r="O1207" s="35" t="b">
        <v>0</v>
      </c>
      <c r="P1207" s="35" t="b">
        <v>0</v>
      </c>
      <c r="Q1207" s="35" t="b">
        <v>0</v>
      </c>
      <c r="R1207" s="14"/>
      <c r="S1207" s="14"/>
      <c r="T1207" s="14"/>
      <c r="U1207" s="14"/>
      <c r="V1207" s="14"/>
      <c r="W1207" s="14"/>
    </row>
    <row r="1208" ht="31.5" customHeight="1">
      <c r="A1208" s="109" t="s">
        <v>13920</v>
      </c>
      <c r="B1208" s="110" t="s">
        <v>13921</v>
      </c>
      <c r="C1208" s="111" t="s">
        <v>13922</v>
      </c>
      <c r="D1208" s="28" t="s">
        <v>13923</v>
      </c>
      <c r="E1208" s="28" t="str">
        <f>IFERROR(__xludf.DUMMYFUNCTION("GOOGLETRANSLATE(D1208,""zh-CN"",""vi"")"),"Anh ấy bị điếc và câm.")</f>
        <v>Anh ấy bị điếc và câm.</v>
      </c>
      <c r="F1208" s="128"/>
      <c r="G1208" s="36" t="b">
        <f t="shared" si="1"/>
        <v>0</v>
      </c>
      <c r="H1208" s="35" t="b">
        <v>0</v>
      </c>
      <c r="I1208" s="35" t="b">
        <v>0</v>
      </c>
      <c r="J1208" s="35" t="b">
        <v>0</v>
      </c>
      <c r="K1208" s="35" t="b">
        <v>0</v>
      </c>
      <c r="L1208" s="35" t="b">
        <v>0</v>
      </c>
      <c r="M1208" s="35" t="b">
        <v>0</v>
      </c>
      <c r="N1208" s="35" t="b">
        <v>0</v>
      </c>
      <c r="O1208" s="35" t="b">
        <v>0</v>
      </c>
      <c r="P1208" s="35" t="b">
        <v>0</v>
      </c>
      <c r="Q1208" s="35" t="b">
        <v>0</v>
      </c>
      <c r="R1208" s="14"/>
      <c r="S1208" s="14"/>
      <c r="T1208" s="14"/>
      <c r="U1208" s="14"/>
      <c r="V1208" s="14"/>
      <c r="W1208" s="14"/>
    </row>
    <row r="1209" ht="31.5" customHeight="1">
      <c r="A1209" s="109" t="s">
        <v>13924</v>
      </c>
      <c r="B1209" s="110" t="s">
        <v>13925</v>
      </c>
      <c r="C1209" s="111" t="s">
        <v>13926</v>
      </c>
      <c r="D1209" s="28" t="s">
        <v>13928</v>
      </c>
      <c r="E1209" s="28" t="str">
        <f>IFERROR(__xludf.DUMMYFUNCTION("GOOGLETRANSLATE(D1209,""zh-CN"",""vi"")"),"Cuộc họp được tiến hành trong không khí rất trang nghiêm.")</f>
        <v>Cuộc họp được tiến hành trong không khí rất trang nghiêm.</v>
      </c>
      <c r="F1209" s="128"/>
      <c r="G1209" s="36" t="b">
        <f t="shared" si="1"/>
        <v>0</v>
      </c>
      <c r="H1209" s="35" t="b">
        <v>0</v>
      </c>
      <c r="I1209" s="35" t="b">
        <v>0</v>
      </c>
      <c r="J1209" s="35" t="b">
        <v>0</v>
      </c>
      <c r="K1209" s="35" t="b">
        <v>0</v>
      </c>
      <c r="L1209" s="35" t="b">
        <v>0</v>
      </c>
      <c r="M1209" s="35" t="b">
        <v>0</v>
      </c>
      <c r="N1209" s="35" t="b">
        <v>0</v>
      </c>
      <c r="O1209" s="35" t="b">
        <v>0</v>
      </c>
      <c r="P1209" s="35" t="b">
        <v>0</v>
      </c>
      <c r="Q1209" s="35" t="b">
        <v>0</v>
      </c>
      <c r="R1209" s="14"/>
      <c r="S1209" s="14"/>
      <c r="T1209" s="14"/>
      <c r="U1209" s="14"/>
      <c r="V1209" s="14"/>
      <c r="W1209" s="14"/>
    </row>
    <row r="1210" ht="31.5" customHeight="1">
      <c r="A1210" s="109" t="s">
        <v>13932</v>
      </c>
      <c r="B1210" s="110" t="s">
        <v>13933</v>
      </c>
      <c r="C1210" s="111" t="s">
        <v>13934</v>
      </c>
      <c r="D1210" s="28" t="s">
        <v>13935</v>
      </c>
      <c r="E1210" s="28" t="str">
        <f>IFERROR(__xludf.DUMMYFUNCTION("GOOGLETRANSLATE(D1210,""zh-CN"",""vi"")"),"Họ đã độc chiếm thị trường.")</f>
        <v>Họ đã độc chiếm thị trường.</v>
      </c>
      <c r="F1210" s="133"/>
      <c r="G1210" s="36" t="b">
        <f t="shared" si="1"/>
        <v>0</v>
      </c>
      <c r="H1210" s="35" t="b">
        <v>0</v>
      </c>
      <c r="I1210" s="35" t="b">
        <v>0</v>
      </c>
      <c r="J1210" s="35" t="b">
        <v>0</v>
      </c>
      <c r="K1210" s="35" t="b">
        <v>0</v>
      </c>
      <c r="L1210" s="35" t="b">
        <v>0</v>
      </c>
      <c r="M1210" s="35" t="b">
        <v>0</v>
      </c>
      <c r="N1210" s="35" t="b">
        <v>0</v>
      </c>
      <c r="O1210" s="35" t="b">
        <v>0</v>
      </c>
      <c r="P1210" s="35" t="b">
        <v>0</v>
      </c>
      <c r="Q1210" s="35" t="b">
        <v>0</v>
      </c>
      <c r="R1210" s="14"/>
      <c r="S1210" s="14"/>
      <c r="T1210" s="14"/>
      <c r="U1210" s="14"/>
      <c r="V1210" s="14"/>
      <c r="W1210" s="14"/>
    </row>
    <row r="1211" ht="31.5" customHeight="1">
      <c r="A1211" s="109" t="s">
        <v>13940</v>
      </c>
      <c r="B1211" s="110" t="s">
        <v>13941</v>
      </c>
      <c r="C1211" s="111" t="s">
        <v>13942</v>
      </c>
      <c r="D1211" s="28" t="s">
        <v>13943</v>
      </c>
      <c r="E1211" s="28" t="str">
        <f>IFERROR(__xludf.DUMMYFUNCTION("GOOGLETRANSLATE(D1211,""zh-CN"",""vi"")"),"Sương mù dày đặc bao phủ toàn bộ thành phố.")</f>
        <v>Sương mù dày đặc bao phủ toàn bộ thành phố.</v>
      </c>
      <c r="F1211" s="128"/>
      <c r="G1211" s="36" t="b">
        <f t="shared" si="1"/>
        <v>0</v>
      </c>
      <c r="H1211" s="35" t="b">
        <v>0</v>
      </c>
      <c r="I1211" s="35" t="b">
        <v>0</v>
      </c>
      <c r="J1211" s="35" t="b">
        <v>0</v>
      </c>
      <c r="K1211" s="35" t="b">
        <v>0</v>
      </c>
      <c r="L1211" s="35" t="b">
        <v>0</v>
      </c>
      <c r="M1211" s="35" t="b">
        <v>0</v>
      </c>
      <c r="N1211" s="35" t="b">
        <v>0</v>
      </c>
      <c r="O1211" s="35" t="b">
        <v>0</v>
      </c>
      <c r="P1211" s="35" t="b">
        <v>0</v>
      </c>
      <c r="Q1211" s="35" t="b">
        <v>0</v>
      </c>
      <c r="R1211" s="14"/>
      <c r="S1211" s="14"/>
      <c r="T1211" s="14"/>
      <c r="U1211" s="14"/>
      <c r="V1211" s="14"/>
      <c r="W1211" s="14"/>
    </row>
    <row r="1212" ht="31.5" customHeight="1">
      <c r="A1212" s="109" t="s">
        <v>13945</v>
      </c>
      <c r="B1212" s="110" t="s">
        <v>13947</v>
      </c>
      <c r="C1212" s="111" t="s">
        <v>13948</v>
      </c>
      <c r="D1212" s="28" t="s">
        <v>13950</v>
      </c>
      <c r="E1212" s="28" t="str">
        <f>IFERROR(__xludf.DUMMYFUNCTION("GOOGLETRANSLATE(D1212,""zh-CN"",""vi"")"),"Cô ấy đang ngủ trong vòng tay ôm con.")</f>
        <v>Cô ấy đang ngủ trong vòng tay ôm con.</v>
      </c>
      <c r="F1212" s="128"/>
      <c r="G1212" s="36" t="b">
        <f t="shared" si="1"/>
        <v>0</v>
      </c>
      <c r="H1212" s="35" t="b">
        <v>0</v>
      </c>
      <c r="I1212" s="35" t="b">
        <v>0</v>
      </c>
      <c r="J1212" s="35" t="b">
        <v>0</v>
      </c>
      <c r="K1212" s="35" t="b">
        <v>0</v>
      </c>
      <c r="L1212" s="35" t="b">
        <v>0</v>
      </c>
      <c r="M1212" s="35" t="b">
        <v>0</v>
      </c>
      <c r="N1212" s="35" t="b">
        <v>0</v>
      </c>
      <c r="O1212" s="35" t="b">
        <v>0</v>
      </c>
      <c r="P1212" s="35" t="b">
        <v>0</v>
      </c>
      <c r="Q1212" s="35" t="b">
        <v>0</v>
      </c>
      <c r="R1212" s="14"/>
      <c r="S1212" s="14"/>
      <c r="T1212" s="14"/>
      <c r="U1212" s="14"/>
      <c r="V1212" s="14"/>
      <c r="W1212" s="14"/>
    </row>
    <row r="1213" ht="31.5" customHeight="1">
      <c r="A1213" s="109" t="s">
        <v>13952</v>
      </c>
      <c r="B1213" s="110" t="s">
        <v>13953</v>
      </c>
      <c r="C1213" s="111" t="s">
        <v>13954</v>
      </c>
      <c r="D1213" s="28" t="s">
        <v>13955</v>
      </c>
      <c r="E1213" s="28" t="str">
        <f>IFERROR(__xludf.DUMMYFUNCTION("GOOGLETRANSLATE(D1213,""zh-CN"",""vi"")"),"Nhà chúng tôi có một cái bếp.")</f>
        <v>Nhà chúng tôi có một cái bếp.</v>
      </c>
      <c r="F1213" s="128"/>
      <c r="G1213" s="36" t="b">
        <f t="shared" si="1"/>
        <v>0</v>
      </c>
      <c r="H1213" s="35" t="b">
        <v>0</v>
      </c>
      <c r="I1213" s="35" t="b">
        <v>0</v>
      </c>
      <c r="J1213" s="35" t="b">
        <v>0</v>
      </c>
      <c r="K1213" s="35" t="b">
        <v>0</v>
      </c>
      <c r="L1213" s="35" t="b">
        <v>0</v>
      </c>
      <c r="M1213" s="35" t="b">
        <v>0</v>
      </c>
      <c r="N1213" s="35" t="b">
        <v>0</v>
      </c>
      <c r="O1213" s="35" t="b">
        <v>0</v>
      </c>
      <c r="P1213" s="35" t="b">
        <v>0</v>
      </c>
      <c r="Q1213" s="35" t="b">
        <v>0</v>
      </c>
      <c r="R1213" s="14"/>
      <c r="S1213" s="14"/>
      <c r="T1213" s="14"/>
      <c r="U1213" s="14"/>
      <c r="V1213" s="14"/>
      <c r="W1213" s="14"/>
    </row>
    <row r="1214" ht="31.5" customHeight="1">
      <c r="A1214" s="124" t="s">
        <v>13960</v>
      </c>
      <c r="B1214" s="125" t="s">
        <v>13961</v>
      </c>
      <c r="C1214" s="126" t="s">
        <v>13962</v>
      </c>
      <c r="D1214" s="127" t="s">
        <v>13963</v>
      </c>
      <c r="E1214" s="28" t="str">
        <f>IFERROR(__xludf.DUMMYFUNCTION("GOOGLETRANSLATE(D1214,""zh-CN"",""vi"")"),"Con tàu đang hướng về phía cảng.")</f>
        <v>Con tàu đang hướng về phía cảng.</v>
      </c>
      <c r="F1214" s="128"/>
      <c r="G1214" s="36" t="b">
        <f t="shared" si="1"/>
        <v>0</v>
      </c>
      <c r="H1214" s="35" t="b">
        <v>0</v>
      </c>
      <c r="I1214" s="35" t="b">
        <v>0</v>
      </c>
      <c r="J1214" s="35" t="b">
        <v>0</v>
      </c>
      <c r="K1214" s="35" t="b">
        <v>0</v>
      </c>
      <c r="L1214" s="35" t="b">
        <v>0</v>
      </c>
      <c r="M1214" s="35" t="b">
        <v>0</v>
      </c>
      <c r="N1214" s="35" t="b">
        <v>0</v>
      </c>
      <c r="O1214" s="35" t="b">
        <v>0</v>
      </c>
      <c r="P1214" s="35" t="b">
        <v>0</v>
      </c>
      <c r="Q1214" s="35" t="b">
        <v>0</v>
      </c>
      <c r="R1214" s="130"/>
      <c r="S1214" s="130"/>
      <c r="T1214" s="130"/>
      <c r="U1214" s="130"/>
      <c r="V1214" s="130"/>
      <c r="W1214" s="130"/>
    </row>
    <row r="1215" ht="31.5" customHeight="1">
      <c r="A1215" s="109" t="s">
        <v>13968</v>
      </c>
      <c r="B1215" s="110" t="s">
        <v>13969</v>
      </c>
      <c r="C1215" s="111" t="s">
        <v>13970</v>
      </c>
      <c r="D1215" s="28" t="s">
        <v>13971</v>
      </c>
      <c r="E1215" s="28" t="str">
        <f>IFERROR(__xludf.DUMMYFUNCTION("GOOGLETRANSLATE(D1215,""zh-CN"",""vi"")"),"Khuôn mặt anh ta có những đường nét đặc trưng.")</f>
        <v>Khuôn mặt anh ta có những đường nét đặc trưng.</v>
      </c>
      <c r="F1215" s="128"/>
      <c r="G1215" s="36" t="b">
        <f t="shared" si="1"/>
        <v>0</v>
      </c>
      <c r="H1215" s="35" t="b">
        <v>0</v>
      </c>
      <c r="I1215" s="35" t="b">
        <v>0</v>
      </c>
      <c r="J1215" s="35" t="b">
        <v>0</v>
      </c>
      <c r="K1215" s="35" t="b">
        <v>0</v>
      </c>
      <c r="L1215" s="35" t="b">
        <v>0</v>
      </c>
      <c r="M1215" s="35" t="b">
        <v>0</v>
      </c>
      <c r="N1215" s="35" t="b">
        <v>0</v>
      </c>
      <c r="O1215" s="35" t="b">
        <v>0</v>
      </c>
      <c r="P1215" s="35" t="b">
        <v>0</v>
      </c>
      <c r="Q1215" s="35" t="b">
        <v>0</v>
      </c>
      <c r="R1215" s="14"/>
      <c r="S1215" s="14"/>
      <c r="T1215" s="14"/>
      <c r="U1215" s="14"/>
      <c r="V1215" s="14"/>
      <c r="W1215" s="14"/>
    </row>
    <row r="1216" ht="31.5" customHeight="1">
      <c r="A1216" s="109" t="s">
        <v>13976</v>
      </c>
      <c r="B1216" s="110" t="s">
        <v>13977</v>
      </c>
      <c r="C1216" s="111" t="s">
        <v>13978</v>
      </c>
      <c r="D1216" s="28" t="s">
        <v>13979</v>
      </c>
      <c r="E1216" s="28" t="str">
        <f>IFERROR(__xludf.DUMMYFUNCTION("GOOGLETRANSLATE(D1216,""zh-CN"",""vi"")"),"Lốp xe đã mòn hết rồi.")</f>
        <v>Lốp xe đã mòn hết rồi.</v>
      </c>
      <c r="F1216" s="128"/>
      <c r="G1216" s="36" t="b">
        <f t="shared" si="1"/>
        <v>0</v>
      </c>
      <c r="H1216" s="35" t="b">
        <v>0</v>
      </c>
      <c r="I1216" s="35" t="b">
        <v>0</v>
      </c>
      <c r="J1216" s="35" t="b">
        <v>0</v>
      </c>
      <c r="K1216" s="35" t="b">
        <v>0</v>
      </c>
      <c r="L1216" s="35" t="b">
        <v>0</v>
      </c>
      <c r="M1216" s="35" t="b">
        <v>0</v>
      </c>
      <c r="N1216" s="35" t="b">
        <v>0</v>
      </c>
      <c r="O1216" s="35" t="b">
        <v>0</v>
      </c>
      <c r="P1216" s="35" t="b">
        <v>0</v>
      </c>
      <c r="Q1216" s="35" t="b">
        <v>0</v>
      </c>
      <c r="R1216" s="14"/>
      <c r="S1216" s="14"/>
      <c r="T1216" s="14"/>
      <c r="U1216" s="14"/>
      <c r="V1216" s="14"/>
      <c r="W1216" s="14"/>
    </row>
    <row r="1217" ht="31.5" customHeight="1">
      <c r="A1217" s="109" t="s">
        <v>13980</v>
      </c>
      <c r="B1217" s="110" t="s">
        <v>13982</v>
      </c>
      <c r="C1217" s="111" t="s">
        <v>13983</v>
      </c>
      <c r="D1217" s="28" t="s">
        <v>13985</v>
      </c>
      <c r="E1217" s="28" t="str">
        <f>IFERROR(__xludf.DUMMYFUNCTION("GOOGLETRANSLATE(D1217,""zh-CN"",""vi"")"),"Ông đã có bài phát biểu tại diễn đàn.")</f>
        <v>Ông đã có bài phát biểu tại diễn đàn.</v>
      </c>
      <c r="F1217" s="128"/>
      <c r="G1217" s="36" t="b">
        <f t="shared" si="1"/>
        <v>0</v>
      </c>
      <c r="H1217" s="35" t="b">
        <v>0</v>
      </c>
      <c r="I1217" s="35" t="b">
        <v>0</v>
      </c>
      <c r="J1217" s="35" t="b">
        <v>0</v>
      </c>
      <c r="K1217" s="35" t="b">
        <v>0</v>
      </c>
      <c r="L1217" s="35" t="b">
        <v>0</v>
      </c>
      <c r="M1217" s="35" t="b">
        <v>0</v>
      </c>
      <c r="N1217" s="35" t="b">
        <v>0</v>
      </c>
      <c r="O1217" s="35" t="b">
        <v>0</v>
      </c>
      <c r="P1217" s="35" t="b">
        <v>0</v>
      </c>
      <c r="Q1217" s="35" t="b">
        <v>0</v>
      </c>
      <c r="R1217" s="14"/>
      <c r="S1217" s="14"/>
      <c r="T1217" s="14"/>
      <c r="U1217" s="14"/>
      <c r="V1217" s="14"/>
      <c r="W1217" s="14"/>
    </row>
    <row r="1218" ht="31.5" customHeight="1">
      <c r="A1218" s="109" t="s">
        <v>13988</v>
      </c>
      <c r="B1218" s="110" t="s">
        <v>13989</v>
      </c>
      <c r="C1218" s="111" t="s">
        <v>13990</v>
      </c>
      <c r="D1218" s="28" t="s">
        <v>13991</v>
      </c>
      <c r="E1218" s="28" t="str">
        <f>IFERROR(__xludf.DUMMYFUNCTION("GOOGLETRANSLATE(D1218,""zh-CN"",""vi"")"),"Họ đã chứng minh điều này bằng các bằng chứng cụ thể.")</f>
        <v>Họ đã chứng minh điều này bằng các bằng chứng cụ thể.</v>
      </c>
      <c r="F1218" s="128"/>
      <c r="G1218" s="36" t="b">
        <f t="shared" si="1"/>
        <v>0</v>
      </c>
      <c r="H1218" s="35" t="b">
        <v>0</v>
      </c>
      <c r="I1218" s="35" t="b">
        <v>0</v>
      </c>
      <c r="J1218" s="35" t="b">
        <v>0</v>
      </c>
      <c r="K1218" s="35" t="b">
        <v>0</v>
      </c>
      <c r="L1218" s="35" t="b">
        <v>0</v>
      </c>
      <c r="M1218" s="35" t="b">
        <v>0</v>
      </c>
      <c r="N1218" s="35" t="b">
        <v>0</v>
      </c>
      <c r="O1218" s="35" t="b">
        <v>0</v>
      </c>
      <c r="P1218" s="35" t="b">
        <v>0</v>
      </c>
      <c r="Q1218" s="35" t="b">
        <v>0</v>
      </c>
      <c r="R1218" s="14"/>
      <c r="S1218" s="14"/>
      <c r="T1218" s="14"/>
      <c r="U1218" s="14"/>
      <c r="V1218" s="14"/>
      <c r="W1218" s="14"/>
    </row>
    <row r="1219" ht="31.5" customHeight="1">
      <c r="A1219" s="109" t="s">
        <v>13996</v>
      </c>
      <c r="B1219" s="110" t="s">
        <v>13997</v>
      </c>
      <c r="C1219" s="111" t="s">
        <v>13998</v>
      </c>
      <c r="D1219" s="28" t="s">
        <v>13999</v>
      </c>
      <c r="E1219" s="28" t="str">
        <f>IFERROR(__xludf.DUMMYFUNCTION("GOOGLETRANSLATE(D1219,""zh-CN"",""vi"")"),"Cô ấy rất hoạt ngôn và không bao giờ ngừng nói.")</f>
        <v>Cô ấy rất hoạt ngôn và không bao giờ ngừng nói.</v>
      </c>
      <c r="F1219" s="128"/>
      <c r="G1219" s="36" t="b">
        <f t="shared" si="1"/>
        <v>0</v>
      </c>
      <c r="H1219" s="35" t="b">
        <v>0</v>
      </c>
      <c r="I1219" s="35" t="b">
        <v>0</v>
      </c>
      <c r="J1219" s="35" t="b">
        <v>0</v>
      </c>
      <c r="K1219" s="35" t="b">
        <v>0</v>
      </c>
      <c r="L1219" s="35" t="b">
        <v>0</v>
      </c>
      <c r="M1219" s="35" t="b">
        <v>0</v>
      </c>
      <c r="N1219" s="35" t="b">
        <v>0</v>
      </c>
      <c r="O1219" s="35" t="b">
        <v>0</v>
      </c>
      <c r="P1219" s="35" t="b">
        <v>0</v>
      </c>
      <c r="Q1219" s="35" t="b">
        <v>0</v>
      </c>
      <c r="R1219" s="14"/>
      <c r="S1219" s="14"/>
      <c r="T1219" s="14"/>
      <c r="U1219" s="14"/>
      <c r="V1219" s="14"/>
      <c r="W1219" s="14"/>
    </row>
    <row r="1220" ht="31.5" customHeight="1">
      <c r="A1220" s="109" t="s">
        <v>14004</v>
      </c>
      <c r="B1220" s="110" t="s">
        <v>14005</v>
      </c>
      <c r="C1220" s="111" t="s">
        <v>14006</v>
      </c>
      <c r="D1220" s="28" t="s">
        <v>14007</v>
      </c>
      <c r="E1220" s="28" t="str">
        <f>IFERROR(__xludf.DUMMYFUNCTION("GOOGLETRANSLATE(D1220,""zh-CN"",""vi"")"),"Anh ta siết chặt các ốc vít.")</f>
        <v>Anh ta siết chặt các ốc vít.</v>
      </c>
      <c r="F1220" s="128"/>
      <c r="G1220" s="36" t="b">
        <f t="shared" si="1"/>
        <v>0</v>
      </c>
      <c r="H1220" s="35" t="b">
        <v>0</v>
      </c>
      <c r="I1220" s="35" t="b">
        <v>0</v>
      </c>
      <c r="J1220" s="35" t="b">
        <v>0</v>
      </c>
      <c r="K1220" s="35" t="b">
        <v>0</v>
      </c>
      <c r="L1220" s="35" t="b">
        <v>0</v>
      </c>
      <c r="M1220" s="35" t="b">
        <v>0</v>
      </c>
      <c r="N1220" s="35" t="b">
        <v>0</v>
      </c>
      <c r="O1220" s="35" t="b">
        <v>0</v>
      </c>
      <c r="P1220" s="35" t="b">
        <v>0</v>
      </c>
      <c r="Q1220" s="35" t="b">
        <v>0</v>
      </c>
      <c r="R1220" s="14"/>
      <c r="S1220" s="14"/>
      <c r="T1220" s="14"/>
      <c r="U1220" s="14"/>
      <c r="V1220" s="14"/>
      <c r="W1220" s="14"/>
    </row>
    <row r="1221" ht="31.5" customHeight="1">
      <c r="A1221" s="109" t="s">
        <v>14010</v>
      </c>
      <c r="B1221" s="110" t="s">
        <v>14012</v>
      </c>
      <c r="C1221" s="111" t="s">
        <v>14014</v>
      </c>
      <c r="D1221" s="28" t="s">
        <v>14015</v>
      </c>
      <c r="E1221" s="28" t="str">
        <f>IFERROR(__xludf.DUMMYFUNCTION("GOOGLETRANSLATE(D1221,""zh-CN"",""vi"")"),"Tòa nhà mới đã hoàn thành.")</f>
        <v>Tòa nhà mới đã hoàn thành.</v>
      </c>
      <c r="F1221" s="128"/>
      <c r="G1221" s="36" t="b">
        <f t="shared" si="1"/>
        <v>0</v>
      </c>
      <c r="H1221" s="35" t="b">
        <v>0</v>
      </c>
      <c r="I1221" s="35" t="b">
        <v>0</v>
      </c>
      <c r="J1221" s="35" t="b">
        <v>0</v>
      </c>
      <c r="K1221" s="35" t="b">
        <v>0</v>
      </c>
      <c r="L1221" s="35" t="b">
        <v>0</v>
      </c>
      <c r="M1221" s="35" t="b">
        <v>0</v>
      </c>
      <c r="N1221" s="35" t="b">
        <v>0</v>
      </c>
      <c r="O1221" s="35" t="b">
        <v>0</v>
      </c>
      <c r="P1221" s="35" t="b">
        <v>0</v>
      </c>
      <c r="Q1221" s="35" t="b">
        <v>0</v>
      </c>
      <c r="R1221" s="14"/>
      <c r="S1221" s="14"/>
      <c r="T1221" s="14"/>
      <c r="U1221" s="14"/>
      <c r="V1221" s="14"/>
      <c r="W1221" s="14"/>
    </row>
    <row r="1222" ht="31.5" customHeight="1">
      <c r="A1222" s="109" t="s">
        <v>14016</v>
      </c>
      <c r="B1222" s="110" t="s">
        <v>14017</v>
      </c>
      <c r="C1222" s="111" t="s">
        <v>14018</v>
      </c>
      <c r="D1222" s="28" t="s">
        <v>14019</v>
      </c>
      <c r="E1222" s="28" t="str">
        <f>IFERROR(__xludf.DUMMYFUNCTION("GOOGLETRANSLATE(D1222,""zh-CN"",""vi"")"),"Kế hoạch đã được thực hiện.")</f>
        <v>Kế hoạch đã được thực hiện.</v>
      </c>
      <c r="F1222" s="128"/>
      <c r="G1222" s="36" t="b">
        <f t="shared" si="1"/>
        <v>0</v>
      </c>
      <c r="H1222" s="35" t="b">
        <v>0</v>
      </c>
      <c r="I1222" s="35" t="b">
        <v>0</v>
      </c>
      <c r="J1222" s="35" t="b">
        <v>0</v>
      </c>
      <c r="K1222" s="35" t="b">
        <v>0</v>
      </c>
      <c r="L1222" s="35" t="b">
        <v>0</v>
      </c>
      <c r="M1222" s="35" t="b">
        <v>0</v>
      </c>
      <c r="N1222" s="35" t="b">
        <v>0</v>
      </c>
      <c r="O1222" s="35" t="b">
        <v>0</v>
      </c>
      <c r="P1222" s="35" t="b">
        <v>0</v>
      </c>
      <c r="Q1222" s="35" t="b">
        <v>0</v>
      </c>
      <c r="R1222" s="14"/>
      <c r="S1222" s="14"/>
      <c r="T1222" s="14"/>
      <c r="U1222" s="14"/>
      <c r="V1222" s="14"/>
      <c r="W1222" s="14"/>
    </row>
    <row r="1223" ht="31.5" customHeight="1">
      <c r="A1223" s="109" t="s">
        <v>14024</v>
      </c>
      <c r="B1223" s="110" t="s">
        <v>14025</v>
      </c>
      <c r="C1223" s="111" t="s">
        <v>14026</v>
      </c>
      <c r="D1223" s="28" t="s">
        <v>14027</v>
      </c>
      <c r="E1223" s="28" t="str">
        <f>IFERROR(__xludf.DUMMYFUNCTION("GOOGLETRANSLATE(D1223,""zh-CN"",""vi"")"),"Du khách đổ xô đến khu vực này.")</f>
        <v>Du khách đổ xô đến khu vực này.</v>
      </c>
      <c r="F1223" s="128"/>
      <c r="G1223" s="36" t="b">
        <f t="shared" si="1"/>
        <v>0</v>
      </c>
      <c r="H1223" s="35" t="b">
        <v>0</v>
      </c>
      <c r="I1223" s="35" t="b">
        <v>0</v>
      </c>
      <c r="J1223" s="35" t="b">
        <v>0</v>
      </c>
      <c r="K1223" s="35" t="b">
        <v>0</v>
      </c>
      <c r="L1223" s="35" t="b">
        <v>0</v>
      </c>
      <c r="M1223" s="35" t="b">
        <v>0</v>
      </c>
      <c r="N1223" s="35" t="b">
        <v>0</v>
      </c>
      <c r="O1223" s="35" t="b">
        <v>0</v>
      </c>
      <c r="P1223" s="35" t="b">
        <v>0</v>
      </c>
      <c r="Q1223" s="35" t="b">
        <v>0</v>
      </c>
      <c r="R1223" s="14"/>
      <c r="S1223" s="14"/>
      <c r="T1223" s="14"/>
      <c r="U1223" s="14"/>
      <c r="V1223" s="14"/>
      <c r="W1223" s="14"/>
    </row>
    <row r="1224" ht="31.5" customHeight="1">
      <c r="A1224" s="109" t="s">
        <v>14028</v>
      </c>
      <c r="B1224" s="110" t="s">
        <v>14029</v>
      </c>
      <c r="C1224" s="111" t="s">
        <v>14030</v>
      </c>
      <c r="D1224" s="28" t="s">
        <v>14032</v>
      </c>
      <c r="E1224" s="28" t="str">
        <f>IFERROR(__xludf.DUMMYFUNCTION("GOOGLETRANSLATE(D1224,""zh-CN"",""vi"")"),"Anh ta liên tục phạm sai lầm.")</f>
        <v>Anh ta liên tục phạm sai lầm.</v>
      </c>
      <c r="F1224" s="128"/>
      <c r="G1224" s="36" t="b">
        <f t="shared" si="1"/>
        <v>0</v>
      </c>
      <c r="H1224" s="35" t="b">
        <v>0</v>
      </c>
      <c r="I1224" s="35" t="b">
        <v>0</v>
      </c>
      <c r="J1224" s="35" t="b">
        <v>0</v>
      </c>
      <c r="K1224" s="35" t="b">
        <v>0</v>
      </c>
      <c r="L1224" s="35" t="b">
        <v>0</v>
      </c>
      <c r="M1224" s="35" t="b">
        <v>0</v>
      </c>
      <c r="N1224" s="35" t="b">
        <v>0</v>
      </c>
      <c r="O1224" s="35" t="b">
        <v>0</v>
      </c>
      <c r="P1224" s="35" t="b">
        <v>0</v>
      </c>
      <c r="Q1224" s="35" t="b">
        <v>0</v>
      </c>
      <c r="R1224" s="14"/>
      <c r="S1224" s="14"/>
      <c r="T1224" s="14"/>
      <c r="U1224" s="14"/>
      <c r="V1224" s="14"/>
      <c r="W1224" s="14"/>
    </row>
    <row r="1225" ht="31.5" customHeight="1">
      <c r="A1225" s="109" t="s">
        <v>14036</v>
      </c>
      <c r="B1225" s="110" t="s">
        <v>14037</v>
      </c>
      <c r="C1225" s="111" t="s">
        <v>14038</v>
      </c>
      <c r="D1225" s="28" t="s">
        <v>14039</v>
      </c>
      <c r="E1225" s="28" t="str">
        <f>IFERROR(__xludf.DUMMYFUNCTION("GOOGLETRANSLATE(D1225,""zh-CN"",""vi"")"),"Chúng ta phải hoàn thành hợp đồng.")</f>
        <v>Chúng ta phải hoàn thành hợp đồng.</v>
      </c>
      <c r="F1225" s="128"/>
      <c r="G1225" s="36" t="b">
        <f t="shared" si="1"/>
        <v>0</v>
      </c>
      <c r="H1225" s="35" t="b">
        <v>0</v>
      </c>
      <c r="I1225" s="35" t="b">
        <v>0</v>
      </c>
      <c r="J1225" s="35" t="b">
        <v>0</v>
      </c>
      <c r="K1225" s="35" t="b">
        <v>0</v>
      </c>
      <c r="L1225" s="35" t="b">
        <v>0</v>
      </c>
      <c r="M1225" s="35" t="b">
        <v>0</v>
      </c>
      <c r="N1225" s="35" t="b">
        <v>0</v>
      </c>
      <c r="O1225" s="35" t="b">
        <v>0</v>
      </c>
      <c r="P1225" s="35" t="b">
        <v>0</v>
      </c>
      <c r="Q1225" s="35" t="b">
        <v>0</v>
      </c>
      <c r="R1225" s="14"/>
      <c r="S1225" s="14"/>
      <c r="T1225" s="14"/>
      <c r="U1225" s="14"/>
      <c r="V1225" s="14"/>
      <c r="W1225" s="14"/>
    </row>
    <row r="1226" ht="31.5" customHeight="1">
      <c r="A1226" s="109" t="s">
        <v>14042</v>
      </c>
      <c r="B1226" s="110" t="s">
        <v>14043</v>
      </c>
      <c r="C1226" s="111" t="s">
        <v>14044</v>
      </c>
      <c r="D1226" s="28" t="s">
        <v>14046</v>
      </c>
      <c r="E1226" s="28" t="str">
        <f>IFERROR(__xludf.DUMMYFUNCTION("GOOGLETRANSLATE(D1226,""zh-CN"",""vi"")"),"Bọn cướp biển đã cướp phá con tàu.")</f>
        <v>Bọn cướp biển đã cướp phá con tàu.</v>
      </c>
      <c r="F1226" s="128"/>
      <c r="G1226" s="36" t="b">
        <f t="shared" si="1"/>
        <v>0</v>
      </c>
      <c r="H1226" s="35" t="b">
        <v>0</v>
      </c>
      <c r="I1226" s="35" t="b">
        <v>0</v>
      </c>
      <c r="J1226" s="35" t="b">
        <v>0</v>
      </c>
      <c r="K1226" s="35" t="b">
        <v>0</v>
      </c>
      <c r="L1226" s="35" t="b">
        <v>0</v>
      </c>
      <c r="M1226" s="35" t="b">
        <v>0</v>
      </c>
      <c r="N1226" s="35" t="b">
        <v>0</v>
      </c>
      <c r="O1226" s="35" t="b">
        <v>0</v>
      </c>
      <c r="P1226" s="35" t="b">
        <v>0</v>
      </c>
      <c r="Q1226" s="35" t="b">
        <v>0</v>
      </c>
      <c r="R1226" s="14"/>
      <c r="S1226" s="14"/>
      <c r="T1226" s="14"/>
      <c r="U1226" s="14"/>
      <c r="V1226" s="14"/>
      <c r="W1226" s="14"/>
    </row>
    <row r="1227" ht="31.5" customHeight="1">
      <c r="A1227" s="109" t="s">
        <v>14047</v>
      </c>
      <c r="B1227" s="110" t="s">
        <v>14048</v>
      </c>
      <c r="C1227" s="111" t="s">
        <v>14049</v>
      </c>
      <c r="D1227" s="28" t="s">
        <v>14050</v>
      </c>
      <c r="E1227" s="28" t="str">
        <f>IFERROR(__xludf.DUMMYFUNCTION("GOOGLETRANSLATE(D1227,""zh-CN"",""vi"")"),"Cô ấy hơi lo lắng.")</f>
        <v>Cô ấy hơi lo lắng.</v>
      </c>
      <c r="F1227" s="128"/>
      <c r="G1227" s="36" t="b">
        <f t="shared" si="1"/>
        <v>0</v>
      </c>
      <c r="H1227" s="35" t="b">
        <v>0</v>
      </c>
      <c r="I1227" s="35" t="b">
        <v>0</v>
      </c>
      <c r="J1227" s="35" t="b">
        <v>0</v>
      </c>
      <c r="K1227" s="35" t="b">
        <v>0</v>
      </c>
      <c r="L1227" s="35" t="b">
        <v>0</v>
      </c>
      <c r="M1227" s="35" t="b">
        <v>0</v>
      </c>
      <c r="N1227" s="35" t="b">
        <v>0</v>
      </c>
      <c r="O1227" s="35" t="b">
        <v>0</v>
      </c>
      <c r="P1227" s="35" t="b">
        <v>0</v>
      </c>
      <c r="Q1227" s="35" t="b">
        <v>0</v>
      </c>
      <c r="R1227" s="14"/>
      <c r="S1227" s="14"/>
      <c r="T1227" s="14"/>
      <c r="U1227" s="14"/>
      <c r="V1227" s="14"/>
      <c r="W1227" s="14"/>
    </row>
    <row r="1228" ht="31.5" customHeight="1">
      <c r="A1228" s="109" t="s">
        <v>14053</v>
      </c>
      <c r="B1228" s="110" t="s">
        <v>14054</v>
      </c>
      <c r="C1228" s="111" t="s">
        <v>14055</v>
      </c>
      <c r="D1228" s="28" t="s">
        <v>14056</v>
      </c>
      <c r="E1228" s="28" t="str">
        <f>IFERROR(__xludf.DUMMYFUNCTION("GOOGLETRANSLATE(D1228,""zh-CN"",""vi"")"),"Sự sợ hãi nguy hiểm đến mức tê liệt đã khiến anh ta bị thương.")</f>
        <v>Sự sợ hãi nguy hiểm đến mức tê liệt đã khiến anh ta bị thương.</v>
      </c>
      <c r="F1228" s="128"/>
      <c r="G1228" s="36" t="b">
        <f t="shared" si="1"/>
        <v>0</v>
      </c>
      <c r="H1228" s="35" t="b">
        <v>0</v>
      </c>
      <c r="I1228" s="35" t="b">
        <v>0</v>
      </c>
      <c r="J1228" s="35" t="b">
        <v>0</v>
      </c>
      <c r="K1228" s="35" t="b">
        <v>0</v>
      </c>
      <c r="L1228" s="35" t="b">
        <v>0</v>
      </c>
      <c r="M1228" s="35" t="b">
        <v>0</v>
      </c>
      <c r="N1228" s="35" t="b">
        <v>0</v>
      </c>
      <c r="O1228" s="35" t="b">
        <v>0</v>
      </c>
      <c r="P1228" s="35" t="b">
        <v>0</v>
      </c>
      <c r="Q1228" s="35" t="b">
        <v>0</v>
      </c>
      <c r="R1228" s="14"/>
      <c r="S1228" s="14"/>
      <c r="T1228" s="14"/>
      <c r="U1228" s="14"/>
      <c r="V1228" s="14"/>
      <c r="W1228" s="14"/>
    </row>
    <row r="1229" ht="31.5" customHeight="1">
      <c r="A1229" s="109" t="s">
        <v>14058</v>
      </c>
      <c r="B1229" s="110" t="s">
        <v>14059</v>
      </c>
      <c r="C1229" s="111" t="s">
        <v>14060</v>
      </c>
      <c r="D1229" s="28" t="s">
        <v>14061</v>
      </c>
      <c r="E1229" s="28" t="str">
        <f>IFERROR(__xludf.DUMMYFUNCTION("GOOGLETRANSLATE(D1229,""zh-CN"",""vi"")"),"Các ngón tay của anh ấy bị tê cứng.")</f>
        <v>Các ngón tay của anh ấy bị tê cứng.</v>
      </c>
      <c r="F1229" s="128"/>
      <c r="G1229" s="36" t="b">
        <f t="shared" si="1"/>
        <v>0</v>
      </c>
      <c r="H1229" s="35" t="b">
        <v>0</v>
      </c>
      <c r="I1229" s="35" t="b">
        <v>0</v>
      </c>
      <c r="J1229" s="35" t="b">
        <v>0</v>
      </c>
      <c r="K1229" s="35" t="b">
        <v>0</v>
      </c>
      <c r="L1229" s="35" t="b">
        <v>0</v>
      </c>
      <c r="M1229" s="35" t="b">
        <v>0</v>
      </c>
      <c r="N1229" s="35" t="b">
        <v>0</v>
      </c>
      <c r="O1229" s="35" t="b">
        <v>0</v>
      </c>
      <c r="P1229" s="35" t="b">
        <v>0</v>
      </c>
      <c r="Q1229" s="35" t="b">
        <v>0</v>
      </c>
      <c r="R1229" s="14"/>
      <c r="S1229" s="14"/>
      <c r="T1229" s="14"/>
      <c r="U1229" s="14"/>
      <c r="V1229" s="14"/>
      <c r="W1229" s="14"/>
    </row>
    <row r="1230" ht="31.5" customHeight="1">
      <c r="A1230" s="109" t="s">
        <v>14062</v>
      </c>
      <c r="B1230" s="110" t="s">
        <v>14063</v>
      </c>
      <c r="C1230" s="111" t="s">
        <v>14064</v>
      </c>
      <c r="D1230" s="28" t="s">
        <v>14065</v>
      </c>
      <c r="E1230" s="28" t="str">
        <f>IFERROR(__xludf.DUMMYFUNCTION("GOOGLETRANSLATE(D1230,""zh-CN"",""vi"")"),"Bác sĩ đã tiêm thuốc gây mê cho anh ấy.")</f>
        <v>Bác sĩ đã tiêm thuốc gây mê cho anh ấy.</v>
      </c>
      <c r="F1230" s="128"/>
      <c r="G1230" s="36" t="b">
        <f t="shared" si="1"/>
        <v>0</v>
      </c>
      <c r="H1230" s="35" t="b">
        <v>0</v>
      </c>
      <c r="I1230" s="35" t="b">
        <v>0</v>
      </c>
      <c r="J1230" s="35" t="b">
        <v>0</v>
      </c>
      <c r="K1230" s="35" t="b">
        <v>0</v>
      </c>
      <c r="L1230" s="35" t="b">
        <v>0</v>
      </c>
      <c r="M1230" s="35" t="b">
        <v>0</v>
      </c>
      <c r="N1230" s="35" t="b">
        <v>0</v>
      </c>
      <c r="O1230" s="35" t="b">
        <v>0</v>
      </c>
      <c r="P1230" s="35" t="b">
        <v>0</v>
      </c>
      <c r="Q1230" s="35" t="b">
        <v>0</v>
      </c>
      <c r="R1230" s="14"/>
      <c r="S1230" s="14"/>
      <c r="T1230" s="14"/>
      <c r="U1230" s="14"/>
      <c r="V1230" s="14"/>
      <c r="W1230" s="14"/>
    </row>
    <row r="1231" ht="31.5" customHeight="1">
      <c r="A1231" s="109" t="s">
        <v>14066</v>
      </c>
      <c r="B1231" s="110" t="s">
        <v>14067</v>
      </c>
      <c r="C1231" s="111" t="s">
        <v>14068</v>
      </c>
      <c r="D1231" s="28" t="s">
        <v>14069</v>
      </c>
      <c r="E1231" s="28" t="str">
        <f>IFERROR(__xludf.DUMMYFUNCTION("GOOGLETRANSLATE(D1231,""zh-CN"",""vi"")"),"Bến tàu chật kín tàu thuyền.")</f>
        <v>Bến tàu chật kín tàu thuyền.</v>
      </c>
      <c r="F1231" s="128"/>
      <c r="G1231" s="36" t="b">
        <f t="shared" si="1"/>
        <v>0</v>
      </c>
      <c r="H1231" s="35" t="b">
        <v>0</v>
      </c>
      <c r="I1231" s="35" t="b">
        <v>0</v>
      </c>
      <c r="J1231" s="35" t="b">
        <v>0</v>
      </c>
      <c r="K1231" s="35" t="b">
        <v>0</v>
      </c>
      <c r="L1231" s="35" t="b">
        <v>0</v>
      </c>
      <c r="M1231" s="35" t="b">
        <v>0</v>
      </c>
      <c r="N1231" s="35" t="b">
        <v>0</v>
      </c>
      <c r="O1231" s="35" t="b">
        <v>0</v>
      </c>
      <c r="P1231" s="35" t="b">
        <v>0</v>
      </c>
      <c r="Q1231" s="35" t="b">
        <v>0</v>
      </c>
      <c r="R1231" s="14"/>
      <c r="S1231" s="14"/>
      <c r="T1231" s="14"/>
      <c r="U1231" s="14"/>
      <c r="V1231" s="14"/>
      <c r="W1231" s="14"/>
    </row>
    <row r="1232" ht="31.5" customHeight="1">
      <c r="A1232" s="109" t="s">
        <v>14074</v>
      </c>
      <c r="B1232" s="110" t="s">
        <v>813</v>
      </c>
      <c r="C1232" s="111" t="s">
        <v>14075</v>
      </c>
      <c r="D1232" s="28" t="s">
        <v>14076</v>
      </c>
      <c r="E1232" s="28" t="str">
        <f>IFERROR(__xludf.DUMMYFUNCTION("GOOGLETRANSLATE(D1232,""zh-CN"",""vi"")"),"Nếu bạn có ý kiến ​​gì, cứ thoải mái bày tỏ.")</f>
        <v>Nếu bạn có ý kiến ​​gì, cứ thoải mái bày tỏ.</v>
      </c>
      <c r="F1232" s="128"/>
      <c r="G1232" s="36" t="b">
        <f t="shared" si="1"/>
        <v>0</v>
      </c>
      <c r="H1232" s="35" t="b">
        <v>0</v>
      </c>
      <c r="I1232" s="35" t="b">
        <v>0</v>
      </c>
      <c r="J1232" s="35" t="b">
        <v>0</v>
      </c>
      <c r="K1232" s="35" t="b">
        <v>0</v>
      </c>
      <c r="L1232" s="35" t="b">
        <v>0</v>
      </c>
      <c r="M1232" s="35" t="b">
        <v>0</v>
      </c>
      <c r="N1232" s="35" t="b">
        <v>0</v>
      </c>
      <c r="O1232" s="35" t="b">
        <v>0</v>
      </c>
      <c r="P1232" s="35" t="b">
        <v>0</v>
      </c>
      <c r="Q1232" s="35" t="b">
        <v>0</v>
      </c>
      <c r="R1232" s="14"/>
      <c r="S1232" s="14"/>
      <c r="T1232" s="14"/>
      <c r="U1232" s="14"/>
      <c r="V1232" s="14"/>
      <c r="W1232" s="14"/>
    </row>
    <row r="1233" ht="31.5" customHeight="1">
      <c r="A1233" s="109" t="s">
        <v>14078</v>
      </c>
      <c r="B1233" s="110" t="s">
        <v>14079</v>
      </c>
      <c r="C1233" s="111" t="s">
        <v>14081</v>
      </c>
      <c r="D1233" s="28" t="s">
        <v>14082</v>
      </c>
      <c r="E1233" s="28" t="str">
        <f>IFERROR(__xludf.DUMMYFUNCTION("GOOGLETRANSLATE(D1233,""zh-CN"",""vi"")"),"Hắn mai phục trong rừng.")</f>
        <v>Hắn mai phục trong rừng.</v>
      </c>
      <c r="F1233" s="128"/>
      <c r="G1233" s="36" t="b">
        <f t="shared" si="1"/>
        <v>0</v>
      </c>
      <c r="H1233" s="35" t="b">
        <v>0</v>
      </c>
      <c r="I1233" s="35" t="b">
        <v>0</v>
      </c>
      <c r="J1233" s="35" t="b">
        <v>0</v>
      </c>
      <c r="K1233" s="35" t="b">
        <v>0</v>
      </c>
      <c r="L1233" s="35" t="b">
        <v>0</v>
      </c>
      <c r="M1233" s="35" t="b">
        <v>0</v>
      </c>
      <c r="N1233" s="35" t="b">
        <v>0</v>
      </c>
      <c r="O1233" s="35" t="b">
        <v>0</v>
      </c>
      <c r="P1233" s="35" t="b">
        <v>0</v>
      </c>
      <c r="Q1233" s="35" t="b">
        <v>0</v>
      </c>
      <c r="R1233" s="14"/>
      <c r="S1233" s="14"/>
      <c r="T1233" s="14"/>
      <c r="U1233" s="14"/>
      <c r="V1233" s="14"/>
      <c r="W1233" s="14"/>
    </row>
    <row r="1234" ht="31.5" customHeight="1">
      <c r="A1234" s="109" t="s">
        <v>14085</v>
      </c>
      <c r="B1234" s="110" t="s">
        <v>14086</v>
      </c>
      <c r="C1234" s="111" t="s">
        <v>14087</v>
      </c>
      <c r="D1234" s="28" t="s">
        <v>14088</v>
      </c>
      <c r="E1234" s="28" t="str">
        <f>IFERROR(__xludf.DUMMYFUNCTION("GOOGLETRANSLATE(D1234,""zh-CN"",""vi"")"),"Tài năng của anh ấy đã bị chôn vùi.")</f>
        <v>Tài năng của anh ấy đã bị chôn vùi.</v>
      </c>
      <c r="F1234" s="128"/>
      <c r="G1234" s="36" t="b">
        <f t="shared" si="1"/>
        <v>0</v>
      </c>
      <c r="H1234" s="35" t="b">
        <v>0</v>
      </c>
      <c r="I1234" s="35" t="b">
        <v>0</v>
      </c>
      <c r="J1234" s="35" t="b">
        <v>0</v>
      </c>
      <c r="K1234" s="35" t="b">
        <v>0</v>
      </c>
      <c r="L1234" s="35" t="b">
        <v>0</v>
      </c>
      <c r="M1234" s="35" t="b">
        <v>0</v>
      </c>
      <c r="N1234" s="35" t="b">
        <v>0</v>
      </c>
      <c r="O1234" s="35" t="b">
        <v>0</v>
      </c>
      <c r="P1234" s="35" t="b">
        <v>0</v>
      </c>
      <c r="Q1234" s="35" t="b">
        <v>0</v>
      </c>
      <c r="R1234" s="14"/>
      <c r="S1234" s="14"/>
      <c r="T1234" s="14"/>
      <c r="U1234" s="14"/>
      <c r="V1234" s="14"/>
      <c r="W1234" s="14"/>
    </row>
    <row r="1235" ht="31.5" customHeight="1">
      <c r="A1235" s="109" t="s">
        <v>14093</v>
      </c>
      <c r="B1235" s="110" t="s">
        <v>14094</v>
      </c>
      <c r="C1235" s="111" t="s">
        <v>14095</v>
      </c>
      <c r="D1235" s="28" t="s">
        <v>14096</v>
      </c>
      <c r="E1235" s="28" t="str">
        <f>IFERROR(__xludf.DUMMYFUNCTION("GOOGLETRANSLATE(D1235,""zh-CN"",""vi"")"),"Ông ấy được chôn cất trên núi.")</f>
        <v>Ông ấy được chôn cất trên núi.</v>
      </c>
      <c r="F1235" s="128"/>
      <c r="G1235" s="36" t="b">
        <f t="shared" si="1"/>
        <v>0</v>
      </c>
      <c r="H1235" s="35" t="b">
        <v>0</v>
      </c>
      <c r="I1235" s="35" t="b">
        <v>0</v>
      </c>
      <c r="J1235" s="35" t="b">
        <v>0</v>
      </c>
      <c r="K1235" s="35" t="b">
        <v>0</v>
      </c>
      <c r="L1235" s="35" t="b">
        <v>0</v>
      </c>
      <c r="M1235" s="35" t="b">
        <v>0</v>
      </c>
      <c r="N1235" s="35" t="b">
        <v>0</v>
      </c>
      <c r="O1235" s="35" t="b">
        <v>0</v>
      </c>
      <c r="P1235" s="35" t="b">
        <v>0</v>
      </c>
      <c r="Q1235" s="35" t="b">
        <v>0</v>
      </c>
      <c r="R1235" s="14"/>
      <c r="S1235" s="14"/>
      <c r="T1235" s="14"/>
      <c r="U1235" s="14"/>
      <c r="V1235" s="14"/>
      <c r="W1235" s="14"/>
    </row>
    <row r="1236" ht="31.5" customHeight="1">
      <c r="A1236" s="109" t="s">
        <v>14097</v>
      </c>
      <c r="B1236" s="110" t="s">
        <v>1483</v>
      </c>
      <c r="C1236" s="111" t="s">
        <v>14098</v>
      </c>
      <c r="D1236" s="28" t="s">
        <v>14099</v>
      </c>
      <c r="E1236" s="28" t="str">
        <f>IFERROR(__xludf.DUMMYFUNCTION("GOOGLETRANSLATE(D1236,""zh-CN"",""vi"")"),"Anh ấy đã bước đi bước đầu tiên.")</f>
        <v>Anh ấy đã bước đi bước đầu tiên.</v>
      </c>
      <c r="F1236" s="128"/>
      <c r="G1236" s="36" t="b">
        <f t="shared" si="1"/>
        <v>0</v>
      </c>
      <c r="H1236" s="35" t="b">
        <v>0</v>
      </c>
      <c r="I1236" s="35" t="b">
        <v>0</v>
      </c>
      <c r="J1236" s="35" t="b">
        <v>0</v>
      </c>
      <c r="K1236" s="35" t="b">
        <v>0</v>
      </c>
      <c r="L1236" s="35" t="b">
        <v>0</v>
      </c>
      <c r="M1236" s="35" t="b">
        <v>0</v>
      </c>
      <c r="N1236" s="35" t="b">
        <v>0</v>
      </c>
      <c r="O1236" s="35" t="b">
        <v>0</v>
      </c>
      <c r="P1236" s="35" t="b">
        <v>0</v>
      </c>
      <c r="Q1236" s="35" t="b">
        <v>0</v>
      </c>
      <c r="R1236" s="14"/>
      <c r="S1236" s="14"/>
      <c r="T1236" s="14"/>
      <c r="U1236" s="14"/>
      <c r="V1236" s="14"/>
      <c r="W1236" s="14"/>
    </row>
    <row r="1237" ht="31.5" customHeight="1">
      <c r="A1237" s="109" t="s">
        <v>14100</v>
      </c>
      <c r="B1237" s="110" t="s">
        <v>14101</v>
      </c>
      <c r="C1237" s="111" t="s">
        <v>14102</v>
      </c>
      <c r="D1237" s="28" t="s">
        <v>14103</v>
      </c>
      <c r="E1237" s="28" t="str">
        <f>IFERROR(__xludf.DUMMYFUNCTION("GOOGLETRANSLATE(D1237,""zh-CN"",""vi"")"),"Bác sĩ kiểm tra mạch của anh ấy.")</f>
        <v>Bác sĩ kiểm tra mạch của anh ấy.</v>
      </c>
      <c r="F1237" s="128"/>
      <c r="G1237" s="36" t="b">
        <f t="shared" si="1"/>
        <v>0</v>
      </c>
      <c r="H1237" s="35" t="b">
        <v>0</v>
      </c>
      <c r="I1237" s="35" t="b">
        <v>0</v>
      </c>
      <c r="J1237" s="35" t="b">
        <v>0</v>
      </c>
      <c r="K1237" s="35" t="b">
        <v>0</v>
      </c>
      <c r="L1237" s="35" t="b">
        <v>0</v>
      </c>
      <c r="M1237" s="35" t="b">
        <v>0</v>
      </c>
      <c r="N1237" s="35" t="b">
        <v>0</v>
      </c>
      <c r="O1237" s="35" t="b">
        <v>0</v>
      </c>
      <c r="P1237" s="35" t="b">
        <v>0</v>
      </c>
      <c r="Q1237" s="35" t="b">
        <v>0</v>
      </c>
      <c r="R1237" s="14"/>
      <c r="S1237" s="14"/>
      <c r="T1237" s="14"/>
      <c r="U1237" s="14"/>
      <c r="V1237" s="14"/>
      <c r="W1237" s="14"/>
    </row>
    <row r="1238" ht="31.5" customHeight="1">
      <c r="A1238" s="109" t="s">
        <v>14108</v>
      </c>
      <c r="B1238" s="110" t="s">
        <v>14109</v>
      </c>
      <c r="C1238" s="111" t="s">
        <v>14110</v>
      </c>
      <c r="D1238" s="28" t="s">
        <v>14111</v>
      </c>
      <c r="E1238" s="28" t="str">
        <f>IFERROR(__xludf.DUMMYFUNCTION("GOOGLETRANSLATE(D1238,""zh-CN"",""vi"")"),"Cô ấy tiếc nuối vì đã không nắm bắt cơ hội.")</f>
        <v>Cô ấy tiếc nuối vì đã không nắm bắt cơ hội.</v>
      </c>
      <c r="F1238" s="128"/>
      <c r="G1238" s="36" t="b">
        <f t="shared" si="1"/>
        <v>0</v>
      </c>
      <c r="H1238" s="35" t="b">
        <v>0</v>
      </c>
      <c r="I1238" s="35" t="b">
        <v>0</v>
      </c>
      <c r="J1238" s="35" t="b">
        <v>0</v>
      </c>
      <c r="K1238" s="35" t="b">
        <v>0</v>
      </c>
      <c r="L1238" s="35" t="b">
        <v>0</v>
      </c>
      <c r="M1238" s="35" t="b">
        <v>0</v>
      </c>
      <c r="N1238" s="35" t="b">
        <v>0</v>
      </c>
      <c r="O1238" s="35" t="b">
        <v>0</v>
      </c>
      <c r="P1238" s="35" t="b">
        <v>0</v>
      </c>
      <c r="Q1238" s="35" t="b">
        <v>0</v>
      </c>
      <c r="R1238" s="14"/>
      <c r="S1238" s="14"/>
      <c r="T1238" s="14"/>
      <c r="U1238" s="14"/>
      <c r="V1238" s="14"/>
      <c r="W1238" s="14"/>
    </row>
    <row r="1239" ht="31.5" customHeight="1">
      <c r="A1239" s="109" t="s">
        <v>14113</v>
      </c>
      <c r="B1239" s="110" t="s">
        <v>14114</v>
      </c>
      <c r="C1239" s="111" t="s">
        <v>14116</v>
      </c>
      <c r="D1239" s="28" t="s">
        <v>14118</v>
      </c>
      <c r="E1239" s="28" t="str">
        <f>IFERROR(__xludf.DUMMYFUNCTION("GOOGLETRANSLATE(D1239,""zh-CN"",""vi"")"),"Việc chờ đợi quá lâu thật mệt mỏi.")</f>
        <v>Việc chờ đợi quá lâu thật mệt mỏi.</v>
      </c>
      <c r="F1239" s="128"/>
      <c r="G1239" s="36" t="b">
        <f t="shared" si="1"/>
        <v>0</v>
      </c>
      <c r="H1239" s="35" t="b">
        <v>0</v>
      </c>
      <c r="I1239" s="35" t="b">
        <v>0</v>
      </c>
      <c r="J1239" s="35" t="b">
        <v>0</v>
      </c>
      <c r="K1239" s="35" t="b">
        <v>0</v>
      </c>
      <c r="L1239" s="35" t="b">
        <v>0</v>
      </c>
      <c r="M1239" s="35" t="b">
        <v>0</v>
      </c>
      <c r="N1239" s="35" t="b">
        <v>0</v>
      </c>
      <c r="O1239" s="35" t="b">
        <v>0</v>
      </c>
      <c r="P1239" s="35" t="b">
        <v>0</v>
      </c>
      <c r="Q1239" s="35" t="b">
        <v>0</v>
      </c>
      <c r="R1239" s="14"/>
      <c r="S1239" s="14"/>
      <c r="T1239" s="14"/>
      <c r="U1239" s="14"/>
      <c r="V1239" s="14"/>
      <c r="W1239" s="14"/>
    </row>
    <row r="1240" ht="31.5" customHeight="1">
      <c r="A1240" s="109" t="s">
        <v>14120</v>
      </c>
      <c r="B1240" s="110" t="s">
        <v>14121</v>
      </c>
      <c r="C1240" s="111" t="s">
        <v>14122</v>
      </c>
      <c r="D1240" s="28" t="s">
        <v>14123</v>
      </c>
      <c r="E1240" s="28" t="str">
        <f>IFERROR(__xludf.DUMMYFUNCTION("GOOGLETRANSLATE(D1240,""zh-CN"",""vi"")"),"Anh ấy thích đọc truyện tranh.")</f>
        <v>Anh ấy thích đọc truyện tranh.</v>
      </c>
      <c r="F1240" s="128"/>
      <c r="G1240" s="36" t="b">
        <f t="shared" si="1"/>
        <v>0</v>
      </c>
      <c r="H1240" s="35" t="b">
        <v>0</v>
      </c>
      <c r="I1240" s="35" t="b">
        <v>0</v>
      </c>
      <c r="J1240" s="35" t="b">
        <v>0</v>
      </c>
      <c r="K1240" s="35" t="b">
        <v>0</v>
      </c>
      <c r="L1240" s="35" t="b">
        <v>0</v>
      </c>
      <c r="M1240" s="35" t="b">
        <v>0</v>
      </c>
      <c r="N1240" s="35" t="b">
        <v>0</v>
      </c>
      <c r="O1240" s="35" t="b">
        <v>0</v>
      </c>
      <c r="P1240" s="35" t="b">
        <v>0</v>
      </c>
      <c r="Q1240" s="35" t="b">
        <v>0</v>
      </c>
      <c r="R1240" s="14"/>
      <c r="S1240" s="14"/>
      <c r="T1240" s="14"/>
      <c r="U1240" s="14"/>
      <c r="V1240" s="14"/>
      <c r="W1240" s="14"/>
    </row>
    <row r="1241" ht="31.5" customHeight="1">
      <c r="A1241" s="109" t="s">
        <v>14128</v>
      </c>
      <c r="B1241" s="110" t="s">
        <v>14129</v>
      </c>
      <c r="C1241" s="111" t="s">
        <v>14130</v>
      </c>
      <c r="D1241" s="28" t="s">
        <v>14131</v>
      </c>
      <c r="E1241" s="28" t="str">
        <f>IFERROR(__xludf.DUMMYFUNCTION("GOOGLETRANSLATE(D1241,""zh-CN"",""vi"")"),"Anh ấy mắc một căn bệnh mãn tính.")</f>
        <v>Anh ấy mắc một căn bệnh mãn tính.</v>
      </c>
      <c r="F1241" s="128"/>
      <c r="G1241" s="36" t="b">
        <f t="shared" si="1"/>
        <v>0</v>
      </c>
      <c r="H1241" s="35" t="b">
        <v>0</v>
      </c>
      <c r="I1241" s="35" t="b">
        <v>0</v>
      </c>
      <c r="J1241" s="35" t="b">
        <v>0</v>
      </c>
      <c r="K1241" s="35" t="b">
        <v>0</v>
      </c>
      <c r="L1241" s="35" t="b">
        <v>0</v>
      </c>
      <c r="M1241" s="35" t="b">
        <v>0</v>
      </c>
      <c r="N1241" s="35" t="b">
        <v>0</v>
      </c>
      <c r="O1241" s="35" t="b">
        <v>0</v>
      </c>
      <c r="P1241" s="35" t="b">
        <v>0</v>
      </c>
      <c r="Q1241" s="35" t="b">
        <v>0</v>
      </c>
      <c r="R1241" s="14"/>
      <c r="S1241" s="14"/>
      <c r="T1241" s="14"/>
      <c r="U1241" s="14"/>
      <c r="V1241" s="14"/>
      <c r="W1241" s="14"/>
    </row>
    <row r="1242" ht="31.5" customHeight="1">
      <c r="A1242" s="109" t="s">
        <v>14136</v>
      </c>
      <c r="B1242" s="110" t="s">
        <v>14137</v>
      </c>
      <c r="C1242" s="111" t="s">
        <v>14138</v>
      </c>
      <c r="D1242" s="28" t="s">
        <v>14139</v>
      </c>
      <c r="E1242" s="28" t="str">
        <f>IFERROR(__xludf.DUMMYFUNCTION("GOOGLETRANSLATE(D1242,""zh-CN"",""vi"")"),"Ngọn lửa lan nhanh chóng.")</f>
        <v>Ngọn lửa lan nhanh chóng.</v>
      </c>
      <c r="F1242" s="128"/>
      <c r="G1242" s="36" t="b">
        <f t="shared" si="1"/>
        <v>0</v>
      </c>
      <c r="H1242" s="35" t="b">
        <v>0</v>
      </c>
      <c r="I1242" s="35" t="b">
        <v>0</v>
      </c>
      <c r="J1242" s="35" t="b">
        <v>0</v>
      </c>
      <c r="K1242" s="35" t="b">
        <v>0</v>
      </c>
      <c r="L1242" s="35" t="b">
        <v>0</v>
      </c>
      <c r="M1242" s="35" t="b">
        <v>0</v>
      </c>
      <c r="N1242" s="35" t="b">
        <v>0</v>
      </c>
      <c r="O1242" s="35" t="b">
        <v>0</v>
      </c>
      <c r="P1242" s="35" t="b">
        <v>0</v>
      </c>
      <c r="Q1242" s="35" t="b">
        <v>0</v>
      </c>
      <c r="R1242" s="14"/>
      <c r="S1242" s="14"/>
      <c r="T1242" s="14"/>
      <c r="U1242" s="14"/>
      <c r="V1242" s="14"/>
      <c r="W1242" s="14"/>
    </row>
    <row r="1243" ht="31.5" customHeight="1">
      <c r="A1243" s="109" t="s">
        <v>14144</v>
      </c>
      <c r="B1243" s="110" t="s">
        <v>14145</v>
      </c>
      <c r="C1243" s="111" t="s">
        <v>14146</v>
      </c>
      <c r="D1243" s="28" t="s">
        <v>14147</v>
      </c>
      <c r="E1243" s="28" t="str">
        <f>IFERROR(__xludf.DUMMYFUNCTION("GOOGLETRANSLATE(D1243,""zh-CN"",""vi"")"),"Anh ấy bận rộn cả ngày.")</f>
        <v>Anh ấy bận rộn cả ngày.</v>
      </c>
      <c r="F1243" s="128"/>
      <c r="G1243" s="36" t="b">
        <f t="shared" si="1"/>
        <v>0</v>
      </c>
      <c r="H1243" s="35" t="b">
        <v>0</v>
      </c>
      <c r="I1243" s="35" t="b">
        <v>0</v>
      </c>
      <c r="J1243" s="35" t="b">
        <v>0</v>
      </c>
      <c r="K1243" s="35" t="b">
        <v>0</v>
      </c>
      <c r="L1243" s="35" t="b">
        <v>0</v>
      </c>
      <c r="M1243" s="35" t="b">
        <v>0</v>
      </c>
      <c r="N1243" s="35" t="b">
        <v>0</v>
      </c>
      <c r="O1243" s="35" t="b">
        <v>0</v>
      </c>
      <c r="P1243" s="35" t="b">
        <v>0</v>
      </c>
      <c r="Q1243" s="35" t="b">
        <v>0</v>
      </c>
      <c r="R1243" s="14"/>
      <c r="S1243" s="14"/>
      <c r="T1243" s="14"/>
      <c r="U1243" s="14"/>
      <c r="V1243" s="14"/>
      <c r="W1243" s="14"/>
    </row>
    <row r="1244" ht="31.5" customHeight="1">
      <c r="A1244" s="109" t="s">
        <v>14150</v>
      </c>
      <c r="B1244" s="110" t="s">
        <v>14152</v>
      </c>
      <c r="C1244" s="111" t="s">
        <v>14154</v>
      </c>
      <c r="D1244" s="28" t="s">
        <v>14155</v>
      </c>
      <c r="E1244" s="28" t="str">
        <f>IFERROR(__xludf.DUMMYFUNCTION("GOOGLETRANSLATE(D1244,""zh-CN"",""vi"")"),"Những thảo nguyên rộng lớn trải dài đến tận chân trời.")</f>
        <v>Những thảo nguyên rộng lớn trải dài đến tận chân trời.</v>
      </c>
      <c r="F1244" s="128"/>
      <c r="G1244" s="36" t="b">
        <f t="shared" si="1"/>
        <v>0</v>
      </c>
      <c r="H1244" s="35" t="b">
        <v>0</v>
      </c>
      <c r="I1244" s="35" t="b">
        <v>0</v>
      </c>
      <c r="J1244" s="35" t="b">
        <v>0</v>
      </c>
      <c r="K1244" s="35" t="b">
        <v>0</v>
      </c>
      <c r="L1244" s="35" t="b">
        <v>0</v>
      </c>
      <c r="M1244" s="35" t="b">
        <v>0</v>
      </c>
      <c r="N1244" s="35" t="b">
        <v>0</v>
      </c>
      <c r="O1244" s="35" t="b">
        <v>0</v>
      </c>
      <c r="P1244" s="35" t="b">
        <v>0</v>
      </c>
      <c r="Q1244" s="35" t="b">
        <v>0</v>
      </c>
      <c r="R1244" s="14"/>
      <c r="S1244" s="14"/>
      <c r="T1244" s="14"/>
      <c r="U1244" s="14"/>
      <c r="V1244" s="14"/>
      <c r="W1244" s="14"/>
    </row>
    <row r="1245" ht="31.5" customHeight="1">
      <c r="A1245" s="109" t="s">
        <v>14156</v>
      </c>
      <c r="B1245" s="110" t="s">
        <v>14157</v>
      </c>
      <c r="C1245" s="111" t="s">
        <v>14159</v>
      </c>
      <c r="D1245" s="28" t="s">
        <v>14161</v>
      </c>
      <c r="E1245" s="28" t="str">
        <f>IFERROR(__xludf.DUMMYFUNCTION("GOOGLETRANSLATE(D1245,""zh-CN"",""vi"")"),"Anh ta mù quáng làm theo người khác.")</f>
        <v>Anh ta mù quáng làm theo người khác.</v>
      </c>
      <c r="F1245" s="128"/>
      <c r="G1245" s="36" t="b">
        <f t="shared" si="1"/>
        <v>0</v>
      </c>
      <c r="H1245" s="35" t="b">
        <v>0</v>
      </c>
      <c r="I1245" s="35" t="b">
        <v>0</v>
      </c>
      <c r="J1245" s="35" t="b">
        <v>0</v>
      </c>
      <c r="K1245" s="35" t="b">
        <v>0</v>
      </c>
      <c r="L1245" s="35" t="b">
        <v>0</v>
      </c>
      <c r="M1245" s="35" t="b">
        <v>0</v>
      </c>
      <c r="N1245" s="35" t="b">
        <v>0</v>
      </c>
      <c r="O1245" s="35" t="b">
        <v>0</v>
      </c>
      <c r="P1245" s="35" t="b">
        <v>0</v>
      </c>
      <c r="Q1245" s="35" t="b">
        <v>0</v>
      </c>
      <c r="R1245" s="14"/>
      <c r="S1245" s="14"/>
      <c r="T1245" s="14"/>
      <c r="U1245" s="14"/>
      <c r="V1245" s="14"/>
      <c r="W1245" s="14"/>
    </row>
    <row r="1246" ht="31.5" customHeight="1">
      <c r="A1246" s="109" t="s">
        <v>14164</v>
      </c>
      <c r="B1246" s="110" t="s">
        <v>14165</v>
      </c>
      <c r="C1246" s="111" t="s">
        <v>14166</v>
      </c>
      <c r="D1246" s="28" t="s">
        <v>14167</v>
      </c>
      <c r="E1246" s="28" t="str">
        <f>IFERROR(__xludf.DUMMYFUNCTION("GOOGLETRANSLATE(D1246,""zh-CN"",""vi"")"),"Cô ấy hoàn toàn bối rối và không biết phải làm gì.")</f>
        <v>Cô ấy hoàn toàn bối rối và không biết phải làm gì.</v>
      </c>
      <c r="F1246" s="128"/>
      <c r="G1246" s="36" t="b">
        <f t="shared" si="1"/>
        <v>0</v>
      </c>
      <c r="H1246" s="35" t="b">
        <v>0</v>
      </c>
      <c r="I1246" s="35" t="b">
        <v>0</v>
      </c>
      <c r="J1246" s="35" t="b">
        <v>0</v>
      </c>
      <c r="K1246" s="35" t="b">
        <v>0</v>
      </c>
      <c r="L1246" s="35" t="b">
        <v>0</v>
      </c>
      <c r="M1246" s="35" t="b">
        <v>0</v>
      </c>
      <c r="N1246" s="35" t="b">
        <v>0</v>
      </c>
      <c r="O1246" s="35" t="b">
        <v>0</v>
      </c>
      <c r="P1246" s="35" t="b">
        <v>0</v>
      </c>
      <c r="Q1246" s="35" t="b">
        <v>0</v>
      </c>
      <c r="R1246" s="14"/>
      <c r="S1246" s="14"/>
      <c r="T1246" s="14"/>
      <c r="U1246" s="14"/>
      <c r="V1246" s="14"/>
      <c r="W1246" s="14"/>
    </row>
    <row r="1247" ht="31.5" customHeight="1">
      <c r="A1247" s="109" t="s">
        <v>14171</v>
      </c>
      <c r="B1247" s="110" t="s">
        <v>14172</v>
      </c>
      <c r="C1247" s="111" t="s">
        <v>14173</v>
      </c>
      <c r="D1247" s="28" t="s">
        <v>14174</v>
      </c>
      <c r="E1247" s="28" t="str">
        <f>IFERROR(__xludf.DUMMYFUNCTION("GOOGLETRANSLATE(D1247,""zh-CN"",""vi"")"),"Hắn giả làm bác sĩ và vào bệnh viện.")</f>
        <v>Hắn giả làm bác sĩ và vào bệnh viện.</v>
      </c>
      <c r="F1247" s="128"/>
      <c r="G1247" s="36" t="b">
        <f t="shared" si="1"/>
        <v>0</v>
      </c>
      <c r="H1247" s="35" t="b">
        <v>0</v>
      </c>
      <c r="I1247" s="35" t="b">
        <v>0</v>
      </c>
      <c r="J1247" s="35" t="b">
        <v>0</v>
      </c>
      <c r="K1247" s="35" t="b">
        <v>0</v>
      </c>
      <c r="L1247" s="35" t="b">
        <v>0</v>
      </c>
      <c r="M1247" s="35" t="b">
        <v>0</v>
      </c>
      <c r="N1247" s="35" t="b">
        <v>0</v>
      </c>
      <c r="O1247" s="35" t="b">
        <v>0</v>
      </c>
      <c r="P1247" s="35" t="b">
        <v>0</v>
      </c>
      <c r="Q1247" s="35" t="b">
        <v>0</v>
      </c>
      <c r="R1247" s="14"/>
      <c r="S1247" s="14"/>
      <c r="T1247" s="14"/>
      <c r="U1247" s="14"/>
      <c r="V1247" s="14"/>
      <c r="W1247" s="14"/>
    </row>
    <row r="1248" ht="31.5" customHeight="1">
      <c r="A1248" s="109" t="s">
        <v>14179</v>
      </c>
      <c r="B1248" s="110" t="s">
        <v>14180</v>
      </c>
      <c r="C1248" s="111" t="s">
        <v>14181</v>
      </c>
      <c r="D1248" s="28" t="s">
        <v>14182</v>
      </c>
      <c r="E1248" s="28" t="str">
        <f>IFERROR(__xludf.DUMMYFUNCTION("GOOGLETRANSLATE(D1248,""zh-CN"",""vi"")"),"Khu vườn rực rỡ sắc hoa và cây cỏ.")</f>
        <v>Khu vườn rực rỡ sắc hoa và cây cỏ.</v>
      </c>
      <c r="F1248" s="128"/>
      <c r="G1248" s="36" t="b">
        <f t="shared" si="1"/>
        <v>0</v>
      </c>
      <c r="H1248" s="35" t="b">
        <v>1</v>
      </c>
      <c r="I1248" s="35" t="b">
        <v>0</v>
      </c>
      <c r="J1248" s="35" t="b">
        <v>0</v>
      </c>
      <c r="K1248" s="35" t="b">
        <v>0</v>
      </c>
      <c r="L1248" s="35" t="b">
        <v>0</v>
      </c>
      <c r="M1248" s="35" t="b">
        <v>0</v>
      </c>
      <c r="N1248" s="35" t="b">
        <v>0</v>
      </c>
      <c r="O1248" s="35" t="b">
        <v>0</v>
      </c>
      <c r="P1248" s="35" t="b">
        <v>0</v>
      </c>
      <c r="Q1248" s="35" t="b">
        <v>0</v>
      </c>
      <c r="R1248" s="14"/>
      <c r="S1248" s="14"/>
      <c r="T1248" s="14"/>
      <c r="U1248" s="14"/>
      <c r="V1248" s="14"/>
      <c r="W1248" s="14"/>
    </row>
    <row r="1249" ht="31.5" customHeight="1">
      <c r="A1249" s="109" t="s">
        <v>14184</v>
      </c>
      <c r="B1249" s="110" t="s">
        <v>874</v>
      </c>
      <c r="C1249" s="111" t="s">
        <v>14187</v>
      </c>
      <c r="D1249" s="28" t="s">
        <v>14189</v>
      </c>
      <c r="E1249" s="28" t="str">
        <f>IFERROR(__xludf.DUMMYFUNCTION("GOOGLETRANSLATE(D1249,""zh-CN"",""vi"")"),"Anh ấy đưa cho tôi một đồng xu.")</f>
        <v>Anh ấy đưa cho tôi một đồng xu.</v>
      </c>
      <c r="F1249" s="128"/>
      <c r="G1249" s="36" t="b">
        <f t="shared" si="1"/>
        <v>0</v>
      </c>
      <c r="H1249" s="35" t="b">
        <v>1</v>
      </c>
      <c r="I1249" s="35" t="b">
        <v>0</v>
      </c>
      <c r="J1249" s="35" t="b">
        <v>0</v>
      </c>
      <c r="K1249" s="35" t="b">
        <v>0</v>
      </c>
      <c r="L1249" s="35" t="b">
        <v>0</v>
      </c>
      <c r="M1249" s="35" t="b">
        <v>0</v>
      </c>
      <c r="N1249" s="35" t="b">
        <v>0</v>
      </c>
      <c r="O1249" s="35" t="b">
        <v>0</v>
      </c>
      <c r="P1249" s="35" t="b">
        <v>0</v>
      </c>
      <c r="Q1249" s="35" t="b">
        <v>0</v>
      </c>
      <c r="R1249" s="14"/>
      <c r="S1249" s="14"/>
      <c r="T1249" s="14"/>
      <c r="U1249" s="14"/>
      <c r="V1249" s="14"/>
      <c r="W1249" s="14"/>
    </row>
    <row r="1250" ht="31.5" customHeight="1">
      <c r="A1250" s="109" t="s">
        <v>14190</v>
      </c>
      <c r="B1250" s="110" t="s">
        <v>14191</v>
      </c>
      <c r="C1250" s="111" t="s">
        <v>14192</v>
      </c>
      <c r="D1250" s="28" t="s">
        <v>14193</v>
      </c>
      <c r="E1250" s="28" t="str">
        <f>IFERROR(__xludf.DUMMYFUNCTION("GOOGLETRANSLATE(D1250,""zh-CN"",""vi"")"),"Internet là một phương tiện truyền thông quan trọng.")</f>
        <v>Internet là một phương tiện truyền thông quan trọng.</v>
      </c>
      <c r="F1250" s="128"/>
      <c r="G1250" s="36" t="b">
        <f t="shared" si="1"/>
        <v>0</v>
      </c>
      <c r="H1250" s="35" t="b">
        <v>1</v>
      </c>
      <c r="I1250" s="35" t="b">
        <v>0</v>
      </c>
      <c r="J1250" s="35" t="b">
        <v>0</v>
      </c>
      <c r="K1250" s="35" t="b">
        <v>0</v>
      </c>
      <c r="L1250" s="35" t="b">
        <v>0</v>
      </c>
      <c r="M1250" s="35" t="b">
        <v>0</v>
      </c>
      <c r="N1250" s="35" t="b">
        <v>0</v>
      </c>
      <c r="O1250" s="35" t="b">
        <v>0</v>
      </c>
      <c r="P1250" s="35" t="b">
        <v>0</v>
      </c>
      <c r="Q1250" s="35" t="b">
        <v>0</v>
      </c>
      <c r="R1250" s="14"/>
      <c r="S1250" s="14"/>
      <c r="T1250" s="14"/>
      <c r="U1250" s="14"/>
      <c r="V1250" s="14"/>
      <c r="W1250" s="14"/>
    </row>
    <row r="1251" ht="31.5" customHeight="1">
      <c r="A1251" s="109" t="s">
        <v>9032</v>
      </c>
      <c r="B1251" s="110" t="s">
        <v>14198</v>
      </c>
      <c r="C1251" s="111" t="s">
        <v>14199</v>
      </c>
      <c r="D1251" s="28" t="s">
        <v>14200</v>
      </c>
      <c r="E1251" s="28" t="str">
        <f>IFERROR(__xludf.DUMMYFUNCTION("GOOGLETRANSLATE(D1251,""zh-CN"",""vi"")"),"Các phương tiện truyền thông đã đưa tin này.")</f>
        <v>Các phương tiện truyền thông đã đưa tin này.</v>
      </c>
      <c r="F1251" s="128"/>
      <c r="G1251" s="36" t="b">
        <f t="shared" si="1"/>
        <v>0</v>
      </c>
      <c r="H1251" s="35" t="b">
        <v>1</v>
      </c>
      <c r="I1251" s="35" t="b">
        <v>0</v>
      </c>
      <c r="J1251" s="35" t="b">
        <v>0</v>
      </c>
      <c r="K1251" s="35" t="b">
        <v>0</v>
      </c>
      <c r="L1251" s="35" t="b">
        <v>0</v>
      </c>
      <c r="M1251" s="35" t="b">
        <v>0</v>
      </c>
      <c r="N1251" s="35" t="b">
        <v>0</v>
      </c>
      <c r="O1251" s="35" t="b">
        <v>0</v>
      </c>
      <c r="P1251" s="35" t="b">
        <v>0</v>
      </c>
      <c r="Q1251" s="35" t="b">
        <v>0</v>
      </c>
      <c r="R1251" s="14"/>
      <c r="S1251" s="14"/>
      <c r="T1251" s="14"/>
      <c r="U1251" s="14"/>
      <c r="V1251" s="14"/>
      <c r="W1251" s="14"/>
    </row>
    <row r="1252" ht="31.5" customHeight="1">
      <c r="A1252" s="109" t="s">
        <v>14205</v>
      </c>
      <c r="B1252" s="110" t="s">
        <v>14206</v>
      </c>
      <c r="C1252" s="111" t="s">
        <v>14207</v>
      </c>
      <c r="D1252" s="28" t="s">
        <v>14208</v>
      </c>
      <c r="E1252" s="28" t="str">
        <f>IFERROR(__xludf.DUMMYFUNCTION("GOOGLETRANSLATE(D1252,""zh-CN"",""vi"")"),"Tôi thực sự hết cách rồi.")</f>
        <v>Tôi thực sự hết cách rồi.</v>
      </c>
      <c r="F1252" s="128"/>
      <c r="G1252" s="36" t="b">
        <f t="shared" si="1"/>
        <v>0</v>
      </c>
      <c r="H1252" s="35" t="b">
        <v>1</v>
      </c>
      <c r="I1252" s="35" t="b">
        <v>0</v>
      </c>
      <c r="J1252" s="35" t="b">
        <v>0</v>
      </c>
      <c r="K1252" s="35" t="b">
        <v>0</v>
      </c>
      <c r="L1252" s="35" t="b">
        <v>0</v>
      </c>
      <c r="M1252" s="35" t="b">
        <v>0</v>
      </c>
      <c r="N1252" s="35" t="b">
        <v>0</v>
      </c>
      <c r="O1252" s="35" t="b">
        <v>0</v>
      </c>
      <c r="P1252" s="35" t="b">
        <v>0</v>
      </c>
      <c r="Q1252" s="35" t="b">
        <v>0</v>
      </c>
      <c r="R1252" s="14"/>
      <c r="S1252" s="14"/>
      <c r="T1252" s="14"/>
      <c r="U1252" s="14"/>
      <c r="V1252" s="14"/>
      <c r="W1252" s="14"/>
    </row>
    <row r="1253" ht="31.5" customHeight="1">
      <c r="A1253" s="109" t="s">
        <v>14213</v>
      </c>
      <c r="B1253" s="110" t="s">
        <v>14214</v>
      </c>
      <c r="C1253" s="111" t="s">
        <v>14215</v>
      </c>
      <c r="D1253" s="28" t="s">
        <v>14216</v>
      </c>
      <c r="E1253" s="28" t="str">
        <f>IFERROR(__xludf.DUMMYFUNCTION("GOOGLETRANSLATE(D1253,""zh-CN"",""vi"")"),"Thiết kế của anh ấy rất đẹp.")</f>
        <v>Thiết kế của anh ấy rất đẹp.</v>
      </c>
      <c r="F1253" s="128"/>
      <c r="G1253" s="36" t="b">
        <f t="shared" si="1"/>
        <v>0</v>
      </c>
      <c r="H1253" s="35" t="b">
        <v>1</v>
      </c>
      <c r="I1253" s="35" t="b">
        <v>0</v>
      </c>
      <c r="J1253" s="35" t="b">
        <v>0</v>
      </c>
      <c r="K1253" s="35" t="b">
        <v>0</v>
      </c>
      <c r="L1253" s="35" t="b">
        <v>0</v>
      </c>
      <c r="M1253" s="35" t="b">
        <v>0</v>
      </c>
      <c r="N1253" s="35" t="b">
        <v>0</v>
      </c>
      <c r="O1253" s="35" t="b">
        <v>0</v>
      </c>
      <c r="P1253" s="35" t="b">
        <v>0</v>
      </c>
      <c r="Q1253" s="35" t="b">
        <v>0</v>
      </c>
      <c r="R1253" s="14"/>
      <c r="S1253" s="14"/>
      <c r="T1253" s="14"/>
      <c r="U1253" s="14"/>
      <c r="V1253" s="14"/>
      <c r="W1253" s="14"/>
    </row>
    <row r="1254" ht="31.5" customHeight="1">
      <c r="A1254" s="109" t="s">
        <v>14221</v>
      </c>
      <c r="B1254" s="110" t="s">
        <v>14222</v>
      </c>
      <c r="C1254" s="111" t="s">
        <v>14223</v>
      </c>
      <c r="D1254" s="28" t="s">
        <v>14224</v>
      </c>
      <c r="E1254" s="28" t="str">
        <f>IFERROR(__xludf.DUMMYFUNCTION("GOOGLETRANSLATE(D1254,""zh-CN"",""vi"")"),"Cuộc sống của họ rất hạnh phúc.")</f>
        <v>Cuộc sống của họ rất hạnh phúc.</v>
      </c>
      <c r="F1254" s="133"/>
      <c r="G1254" s="36" t="b">
        <f t="shared" si="1"/>
        <v>0</v>
      </c>
      <c r="H1254" s="35" t="b">
        <v>1</v>
      </c>
      <c r="I1254" s="35" t="b">
        <v>0</v>
      </c>
      <c r="J1254" s="35" t="b">
        <v>0</v>
      </c>
      <c r="K1254" s="35" t="b">
        <v>0</v>
      </c>
      <c r="L1254" s="35" t="b">
        <v>0</v>
      </c>
      <c r="M1254" s="35" t="b">
        <v>0</v>
      </c>
      <c r="N1254" s="35" t="b">
        <v>0</v>
      </c>
      <c r="O1254" s="35" t="b">
        <v>0</v>
      </c>
      <c r="P1254" s="35" t="b">
        <v>0</v>
      </c>
      <c r="Q1254" s="35" t="b">
        <v>0</v>
      </c>
      <c r="R1254" s="14"/>
      <c r="S1254" s="14"/>
      <c r="T1254" s="14"/>
      <c r="U1254" s="14"/>
      <c r="V1254" s="14"/>
      <c r="W1254" s="14"/>
    </row>
    <row r="1255" ht="31.5" customHeight="1">
      <c r="A1255" s="109" t="s">
        <v>14229</v>
      </c>
      <c r="B1255" s="110" t="s">
        <v>14230</v>
      </c>
      <c r="C1255" s="111" t="s">
        <v>14231</v>
      </c>
      <c r="D1255" s="28" t="s">
        <v>14232</v>
      </c>
      <c r="E1255" s="28" t="str">
        <f>IFERROR(__xludf.DUMMYFUNCTION("GOOGLETRANSLATE(D1255,""zh-CN"",""vi"")"),"Bản nhạc này thực sự rất hay.")</f>
        <v>Bản nhạc này thực sự rất hay.</v>
      </c>
      <c r="F1255" s="128"/>
      <c r="G1255" s="36" t="b">
        <f t="shared" si="1"/>
        <v>0</v>
      </c>
      <c r="H1255" s="35" t="b">
        <v>1</v>
      </c>
      <c r="I1255" s="35" t="b">
        <v>0</v>
      </c>
      <c r="J1255" s="35" t="b">
        <v>0</v>
      </c>
      <c r="K1255" s="35" t="b">
        <v>0</v>
      </c>
      <c r="L1255" s="35" t="b">
        <v>0</v>
      </c>
      <c r="M1255" s="35" t="b">
        <v>0</v>
      </c>
      <c r="N1255" s="35" t="b">
        <v>0</v>
      </c>
      <c r="O1255" s="35" t="b">
        <v>0</v>
      </c>
      <c r="P1255" s="35" t="b">
        <v>0</v>
      </c>
      <c r="Q1255" s="35" t="b">
        <v>0</v>
      </c>
      <c r="R1255" s="14"/>
      <c r="S1255" s="14"/>
      <c r="T1255" s="14"/>
      <c r="U1255" s="14"/>
      <c r="V1255" s="14"/>
      <c r="W1255" s="14"/>
    </row>
    <row r="1256" ht="31.5" customHeight="1">
      <c r="A1256" s="109" t="s">
        <v>14237</v>
      </c>
      <c r="B1256" s="110" t="s">
        <v>14238</v>
      </c>
      <c r="C1256" s="111" t="s">
        <v>14239</v>
      </c>
      <c r="D1256" s="28" t="s">
        <v>14240</v>
      </c>
      <c r="E1256" s="28" t="str">
        <f>IFERROR(__xludf.DUMMYFUNCTION("GOOGLETRANSLATE(D1256,""zh-CN"",""vi"")"),"Bệnh viện có khoa khám bệnh ngoại trú.")</f>
        <v>Bệnh viện có khoa khám bệnh ngoại trú.</v>
      </c>
      <c r="F1256" s="128"/>
      <c r="G1256" s="36" t="b">
        <f t="shared" si="1"/>
        <v>0</v>
      </c>
      <c r="H1256" s="35" t="b">
        <v>1</v>
      </c>
      <c r="I1256" s="35" t="b">
        <v>0</v>
      </c>
      <c r="J1256" s="35" t="b">
        <v>0</v>
      </c>
      <c r="K1256" s="35" t="b">
        <v>0</v>
      </c>
      <c r="L1256" s="35" t="b">
        <v>0</v>
      </c>
      <c r="M1256" s="35" t="b">
        <v>0</v>
      </c>
      <c r="N1256" s="35" t="b">
        <v>0</v>
      </c>
      <c r="O1256" s="35" t="b">
        <v>0</v>
      </c>
      <c r="P1256" s="35" t="b">
        <v>0</v>
      </c>
      <c r="Q1256" s="35" t="b">
        <v>0</v>
      </c>
      <c r="R1256" s="14"/>
      <c r="S1256" s="14"/>
      <c r="T1256" s="14"/>
      <c r="U1256" s="14"/>
      <c r="V1256" s="14"/>
      <c r="W1256" s="14"/>
    </row>
    <row r="1257" ht="31.5" customHeight="1">
      <c r="A1257" s="109" t="s">
        <v>14245</v>
      </c>
      <c r="B1257" s="110" t="s">
        <v>14246</v>
      </c>
      <c r="C1257" s="111" t="s">
        <v>14247</v>
      </c>
      <c r="D1257" s="28" t="s">
        <v>14248</v>
      </c>
      <c r="E1257" s="28" t="str">
        <f>IFERROR(__xludf.DUMMYFUNCTION("GOOGLETRANSLATE(D1257,""zh-CN"",""vi"")"),"Sao anh/chị có thể nói dối tôi?")</f>
        <v>Sao anh/chị có thể nói dối tôi?</v>
      </c>
      <c r="F1257" s="128"/>
      <c r="G1257" s="36" t="b">
        <f t="shared" si="1"/>
        <v>0</v>
      </c>
      <c r="H1257" s="35" t="b">
        <v>1</v>
      </c>
      <c r="I1257" s="35" t="b">
        <v>0</v>
      </c>
      <c r="J1257" s="35" t="b">
        <v>0</v>
      </c>
      <c r="K1257" s="35" t="b">
        <v>0</v>
      </c>
      <c r="L1257" s="35" t="b">
        <v>0</v>
      </c>
      <c r="M1257" s="35" t="b">
        <v>0</v>
      </c>
      <c r="N1257" s="35" t="b">
        <v>0</v>
      </c>
      <c r="O1257" s="35" t="b">
        <v>0</v>
      </c>
      <c r="P1257" s="35" t="b">
        <v>0</v>
      </c>
      <c r="Q1257" s="35" t="b">
        <v>0</v>
      </c>
      <c r="R1257" s="14"/>
      <c r="S1257" s="14"/>
      <c r="T1257" s="14"/>
      <c r="U1257" s="14"/>
      <c r="V1257" s="14"/>
      <c r="W1257" s="14"/>
    </row>
    <row r="1258" ht="31.5" customHeight="1">
      <c r="A1258" s="109" t="s">
        <v>14253</v>
      </c>
      <c r="B1258" s="110" t="s">
        <v>14254</v>
      </c>
      <c r="C1258" s="111" t="s">
        <v>14255</v>
      </c>
      <c r="D1258" s="28" t="s">
        <v>14256</v>
      </c>
      <c r="E1258" s="28" t="str">
        <f>IFERROR(__xludf.DUMMYFUNCTION("GOOGLETRANSLATE(D1258,""zh-CN"",""vi"")"),"Mùa xuân đã đến, và hoa bắt đầu đâm chồi nảy lộc.")</f>
        <v>Mùa xuân đã đến, và hoa bắt đầu đâm chồi nảy lộc.</v>
      </c>
      <c r="F1258" s="128"/>
      <c r="G1258" s="36" t="b">
        <f t="shared" si="1"/>
        <v>0</v>
      </c>
      <c r="H1258" s="35" t="b">
        <v>1</v>
      </c>
      <c r="I1258" s="35" t="b">
        <v>0</v>
      </c>
      <c r="J1258" s="35" t="b">
        <v>0</v>
      </c>
      <c r="K1258" s="35" t="b">
        <v>0</v>
      </c>
      <c r="L1258" s="35" t="b">
        <v>0</v>
      </c>
      <c r="M1258" s="35" t="b">
        <v>0</v>
      </c>
      <c r="N1258" s="35" t="b">
        <v>0</v>
      </c>
      <c r="O1258" s="35" t="b">
        <v>0</v>
      </c>
      <c r="P1258" s="35" t="b">
        <v>0</v>
      </c>
      <c r="Q1258" s="35" t="b">
        <v>0</v>
      </c>
      <c r="R1258" s="14"/>
      <c r="S1258" s="14"/>
      <c r="T1258" s="14"/>
      <c r="U1258" s="14"/>
      <c r="V1258" s="14"/>
      <c r="W1258" s="14"/>
    </row>
    <row r="1259" ht="31.5" customHeight="1">
      <c r="A1259" s="109" t="s">
        <v>14261</v>
      </c>
      <c r="B1259" s="110" t="s">
        <v>14262</v>
      </c>
      <c r="C1259" s="111" t="s">
        <v>14263</v>
      </c>
      <c r="D1259" s="28" t="s">
        <v>14264</v>
      </c>
      <c r="E1259" s="28" t="str">
        <f>IFERROR(__xludf.DUMMYFUNCTION("GOOGLETRANSLATE(D1259,""zh-CN"",""vi"")"),"Anh ta lắc mạnh cành cây.")</f>
        <v>Anh ta lắc mạnh cành cây.</v>
      </c>
      <c r="F1259" s="128"/>
      <c r="G1259" s="36" t="b">
        <f t="shared" si="1"/>
        <v>0</v>
      </c>
      <c r="H1259" s="35" t="b">
        <v>1</v>
      </c>
      <c r="I1259" s="35" t="b">
        <v>0</v>
      </c>
      <c r="J1259" s="35" t="b">
        <v>0</v>
      </c>
      <c r="K1259" s="35" t="b">
        <v>0</v>
      </c>
      <c r="L1259" s="35" t="b">
        <v>0</v>
      </c>
      <c r="M1259" s="35" t="b">
        <v>0</v>
      </c>
      <c r="N1259" s="35" t="b">
        <v>0</v>
      </c>
      <c r="O1259" s="35" t="b">
        <v>0</v>
      </c>
      <c r="P1259" s="35" t="b">
        <v>0</v>
      </c>
      <c r="Q1259" s="35" t="b">
        <v>0</v>
      </c>
      <c r="R1259" s="14"/>
      <c r="S1259" s="14"/>
      <c r="T1259" s="14"/>
      <c r="U1259" s="14"/>
      <c r="V1259" s="14"/>
      <c r="W1259" s="14"/>
    </row>
    <row r="1260" ht="31.5" customHeight="1">
      <c r="A1260" s="109" t="s">
        <v>9061</v>
      </c>
      <c r="B1260" s="110" t="s">
        <v>14267</v>
      </c>
      <c r="C1260" s="111" t="s">
        <v>14269</v>
      </c>
      <c r="D1260" s="28" t="s">
        <v>14271</v>
      </c>
      <c r="E1260" s="28" t="str">
        <f>IFERROR(__xludf.DUMMYFUNCTION("GOOGLETRANSLATE(D1260,""zh-CN"",""vi"")"),"Giấc mơ của anh ấy cuối cùng đã trở thành hiện thực.")</f>
        <v>Giấc mơ của anh ấy cuối cùng đã trở thành hiện thực.</v>
      </c>
      <c r="F1260" s="133"/>
      <c r="G1260" s="36" t="b">
        <f t="shared" si="1"/>
        <v>0</v>
      </c>
      <c r="H1260" s="35" t="b">
        <v>1</v>
      </c>
      <c r="I1260" s="35" t="b">
        <v>0</v>
      </c>
      <c r="J1260" s="35" t="b">
        <v>0</v>
      </c>
      <c r="K1260" s="35" t="b">
        <v>0</v>
      </c>
      <c r="L1260" s="35" t="b">
        <v>0</v>
      </c>
      <c r="M1260" s="35" t="b">
        <v>0</v>
      </c>
      <c r="N1260" s="35" t="b">
        <v>0</v>
      </c>
      <c r="O1260" s="35" t="b">
        <v>0</v>
      </c>
      <c r="P1260" s="35" t="b">
        <v>0</v>
      </c>
      <c r="Q1260" s="35" t="b">
        <v>0</v>
      </c>
      <c r="R1260" s="14"/>
      <c r="S1260" s="14"/>
      <c r="T1260" s="14"/>
      <c r="U1260" s="14"/>
      <c r="V1260" s="14"/>
      <c r="W1260" s="14"/>
    </row>
    <row r="1261" ht="31.5" customHeight="1">
      <c r="A1261" s="109" t="s">
        <v>14272</v>
      </c>
      <c r="B1261" s="110" t="s">
        <v>14273</v>
      </c>
      <c r="C1261" s="111" t="s">
        <v>14274</v>
      </c>
      <c r="D1261" s="28" t="s">
        <v>14275</v>
      </c>
      <c r="E1261" s="28" t="str">
        <f>IFERROR(__xludf.DUMMYFUNCTION("GOOGLETRANSLATE(D1261,""zh-CN"",""vi"")"),"Cô nheo mắt để nhìn rõ mọi vật.")</f>
        <v>Cô nheo mắt để nhìn rõ mọi vật.</v>
      </c>
      <c r="F1261" s="128"/>
      <c r="G1261" s="36" t="b">
        <f t="shared" si="1"/>
        <v>0</v>
      </c>
      <c r="H1261" s="35" t="b">
        <v>1</v>
      </c>
      <c r="I1261" s="35" t="b">
        <v>0</v>
      </c>
      <c r="J1261" s="35" t="b">
        <v>0</v>
      </c>
      <c r="K1261" s="35" t="b">
        <v>0</v>
      </c>
      <c r="L1261" s="35" t="b">
        <v>0</v>
      </c>
      <c r="M1261" s="35" t="b">
        <v>0</v>
      </c>
      <c r="N1261" s="35" t="b">
        <v>0</v>
      </c>
      <c r="O1261" s="35" t="b">
        <v>0</v>
      </c>
      <c r="P1261" s="35" t="b">
        <v>0</v>
      </c>
      <c r="Q1261" s="35" t="b">
        <v>0</v>
      </c>
      <c r="R1261" s="14"/>
      <c r="S1261" s="14"/>
      <c r="T1261" s="14"/>
      <c r="U1261" s="14"/>
      <c r="V1261" s="14"/>
      <c r="W1261" s="14"/>
    </row>
    <row r="1262" ht="31.5" customHeight="1">
      <c r="A1262" s="109" t="s">
        <v>14280</v>
      </c>
      <c r="B1262" s="110" t="s">
        <v>14281</v>
      </c>
      <c r="C1262" s="111" t="s">
        <v>14282</v>
      </c>
      <c r="D1262" s="28" t="s">
        <v>14283</v>
      </c>
      <c r="E1262" s="28" t="str">
        <f>IFERROR(__xludf.DUMMYFUNCTION("GOOGLETRANSLATE(D1262,""zh-CN"",""vi"")"),"Chúng ta cần sửa chữa những sai lầm của mình.")</f>
        <v>Chúng ta cần sửa chữa những sai lầm của mình.</v>
      </c>
      <c r="F1262" s="128"/>
      <c r="G1262" s="36" t="b">
        <f t="shared" si="1"/>
        <v>0</v>
      </c>
      <c r="H1262" s="35" t="b">
        <v>1</v>
      </c>
      <c r="I1262" s="35" t="b">
        <v>0</v>
      </c>
      <c r="J1262" s="35" t="b">
        <v>0</v>
      </c>
      <c r="K1262" s="35" t="b">
        <v>0</v>
      </c>
      <c r="L1262" s="35" t="b">
        <v>0</v>
      </c>
      <c r="M1262" s="35" t="b">
        <v>0</v>
      </c>
      <c r="N1262" s="35" t="b">
        <v>0</v>
      </c>
      <c r="O1262" s="35" t="b">
        <v>0</v>
      </c>
      <c r="P1262" s="35" t="b">
        <v>0</v>
      </c>
      <c r="Q1262" s="35" t="b">
        <v>0</v>
      </c>
      <c r="R1262" s="14"/>
      <c r="S1262" s="14"/>
      <c r="T1262" s="14"/>
      <c r="U1262" s="14"/>
      <c r="V1262" s="14"/>
      <c r="W1262" s="14"/>
    </row>
    <row r="1263" ht="31.5" customHeight="1">
      <c r="A1263" s="109" t="s">
        <v>14288</v>
      </c>
      <c r="B1263" s="110" t="s">
        <v>14289</v>
      </c>
      <c r="C1263" s="111" t="s">
        <v>14290</v>
      </c>
      <c r="D1263" s="28" t="s">
        <v>14291</v>
      </c>
      <c r="E1263" s="28" t="str">
        <f>IFERROR(__xludf.DUMMYFUNCTION("GOOGLETRANSLATE(D1263,""zh-CN"",""vi"")"),"Lời giải thích của anh ấy khiến tôi bối rối.")</f>
        <v>Lời giải thích của anh ấy khiến tôi bối rối.</v>
      </c>
      <c r="F1263" s="128"/>
      <c r="G1263" s="36" t="b">
        <f t="shared" si="1"/>
        <v>0</v>
      </c>
      <c r="H1263" s="35" t="b">
        <v>1</v>
      </c>
      <c r="I1263" s="35" t="b">
        <v>0</v>
      </c>
      <c r="J1263" s="35" t="b">
        <v>0</v>
      </c>
      <c r="K1263" s="35" t="b">
        <v>0</v>
      </c>
      <c r="L1263" s="35" t="b">
        <v>0</v>
      </c>
      <c r="M1263" s="35" t="b">
        <v>0</v>
      </c>
      <c r="N1263" s="35" t="b">
        <v>0</v>
      </c>
      <c r="O1263" s="35" t="b">
        <v>0</v>
      </c>
      <c r="P1263" s="35" t="b">
        <v>0</v>
      </c>
      <c r="Q1263" s="35" t="b">
        <v>0</v>
      </c>
      <c r="R1263" s="14"/>
      <c r="S1263" s="14"/>
      <c r="T1263" s="14"/>
      <c r="U1263" s="14"/>
      <c r="V1263" s="14"/>
      <c r="W1263" s="14"/>
    </row>
    <row r="1264" ht="31.5" customHeight="1">
      <c r="A1264" s="109" t="s">
        <v>14296</v>
      </c>
      <c r="B1264" s="110" t="s">
        <v>14297</v>
      </c>
      <c r="C1264" s="111" t="s">
        <v>14298</v>
      </c>
      <c r="D1264" s="28" t="s">
        <v>14299</v>
      </c>
      <c r="E1264" s="28" t="str">
        <f>IFERROR(__xludf.DUMMYFUNCTION("GOOGLETRANSLATE(D1264,""zh-CN"",""vi"")"),"Cả căn phòng ngập tràn hương thơm.")</f>
        <v>Cả căn phòng ngập tràn hương thơm.</v>
      </c>
      <c r="F1264" s="128"/>
      <c r="G1264" s="36" t="b">
        <f t="shared" si="1"/>
        <v>0</v>
      </c>
      <c r="H1264" s="35" t="b">
        <v>1</v>
      </c>
      <c r="I1264" s="35" t="b">
        <v>0</v>
      </c>
      <c r="J1264" s="35" t="b">
        <v>0</v>
      </c>
      <c r="K1264" s="35" t="b">
        <v>0</v>
      </c>
      <c r="L1264" s="35" t="b">
        <v>0</v>
      </c>
      <c r="M1264" s="35" t="b">
        <v>0</v>
      </c>
      <c r="N1264" s="35" t="b">
        <v>0</v>
      </c>
      <c r="O1264" s="35" t="b">
        <v>0</v>
      </c>
      <c r="P1264" s="35" t="b">
        <v>0</v>
      </c>
      <c r="Q1264" s="35" t="b">
        <v>0</v>
      </c>
      <c r="R1264" s="14"/>
      <c r="S1264" s="14"/>
      <c r="T1264" s="14"/>
      <c r="U1264" s="14"/>
      <c r="V1264" s="14"/>
      <c r="W1264" s="14"/>
    </row>
    <row r="1265" ht="31.5" customHeight="1">
      <c r="A1265" s="109" t="s">
        <v>14304</v>
      </c>
      <c r="B1265" s="110" t="s">
        <v>14305</v>
      </c>
      <c r="C1265" s="111" t="s">
        <v>14306</v>
      </c>
      <c r="D1265" s="28" t="s">
        <v>14307</v>
      </c>
      <c r="E1265" s="28" t="str">
        <f>IFERROR(__xludf.DUMMYFUNCTION("GOOGLETRANSLATE(D1265,""zh-CN"",""vi"")"),"Cô ấy sở hữu đôi mắt quyến rũ.")</f>
        <v>Cô ấy sở hữu đôi mắt quyến rũ.</v>
      </c>
      <c r="F1265" s="128"/>
      <c r="G1265" s="36" t="b">
        <f t="shared" si="1"/>
        <v>0</v>
      </c>
      <c r="H1265" s="35" t="b">
        <v>1</v>
      </c>
      <c r="I1265" s="35" t="b">
        <v>0</v>
      </c>
      <c r="J1265" s="35" t="b">
        <v>0</v>
      </c>
      <c r="K1265" s="35" t="b">
        <v>0</v>
      </c>
      <c r="L1265" s="35" t="b">
        <v>0</v>
      </c>
      <c r="M1265" s="35" t="b">
        <v>0</v>
      </c>
      <c r="N1265" s="35" t="b">
        <v>0</v>
      </c>
      <c r="O1265" s="35" t="b">
        <v>0</v>
      </c>
      <c r="P1265" s="35" t="b">
        <v>0</v>
      </c>
      <c r="Q1265" s="35" t="b">
        <v>0</v>
      </c>
      <c r="R1265" s="14"/>
      <c r="S1265" s="14"/>
      <c r="T1265" s="14"/>
      <c r="U1265" s="14"/>
      <c r="V1265" s="14"/>
      <c r="W1265" s="14"/>
    </row>
    <row r="1266" ht="31.5" customHeight="1">
      <c r="A1266" s="109" t="s">
        <v>14309</v>
      </c>
      <c r="B1266" s="110" t="s">
        <v>14311</v>
      </c>
      <c r="C1266" s="111" t="s">
        <v>14313</v>
      </c>
      <c r="D1266" s="28" t="s">
        <v>14315</v>
      </c>
      <c r="E1266" s="28" t="str">
        <f>IFERROR(__xludf.DUMMYFUNCTION("GOOGLETRANSLATE(D1266,""zh-CN"",""vi"")"),"Anh ta bị lạc đường trong thành phố xa lạ.")</f>
        <v>Anh ta bị lạc đường trong thành phố xa lạ.</v>
      </c>
      <c r="F1266" s="128"/>
      <c r="G1266" s="36" t="b">
        <f t="shared" si="1"/>
        <v>0</v>
      </c>
      <c r="H1266" s="35" t="b">
        <v>1</v>
      </c>
      <c r="I1266" s="35" t="b">
        <v>0</v>
      </c>
      <c r="J1266" s="35" t="b">
        <v>0</v>
      </c>
      <c r="K1266" s="35" t="b">
        <v>0</v>
      </c>
      <c r="L1266" s="35" t="b">
        <v>0</v>
      </c>
      <c r="M1266" s="35" t="b">
        <v>0</v>
      </c>
      <c r="N1266" s="35" t="b">
        <v>0</v>
      </c>
      <c r="O1266" s="35" t="b">
        <v>0</v>
      </c>
      <c r="P1266" s="35" t="b">
        <v>0</v>
      </c>
      <c r="Q1266" s="35" t="b">
        <v>0</v>
      </c>
      <c r="R1266" s="14"/>
      <c r="S1266" s="14"/>
      <c r="T1266" s="14"/>
      <c r="U1266" s="14"/>
      <c r="V1266" s="14"/>
      <c r="W1266" s="14"/>
    </row>
    <row r="1267" ht="31.5" customHeight="1">
      <c r="A1267" s="109" t="s">
        <v>14316</v>
      </c>
      <c r="B1267" s="110" t="s">
        <v>14317</v>
      </c>
      <c r="C1267" s="111" t="s">
        <v>14318</v>
      </c>
      <c r="D1267" s="28" t="s">
        <v>14319</v>
      </c>
      <c r="E1267" s="28" t="str">
        <f>IFERROR(__xludf.DUMMYFUNCTION("GOOGLETRANSLATE(D1267,""zh-CN"",""vi"")"),"Ông ta rất mê tín và không dám làm điều gì xấu.")</f>
        <v>Ông ta rất mê tín và không dám làm điều gì xấu.</v>
      </c>
      <c r="F1267" s="128"/>
      <c r="G1267" s="36" t="b">
        <f t="shared" si="1"/>
        <v>0</v>
      </c>
      <c r="H1267" s="35" t="b">
        <v>1</v>
      </c>
      <c r="I1267" s="35" t="b">
        <v>0</v>
      </c>
      <c r="J1267" s="35" t="b">
        <v>0</v>
      </c>
      <c r="K1267" s="35" t="b">
        <v>0</v>
      </c>
      <c r="L1267" s="35" t="b">
        <v>0</v>
      </c>
      <c r="M1267" s="35" t="b">
        <v>0</v>
      </c>
      <c r="N1267" s="35" t="b">
        <v>0</v>
      </c>
      <c r="O1267" s="35" t="b">
        <v>0</v>
      </c>
      <c r="P1267" s="35" t="b">
        <v>0</v>
      </c>
      <c r="Q1267" s="35" t="b">
        <v>0</v>
      </c>
      <c r="R1267" s="14"/>
      <c r="S1267" s="14"/>
      <c r="T1267" s="14"/>
      <c r="U1267" s="14"/>
      <c r="V1267" s="14"/>
      <c r="W1267" s="14"/>
    </row>
    <row r="1268" ht="31.5" customHeight="1">
      <c r="A1268" s="109" t="s">
        <v>14324</v>
      </c>
      <c r="B1268" s="110" t="s">
        <v>14325</v>
      </c>
      <c r="C1268" s="111" t="s">
        <v>14326</v>
      </c>
      <c r="D1268" s="28" t="s">
        <v>14327</v>
      </c>
      <c r="E1268" s="28" t="str">
        <f>IFERROR(__xludf.DUMMYFUNCTION("GOOGLETRANSLATE(D1268,""zh-CN"",""vi"")"),"Thành phố này có mật độ xây dựng cao.")</f>
        <v>Thành phố này có mật độ xây dựng cao.</v>
      </c>
      <c r="F1268" s="128"/>
      <c r="G1268" s="36" t="b">
        <f t="shared" si="1"/>
        <v>0</v>
      </c>
      <c r="H1268" s="35" t="b">
        <v>1</v>
      </c>
      <c r="I1268" s="35" t="b">
        <v>0</v>
      </c>
      <c r="J1268" s="35" t="b">
        <v>0</v>
      </c>
      <c r="K1268" s="35" t="b">
        <v>0</v>
      </c>
      <c r="L1268" s="35" t="b">
        <v>0</v>
      </c>
      <c r="M1268" s="35" t="b">
        <v>0</v>
      </c>
      <c r="N1268" s="35" t="b">
        <v>0</v>
      </c>
      <c r="O1268" s="35" t="b">
        <v>0</v>
      </c>
      <c r="P1268" s="35" t="b">
        <v>0</v>
      </c>
      <c r="Q1268" s="35" t="b">
        <v>0</v>
      </c>
      <c r="R1268" s="14"/>
      <c r="S1268" s="14"/>
      <c r="T1268" s="14"/>
      <c r="U1268" s="14"/>
      <c r="V1268" s="14"/>
      <c r="W1268" s="14"/>
    </row>
    <row r="1269" ht="31.5" customHeight="1">
      <c r="A1269" s="109" t="s">
        <v>14332</v>
      </c>
      <c r="B1269" s="110" t="s">
        <v>14333</v>
      </c>
      <c r="C1269" s="111" t="s">
        <v>14334</v>
      </c>
      <c r="D1269" s="28" t="s">
        <v>14335</v>
      </c>
      <c r="E1269" s="28" t="str">
        <f>IFERROR(__xludf.DUMMYFUNCTION("GOOGLETRANSLATE(D1269,""zh-CN"",""vi"")"),"Chúng ta cần niêm phong những tài liệu này.")</f>
        <v>Chúng ta cần niêm phong những tài liệu này.</v>
      </c>
      <c r="F1269" s="128"/>
      <c r="G1269" s="36" t="b">
        <f t="shared" si="1"/>
        <v>0</v>
      </c>
      <c r="H1269" s="35" t="b">
        <v>1</v>
      </c>
      <c r="I1269" s="35" t="b">
        <v>0</v>
      </c>
      <c r="J1269" s="35" t="b">
        <v>0</v>
      </c>
      <c r="K1269" s="35" t="b">
        <v>0</v>
      </c>
      <c r="L1269" s="35" t="b">
        <v>0</v>
      </c>
      <c r="M1269" s="35" t="b">
        <v>0</v>
      </c>
      <c r="N1269" s="35" t="b">
        <v>0</v>
      </c>
      <c r="O1269" s="35" t="b">
        <v>0</v>
      </c>
      <c r="P1269" s="35" t="b">
        <v>0</v>
      </c>
      <c r="Q1269" s="35" t="b">
        <v>0</v>
      </c>
      <c r="R1269" s="14"/>
      <c r="S1269" s="14"/>
      <c r="T1269" s="14"/>
      <c r="U1269" s="14"/>
      <c r="V1269" s="14"/>
      <c r="W1269" s="14"/>
    </row>
    <row r="1270" ht="31.5" customHeight="1">
      <c r="A1270" s="109" t="s">
        <v>14338</v>
      </c>
      <c r="B1270" s="110" t="s">
        <v>14340</v>
      </c>
      <c r="C1270" s="111" t="s">
        <v>14342</v>
      </c>
      <c r="D1270" s="28" t="s">
        <v>14343</v>
      </c>
      <c r="E1270" s="28" t="str">
        <f>IFERROR(__xludf.DUMMYFUNCTION("GOOGLETRANSLATE(D1270,""zh-CN"",""vi"")"),"Hãy đeo khẩu trang để tránh bị cảm lạnh.")</f>
        <v>Hãy đeo khẩu trang để tránh bị cảm lạnh.</v>
      </c>
      <c r="F1270" s="128"/>
      <c r="G1270" s="36" t="b">
        <f t="shared" si="1"/>
        <v>0</v>
      </c>
      <c r="H1270" s="35" t="b">
        <v>1</v>
      </c>
      <c r="I1270" s="35" t="b">
        <v>0</v>
      </c>
      <c r="J1270" s="35" t="b">
        <v>0</v>
      </c>
      <c r="K1270" s="35" t="b">
        <v>0</v>
      </c>
      <c r="L1270" s="35" t="b">
        <v>0</v>
      </c>
      <c r="M1270" s="35" t="b">
        <v>0</v>
      </c>
      <c r="N1270" s="35" t="b">
        <v>0</v>
      </c>
      <c r="O1270" s="35" t="b">
        <v>0</v>
      </c>
      <c r="P1270" s="35" t="b">
        <v>0</v>
      </c>
      <c r="Q1270" s="35" t="b">
        <v>0</v>
      </c>
      <c r="R1270" s="14"/>
      <c r="S1270" s="14"/>
      <c r="T1270" s="14"/>
      <c r="U1270" s="14"/>
      <c r="V1270" s="14"/>
      <c r="W1270" s="14"/>
    </row>
    <row r="1271" ht="31.5" customHeight="1">
      <c r="A1271" s="109" t="s">
        <v>14344</v>
      </c>
      <c r="B1271" s="110" t="s">
        <v>14345</v>
      </c>
      <c r="C1271" s="111" t="s">
        <v>14346</v>
      </c>
      <c r="D1271" s="28" t="s">
        <v>14347</v>
      </c>
      <c r="E1271" s="28" t="str">
        <f>IFERROR(__xludf.DUMMYFUNCTION("GOOGLETRANSLATE(D1271,""zh-CN"",""vi"")"),"Ông khuyến khích các học sinh học tập chăm chỉ.")</f>
        <v>Ông khuyến khích các học sinh học tập chăm chỉ.</v>
      </c>
      <c r="F1271" s="128"/>
      <c r="G1271" s="36" t="b">
        <f t="shared" si="1"/>
        <v>0</v>
      </c>
      <c r="H1271" s="35" t="b">
        <v>1</v>
      </c>
      <c r="I1271" s="35" t="b">
        <v>0</v>
      </c>
      <c r="J1271" s="35" t="b">
        <v>0</v>
      </c>
      <c r="K1271" s="35" t="b">
        <v>0</v>
      </c>
      <c r="L1271" s="35" t="b">
        <v>0</v>
      </c>
      <c r="M1271" s="35" t="b">
        <v>0</v>
      </c>
      <c r="N1271" s="35" t="b">
        <v>0</v>
      </c>
      <c r="O1271" s="35" t="b">
        <v>0</v>
      </c>
      <c r="P1271" s="35" t="b">
        <v>0</v>
      </c>
      <c r="Q1271" s="35" t="b">
        <v>0</v>
      </c>
      <c r="R1271" s="14"/>
      <c r="S1271" s="14"/>
      <c r="T1271" s="14"/>
      <c r="U1271" s="14"/>
      <c r="V1271" s="14"/>
      <c r="W1271" s="14"/>
    </row>
    <row r="1272" ht="31.5" customHeight="1">
      <c r="A1272" s="109" t="s">
        <v>14351</v>
      </c>
      <c r="B1272" s="110" t="s">
        <v>14352</v>
      </c>
      <c r="C1272" s="111" t="s">
        <v>14353</v>
      </c>
      <c r="D1272" s="28" t="s">
        <v>14354</v>
      </c>
      <c r="E1272" s="28" t="str">
        <f>IFERROR(__xludf.DUMMYFUNCTION("GOOGLETRANSLATE(D1272,""zh-CN"",""vi"")"),"Ông ta miễn cưỡng đồng ý với đề nghị của chúng tôi.")</f>
        <v>Ông ta miễn cưỡng đồng ý với đề nghị của chúng tôi.</v>
      </c>
      <c r="F1272" s="128"/>
      <c r="G1272" s="36" t="b">
        <f t="shared" si="1"/>
        <v>0</v>
      </c>
      <c r="H1272" s="35" t="b">
        <v>1</v>
      </c>
      <c r="I1272" s="35" t="b">
        <v>0</v>
      </c>
      <c r="J1272" s="35" t="b">
        <v>0</v>
      </c>
      <c r="K1272" s="35" t="b">
        <v>0</v>
      </c>
      <c r="L1272" s="35" t="b">
        <v>0</v>
      </c>
      <c r="M1272" s="35" t="b">
        <v>0</v>
      </c>
      <c r="N1272" s="35" t="b">
        <v>0</v>
      </c>
      <c r="O1272" s="35" t="b">
        <v>0</v>
      </c>
      <c r="P1272" s="35" t="b">
        <v>0</v>
      </c>
      <c r="Q1272" s="35" t="b">
        <v>0</v>
      </c>
      <c r="R1272" s="14"/>
      <c r="S1272" s="14"/>
      <c r="T1272" s="14"/>
      <c r="U1272" s="14"/>
      <c r="V1272" s="14"/>
      <c r="W1272" s="14"/>
    </row>
    <row r="1273" ht="31.5" customHeight="1">
      <c r="A1273" s="109" t="s">
        <v>14359</v>
      </c>
      <c r="B1273" s="110" t="s">
        <v>14360</v>
      </c>
      <c r="C1273" s="111" t="s">
        <v>14361</v>
      </c>
      <c r="D1273" s="28" t="s">
        <v>14362</v>
      </c>
      <c r="E1273" s="28" t="str">
        <f>IFERROR(__xludf.DUMMYFUNCTION("GOOGLETRANSLATE(D1273,""zh-CN"",""vi"")"),"Căn bệnh này rất khó phòng ngừa.")</f>
        <v>Căn bệnh này rất khó phòng ngừa.</v>
      </c>
      <c r="F1273" s="128"/>
      <c r="G1273" s="36" t="b">
        <f t="shared" si="1"/>
        <v>0</v>
      </c>
      <c r="H1273" s="35" t="b">
        <v>1</v>
      </c>
      <c r="I1273" s="35" t="b">
        <v>0</v>
      </c>
      <c r="J1273" s="35" t="b">
        <v>0</v>
      </c>
      <c r="K1273" s="35" t="b">
        <v>0</v>
      </c>
      <c r="L1273" s="35" t="b">
        <v>0</v>
      </c>
      <c r="M1273" s="35" t="b">
        <v>0</v>
      </c>
      <c r="N1273" s="35" t="b">
        <v>0</v>
      </c>
      <c r="O1273" s="35" t="b">
        <v>0</v>
      </c>
      <c r="P1273" s="35" t="b">
        <v>0</v>
      </c>
      <c r="Q1273" s="35" t="b">
        <v>0</v>
      </c>
      <c r="R1273" s="14"/>
      <c r="S1273" s="14"/>
      <c r="T1273" s="14"/>
      <c r="U1273" s="14"/>
      <c r="V1273" s="14"/>
      <c r="W1273" s="14"/>
    </row>
    <row r="1274" ht="31.5" customHeight="1">
      <c r="A1274" s="109" t="s">
        <v>14363</v>
      </c>
      <c r="B1274" s="110" t="s">
        <v>14364</v>
      </c>
      <c r="C1274" s="111" t="s">
        <v>14365</v>
      </c>
      <c r="D1274" s="28" t="s">
        <v>14367</v>
      </c>
      <c r="E1274" s="28" t="str">
        <f>IFERROR(__xludf.DUMMYFUNCTION("GOOGLETRANSLATE(D1274,""zh-CN"",""vi"")"),"Ngoại hình của anh ấy đã thay đổi rất nhiều.")</f>
        <v>Ngoại hình của anh ấy đã thay đổi rất nhiều.</v>
      </c>
      <c r="F1274" s="128"/>
      <c r="G1274" s="36" t="b">
        <f t="shared" si="1"/>
        <v>0</v>
      </c>
      <c r="H1274" s="35" t="b">
        <v>1</v>
      </c>
      <c r="I1274" s="35" t="b">
        <v>0</v>
      </c>
      <c r="J1274" s="35" t="b">
        <v>0</v>
      </c>
      <c r="K1274" s="35" t="b">
        <v>0</v>
      </c>
      <c r="L1274" s="35" t="b">
        <v>0</v>
      </c>
      <c r="M1274" s="35" t="b">
        <v>0</v>
      </c>
      <c r="N1274" s="35" t="b">
        <v>0</v>
      </c>
      <c r="O1274" s="35" t="b">
        <v>0</v>
      </c>
      <c r="P1274" s="35" t="b">
        <v>0</v>
      </c>
      <c r="Q1274" s="35" t="b">
        <v>0</v>
      </c>
      <c r="R1274" s="14"/>
      <c r="S1274" s="14"/>
      <c r="T1274" s="14"/>
      <c r="U1274" s="14"/>
      <c r="V1274" s="14"/>
      <c r="W1274" s="14"/>
    </row>
    <row r="1275" ht="31.5" customHeight="1">
      <c r="A1275" s="109" t="s">
        <v>14371</v>
      </c>
      <c r="B1275" s="110" t="s">
        <v>14372</v>
      </c>
      <c r="C1275" s="111" t="s">
        <v>14373</v>
      </c>
      <c r="D1275" s="28" t="s">
        <v>14374</v>
      </c>
      <c r="E1275" s="28" t="str">
        <f>IFERROR(__xludf.DUMMYFUNCTION("GOOGLETRANSLATE(D1275,""zh-CN"",""vi"")"),"Anh ấy rất coi trọng danh tiếng của mình.")</f>
        <v>Anh ấy rất coi trọng danh tiếng của mình.</v>
      </c>
      <c r="F1275" s="128"/>
      <c r="G1275" s="36" t="b">
        <f t="shared" si="1"/>
        <v>0</v>
      </c>
      <c r="H1275" s="35" t="b">
        <v>1</v>
      </c>
      <c r="I1275" s="35" t="b">
        <v>0</v>
      </c>
      <c r="J1275" s="35" t="b">
        <v>0</v>
      </c>
      <c r="K1275" s="35" t="b">
        <v>0</v>
      </c>
      <c r="L1275" s="35" t="b">
        <v>0</v>
      </c>
      <c r="M1275" s="35" t="b">
        <v>0</v>
      </c>
      <c r="N1275" s="35" t="b">
        <v>0</v>
      </c>
      <c r="O1275" s="35" t="b">
        <v>0</v>
      </c>
      <c r="P1275" s="35" t="b">
        <v>0</v>
      </c>
      <c r="Q1275" s="35" t="b">
        <v>0</v>
      </c>
      <c r="R1275" s="14"/>
      <c r="S1275" s="14"/>
      <c r="T1275" s="14"/>
      <c r="U1275" s="14"/>
      <c r="V1275" s="14"/>
      <c r="W1275" s="14"/>
    </row>
    <row r="1276" ht="31.5" customHeight="1">
      <c r="A1276" s="109" t="s">
        <v>14379</v>
      </c>
      <c r="B1276" s="110" t="s">
        <v>14380</v>
      </c>
      <c r="C1276" s="111" t="s">
        <v>14381</v>
      </c>
      <c r="D1276" s="28" t="s">
        <v>14382</v>
      </c>
      <c r="E1276" s="28" t="str">
        <f>IFERROR(__xludf.DUMMYFUNCTION("GOOGLETRANSLATE(D1276,""zh-CN"",""vi"")"),"Ông ấy đã vẽ một bức tranh tuyệt đẹp.")</f>
        <v>Ông ấy đã vẽ một bức tranh tuyệt đẹp.</v>
      </c>
      <c r="F1276" s="128"/>
      <c r="G1276" s="36" t="b">
        <f t="shared" si="1"/>
        <v>0</v>
      </c>
      <c r="H1276" s="35" t="b">
        <v>1</v>
      </c>
      <c r="I1276" s="35" t="b">
        <v>0</v>
      </c>
      <c r="J1276" s="35" t="b">
        <v>0</v>
      </c>
      <c r="K1276" s="35" t="b">
        <v>0</v>
      </c>
      <c r="L1276" s="35" t="b">
        <v>0</v>
      </c>
      <c r="M1276" s="35" t="b">
        <v>0</v>
      </c>
      <c r="N1276" s="35" t="b">
        <v>0</v>
      </c>
      <c r="O1276" s="35" t="b">
        <v>0</v>
      </c>
      <c r="P1276" s="35" t="b">
        <v>0</v>
      </c>
      <c r="Q1276" s="35" t="b">
        <v>0</v>
      </c>
      <c r="R1276" s="14"/>
      <c r="S1276" s="14"/>
      <c r="T1276" s="14"/>
      <c r="U1276" s="14"/>
      <c r="V1276" s="14"/>
      <c r="W1276" s="14"/>
    </row>
    <row r="1277" ht="31.5" customHeight="1">
      <c r="A1277" s="109" t="s">
        <v>14384</v>
      </c>
      <c r="B1277" s="110" t="s">
        <v>14385</v>
      </c>
      <c r="C1277" s="111" t="s">
        <v>14387</v>
      </c>
      <c r="D1277" s="28" t="s">
        <v>14388</v>
      </c>
      <c r="E1277" s="28" t="str">
        <f>IFERROR(__xludf.DUMMYFUNCTION("GOOGLETRANSLATE(D1277,""zh-CN"",""vi"")"),"Ngôi làng này rất nhỏ.")</f>
        <v>Ngôi làng này rất nhỏ.</v>
      </c>
      <c r="F1277" s="128"/>
      <c r="G1277" s="36" t="b">
        <f t="shared" si="1"/>
        <v>0</v>
      </c>
      <c r="H1277" s="35" t="b">
        <v>1</v>
      </c>
      <c r="I1277" s="35" t="b">
        <v>0</v>
      </c>
      <c r="J1277" s="35" t="b">
        <v>0</v>
      </c>
      <c r="K1277" s="35" t="b">
        <v>0</v>
      </c>
      <c r="L1277" s="35" t="b">
        <v>0</v>
      </c>
      <c r="M1277" s="35" t="b">
        <v>0</v>
      </c>
      <c r="N1277" s="35" t="b">
        <v>0</v>
      </c>
      <c r="O1277" s="35" t="b">
        <v>0</v>
      </c>
      <c r="P1277" s="35" t="b">
        <v>0</v>
      </c>
      <c r="Q1277" s="35" t="b">
        <v>0</v>
      </c>
      <c r="R1277" s="14"/>
      <c r="S1277" s="14"/>
      <c r="T1277" s="14"/>
      <c r="U1277" s="14"/>
      <c r="V1277" s="14"/>
      <c r="W1277" s="14"/>
    </row>
    <row r="1278" ht="31.5" customHeight="1">
      <c r="A1278" s="109" t="s">
        <v>14390</v>
      </c>
      <c r="B1278" s="110" t="s">
        <v>14391</v>
      </c>
      <c r="C1278" s="111" t="s">
        <v>14392</v>
      </c>
      <c r="D1278" s="28" t="s">
        <v>14393</v>
      </c>
      <c r="E1278" s="28" t="str">
        <f>IFERROR(__xludf.DUMMYFUNCTION("GOOGLETRANSLATE(D1278,""zh-CN"",""vi"")"),"Ông ta phớt lờ ý kiến ​​của người khác.")</f>
        <v>Ông ta phớt lờ ý kiến ​​của người khác.</v>
      </c>
      <c r="F1278" s="128"/>
      <c r="G1278" s="36" t="b">
        <f t="shared" si="1"/>
        <v>0</v>
      </c>
      <c r="H1278" s="35" t="b">
        <v>1</v>
      </c>
      <c r="I1278" s="35" t="b">
        <v>0</v>
      </c>
      <c r="J1278" s="35" t="b">
        <v>0</v>
      </c>
      <c r="K1278" s="35" t="b">
        <v>0</v>
      </c>
      <c r="L1278" s="35" t="b">
        <v>0</v>
      </c>
      <c r="M1278" s="35" t="b">
        <v>0</v>
      </c>
      <c r="N1278" s="35" t="b">
        <v>0</v>
      </c>
      <c r="O1278" s="35" t="b">
        <v>0</v>
      </c>
      <c r="P1278" s="35" t="b">
        <v>0</v>
      </c>
      <c r="Q1278" s="35" t="b">
        <v>0</v>
      </c>
      <c r="R1278" s="14"/>
      <c r="S1278" s="14"/>
      <c r="T1278" s="14"/>
      <c r="U1278" s="14"/>
      <c r="V1278" s="14"/>
      <c r="W1278" s="14"/>
    </row>
    <row r="1279" ht="31.5" customHeight="1">
      <c r="A1279" s="109" t="s">
        <v>14398</v>
      </c>
      <c r="B1279" s="110" t="s">
        <v>14399</v>
      </c>
      <c r="C1279" s="111" t="s">
        <v>14400</v>
      </c>
      <c r="D1279" s="28" t="s">
        <v>14401</v>
      </c>
      <c r="E1279" s="28" t="str">
        <f>IFERROR(__xludf.DUMMYFUNCTION("GOOGLETRANSLATE(D1279,""zh-CN"",""vi"")"),"Triều đại này đã sụp đổ.")</f>
        <v>Triều đại này đã sụp đổ.</v>
      </c>
      <c r="F1279" s="128"/>
      <c r="G1279" s="36" t="b">
        <f t="shared" si="1"/>
        <v>0</v>
      </c>
      <c r="H1279" s="35" t="b">
        <v>1</v>
      </c>
      <c r="I1279" s="35" t="b">
        <v>0</v>
      </c>
      <c r="J1279" s="35" t="b">
        <v>0</v>
      </c>
      <c r="K1279" s="35" t="b">
        <v>0</v>
      </c>
      <c r="L1279" s="35" t="b">
        <v>0</v>
      </c>
      <c r="M1279" s="35" t="b">
        <v>0</v>
      </c>
      <c r="N1279" s="35" t="b">
        <v>0</v>
      </c>
      <c r="O1279" s="35" t="b">
        <v>0</v>
      </c>
      <c r="P1279" s="35" t="b">
        <v>0</v>
      </c>
      <c r="Q1279" s="35" t="b">
        <v>0</v>
      </c>
      <c r="R1279" s="14"/>
      <c r="S1279" s="14"/>
      <c r="T1279" s="14"/>
      <c r="U1279" s="14"/>
      <c r="V1279" s="14"/>
      <c r="W1279" s="14"/>
    </row>
    <row r="1280" ht="31.5" customHeight="1">
      <c r="A1280" s="109" t="s">
        <v>14406</v>
      </c>
      <c r="B1280" s="110" t="s">
        <v>14407</v>
      </c>
      <c r="C1280" s="111" t="s">
        <v>14408</v>
      </c>
      <c r="D1280" s="28" t="s">
        <v>14409</v>
      </c>
      <c r="E1280" s="28" t="str">
        <f>IFERROR(__xludf.DUMMYFUNCTION("GOOGLETRANSLATE(D1280,""zh-CN"",""vi"")"),"Truyện dân gian rất thú vị.")</f>
        <v>Truyện dân gian rất thú vị.</v>
      </c>
      <c r="F1280" s="128"/>
      <c r="G1280" s="36" t="b">
        <f t="shared" si="1"/>
        <v>0</v>
      </c>
      <c r="H1280" s="35" t="b">
        <v>1</v>
      </c>
      <c r="I1280" s="35" t="b">
        <v>0</v>
      </c>
      <c r="J1280" s="35" t="b">
        <v>0</v>
      </c>
      <c r="K1280" s="35" t="b">
        <v>0</v>
      </c>
      <c r="L1280" s="35" t="b">
        <v>0</v>
      </c>
      <c r="M1280" s="35" t="b">
        <v>0</v>
      </c>
      <c r="N1280" s="35" t="b">
        <v>0</v>
      </c>
      <c r="O1280" s="35" t="b">
        <v>0</v>
      </c>
      <c r="P1280" s="35" t="b">
        <v>0</v>
      </c>
      <c r="Q1280" s="35" t="b">
        <v>0</v>
      </c>
      <c r="R1280" s="14"/>
      <c r="S1280" s="14"/>
      <c r="T1280" s="14"/>
      <c r="U1280" s="14"/>
      <c r="V1280" s="14"/>
      <c r="W1280" s="14"/>
    </row>
    <row r="1281" ht="31.5" customHeight="1">
      <c r="A1281" s="109" t="s">
        <v>14414</v>
      </c>
      <c r="B1281" s="110" t="s">
        <v>14415</v>
      </c>
      <c r="C1281" s="111" t="s">
        <v>14416</v>
      </c>
      <c r="D1281" s="28" t="s">
        <v>14417</v>
      </c>
      <c r="E1281" s="28" t="str">
        <f>IFERROR(__xludf.DUMMYFUNCTION("GOOGLETRANSLATE(D1281,""zh-CN"",""vi"")"),"Các sản phẩm này chủ yếu dành cho mục đích dân sự.")</f>
        <v>Các sản phẩm này chủ yếu dành cho mục đích dân sự.</v>
      </c>
      <c r="F1281" s="128"/>
      <c r="G1281" s="36" t="b">
        <f t="shared" si="1"/>
        <v>0</v>
      </c>
      <c r="H1281" s="35" t="b">
        <v>1</v>
      </c>
      <c r="I1281" s="35" t="b">
        <v>0</v>
      </c>
      <c r="J1281" s="35" t="b">
        <v>0</v>
      </c>
      <c r="K1281" s="35" t="b">
        <v>0</v>
      </c>
      <c r="L1281" s="35" t="b">
        <v>0</v>
      </c>
      <c r="M1281" s="35" t="b">
        <v>0</v>
      </c>
      <c r="N1281" s="35" t="b">
        <v>0</v>
      </c>
      <c r="O1281" s="35" t="b">
        <v>0</v>
      </c>
      <c r="P1281" s="35" t="b">
        <v>0</v>
      </c>
      <c r="Q1281" s="35" t="b">
        <v>0</v>
      </c>
      <c r="R1281" s="14"/>
      <c r="S1281" s="14"/>
      <c r="T1281" s="14"/>
      <c r="U1281" s="14"/>
      <c r="V1281" s="14"/>
      <c r="W1281" s="14"/>
    </row>
    <row r="1282" ht="31.5" customHeight="1">
      <c r="A1282" s="109" t="s">
        <v>9146</v>
      </c>
      <c r="B1282" s="110" t="s">
        <v>14422</v>
      </c>
      <c r="C1282" s="111" t="s">
        <v>14423</v>
      </c>
      <c r="D1282" s="28" t="s">
        <v>14424</v>
      </c>
      <c r="E1282" s="28" t="str">
        <f>IFERROR(__xludf.DUMMYFUNCTION("GOOGLETRANSLATE(D1282,""zh-CN"",""vi"")"),"Anh ấy rất nhạy cảm với thế giới bên ngoài.")</f>
        <v>Anh ấy rất nhạy cảm với thế giới bên ngoài.</v>
      </c>
      <c r="F1282" s="128"/>
      <c r="G1282" s="36" t="b">
        <f t="shared" si="1"/>
        <v>0</v>
      </c>
      <c r="H1282" s="35" t="b">
        <v>1</v>
      </c>
      <c r="I1282" s="35" t="b">
        <v>0</v>
      </c>
      <c r="J1282" s="35" t="b">
        <v>0</v>
      </c>
      <c r="K1282" s="35" t="b">
        <v>0</v>
      </c>
      <c r="L1282" s="35" t="b">
        <v>0</v>
      </c>
      <c r="M1282" s="35" t="b">
        <v>0</v>
      </c>
      <c r="N1282" s="35" t="b">
        <v>0</v>
      </c>
      <c r="O1282" s="35" t="b">
        <v>0</v>
      </c>
      <c r="P1282" s="35" t="b">
        <v>0</v>
      </c>
      <c r="Q1282" s="35" t="b">
        <v>0</v>
      </c>
      <c r="R1282" s="14"/>
      <c r="S1282" s="14"/>
      <c r="T1282" s="14"/>
      <c r="U1282" s="14"/>
      <c r="V1282" s="14"/>
      <c r="W1282" s="14"/>
    </row>
    <row r="1283" ht="31.5" customHeight="1">
      <c r="A1283" s="109" t="s">
        <v>14425</v>
      </c>
      <c r="B1283" s="110" t="s">
        <v>14426</v>
      </c>
      <c r="C1283" s="111" t="s">
        <v>14428</v>
      </c>
      <c r="D1283" s="28" t="s">
        <v>14429</v>
      </c>
      <c r="E1283" s="28" t="str">
        <f>IFERROR(__xludf.DUMMYFUNCTION("GOOGLETRANSLATE(D1283,""zh-CN"",""vi"")"),"Những động tác của cô ấy rất nhanh nhẹn.")</f>
        <v>Những động tác của cô ấy rất nhanh nhẹn.</v>
      </c>
      <c r="F1283" s="128"/>
      <c r="G1283" s="36" t="b">
        <f t="shared" si="1"/>
        <v>0</v>
      </c>
      <c r="H1283" s="35" t="b">
        <v>1</v>
      </c>
      <c r="I1283" s="35" t="b">
        <v>0</v>
      </c>
      <c r="J1283" s="35" t="b">
        <v>0</v>
      </c>
      <c r="K1283" s="35" t="b">
        <v>0</v>
      </c>
      <c r="L1283" s="35" t="b">
        <v>0</v>
      </c>
      <c r="M1283" s="35" t="b">
        <v>0</v>
      </c>
      <c r="N1283" s="35" t="b">
        <v>0</v>
      </c>
      <c r="O1283" s="35" t="b">
        <v>0</v>
      </c>
      <c r="P1283" s="35" t="b">
        <v>0</v>
      </c>
      <c r="Q1283" s="35" t="b">
        <v>0</v>
      </c>
      <c r="R1283" s="14"/>
      <c r="S1283" s="14"/>
      <c r="T1283" s="14"/>
      <c r="U1283" s="14"/>
      <c r="V1283" s="14"/>
      <c r="W1283" s="14"/>
    </row>
    <row r="1284" ht="31.5" customHeight="1">
      <c r="A1284" s="109" t="s">
        <v>14444</v>
      </c>
      <c r="B1284" s="110" t="s">
        <v>14446</v>
      </c>
      <c r="C1284" s="111" t="s">
        <v>13845</v>
      </c>
      <c r="D1284" s="28" t="s">
        <v>14447</v>
      </c>
      <c r="E1284" s="28" t="str">
        <f>IFERROR(__xludf.DUMMYFUNCTION("GOOGLETRANSLATE(D1284,""zh-CN"",""vi"")"),"Tư duy của anh ấy rất sắc bén.")</f>
        <v>Tư duy của anh ấy rất sắc bén.</v>
      </c>
      <c r="F1284" s="128"/>
      <c r="G1284" s="36" t="b">
        <f t="shared" si="1"/>
        <v>0</v>
      </c>
      <c r="H1284" s="35" t="b">
        <v>1</v>
      </c>
      <c r="I1284" s="35" t="b">
        <v>0</v>
      </c>
      <c r="J1284" s="35" t="b">
        <v>0</v>
      </c>
      <c r="K1284" s="35" t="b">
        <v>0</v>
      </c>
      <c r="L1284" s="35" t="b">
        <v>0</v>
      </c>
      <c r="M1284" s="35" t="b">
        <v>0</v>
      </c>
      <c r="N1284" s="35" t="b">
        <v>0</v>
      </c>
      <c r="O1284" s="35" t="b">
        <v>0</v>
      </c>
      <c r="P1284" s="35" t="b">
        <v>0</v>
      </c>
      <c r="Q1284" s="35" t="b">
        <v>0</v>
      </c>
      <c r="R1284" s="14"/>
      <c r="S1284" s="14"/>
      <c r="T1284" s="14"/>
      <c r="U1284" s="14"/>
      <c r="V1284" s="14"/>
      <c r="W1284" s="14"/>
    </row>
    <row r="1285" ht="31.5" customHeight="1">
      <c r="A1285" s="109" t="s">
        <v>14452</v>
      </c>
      <c r="B1285" s="110" t="s">
        <v>14453</v>
      </c>
      <c r="C1285" s="111" t="s">
        <v>14454</v>
      </c>
      <c r="D1285" s="28" t="s">
        <v>14455</v>
      </c>
      <c r="E1285" s="28" t="str">
        <f>IFERROR(__xludf.DUMMYFUNCTION("GOOGLETRANSLATE(D1285,""zh-CN"",""vi"")"),"Kết quả cuộc thi đã được công bố.")</f>
        <v>Kết quả cuộc thi đã được công bố.</v>
      </c>
      <c r="F1285" s="128"/>
      <c r="G1285" s="36" t="b">
        <f t="shared" si="1"/>
        <v>0</v>
      </c>
      <c r="H1285" s="35" t="b">
        <v>1</v>
      </c>
      <c r="I1285" s="35" t="b">
        <v>0</v>
      </c>
      <c r="J1285" s="35" t="b">
        <v>0</v>
      </c>
      <c r="K1285" s="35" t="b">
        <v>0</v>
      </c>
      <c r="L1285" s="35" t="b">
        <v>0</v>
      </c>
      <c r="M1285" s="35" t="b">
        <v>0</v>
      </c>
      <c r="N1285" s="35" t="b">
        <v>0</v>
      </c>
      <c r="O1285" s="35" t="b">
        <v>0</v>
      </c>
      <c r="P1285" s="35" t="b">
        <v>0</v>
      </c>
      <c r="Q1285" s="35" t="b">
        <v>0</v>
      </c>
      <c r="R1285" s="14"/>
      <c r="S1285" s="14"/>
      <c r="T1285" s="14"/>
      <c r="U1285" s="14"/>
      <c r="V1285" s="14"/>
      <c r="W1285" s="14"/>
    </row>
    <row r="1286" ht="31.5" customHeight="1">
      <c r="A1286" s="109" t="s">
        <v>14460</v>
      </c>
      <c r="B1286" s="110" t="s">
        <v>14461</v>
      </c>
      <c r="C1286" s="111" t="s">
        <v>14462</v>
      </c>
      <c r="D1286" s="28" t="s">
        <v>14463</v>
      </c>
      <c r="E1286" s="28" t="str">
        <f>IFERROR(__xludf.DUMMYFUNCTION("GOOGLETRANSLATE(D1286,""zh-CN"",""vi"")"),"Sự kiện này có số lượng người tham gia cố định.")</f>
        <v>Sự kiện này có số lượng người tham gia cố định.</v>
      </c>
      <c r="F1286" s="133"/>
      <c r="G1286" s="36" t="b">
        <f t="shared" si="1"/>
        <v>0</v>
      </c>
      <c r="H1286" s="35" t="b">
        <v>1</v>
      </c>
      <c r="I1286" s="35" t="b">
        <v>0</v>
      </c>
      <c r="J1286" s="35" t="b">
        <v>0</v>
      </c>
      <c r="K1286" s="35" t="b">
        <v>0</v>
      </c>
      <c r="L1286" s="35" t="b">
        <v>0</v>
      </c>
      <c r="M1286" s="35" t="b">
        <v>0</v>
      </c>
      <c r="N1286" s="35" t="b">
        <v>0</v>
      </c>
      <c r="O1286" s="35" t="b">
        <v>0</v>
      </c>
      <c r="P1286" s="35" t="b">
        <v>0</v>
      </c>
      <c r="Q1286" s="35" t="b">
        <v>0</v>
      </c>
      <c r="R1286" s="14"/>
      <c r="S1286" s="14"/>
      <c r="T1286" s="14"/>
      <c r="U1286" s="14"/>
      <c r="V1286" s="14"/>
      <c r="W1286" s="14"/>
    </row>
    <row r="1287" ht="31.5" customHeight="1">
      <c r="A1287" s="109" t="s">
        <v>14468</v>
      </c>
      <c r="B1287" s="110" t="s">
        <v>14469</v>
      </c>
      <c r="C1287" s="111" t="s">
        <v>14470</v>
      </c>
      <c r="D1287" s="28" t="s">
        <v>14471</v>
      </c>
      <c r="E1287" s="28" t="str">
        <f>IFERROR(__xludf.DUMMYFUNCTION("GOOGLETRANSLATE(D1287,""zh-CN"",""vi"")"),"Ông ấy là một chuyên gia thực thụ.")</f>
        <v>Ông ấy là một chuyên gia thực thụ.</v>
      </c>
      <c r="F1287" s="128"/>
      <c r="G1287" s="36" t="b">
        <f t="shared" si="1"/>
        <v>0</v>
      </c>
      <c r="H1287" s="35" t="b">
        <v>1</v>
      </c>
      <c r="I1287" s="35" t="b">
        <v>0</v>
      </c>
      <c r="J1287" s="35" t="b">
        <v>0</v>
      </c>
      <c r="K1287" s="35" t="b">
        <v>0</v>
      </c>
      <c r="L1287" s="35" t="b">
        <v>0</v>
      </c>
      <c r="M1287" s="35" t="b">
        <v>0</v>
      </c>
      <c r="N1287" s="35" t="b">
        <v>0</v>
      </c>
      <c r="O1287" s="35" t="b">
        <v>0</v>
      </c>
      <c r="P1287" s="35" t="b">
        <v>0</v>
      </c>
      <c r="Q1287" s="35" t="b">
        <v>0</v>
      </c>
      <c r="R1287" s="14"/>
      <c r="S1287" s="14"/>
      <c r="T1287" s="14"/>
      <c r="U1287" s="14"/>
      <c r="V1287" s="14"/>
      <c r="W1287" s="14"/>
    </row>
    <row r="1288" ht="31.5" customHeight="1">
      <c r="A1288" s="109" t="s">
        <v>14476</v>
      </c>
      <c r="B1288" s="110" t="s">
        <v>14477</v>
      </c>
      <c r="C1288" s="111" t="s">
        <v>14478</v>
      </c>
      <c r="D1288" s="28" t="s">
        <v>14479</v>
      </c>
      <c r="E1288" s="28" t="str">
        <f>IFERROR(__xludf.DUMMYFUNCTION("GOOGLETRANSLATE(D1288,""zh-CN"",""vi"")"),"Anh ta biết rõ điều đó, nhưng lại giả vờ như không biết.")</f>
        <v>Anh ta biết rõ điều đó, nhưng lại giả vờ như không biết.</v>
      </c>
      <c r="F1288" s="128"/>
      <c r="G1288" s="36" t="b">
        <f t="shared" si="1"/>
        <v>0</v>
      </c>
      <c r="H1288" s="35" t="b">
        <v>1</v>
      </c>
      <c r="I1288" s="35" t="b">
        <v>0</v>
      </c>
      <c r="J1288" s="35" t="b">
        <v>0</v>
      </c>
      <c r="K1288" s="35" t="b">
        <v>0</v>
      </c>
      <c r="L1288" s="35" t="b">
        <v>0</v>
      </c>
      <c r="M1288" s="35" t="b">
        <v>0</v>
      </c>
      <c r="N1288" s="35" t="b">
        <v>0</v>
      </c>
      <c r="O1288" s="35" t="b">
        <v>0</v>
      </c>
      <c r="P1288" s="35" t="b">
        <v>0</v>
      </c>
      <c r="Q1288" s="35" t="b">
        <v>0</v>
      </c>
      <c r="R1288" s="14"/>
      <c r="S1288" s="14"/>
      <c r="T1288" s="14"/>
      <c r="U1288" s="14"/>
      <c r="V1288" s="14"/>
      <c r="W1288" s="14"/>
    </row>
    <row r="1289" ht="31.5" customHeight="1">
      <c r="A1289" s="109" t="s">
        <v>14483</v>
      </c>
      <c r="B1289" s="110" t="s">
        <v>14485</v>
      </c>
      <c r="C1289" s="111" t="s">
        <v>14486</v>
      </c>
      <c r="D1289" s="28" t="s">
        <v>14487</v>
      </c>
      <c r="E1289" s="28" t="str">
        <f>IFERROR(__xludf.DUMMYFUNCTION("GOOGLETRANSLATE(D1289,""zh-CN"",""vi"")"),"Danh tiếng của ông ấy đã bị tổn hại.")</f>
        <v>Danh tiếng của ông ấy đã bị tổn hại.</v>
      </c>
      <c r="F1289" s="128"/>
      <c r="G1289" s="36" t="b">
        <f t="shared" si="1"/>
        <v>0</v>
      </c>
      <c r="H1289" s="35" t="b">
        <v>1</v>
      </c>
      <c r="I1289" s="35" t="b">
        <v>0</v>
      </c>
      <c r="J1289" s="35" t="b">
        <v>0</v>
      </c>
      <c r="K1289" s="35" t="b">
        <v>0</v>
      </c>
      <c r="L1289" s="35" t="b">
        <v>0</v>
      </c>
      <c r="M1289" s="35" t="b">
        <v>0</v>
      </c>
      <c r="N1289" s="35" t="b">
        <v>0</v>
      </c>
      <c r="O1289" s="35" t="b">
        <v>0</v>
      </c>
      <c r="P1289" s="35" t="b">
        <v>0</v>
      </c>
      <c r="Q1289" s="35" t="b">
        <v>0</v>
      </c>
      <c r="R1289" s="14"/>
      <c r="S1289" s="14"/>
      <c r="T1289" s="14"/>
      <c r="U1289" s="14"/>
      <c r="V1289" s="14"/>
      <c r="W1289" s="14"/>
    </row>
    <row r="1290" ht="31.5" customHeight="1">
      <c r="A1290" s="109" t="s">
        <v>14489</v>
      </c>
      <c r="B1290" s="110" t="s">
        <v>14490</v>
      </c>
      <c r="C1290" s="111" t="s">
        <v>14492</v>
      </c>
      <c r="D1290" s="28" t="s">
        <v>14493</v>
      </c>
      <c r="E1290" s="28" t="str">
        <f>IFERROR(__xludf.DUMMYFUNCTION("GOOGLETRANSLATE(D1290,""zh-CN"",""vi"")"),"Chúng ta cần đặt tên cho sản phẩm này.")</f>
        <v>Chúng ta cần đặt tên cho sản phẩm này.</v>
      </c>
      <c r="F1290" s="128"/>
      <c r="G1290" s="36" t="b">
        <f t="shared" si="1"/>
        <v>0</v>
      </c>
      <c r="H1290" s="35" t="b">
        <v>1</v>
      </c>
      <c r="I1290" s="35" t="b">
        <v>0</v>
      </c>
      <c r="J1290" s="35" t="b">
        <v>0</v>
      </c>
      <c r="K1290" s="35" t="b">
        <v>0</v>
      </c>
      <c r="L1290" s="35" t="b">
        <v>0</v>
      </c>
      <c r="M1290" s="35" t="b">
        <v>0</v>
      </c>
      <c r="N1290" s="35" t="b">
        <v>0</v>
      </c>
      <c r="O1290" s="35" t="b">
        <v>0</v>
      </c>
      <c r="P1290" s="35" t="b">
        <v>0</v>
      </c>
      <c r="Q1290" s="35" t="b">
        <v>0</v>
      </c>
      <c r="R1290" s="14"/>
      <c r="S1290" s="14"/>
      <c r="T1290" s="14"/>
      <c r="U1290" s="14"/>
      <c r="V1290" s="14"/>
      <c r="W1290" s="14"/>
    </row>
    <row r="1291" ht="31.5" customHeight="1">
      <c r="A1291" s="109" t="s">
        <v>14495</v>
      </c>
      <c r="B1291" s="110" t="s">
        <v>14496</v>
      </c>
      <c r="C1291" s="111" t="s">
        <v>14497</v>
      </c>
      <c r="D1291" s="28" t="s">
        <v>14498</v>
      </c>
      <c r="E1291" s="28" t="str">
        <f>IFERROR(__xludf.DUMMYFUNCTION("GOOGLETRANSLATE(D1291,""zh-CN"",""vi"")"),"Anh ta mò mẫm tiến về phía trước trong bóng tối.")</f>
        <v>Anh ta mò mẫm tiến về phía trước trong bóng tối.</v>
      </c>
      <c r="F1291" s="128"/>
      <c r="G1291" s="36" t="b">
        <f t="shared" si="1"/>
        <v>0</v>
      </c>
      <c r="H1291" s="35" t="b">
        <v>1</v>
      </c>
      <c r="I1291" s="35" t="b">
        <v>0</v>
      </c>
      <c r="J1291" s="35" t="b">
        <v>0</v>
      </c>
      <c r="K1291" s="35" t="b">
        <v>0</v>
      </c>
      <c r="L1291" s="35" t="b">
        <v>0</v>
      </c>
      <c r="M1291" s="35" t="b">
        <v>0</v>
      </c>
      <c r="N1291" s="35" t="b">
        <v>0</v>
      </c>
      <c r="O1291" s="35" t="b">
        <v>0</v>
      </c>
      <c r="P1291" s="35" t="b">
        <v>0</v>
      </c>
      <c r="Q1291" s="35" t="b">
        <v>0</v>
      </c>
      <c r="R1291" s="14"/>
      <c r="S1291" s="14"/>
      <c r="T1291" s="14"/>
      <c r="U1291" s="14"/>
      <c r="V1291" s="14"/>
      <c r="W1291" s="14"/>
    </row>
    <row r="1292" ht="31.5" customHeight="1">
      <c r="A1292" s="109" t="s">
        <v>14502</v>
      </c>
      <c r="B1292" s="110" t="s">
        <v>14503</v>
      </c>
      <c r="C1292" s="111" t="s">
        <v>14504</v>
      </c>
      <c r="D1292" s="28" t="s">
        <v>14505</v>
      </c>
      <c r="E1292" s="28" t="str">
        <f>IFERROR(__xludf.DUMMYFUNCTION("GOOGLETRANSLATE(D1292,""zh-CN"",""vi"")"),"Có thể quan sát màng này dưới kính hiển vi.")</f>
        <v>Có thể quan sát màng này dưới kính hiển vi.</v>
      </c>
      <c r="F1292" s="128"/>
      <c r="G1292" s="36" t="b">
        <f t="shared" si="1"/>
        <v>0</v>
      </c>
      <c r="H1292" s="35" t="b">
        <v>1</v>
      </c>
      <c r="I1292" s="35" t="b">
        <v>0</v>
      </c>
      <c r="J1292" s="35" t="b">
        <v>0</v>
      </c>
      <c r="K1292" s="35" t="b">
        <v>0</v>
      </c>
      <c r="L1292" s="35" t="b">
        <v>0</v>
      </c>
      <c r="M1292" s="35" t="b">
        <v>0</v>
      </c>
      <c r="N1292" s="35" t="b">
        <v>0</v>
      </c>
      <c r="O1292" s="35" t="b">
        <v>0</v>
      </c>
      <c r="P1292" s="35" t="b">
        <v>0</v>
      </c>
      <c r="Q1292" s="35" t="b">
        <v>0</v>
      </c>
      <c r="R1292" s="14"/>
      <c r="S1292" s="14"/>
      <c r="T1292" s="14"/>
      <c r="U1292" s="14"/>
      <c r="V1292" s="14"/>
      <c r="W1292" s="14"/>
    </row>
    <row r="1293" ht="31.5" customHeight="1">
      <c r="A1293" s="109" t="s">
        <v>14510</v>
      </c>
      <c r="B1293" s="110" t="s">
        <v>14511</v>
      </c>
      <c r="C1293" s="111" t="s">
        <v>14512</v>
      </c>
      <c r="D1293" s="28" t="s">
        <v>14513</v>
      </c>
      <c r="E1293" s="28" t="str">
        <f>IFERROR(__xludf.DUMMYFUNCTION("GOOGLETRANSLATE(D1293,""zh-CN"",""vi"")"),"Giữa họ luôn có sự mâu thuẫn.")</f>
        <v>Giữa họ luôn có sự mâu thuẫn.</v>
      </c>
      <c r="F1293" s="128"/>
      <c r="G1293" s="36" t="b">
        <f t="shared" si="1"/>
        <v>0</v>
      </c>
      <c r="H1293" s="35" t="b">
        <v>1</v>
      </c>
      <c r="I1293" s="35" t="b">
        <v>0</v>
      </c>
      <c r="J1293" s="35" t="b">
        <v>0</v>
      </c>
      <c r="K1293" s="35" t="b">
        <v>0</v>
      </c>
      <c r="L1293" s="35" t="b">
        <v>0</v>
      </c>
      <c r="M1293" s="35" t="b">
        <v>0</v>
      </c>
      <c r="N1293" s="35" t="b">
        <v>0</v>
      </c>
      <c r="O1293" s="35" t="b">
        <v>0</v>
      </c>
      <c r="P1293" s="35" t="b">
        <v>0</v>
      </c>
      <c r="Q1293" s="35" t="b">
        <v>0</v>
      </c>
      <c r="R1293" s="14"/>
      <c r="S1293" s="14"/>
      <c r="T1293" s="14"/>
      <c r="U1293" s="14"/>
      <c r="V1293" s="14"/>
      <c r="W1293" s="14"/>
    </row>
    <row r="1294" ht="31.5" customHeight="1">
      <c r="A1294" s="109" t="s">
        <v>14518</v>
      </c>
      <c r="B1294" s="110" t="s">
        <v>14519</v>
      </c>
      <c r="C1294" s="111" t="s">
        <v>14520</v>
      </c>
      <c r="D1294" s="28" t="s">
        <v>14521</v>
      </c>
      <c r="E1294" s="28" t="str">
        <f>IFERROR(__xludf.DUMMYFUNCTION("GOOGLETRANSLATE(D1294,""zh-CN"",""vi"")"),"Cậu ấy là một học sinh gương mẫu.")</f>
        <v>Cậu ấy là một học sinh gương mẫu.</v>
      </c>
      <c r="F1294" s="128"/>
      <c r="G1294" s="36" t="b">
        <f t="shared" si="1"/>
        <v>0</v>
      </c>
      <c r="H1294" s="35" t="b">
        <v>1</v>
      </c>
      <c r="I1294" s="35" t="b">
        <v>0</v>
      </c>
      <c r="J1294" s="35" t="b">
        <v>0</v>
      </c>
      <c r="K1294" s="35" t="b">
        <v>0</v>
      </c>
      <c r="L1294" s="35" t="b">
        <v>0</v>
      </c>
      <c r="M1294" s="35" t="b">
        <v>0</v>
      </c>
      <c r="N1294" s="35" t="b">
        <v>0</v>
      </c>
      <c r="O1294" s="35" t="b">
        <v>0</v>
      </c>
      <c r="P1294" s="35" t="b">
        <v>0</v>
      </c>
      <c r="Q1294" s="35" t="b">
        <v>0</v>
      </c>
      <c r="R1294" s="14"/>
      <c r="S1294" s="14"/>
      <c r="T1294" s="14"/>
      <c r="U1294" s="14"/>
      <c r="V1294" s="14"/>
      <c r="W1294" s="14"/>
    </row>
    <row r="1295" ht="31.5" customHeight="1">
      <c r="A1295" s="109" t="s">
        <v>14526</v>
      </c>
      <c r="B1295" s="110" t="s">
        <v>14527</v>
      </c>
      <c r="C1295" s="111" t="s">
        <v>14528</v>
      </c>
      <c r="D1295" s="28" t="s">
        <v>14529</v>
      </c>
      <c r="E1295" s="28" t="str">
        <f>IFERROR(__xludf.DUMMYFUNCTION("GOOGLETRANSLATE(D1295,""zh-CN"",""vi"")"),"Con quỷ trong phim làm tôi sợ chết khiếp.")</f>
        <v>Con quỷ trong phim làm tôi sợ chết khiếp.</v>
      </c>
      <c r="F1295" s="128"/>
      <c r="G1295" s="36" t="b">
        <f t="shared" si="1"/>
        <v>0</v>
      </c>
      <c r="H1295" s="35" t="b">
        <v>1</v>
      </c>
      <c r="I1295" s="35" t="b">
        <v>0</v>
      </c>
      <c r="J1295" s="35" t="b">
        <v>0</v>
      </c>
      <c r="K1295" s="35" t="b">
        <v>0</v>
      </c>
      <c r="L1295" s="35" t="b">
        <v>0</v>
      </c>
      <c r="M1295" s="35" t="b">
        <v>0</v>
      </c>
      <c r="N1295" s="35" t="b">
        <v>0</v>
      </c>
      <c r="O1295" s="35" t="b">
        <v>0</v>
      </c>
      <c r="P1295" s="35" t="b">
        <v>0</v>
      </c>
      <c r="Q1295" s="35" t="b">
        <v>0</v>
      </c>
      <c r="R1295" s="14"/>
      <c r="S1295" s="14"/>
      <c r="T1295" s="14"/>
      <c r="U1295" s="14"/>
      <c r="V1295" s="14"/>
      <c r="W1295" s="14"/>
    </row>
    <row r="1296" ht="31.5" customHeight="1">
      <c r="A1296" s="109" t="s">
        <v>14534</v>
      </c>
      <c r="B1296" s="110" t="s">
        <v>14535</v>
      </c>
      <c r="C1296" s="111" t="s">
        <v>14536</v>
      </c>
      <c r="D1296" s="28" t="s">
        <v>14537</v>
      </c>
      <c r="E1296" s="28" t="str">
        <f>IFERROR(__xludf.DUMMYFUNCTION("GOOGLETRANSLATE(D1296,""zh-CN"",""vi"")"),"Họ cần thời gian để làm quen với nhau.")</f>
        <v>Họ cần thời gian để làm quen với nhau.</v>
      </c>
      <c r="F1296" s="128"/>
      <c r="G1296" s="36" t="b">
        <f t="shared" si="1"/>
        <v>0</v>
      </c>
      <c r="H1296" s="35" t="b">
        <v>1</v>
      </c>
      <c r="I1296" s="35" t="b">
        <v>0</v>
      </c>
      <c r="J1296" s="35" t="b">
        <v>0</v>
      </c>
      <c r="K1296" s="35" t="b">
        <v>0</v>
      </c>
      <c r="L1296" s="35" t="b">
        <v>0</v>
      </c>
      <c r="M1296" s="35" t="b">
        <v>0</v>
      </c>
      <c r="N1296" s="35" t="b">
        <v>0</v>
      </c>
      <c r="O1296" s="35" t="b">
        <v>0</v>
      </c>
      <c r="P1296" s="35" t="b">
        <v>0</v>
      </c>
      <c r="Q1296" s="35" t="b">
        <v>0</v>
      </c>
      <c r="R1296" s="14"/>
      <c r="S1296" s="14"/>
      <c r="T1296" s="14"/>
      <c r="U1296" s="14"/>
      <c r="V1296" s="14"/>
      <c r="W1296" s="14"/>
    </row>
    <row r="1297" ht="31.5" customHeight="1">
      <c r="A1297" s="109" t="s">
        <v>14542</v>
      </c>
      <c r="B1297" s="110" t="s">
        <v>14543</v>
      </c>
      <c r="C1297" s="111" t="s">
        <v>14544</v>
      </c>
      <c r="D1297" s="28" t="s">
        <v>14545</v>
      </c>
      <c r="E1297" s="28" t="str">
        <f>IFERROR(__xludf.DUMMYFUNCTION("GOOGLETRANSLATE(D1297,""zh-CN"",""vi"")"),"Mẫu này rất được ưa chuộng.")</f>
        <v>Mẫu này rất được ưa chuộng.</v>
      </c>
      <c r="F1297" s="137"/>
      <c r="G1297" s="36" t="b">
        <f t="shared" si="1"/>
        <v>0</v>
      </c>
      <c r="H1297" s="35" t="b">
        <v>1</v>
      </c>
      <c r="I1297" s="35" t="b">
        <v>0</v>
      </c>
      <c r="J1297" s="35" t="b">
        <v>0</v>
      </c>
      <c r="K1297" s="35" t="b">
        <v>0</v>
      </c>
      <c r="L1297" s="35" t="b">
        <v>0</v>
      </c>
      <c r="M1297" s="35" t="b">
        <v>0</v>
      </c>
      <c r="N1297" s="35" t="b">
        <v>0</v>
      </c>
      <c r="O1297" s="35" t="b">
        <v>0</v>
      </c>
      <c r="P1297" s="35" t="b">
        <v>0</v>
      </c>
      <c r="Q1297" s="35" t="b">
        <v>0</v>
      </c>
      <c r="R1297" s="14"/>
      <c r="S1297" s="14"/>
      <c r="T1297" s="14"/>
      <c r="U1297" s="14"/>
      <c r="V1297" s="14"/>
      <c r="W1297" s="14"/>
    </row>
    <row r="1298" ht="31.5" customHeight="1">
      <c r="A1298" s="109" t="s">
        <v>14550</v>
      </c>
      <c r="B1298" s="110" t="s">
        <v>14551</v>
      </c>
      <c r="C1298" s="111" t="s">
        <v>14552</v>
      </c>
      <c r="D1298" s="28" t="s">
        <v>14553</v>
      </c>
      <c r="E1298" s="28" t="str">
        <f>IFERROR(__xludf.DUMMYFUNCTION("GOOGLETRANSLATE(D1298,""zh-CN"",""vi"")"),"Màn trình diễn ảo thuật của anh ấy thật tuyệt vời.")</f>
        <v>Màn trình diễn ảo thuật của anh ấy thật tuyệt vời.</v>
      </c>
      <c r="F1298" s="137"/>
      <c r="G1298" s="36" t="b">
        <f t="shared" si="1"/>
        <v>0</v>
      </c>
      <c r="H1298" s="35" t="b">
        <v>1</v>
      </c>
      <c r="I1298" s="35" t="b">
        <v>0</v>
      </c>
      <c r="J1298" s="35" t="b">
        <v>0</v>
      </c>
      <c r="K1298" s="35" t="b">
        <v>0</v>
      </c>
      <c r="L1298" s="35" t="b">
        <v>0</v>
      </c>
      <c r="M1298" s="35" t="b">
        <v>0</v>
      </c>
      <c r="N1298" s="35" t="b">
        <v>0</v>
      </c>
      <c r="O1298" s="35" t="b">
        <v>0</v>
      </c>
      <c r="P1298" s="35" t="b">
        <v>0</v>
      </c>
      <c r="Q1298" s="35" t="b">
        <v>0</v>
      </c>
      <c r="R1298" s="14"/>
      <c r="S1298" s="14"/>
      <c r="T1298" s="14"/>
      <c r="U1298" s="14"/>
      <c r="V1298" s="14"/>
      <c r="W1298" s="14"/>
    </row>
    <row r="1299" ht="31.5" customHeight="1">
      <c r="A1299" s="109" t="s">
        <v>14558</v>
      </c>
      <c r="B1299" s="110" t="s">
        <v>14559</v>
      </c>
      <c r="C1299" s="111" t="s">
        <v>14560</v>
      </c>
      <c r="D1299" s="28" t="s">
        <v>14561</v>
      </c>
      <c r="E1299" s="28" t="str">
        <f>IFERROR(__xludf.DUMMYFUNCTION("GOOGLETRANSLATE(D1299,""zh-CN"",""vi"")"),"Mô hình này rất chân thực.")</f>
        <v>Mô hình này rất chân thực.</v>
      </c>
      <c r="F1299" s="137"/>
      <c r="G1299" s="36" t="b">
        <f t="shared" si="1"/>
        <v>0</v>
      </c>
      <c r="H1299" s="35" t="b">
        <v>1</v>
      </c>
      <c r="I1299" s="35" t="b">
        <v>0</v>
      </c>
      <c r="J1299" s="35" t="b">
        <v>0</v>
      </c>
      <c r="K1299" s="35" t="b">
        <v>0</v>
      </c>
      <c r="L1299" s="35" t="b">
        <v>0</v>
      </c>
      <c r="M1299" s="35" t="b">
        <v>0</v>
      </c>
      <c r="N1299" s="35" t="b">
        <v>0</v>
      </c>
      <c r="O1299" s="35" t="b">
        <v>0</v>
      </c>
      <c r="P1299" s="35" t="b">
        <v>0</v>
      </c>
      <c r="Q1299" s="35" t="b">
        <v>0</v>
      </c>
      <c r="R1299" s="14"/>
      <c r="S1299" s="14"/>
      <c r="T1299" s="14"/>
      <c r="U1299" s="14"/>
      <c r="V1299" s="14"/>
      <c r="W1299" s="14"/>
    </row>
    <row r="1300" ht="31.5" customHeight="1">
      <c r="A1300" s="109" t="s">
        <v>14564</v>
      </c>
      <c r="B1300" s="110" t="s">
        <v>14566</v>
      </c>
      <c r="C1300" s="111" t="s">
        <v>14568</v>
      </c>
      <c r="D1300" s="28" t="s">
        <v>14569</v>
      </c>
      <c r="E1300" s="28" t="str">
        <f>IFERROR(__xludf.DUMMYFUNCTION("GOOGLETRANSLATE(D1300,""zh-CN"",""vi"")"),"Họ đã cố gắng tiêu hủy bằng chứng.")</f>
        <v>Họ đã cố gắng tiêu hủy bằng chứng.</v>
      </c>
      <c r="F1300" s="137"/>
      <c r="G1300" s="36" t="b">
        <f t="shared" si="1"/>
        <v>0</v>
      </c>
      <c r="H1300" s="35" t="b">
        <v>1</v>
      </c>
      <c r="I1300" s="35" t="b">
        <v>0</v>
      </c>
      <c r="J1300" s="35" t="b">
        <v>0</v>
      </c>
      <c r="K1300" s="35" t="b">
        <v>0</v>
      </c>
      <c r="L1300" s="35" t="b">
        <v>0</v>
      </c>
      <c r="M1300" s="35" t="b">
        <v>0</v>
      </c>
      <c r="N1300" s="35" t="b">
        <v>0</v>
      </c>
      <c r="O1300" s="35" t="b">
        <v>0</v>
      </c>
      <c r="P1300" s="35" t="b">
        <v>0</v>
      </c>
      <c r="Q1300" s="35" t="b">
        <v>0</v>
      </c>
      <c r="R1300" s="14"/>
      <c r="S1300" s="14"/>
      <c r="T1300" s="14"/>
      <c r="U1300" s="14"/>
      <c r="V1300" s="14"/>
      <c r="W1300" s="14"/>
    </row>
    <row r="1301" ht="31.5" customHeight="1">
      <c r="A1301" s="109" t="s">
        <v>14570</v>
      </c>
      <c r="B1301" s="110" t="s">
        <v>14571</v>
      </c>
      <c r="C1301" s="111" t="s">
        <v>14572</v>
      </c>
      <c r="D1301" s="28" t="s">
        <v>14573</v>
      </c>
      <c r="E1301" s="28" t="str">
        <f>IFERROR(__xludf.DUMMYFUNCTION("GOOGLETRANSLATE(D1301,""zh-CN"",""vi"")"),"Anh ta đột nhiên bật cười mà không rõ lý do.")</f>
        <v>Anh ta đột nhiên bật cười mà không rõ lý do.</v>
      </c>
      <c r="F1301" s="137"/>
      <c r="G1301" s="36" t="b">
        <f t="shared" si="1"/>
        <v>0</v>
      </c>
      <c r="H1301" s="35" t="b">
        <v>1</v>
      </c>
      <c r="I1301" s="35" t="b">
        <v>0</v>
      </c>
      <c r="J1301" s="35" t="b">
        <v>0</v>
      </c>
      <c r="K1301" s="35" t="b">
        <v>0</v>
      </c>
      <c r="L1301" s="35" t="b">
        <v>0</v>
      </c>
      <c r="M1301" s="35" t="b">
        <v>0</v>
      </c>
      <c r="N1301" s="35" t="b">
        <v>0</v>
      </c>
      <c r="O1301" s="35" t="b">
        <v>0</v>
      </c>
      <c r="P1301" s="35" t="b">
        <v>0</v>
      </c>
      <c r="Q1301" s="35" t="b">
        <v>0</v>
      </c>
      <c r="R1301" s="14"/>
      <c r="S1301" s="14"/>
      <c r="T1301" s="14"/>
      <c r="U1301" s="14"/>
      <c r="V1301" s="14"/>
      <c r="W1301" s="14"/>
    </row>
    <row r="1302" ht="31.5" customHeight="1">
      <c r="A1302" s="109" t="s">
        <v>14578</v>
      </c>
      <c r="B1302" s="110" t="s">
        <v>14579</v>
      </c>
      <c r="C1302" s="111" t="s">
        <v>14580</v>
      </c>
      <c r="D1302" s="28" t="s">
        <v>14581</v>
      </c>
      <c r="E1302" s="28" t="str">
        <f>IFERROR(__xludf.DUMMYFUNCTION("GOOGLETRANSLATE(D1302,""zh-CN"",""vi"")"),"Anh ta lặng lẽ rời khỏi phòng.")</f>
        <v>Anh ta lặng lẽ rời khỏi phòng.</v>
      </c>
      <c r="F1302" s="137"/>
      <c r="G1302" s="36" t="b">
        <f t="shared" si="1"/>
        <v>0</v>
      </c>
      <c r="H1302" s="35" t="b">
        <v>1</v>
      </c>
      <c r="I1302" s="35" t="b">
        <v>0</v>
      </c>
      <c r="J1302" s="35" t="b">
        <v>0</v>
      </c>
      <c r="K1302" s="35" t="b">
        <v>0</v>
      </c>
      <c r="L1302" s="35" t="b">
        <v>0</v>
      </c>
      <c r="M1302" s="35" t="b">
        <v>0</v>
      </c>
      <c r="N1302" s="35" t="b">
        <v>0</v>
      </c>
      <c r="O1302" s="35" t="b">
        <v>0</v>
      </c>
      <c r="P1302" s="35" t="b">
        <v>0</v>
      </c>
      <c r="Q1302" s="35" t="b">
        <v>0</v>
      </c>
      <c r="R1302" s="14"/>
      <c r="S1302" s="14"/>
      <c r="T1302" s="14"/>
      <c r="U1302" s="14"/>
      <c r="V1302" s="14"/>
      <c r="W1302" s="14"/>
    </row>
    <row r="1303" ht="31.5" customHeight="1">
      <c r="A1303" s="109" t="s">
        <v>14585</v>
      </c>
      <c r="B1303" s="110" t="s">
        <v>14586</v>
      </c>
      <c r="C1303" s="111" t="s">
        <v>14587</v>
      </c>
      <c r="D1303" s="28" t="s">
        <v>14588</v>
      </c>
      <c r="E1303" s="28" t="str">
        <f>IFERROR(__xludf.DUMMYFUNCTION("GOOGLETRANSLATE(D1303,""zh-CN"",""vi"")"),"Lọ mực này rất đắt tiền.")</f>
        <v>Lọ mực này rất đắt tiền.</v>
      </c>
      <c r="F1303" s="137"/>
      <c r="G1303" s="36" t="b">
        <f t="shared" si="1"/>
        <v>0</v>
      </c>
      <c r="H1303" s="35" t="b">
        <v>1</v>
      </c>
      <c r="I1303" s="35" t="b">
        <v>0</v>
      </c>
      <c r="J1303" s="35" t="b">
        <v>0</v>
      </c>
      <c r="K1303" s="35" t="b">
        <v>0</v>
      </c>
      <c r="L1303" s="35" t="b">
        <v>0</v>
      </c>
      <c r="M1303" s="35" t="b">
        <v>0</v>
      </c>
      <c r="N1303" s="35" t="b">
        <v>0</v>
      </c>
      <c r="O1303" s="35" t="b">
        <v>0</v>
      </c>
      <c r="P1303" s="35" t="b">
        <v>0</v>
      </c>
      <c r="Q1303" s="35" t="b">
        <v>0</v>
      </c>
      <c r="R1303" s="14"/>
      <c r="S1303" s="14"/>
      <c r="T1303" s="14"/>
      <c r="U1303" s="14"/>
      <c r="V1303" s="14"/>
      <c r="W1303" s="14"/>
    </row>
    <row r="1304" ht="31.5" customHeight="1">
      <c r="A1304" s="109" t="s">
        <v>14591</v>
      </c>
      <c r="B1304" s="110" t="s">
        <v>14592</v>
      </c>
      <c r="C1304" s="111" t="s">
        <v>14594</v>
      </c>
      <c r="D1304" s="28" t="s">
        <v>14596</v>
      </c>
      <c r="E1304" s="28" t="str">
        <f>IFERROR(__xludf.DUMMYFUNCTION("GOOGLETRANSLATE(D1304,""zh-CN"",""vi"")"),"Anh ấy đang tìm kiếm những cơ hội việc làm mới.")</f>
        <v>Anh ấy đang tìm kiếm những cơ hội việc làm mới.</v>
      </c>
      <c r="F1304" s="137"/>
      <c r="G1304" s="36" t="b">
        <f t="shared" si="1"/>
        <v>0</v>
      </c>
      <c r="H1304" s="35" t="b">
        <v>1</v>
      </c>
      <c r="I1304" s="35" t="b">
        <v>0</v>
      </c>
      <c r="J1304" s="35" t="b">
        <v>0</v>
      </c>
      <c r="K1304" s="35" t="b">
        <v>0</v>
      </c>
      <c r="L1304" s="35" t="b">
        <v>0</v>
      </c>
      <c r="M1304" s="35" t="b">
        <v>0</v>
      </c>
      <c r="N1304" s="35" t="b">
        <v>0</v>
      </c>
      <c r="O1304" s="35" t="b">
        <v>0</v>
      </c>
      <c r="P1304" s="35" t="b">
        <v>0</v>
      </c>
      <c r="Q1304" s="35" t="b">
        <v>0</v>
      </c>
      <c r="R1304" s="14"/>
      <c r="S1304" s="14"/>
      <c r="T1304" s="14"/>
      <c r="U1304" s="14"/>
      <c r="V1304" s="14"/>
      <c r="W1304" s="14"/>
    </row>
    <row r="1305" ht="31.5" customHeight="1">
      <c r="A1305" s="109" t="s">
        <v>14597</v>
      </c>
      <c r="B1305" s="110" t="s">
        <v>14598</v>
      </c>
      <c r="C1305" s="111" t="s">
        <v>14599</v>
      </c>
      <c r="D1305" s="28" t="s">
        <v>14600</v>
      </c>
      <c r="E1305" s="28" t="str">
        <f>IFERROR(__xludf.DUMMYFUNCTION("GOOGLETRANSLATE(D1305,""zh-CN"",""vi"")"),"Cô ấy rất giống mẹ mình.")</f>
        <v>Cô ấy rất giống mẹ mình.</v>
      </c>
      <c r="F1305" s="137"/>
      <c r="G1305" s="36" t="b">
        <f t="shared" si="1"/>
        <v>0</v>
      </c>
      <c r="H1305" s="35" t="b">
        <v>1</v>
      </c>
      <c r="I1305" s="35" t="b">
        <v>0</v>
      </c>
      <c r="J1305" s="35" t="b">
        <v>0</v>
      </c>
      <c r="K1305" s="35" t="b">
        <v>0</v>
      </c>
      <c r="L1305" s="35" t="b">
        <v>0</v>
      </c>
      <c r="M1305" s="35" t="b">
        <v>0</v>
      </c>
      <c r="N1305" s="35" t="b">
        <v>0</v>
      </c>
      <c r="O1305" s="35" t="b">
        <v>0</v>
      </c>
      <c r="P1305" s="35" t="b">
        <v>0</v>
      </c>
      <c r="Q1305" s="35" t="b">
        <v>0</v>
      </c>
      <c r="R1305" s="14"/>
      <c r="S1305" s="14"/>
      <c r="T1305" s="14"/>
      <c r="U1305" s="14"/>
      <c r="V1305" s="14"/>
      <c r="W1305" s="14"/>
    </row>
    <row r="1306" ht="31.5" customHeight="1">
      <c r="A1306" s="109" t="s">
        <v>14605</v>
      </c>
      <c r="B1306" s="110" t="s">
        <v>14606</v>
      </c>
      <c r="C1306" s="111" t="s">
        <v>14607</v>
      </c>
      <c r="D1306" s="28" t="s">
        <v>14608</v>
      </c>
      <c r="E1306" s="28" t="str">
        <f>IFERROR(__xludf.DUMMYFUNCTION("GOOGLETRANSLATE(D1306,""zh-CN"",""vi"")"),"Tiếng mẹ đẻ của anh ấy là tiếng Anh.")</f>
        <v>Tiếng mẹ đẻ của anh ấy là tiếng Anh.</v>
      </c>
      <c r="F1306" s="137"/>
      <c r="G1306" s="36" t="b">
        <f t="shared" si="1"/>
        <v>0</v>
      </c>
      <c r="H1306" s="35" t="b">
        <v>1</v>
      </c>
      <c r="I1306" s="35" t="b">
        <v>0</v>
      </c>
      <c r="J1306" s="35" t="b">
        <v>0</v>
      </c>
      <c r="K1306" s="35" t="b">
        <v>0</v>
      </c>
      <c r="L1306" s="35" t="b">
        <v>0</v>
      </c>
      <c r="M1306" s="35" t="b">
        <v>0</v>
      </c>
      <c r="N1306" s="35" t="b">
        <v>0</v>
      </c>
      <c r="O1306" s="35" t="b">
        <v>0</v>
      </c>
      <c r="P1306" s="35" t="b">
        <v>0</v>
      </c>
      <c r="Q1306" s="35" t="b">
        <v>0</v>
      </c>
      <c r="R1306" s="14"/>
      <c r="S1306" s="14"/>
      <c r="T1306" s="14"/>
      <c r="U1306" s="14"/>
      <c r="V1306" s="14"/>
      <c r="W1306" s="14"/>
    </row>
    <row r="1307" ht="31.5" customHeight="1">
      <c r="A1307" s="109" t="s">
        <v>14613</v>
      </c>
      <c r="B1307" s="110" t="s">
        <v>14614</v>
      </c>
      <c r="C1307" s="111" t="s">
        <v>14615</v>
      </c>
      <c r="D1307" s="28" t="s">
        <v>14616</v>
      </c>
      <c r="E1307" s="28" t="str">
        <f>IFERROR(__xludf.DUMMYFUNCTION("GOOGLETRANSLATE(D1307,""zh-CN"",""vi"")"),"Tôi đã tận mắt chứng kiến ​​vụ tai nạn.")</f>
        <v>Tôi đã tận mắt chứng kiến ​​vụ tai nạn.</v>
      </c>
      <c r="F1307" s="137"/>
      <c r="G1307" s="36" t="b">
        <f t="shared" si="1"/>
        <v>0</v>
      </c>
      <c r="H1307" s="35" t="b">
        <v>1</v>
      </c>
      <c r="I1307" s="35" t="b">
        <v>0</v>
      </c>
      <c r="J1307" s="35" t="b">
        <v>0</v>
      </c>
      <c r="K1307" s="35" t="b">
        <v>0</v>
      </c>
      <c r="L1307" s="35" t="b">
        <v>0</v>
      </c>
      <c r="M1307" s="35" t="b">
        <v>0</v>
      </c>
      <c r="N1307" s="35" t="b">
        <v>0</v>
      </c>
      <c r="O1307" s="35" t="b">
        <v>0</v>
      </c>
      <c r="P1307" s="35" t="b">
        <v>0</v>
      </c>
      <c r="Q1307" s="35" t="b">
        <v>0</v>
      </c>
      <c r="R1307" s="14"/>
      <c r="S1307" s="14"/>
      <c r="T1307" s="14"/>
      <c r="U1307" s="14"/>
      <c r="V1307" s="14"/>
      <c r="W1307" s="14"/>
    </row>
    <row r="1308" ht="31.5" customHeight="1">
      <c r="A1308" s="109" t="s">
        <v>14618</v>
      </c>
      <c r="B1308" s="110" t="s">
        <v>14619</v>
      </c>
      <c r="C1308" s="111" t="s">
        <v>14621</v>
      </c>
      <c r="D1308" s="28" t="s">
        <v>14623</v>
      </c>
      <c r="E1308" s="28" t="str">
        <f>IFERROR(__xludf.DUMMYFUNCTION("GOOGLETRANSLATE(D1308,""zh-CN"",""vi"")"),"Ông nhìn về phía trước với quyết tâm không lay chuyển.")</f>
        <v>Ông nhìn về phía trước với quyết tâm không lay chuyển.</v>
      </c>
      <c r="F1308" s="137"/>
      <c r="G1308" s="36" t="b">
        <f t="shared" si="1"/>
        <v>0</v>
      </c>
      <c r="H1308" s="35" t="b">
        <v>1</v>
      </c>
      <c r="I1308" s="35" t="b">
        <v>0</v>
      </c>
      <c r="J1308" s="35" t="b">
        <v>0</v>
      </c>
      <c r="K1308" s="35" t="b">
        <v>0</v>
      </c>
      <c r="L1308" s="35" t="b">
        <v>0</v>
      </c>
      <c r="M1308" s="35" t="b">
        <v>0</v>
      </c>
      <c r="N1308" s="35" t="b">
        <v>0</v>
      </c>
      <c r="O1308" s="35" t="b">
        <v>0</v>
      </c>
      <c r="P1308" s="35" t="b">
        <v>0</v>
      </c>
      <c r="Q1308" s="35" t="b">
        <v>0</v>
      </c>
      <c r="R1308" s="14"/>
      <c r="S1308" s="14"/>
      <c r="T1308" s="14"/>
      <c r="U1308" s="14"/>
      <c r="V1308" s="14"/>
      <c r="W1308" s="14"/>
    </row>
    <row r="1309" ht="31.5" customHeight="1">
      <c r="A1309" s="109" t="s">
        <v>14625</v>
      </c>
      <c r="B1309" s="110" t="s">
        <v>14626</v>
      </c>
      <c r="C1309" s="111" t="s">
        <v>14627</v>
      </c>
      <c r="D1309" s="28" t="s">
        <v>14628</v>
      </c>
      <c r="E1309" s="28" t="str">
        <f>IFERROR(__xludf.DUMMYFUNCTION("GOOGLETRANSLATE(D1309,""zh-CN"",""vi"")"),"Anh ấy thích tắm mình trong ánh nắng mặt trời buổi sáng.")</f>
        <v>Anh ấy thích tắm mình trong ánh nắng mặt trời buổi sáng.</v>
      </c>
      <c r="F1309" s="137"/>
      <c r="G1309" s="36" t="b">
        <f t="shared" si="1"/>
        <v>0</v>
      </c>
      <c r="H1309" s="35" t="b">
        <v>1</v>
      </c>
      <c r="I1309" s="35" t="b">
        <v>0</v>
      </c>
      <c r="J1309" s="35" t="b">
        <v>0</v>
      </c>
      <c r="K1309" s="35" t="b">
        <v>0</v>
      </c>
      <c r="L1309" s="35" t="b">
        <v>0</v>
      </c>
      <c r="M1309" s="35" t="b">
        <v>0</v>
      </c>
      <c r="N1309" s="35" t="b">
        <v>0</v>
      </c>
      <c r="O1309" s="35" t="b">
        <v>0</v>
      </c>
      <c r="P1309" s="35" t="b">
        <v>0</v>
      </c>
      <c r="Q1309" s="35" t="b">
        <v>0</v>
      </c>
      <c r="R1309" s="14"/>
      <c r="S1309" s="14"/>
      <c r="T1309" s="14"/>
      <c r="U1309" s="14"/>
      <c r="V1309" s="14"/>
      <c r="W1309" s="14"/>
    </row>
    <row r="1310" ht="31.5" customHeight="1">
      <c r="A1310" s="109" t="s">
        <v>14633</v>
      </c>
      <c r="B1310" s="110" t="s">
        <v>14634</v>
      </c>
      <c r="C1310" s="111" t="s">
        <v>14635</v>
      </c>
      <c r="D1310" s="28" t="s">
        <v>14636</v>
      </c>
      <c r="E1310" s="28" t="str">
        <f>IFERROR(__xludf.DUMMYFUNCTION("GOOGLETRANSLATE(D1310,""zh-CN"",""vi"")"),"Cô ấy làm bánh rất giỏi.")</f>
        <v>Cô ấy làm bánh rất giỏi.</v>
      </c>
      <c r="F1310" s="137"/>
      <c r="G1310" s="36" t="b">
        <f t="shared" si="1"/>
        <v>0</v>
      </c>
      <c r="H1310" s="35" t="b">
        <v>1</v>
      </c>
      <c r="I1310" s="35" t="b">
        <v>0</v>
      </c>
      <c r="J1310" s="35" t="b">
        <v>0</v>
      </c>
      <c r="K1310" s="35" t="b">
        <v>0</v>
      </c>
      <c r="L1310" s="35" t="b">
        <v>0</v>
      </c>
      <c r="M1310" s="35" t="b">
        <v>0</v>
      </c>
      <c r="N1310" s="35" t="b">
        <v>0</v>
      </c>
      <c r="O1310" s="35" t="b">
        <v>0</v>
      </c>
      <c r="P1310" s="35" t="b">
        <v>0</v>
      </c>
      <c r="Q1310" s="35" t="b">
        <v>0</v>
      </c>
      <c r="R1310" s="14"/>
      <c r="S1310" s="14"/>
      <c r="T1310" s="14"/>
      <c r="U1310" s="14"/>
      <c r="V1310" s="14"/>
      <c r="W1310" s="14"/>
    </row>
    <row r="1311" ht="31.5" customHeight="1">
      <c r="A1311" s="109" t="s">
        <v>14641</v>
      </c>
      <c r="B1311" s="110" t="s">
        <v>14642</v>
      </c>
      <c r="C1311" s="111" t="s">
        <v>14643</v>
      </c>
      <c r="D1311" s="28" t="s">
        <v>14644</v>
      </c>
      <c r="E1311" s="28" t="str">
        <f>IFERROR(__xludf.DUMMYFUNCTION("GOOGLETRANSLATE(D1311,""zh-CN"",""vi"")"),"Anh ấy hơi bối rối.")</f>
        <v>Anh ấy hơi bối rối.</v>
      </c>
      <c r="F1311" s="137"/>
      <c r="G1311" s="36" t="b">
        <f t="shared" si="1"/>
        <v>0</v>
      </c>
      <c r="H1311" s="35" t="b">
        <v>1</v>
      </c>
      <c r="I1311" s="35" t="b">
        <v>0</v>
      </c>
      <c r="J1311" s="35" t="b">
        <v>0</v>
      </c>
      <c r="K1311" s="35" t="b">
        <v>0</v>
      </c>
      <c r="L1311" s="35" t="b">
        <v>0</v>
      </c>
      <c r="M1311" s="35" t="b">
        <v>0</v>
      </c>
      <c r="N1311" s="35" t="b">
        <v>0</v>
      </c>
      <c r="O1311" s="35" t="b">
        <v>0</v>
      </c>
      <c r="P1311" s="35" t="b">
        <v>0</v>
      </c>
      <c r="Q1311" s="35" t="b">
        <v>0</v>
      </c>
      <c r="R1311" s="14"/>
      <c r="S1311" s="14"/>
      <c r="T1311" s="14"/>
      <c r="U1311" s="14"/>
      <c r="V1311" s="14"/>
      <c r="W1311" s="14"/>
    </row>
    <row r="1312" ht="31.5" customHeight="1">
      <c r="A1312" s="109" t="s">
        <v>14649</v>
      </c>
      <c r="B1312" s="110" t="s">
        <v>14650</v>
      </c>
      <c r="C1312" s="111" t="s">
        <v>14651</v>
      </c>
      <c r="D1312" s="28" t="s">
        <v>14652</v>
      </c>
      <c r="E1312" s="28" t="str">
        <f>IFERROR(__xludf.DUMMYFUNCTION("GOOGLETRANSLATE(D1312,""zh-CN"",""vi"")"),"Chất liệu này rất bền.")</f>
        <v>Chất liệu này rất bền.</v>
      </c>
      <c r="F1312" s="137"/>
      <c r="G1312" s="36" t="b">
        <f t="shared" si="1"/>
        <v>0</v>
      </c>
      <c r="H1312" s="35" t="b">
        <v>1</v>
      </c>
      <c r="I1312" s="35" t="b">
        <v>0</v>
      </c>
      <c r="J1312" s="35" t="b">
        <v>0</v>
      </c>
      <c r="K1312" s="35" t="b">
        <v>0</v>
      </c>
      <c r="L1312" s="35" t="b">
        <v>0</v>
      </c>
      <c r="M1312" s="35" t="b">
        <v>0</v>
      </c>
      <c r="N1312" s="35" t="b">
        <v>0</v>
      </c>
      <c r="O1312" s="35" t="b">
        <v>0</v>
      </c>
      <c r="P1312" s="35" t="b">
        <v>0</v>
      </c>
      <c r="Q1312" s="35" t="b">
        <v>0</v>
      </c>
      <c r="R1312" s="14"/>
      <c r="S1312" s="14"/>
      <c r="T1312" s="14"/>
      <c r="U1312" s="14"/>
      <c r="V1312" s="14"/>
      <c r="W1312" s="14"/>
    </row>
    <row r="1313" ht="31.5" customHeight="1">
      <c r="A1313" s="109" t="s">
        <v>14655</v>
      </c>
      <c r="B1313" s="110" t="s">
        <v>14657</v>
      </c>
      <c r="C1313" s="111" t="s">
        <v>14659</v>
      </c>
      <c r="D1313" s="28" t="s">
        <v>14660</v>
      </c>
      <c r="E1313" s="28" t="str">
        <f>IFERROR(__xludf.DUMMYFUNCTION("GOOGLETRANSLATE(D1313,""zh-CN"",""vi"")"),"Anh ấy hiếm khi về nhà.")</f>
        <v>Anh ấy hiếm khi về nhà.</v>
      </c>
      <c r="F1313" s="137"/>
      <c r="G1313" s="36" t="b">
        <f t="shared" si="1"/>
        <v>0</v>
      </c>
      <c r="H1313" s="35" t="b">
        <v>1</v>
      </c>
      <c r="I1313" s="35" t="b">
        <v>0</v>
      </c>
      <c r="J1313" s="35" t="b">
        <v>0</v>
      </c>
      <c r="K1313" s="35" t="b">
        <v>0</v>
      </c>
      <c r="L1313" s="35" t="b">
        <v>0</v>
      </c>
      <c r="M1313" s="35" t="b">
        <v>0</v>
      </c>
      <c r="N1313" s="35" t="b">
        <v>0</v>
      </c>
      <c r="O1313" s="35" t="b">
        <v>0</v>
      </c>
      <c r="P1313" s="35" t="b">
        <v>0</v>
      </c>
      <c r="Q1313" s="35" t="b">
        <v>0</v>
      </c>
      <c r="R1313" s="14"/>
      <c r="S1313" s="14"/>
      <c r="T1313" s="14"/>
      <c r="U1313" s="14"/>
      <c r="V1313" s="14"/>
      <c r="W1313" s="14"/>
    </row>
    <row r="1314" ht="31.5" customHeight="1">
      <c r="A1314" s="109" t="s">
        <v>14662</v>
      </c>
      <c r="B1314" s="110" t="s">
        <v>14664</v>
      </c>
      <c r="C1314" s="111" t="s">
        <v>14665</v>
      </c>
      <c r="D1314" s="28" t="s">
        <v>14667</v>
      </c>
      <c r="E1314" s="28" t="str">
        <f>IFERROR(__xludf.DUMMYFUNCTION("GOOGLETRANSLATE(D1314,""zh-CN"",""vi"")"),"Hành vi của anh ta thật đáng xấu hổ.")</f>
        <v>Hành vi của anh ta thật đáng xấu hổ.</v>
      </c>
      <c r="F1314" s="137"/>
      <c r="G1314" s="36" t="b">
        <f t="shared" si="1"/>
        <v>0</v>
      </c>
      <c r="H1314" s="35" t="b">
        <v>1</v>
      </c>
      <c r="I1314" s="35" t="b">
        <v>0</v>
      </c>
      <c r="J1314" s="35" t="b">
        <v>0</v>
      </c>
      <c r="K1314" s="35" t="b">
        <v>0</v>
      </c>
      <c r="L1314" s="35" t="b">
        <v>0</v>
      </c>
      <c r="M1314" s="35" t="b">
        <v>0</v>
      </c>
      <c r="N1314" s="35" t="b">
        <v>0</v>
      </c>
      <c r="O1314" s="35" t="b">
        <v>0</v>
      </c>
      <c r="P1314" s="35" t="b">
        <v>0</v>
      </c>
      <c r="Q1314" s="35" t="b">
        <v>0</v>
      </c>
      <c r="R1314" s="14"/>
      <c r="S1314" s="14"/>
      <c r="T1314" s="14"/>
      <c r="U1314" s="14"/>
      <c r="V1314" s="14"/>
      <c r="W1314" s="14"/>
    </row>
    <row r="1315" ht="31.5" customHeight="1">
      <c r="A1315" s="109" t="s">
        <v>9304</v>
      </c>
      <c r="B1315" s="110" t="s">
        <v>14670</v>
      </c>
      <c r="C1315" s="111" t="s">
        <v>14672</v>
      </c>
      <c r="D1315" s="28" t="s">
        <v>14674</v>
      </c>
      <c r="E1315" s="28" t="str">
        <f>IFERROR(__xludf.DUMMYFUNCTION("GOOGLETRANSLATE(D1315,""zh-CN"",""vi"")"),"Việc mắc lỗi là điều không thể tránh khỏi.")</f>
        <v>Việc mắc lỗi là điều không thể tránh khỏi.</v>
      </c>
      <c r="F1315" s="137"/>
      <c r="G1315" s="36" t="b">
        <f t="shared" si="1"/>
        <v>0</v>
      </c>
      <c r="H1315" s="35" t="b">
        <v>1</v>
      </c>
      <c r="I1315" s="35" t="b">
        <v>0</v>
      </c>
      <c r="J1315" s="35" t="b">
        <v>0</v>
      </c>
      <c r="K1315" s="35" t="b">
        <v>0</v>
      </c>
      <c r="L1315" s="35" t="b">
        <v>0</v>
      </c>
      <c r="M1315" s="35" t="b">
        <v>0</v>
      </c>
      <c r="N1315" s="35" t="b">
        <v>0</v>
      </c>
      <c r="O1315" s="35" t="b">
        <v>0</v>
      </c>
      <c r="P1315" s="35" t="b">
        <v>0</v>
      </c>
      <c r="Q1315" s="35" t="b">
        <v>0</v>
      </c>
      <c r="R1315" s="14"/>
      <c r="S1315" s="14"/>
      <c r="T1315" s="14"/>
      <c r="U1315" s="14"/>
      <c r="V1315" s="14"/>
      <c r="W1315" s="14"/>
    </row>
    <row r="1316" ht="31.5" customHeight="1">
      <c r="A1316" s="109" t="s">
        <v>14675</v>
      </c>
      <c r="B1316" s="110" t="s">
        <v>14676</v>
      </c>
      <c r="C1316" s="111" t="s">
        <v>14677</v>
      </c>
      <c r="D1316" s="28" t="s">
        <v>14678</v>
      </c>
      <c r="E1316" s="28" t="str">
        <f>IFERROR(__xludf.DUMMYFUNCTION("GOOGLETRANSLATE(D1316,""zh-CN"",""vi"")"),"Những thành tựu của ông trong lĩnh vực này thực sự đáng nể.")</f>
        <v>Những thành tựu của ông trong lĩnh vực này thực sự đáng nể.</v>
      </c>
      <c r="F1316" s="137"/>
      <c r="G1316" s="36" t="b">
        <f t="shared" si="1"/>
        <v>0</v>
      </c>
      <c r="H1316" s="35" t="b">
        <v>1</v>
      </c>
      <c r="I1316" s="35" t="b">
        <v>0</v>
      </c>
      <c r="J1316" s="35" t="b">
        <v>0</v>
      </c>
      <c r="K1316" s="35" t="b">
        <v>0</v>
      </c>
      <c r="L1316" s="35" t="b">
        <v>0</v>
      </c>
      <c r="M1316" s="35" t="b">
        <v>0</v>
      </c>
      <c r="N1316" s="35" t="b">
        <v>0</v>
      </c>
      <c r="O1316" s="35" t="b">
        <v>0</v>
      </c>
      <c r="P1316" s="35" t="b">
        <v>0</v>
      </c>
      <c r="Q1316" s="35" t="b">
        <v>0</v>
      </c>
      <c r="R1316" s="14"/>
      <c r="S1316" s="14"/>
      <c r="T1316" s="14"/>
      <c r="U1316" s="14"/>
      <c r="V1316" s="14"/>
      <c r="W1316" s="14"/>
    </row>
    <row r="1317" ht="31.5" customHeight="1">
      <c r="A1317" s="109" t="s">
        <v>14682</v>
      </c>
      <c r="B1317" s="110" t="s">
        <v>14683</v>
      </c>
      <c r="C1317" s="111" t="s">
        <v>14684</v>
      </c>
      <c r="D1317" s="28" t="s">
        <v>14685</v>
      </c>
      <c r="E1317" s="28" t="str">
        <f>IFERROR(__xludf.DUMMYFUNCTION("GOOGLETRANSLATE(D1317,""zh-CN"",""vi"")"),"Anh ấy rất khó chịu về điều này.")</f>
        <v>Anh ấy rất khó chịu về điều này.</v>
      </c>
      <c r="F1317" s="137"/>
      <c r="G1317" s="36" t="b">
        <f t="shared" si="1"/>
        <v>0</v>
      </c>
      <c r="H1317" s="35" t="b">
        <v>1</v>
      </c>
      <c r="I1317" s="35" t="b">
        <v>0</v>
      </c>
      <c r="J1317" s="35" t="b">
        <v>0</v>
      </c>
      <c r="K1317" s="35" t="b">
        <v>0</v>
      </c>
      <c r="L1317" s="35" t="b">
        <v>0</v>
      </c>
      <c r="M1317" s="35" t="b">
        <v>0</v>
      </c>
      <c r="N1317" s="35" t="b">
        <v>0</v>
      </c>
      <c r="O1317" s="35" t="b">
        <v>0</v>
      </c>
      <c r="P1317" s="35" t="b">
        <v>0</v>
      </c>
      <c r="Q1317" s="35" t="b">
        <v>0</v>
      </c>
      <c r="R1317" s="14"/>
      <c r="S1317" s="14"/>
      <c r="T1317" s="14"/>
      <c r="U1317" s="14"/>
      <c r="V1317" s="14"/>
      <c r="W1317" s="14"/>
    </row>
    <row r="1318" ht="31.5" customHeight="1">
      <c r="A1318" s="109" t="s">
        <v>14690</v>
      </c>
      <c r="B1318" s="110" t="s">
        <v>14691</v>
      </c>
      <c r="C1318" s="111" t="s">
        <v>14692</v>
      </c>
      <c r="D1318" s="28" t="s">
        <v>14693</v>
      </c>
      <c r="E1318" s="28" t="str">
        <f>IFERROR(__xludf.DUMMYFUNCTION("GOOGLETRANSLATE(D1318,""zh-CN"",""vi"")"),"Cuốn sách này mang ý nghĩa sâu sắc.")</f>
        <v>Cuốn sách này mang ý nghĩa sâu sắc.</v>
      </c>
      <c r="F1318" s="137"/>
      <c r="G1318" s="36" t="b">
        <f t="shared" si="1"/>
        <v>0</v>
      </c>
      <c r="H1318" s="35" t="b">
        <v>1</v>
      </c>
      <c r="I1318" s="35" t="b">
        <v>0</v>
      </c>
      <c r="J1318" s="35" t="b">
        <v>0</v>
      </c>
      <c r="K1318" s="35" t="b">
        <v>0</v>
      </c>
      <c r="L1318" s="35" t="b">
        <v>0</v>
      </c>
      <c r="M1318" s="35" t="b">
        <v>0</v>
      </c>
      <c r="N1318" s="35" t="b">
        <v>0</v>
      </c>
      <c r="O1318" s="35" t="b">
        <v>0</v>
      </c>
      <c r="P1318" s="35" t="b">
        <v>0</v>
      </c>
      <c r="Q1318" s="35" t="b">
        <v>0</v>
      </c>
      <c r="R1318" s="14"/>
      <c r="S1318" s="14"/>
      <c r="T1318" s="14"/>
      <c r="U1318" s="14"/>
      <c r="V1318" s="14"/>
      <c r="W1318" s="14"/>
    </row>
    <row r="1319" ht="31.5" customHeight="1">
      <c r="A1319" s="109" t="s">
        <v>14694</v>
      </c>
      <c r="B1319" s="110" t="s">
        <v>14695</v>
      </c>
      <c r="C1319" s="111" t="s">
        <v>14696</v>
      </c>
      <c r="D1319" s="28" t="s">
        <v>14697</v>
      </c>
      <c r="E1319" s="28" t="str">
        <f>IFERROR(__xludf.DUMMYFUNCTION("GOOGLETRANSLATE(D1319,""zh-CN"",""vi"")"),"Tôi không biết rõ câu chuyện bên trong vụ này.")</f>
        <v>Tôi không biết rõ câu chuyện bên trong vụ này.</v>
      </c>
      <c r="F1319" s="137"/>
      <c r="G1319" s="36" t="b">
        <f t="shared" si="1"/>
        <v>0</v>
      </c>
      <c r="H1319" s="35" t="b">
        <v>1</v>
      </c>
      <c r="I1319" s="35" t="b">
        <v>0</v>
      </c>
      <c r="J1319" s="35" t="b">
        <v>0</v>
      </c>
      <c r="K1319" s="35" t="b">
        <v>0</v>
      </c>
      <c r="L1319" s="35" t="b">
        <v>0</v>
      </c>
      <c r="M1319" s="35" t="b">
        <v>0</v>
      </c>
      <c r="N1319" s="35" t="b">
        <v>0</v>
      </c>
      <c r="O1319" s="35" t="b">
        <v>0</v>
      </c>
      <c r="P1319" s="35" t="b">
        <v>0</v>
      </c>
      <c r="Q1319" s="35" t="b">
        <v>0</v>
      </c>
      <c r="R1319" s="14"/>
      <c r="S1319" s="14"/>
      <c r="T1319" s="14"/>
      <c r="U1319" s="14"/>
      <c r="V1319" s="14"/>
      <c r="W1319" s="14"/>
    </row>
    <row r="1320" ht="31.5" customHeight="1">
      <c r="A1320" s="109" t="s">
        <v>14702</v>
      </c>
      <c r="B1320" s="110" t="s">
        <v>14703</v>
      </c>
      <c r="C1320" s="111" t="s">
        <v>14704</v>
      </c>
      <c r="D1320" s="28" t="s">
        <v>14705</v>
      </c>
      <c r="E1320" s="28" t="str">
        <f>IFERROR(__xludf.DUMMYFUNCTION("GOOGLETRANSLATE(D1320,""zh-CN"",""vi"")"),"Cô ấy sở hữu vẻ đẹp nội tâm dồi dào.")</f>
        <v>Cô ấy sở hữu vẻ đẹp nội tâm dồi dào.</v>
      </c>
      <c r="F1320" s="137"/>
      <c r="G1320" s="36" t="b">
        <f t="shared" si="1"/>
        <v>0</v>
      </c>
      <c r="H1320" s="35" t="b">
        <v>1</v>
      </c>
      <c r="I1320" s="35" t="b">
        <v>0</v>
      </c>
      <c r="J1320" s="35" t="b">
        <v>0</v>
      </c>
      <c r="K1320" s="35" t="b">
        <v>0</v>
      </c>
      <c r="L1320" s="35" t="b">
        <v>0</v>
      </c>
      <c r="M1320" s="35" t="b">
        <v>0</v>
      </c>
      <c r="N1320" s="35" t="b">
        <v>0</v>
      </c>
      <c r="O1320" s="35" t="b">
        <v>0</v>
      </c>
      <c r="P1320" s="35" t="b">
        <v>0</v>
      </c>
      <c r="Q1320" s="35" t="b">
        <v>0</v>
      </c>
      <c r="R1320" s="14"/>
      <c r="S1320" s="14"/>
      <c r="T1320" s="14"/>
      <c r="U1320" s="14"/>
      <c r="V1320" s="14"/>
      <c r="W1320" s="14"/>
    </row>
    <row r="1321" ht="31.5" customHeight="1">
      <c r="A1321" s="109" t="s">
        <v>14710</v>
      </c>
      <c r="B1321" s="110" t="s">
        <v>14711</v>
      </c>
      <c r="C1321" s="111" t="s">
        <v>14712</v>
      </c>
      <c r="D1321" s="28" t="s">
        <v>14713</v>
      </c>
      <c r="E1321" s="28" t="str">
        <f>IFERROR(__xludf.DUMMYFUNCTION("GOOGLETRANSLATE(D1321,""zh-CN"",""vi"")"),"Ánh sáng mặt trời cung cấp năng lượng cho chúng ta.")</f>
        <v>Ánh sáng mặt trời cung cấp năng lượng cho chúng ta.</v>
      </c>
      <c r="F1321" s="137"/>
      <c r="G1321" s="36" t="b">
        <f t="shared" si="1"/>
        <v>0</v>
      </c>
      <c r="H1321" s="35" t="b">
        <v>1</v>
      </c>
      <c r="I1321" s="35" t="b">
        <v>0</v>
      </c>
      <c r="J1321" s="35" t="b">
        <v>0</v>
      </c>
      <c r="K1321" s="35" t="b">
        <v>0</v>
      </c>
      <c r="L1321" s="35" t="b">
        <v>0</v>
      </c>
      <c r="M1321" s="35" t="b">
        <v>0</v>
      </c>
      <c r="N1321" s="35" t="b">
        <v>0</v>
      </c>
      <c r="O1321" s="35" t="b">
        <v>0</v>
      </c>
      <c r="P1321" s="35" t="b">
        <v>0</v>
      </c>
      <c r="Q1321" s="35" t="b">
        <v>0</v>
      </c>
      <c r="R1321" s="14"/>
      <c r="S1321" s="14"/>
      <c r="T1321" s="14"/>
      <c r="U1321" s="14"/>
      <c r="V1321" s="14"/>
      <c r="W1321" s="14"/>
    </row>
    <row r="1322" ht="31.5" customHeight="1">
      <c r="A1322" s="109" t="s">
        <v>9363</v>
      </c>
      <c r="B1322" s="110" t="s">
        <v>14716</v>
      </c>
      <c r="C1322" s="111" t="s">
        <v>14718</v>
      </c>
      <c r="D1322" s="28" t="s">
        <v>9366</v>
      </c>
      <c r="E1322" s="28" t="str">
        <f>IFERROR(__xludf.DUMMYFUNCTION("GOOGLETRANSLATE(D1322,""zh-CN"",""vi"")"),"Được rồi, tôi hiểu rồi.")</f>
        <v>Được rồi, tôi hiểu rồi.</v>
      </c>
      <c r="F1322" s="137"/>
      <c r="G1322" s="36" t="b">
        <f t="shared" si="1"/>
        <v>0</v>
      </c>
      <c r="H1322" s="35" t="b">
        <v>1</v>
      </c>
      <c r="I1322" s="35" t="b">
        <v>0</v>
      </c>
      <c r="J1322" s="35" t="b">
        <v>0</v>
      </c>
      <c r="K1322" s="35" t="b">
        <v>0</v>
      </c>
      <c r="L1322" s="35" t="b">
        <v>0</v>
      </c>
      <c r="M1322" s="35" t="b">
        <v>0</v>
      </c>
      <c r="N1322" s="35" t="b">
        <v>0</v>
      </c>
      <c r="O1322" s="35" t="b">
        <v>0</v>
      </c>
      <c r="P1322" s="35" t="b">
        <v>0</v>
      </c>
      <c r="Q1322" s="35" t="b">
        <v>0</v>
      </c>
      <c r="R1322" s="14"/>
      <c r="S1322" s="14"/>
      <c r="T1322" s="14"/>
      <c r="U1322" s="14"/>
      <c r="V1322" s="14"/>
      <c r="W1322" s="14"/>
    </row>
    <row r="1323" ht="31.5" customHeight="1">
      <c r="A1323" s="109" t="s">
        <v>14720</v>
      </c>
      <c r="B1323" s="110" t="s">
        <v>14721</v>
      </c>
      <c r="C1323" s="111" t="s">
        <v>14722</v>
      </c>
      <c r="D1323" s="28" t="s">
        <v>14723</v>
      </c>
      <c r="E1323" s="28" t="str">
        <f>IFERROR(__xludf.DUMMYFUNCTION("GOOGLETRANSLATE(D1323,""zh-CN"",""vi"")"),"Họ đang soạn thảo một kế hoạch mới.")</f>
        <v>Họ đang soạn thảo một kế hoạch mới.</v>
      </c>
      <c r="F1323" s="137"/>
      <c r="G1323" s="36" t="b">
        <f t="shared" si="1"/>
        <v>0</v>
      </c>
      <c r="H1323" s="35" t="b">
        <v>1</v>
      </c>
      <c r="I1323" s="35" t="b">
        <v>0</v>
      </c>
      <c r="J1323" s="35" t="b">
        <v>0</v>
      </c>
      <c r="K1323" s="35" t="b">
        <v>0</v>
      </c>
      <c r="L1323" s="35" t="b">
        <v>0</v>
      </c>
      <c r="M1323" s="35" t="b">
        <v>0</v>
      </c>
      <c r="N1323" s="35" t="b">
        <v>0</v>
      </c>
      <c r="O1323" s="35" t="b">
        <v>0</v>
      </c>
      <c r="P1323" s="35" t="b">
        <v>0</v>
      </c>
      <c r="Q1323" s="35" t="b">
        <v>0</v>
      </c>
      <c r="R1323" s="14"/>
      <c r="S1323" s="14"/>
      <c r="T1323" s="14"/>
      <c r="U1323" s="14"/>
      <c r="V1323" s="14"/>
      <c r="W1323" s="14"/>
    </row>
    <row r="1324" ht="31.5" customHeight="1">
      <c r="A1324" s="109" t="s">
        <v>14728</v>
      </c>
      <c r="B1324" s="110" t="s">
        <v>14729</v>
      </c>
      <c r="C1324" s="111" t="s">
        <v>14730</v>
      </c>
      <c r="D1324" s="28" t="s">
        <v>14731</v>
      </c>
      <c r="E1324" s="28" t="str">
        <f>IFERROR(__xludf.DUMMYFUNCTION("GOOGLETRANSLATE(D1324,""zh-CN"",""vi"")"),"Báo cáo thường niên của chúng tôi rất chi tiết.")</f>
        <v>Báo cáo thường niên của chúng tôi rất chi tiết.</v>
      </c>
      <c r="F1324" s="137"/>
      <c r="G1324" s="36" t="b">
        <f t="shared" si="1"/>
        <v>0</v>
      </c>
      <c r="H1324" s="35" t="b">
        <v>1</v>
      </c>
      <c r="I1324" s="35" t="b">
        <v>0</v>
      </c>
      <c r="J1324" s="35" t="b">
        <v>0</v>
      </c>
      <c r="K1324" s="35" t="b">
        <v>0</v>
      </c>
      <c r="L1324" s="35" t="b">
        <v>0</v>
      </c>
      <c r="M1324" s="35" t="b">
        <v>0</v>
      </c>
      <c r="N1324" s="35" t="b">
        <v>0</v>
      </c>
      <c r="O1324" s="35" t="b">
        <v>0</v>
      </c>
      <c r="P1324" s="35" t="b">
        <v>0</v>
      </c>
      <c r="Q1324" s="35" t="b">
        <v>0</v>
      </c>
      <c r="R1324" s="14"/>
      <c r="S1324" s="14"/>
      <c r="T1324" s="14"/>
      <c r="U1324" s="14"/>
      <c r="V1324" s="14"/>
      <c r="W1324" s="14"/>
    </row>
    <row r="1325" ht="31.5" customHeight="1">
      <c r="A1325" s="109" t="s">
        <v>14734</v>
      </c>
      <c r="B1325" s="110" t="s">
        <v>14736</v>
      </c>
      <c r="C1325" s="111" t="s">
        <v>14737</v>
      </c>
      <c r="D1325" s="28" t="s">
        <v>14739</v>
      </c>
      <c r="E1325" s="28" t="str">
        <f>IFERROR(__xludf.DUMMYFUNCTION("GOOGLETRANSLATE(D1325,""zh-CN"",""vi"")"),"Cô véo má anh.")</f>
        <v>Cô véo má anh.</v>
      </c>
      <c r="F1325" s="137"/>
      <c r="G1325" s="36" t="b">
        <f t="shared" si="1"/>
        <v>0</v>
      </c>
      <c r="H1325" s="35" t="b">
        <v>1</v>
      </c>
      <c r="I1325" s="35" t="b">
        <v>0</v>
      </c>
      <c r="J1325" s="35" t="b">
        <v>0</v>
      </c>
      <c r="K1325" s="35" t="b">
        <v>0</v>
      </c>
      <c r="L1325" s="35" t="b">
        <v>0</v>
      </c>
      <c r="M1325" s="35" t="b">
        <v>0</v>
      </c>
      <c r="N1325" s="35" t="b">
        <v>0</v>
      </c>
      <c r="O1325" s="35" t="b">
        <v>0</v>
      </c>
      <c r="P1325" s="35" t="b">
        <v>0</v>
      </c>
      <c r="Q1325" s="35" t="b">
        <v>0</v>
      </c>
      <c r="R1325" s="14"/>
      <c r="S1325" s="14"/>
      <c r="T1325" s="14"/>
      <c r="U1325" s="14"/>
      <c r="V1325" s="14"/>
      <c r="W1325" s="14"/>
    </row>
    <row r="1326" ht="31.5" customHeight="1">
      <c r="A1326" s="109" t="s">
        <v>14740</v>
      </c>
      <c r="B1326" s="110" t="s">
        <v>14741</v>
      </c>
      <c r="C1326" s="111" t="s">
        <v>14742</v>
      </c>
      <c r="D1326" s="28" t="s">
        <v>14743</v>
      </c>
      <c r="E1326" s="28" t="str">
        <f>IFERROR(__xludf.DUMMYFUNCTION("GOOGLETRANSLATE(D1326,""zh-CN"",""vi"")"),"Anh ta bật vòi nước.")</f>
        <v>Anh ta bật vòi nước.</v>
      </c>
      <c r="F1326" s="137"/>
      <c r="G1326" s="36" t="b">
        <f t="shared" si="1"/>
        <v>0</v>
      </c>
      <c r="H1326" s="35" t="b">
        <v>1</v>
      </c>
      <c r="I1326" s="35" t="b">
        <v>0</v>
      </c>
      <c r="J1326" s="35" t="b">
        <v>0</v>
      </c>
      <c r="K1326" s="35" t="b">
        <v>0</v>
      </c>
      <c r="L1326" s="35" t="b">
        <v>0</v>
      </c>
      <c r="M1326" s="35" t="b">
        <v>0</v>
      </c>
      <c r="N1326" s="35" t="b">
        <v>0</v>
      </c>
      <c r="O1326" s="35" t="b">
        <v>0</v>
      </c>
      <c r="P1326" s="35" t="b">
        <v>0</v>
      </c>
      <c r="Q1326" s="35" t="b">
        <v>0</v>
      </c>
      <c r="R1326" s="14"/>
      <c r="S1326" s="14"/>
      <c r="T1326" s="14"/>
      <c r="U1326" s="14"/>
      <c r="V1326" s="14"/>
      <c r="W1326" s="14"/>
    </row>
    <row r="1327" ht="31.5" customHeight="1">
      <c r="A1327" s="109" t="s">
        <v>14746</v>
      </c>
      <c r="B1327" s="110" t="s">
        <v>14747</v>
      </c>
      <c r="C1327" s="111" t="s">
        <v>14748</v>
      </c>
      <c r="D1327" s="28" t="s">
        <v>14749</v>
      </c>
      <c r="E1327" s="28" t="str">
        <f>IFERROR(__xludf.DUMMYFUNCTION("GOOGLETRANSLATE(D1327,""zh-CN"",""vi"")"),"Nước sẽ đóng băng khi trời lạnh.")</f>
        <v>Nước sẽ đóng băng khi trời lạnh.</v>
      </c>
      <c r="F1327" s="137"/>
      <c r="G1327" s="36" t="b">
        <f t="shared" si="1"/>
        <v>0</v>
      </c>
      <c r="H1327" s="35" t="b">
        <v>1</v>
      </c>
      <c r="I1327" s="35" t="b">
        <v>0</v>
      </c>
      <c r="J1327" s="35" t="b">
        <v>0</v>
      </c>
      <c r="K1327" s="35" t="b">
        <v>0</v>
      </c>
      <c r="L1327" s="35" t="b">
        <v>0</v>
      </c>
      <c r="M1327" s="35" t="b">
        <v>0</v>
      </c>
      <c r="N1327" s="35" t="b">
        <v>0</v>
      </c>
      <c r="O1327" s="35" t="b">
        <v>0</v>
      </c>
      <c r="P1327" s="35" t="b">
        <v>0</v>
      </c>
      <c r="Q1327" s="35" t="b">
        <v>0</v>
      </c>
      <c r="R1327" s="14"/>
      <c r="S1327" s="14"/>
      <c r="T1327" s="14"/>
      <c r="U1327" s="14"/>
      <c r="V1327" s="14"/>
      <c r="W1327" s="14"/>
    </row>
    <row r="1328" ht="31.5" customHeight="1">
      <c r="A1328" s="109" t="s">
        <v>14754</v>
      </c>
      <c r="B1328" s="110" t="s">
        <v>14755</v>
      </c>
      <c r="C1328" s="111" t="s">
        <v>14756</v>
      </c>
      <c r="D1328" s="28" t="s">
        <v>14757</v>
      </c>
      <c r="E1328" s="28" t="str">
        <f>IFERROR(__xludf.DUMMYFUNCTION("GOOGLETRANSLATE(D1328,""zh-CN"",""vi"")"),"Hơi nước ngưng tụ thành những giọt nước nhỏ li ti.")</f>
        <v>Hơi nước ngưng tụ thành những giọt nước nhỏ li ti.</v>
      </c>
      <c r="F1328" s="137"/>
      <c r="G1328" s="36" t="b">
        <f t="shared" si="1"/>
        <v>0</v>
      </c>
      <c r="H1328" s="35" t="b">
        <v>1</v>
      </c>
      <c r="I1328" s="35" t="b">
        <v>0</v>
      </c>
      <c r="J1328" s="35" t="b">
        <v>0</v>
      </c>
      <c r="K1328" s="35" t="b">
        <v>0</v>
      </c>
      <c r="L1328" s="35" t="b">
        <v>0</v>
      </c>
      <c r="M1328" s="35" t="b">
        <v>0</v>
      </c>
      <c r="N1328" s="35" t="b">
        <v>0</v>
      </c>
      <c r="O1328" s="35" t="b">
        <v>0</v>
      </c>
      <c r="P1328" s="35" t="b">
        <v>0</v>
      </c>
      <c r="Q1328" s="35" t="b">
        <v>0</v>
      </c>
      <c r="R1328" s="14"/>
      <c r="S1328" s="14"/>
      <c r="T1328" s="14"/>
      <c r="U1328" s="14"/>
      <c r="V1328" s="14"/>
      <c r="W1328" s="14"/>
    </row>
    <row r="1329" ht="31.5" customHeight="1">
      <c r="A1329" s="109" t="s">
        <v>14760</v>
      </c>
      <c r="B1329" s="110" t="s">
        <v>14762</v>
      </c>
      <c r="C1329" s="111" t="s">
        <v>14763</v>
      </c>
      <c r="D1329" s="28" t="s">
        <v>14764</v>
      </c>
      <c r="E1329" s="28" t="str">
        <f>IFERROR(__xludf.DUMMYFUNCTION("GOOGLETRANSLATE(D1329,""zh-CN"",""vi"")"),"Cô ấy ngắm nhìn những ngọn núi ở phía xa.")</f>
        <v>Cô ấy ngắm nhìn những ngọn núi ở phía xa.</v>
      </c>
      <c r="F1329" s="137"/>
      <c r="G1329" s="36" t="b">
        <f t="shared" si="1"/>
        <v>0</v>
      </c>
      <c r="H1329" s="35" t="b">
        <v>1</v>
      </c>
      <c r="I1329" s="35" t="b">
        <v>0</v>
      </c>
      <c r="J1329" s="35" t="b">
        <v>0</v>
      </c>
      <c r="K1329" s="35" t="b">
        <v>0</v>
      </c>
      <c r="L1329" s="35" t="b">
        <v>0</v>
      </c>
      <c r="M1329" s="35" t="b">
        <v>0</v>
      </c>
      <c r="N1329" s="35" t="b">
        <v>0</v>
      </c>
      <c r="O1329" s="35" t="b">
        <v>0</v>
      </c>
      <c r="P1329" s="35" t="b">
        <v>0</v>
      </c>
      <c r="Q1329" s="35" t="b">
        <v>0</v>
      </c>
      <c r="R1329" s="14"/>
      <c r="S1329" s="14"/>
      <c r="T1329" s="14"/>
      <c r="U1329" s="14"/>
      <c r="V1329" s="14"/>
      <c r="W1329" s="14"/>
    </row>
    <row r="1330" ht="31.5" customHeight="1">
      <c r="A1330" s="109" t="s">
        <v>14767</v>
      </c>
      <c r="B1330" s="110" t="s">
        <v>14768</v>
      </c>
      <c r="C1330" s="111" t="s">
        <v>14770</v>
      </c>
      <c r="D1330" s="28" t="s">
        <v>14772</v>
      </c>
      <c r="E1330" s="28" t="str">
        <f>IFERROR(__xludf.DUMMYFUNCTION("GOOGLETRANSLATE(D1330,""zh-CN"",""vi"")"),"Tôi thích tự mình giải quyết vấn đề hơn.")</f>
        <v>Tôi thích tự mình giải quyết vấn đề hơn.</v>
      </c>
      <c r="F1330" s="137"/>
      <c r="G1330" s="36" t="b">
        <f t="shared" si="1"/>
        <v>0</v>
      </c>
      <c r="H1330" s="35" t="b">
        <v>1</v>
      </c>
      <c r="I1330" s="35" t="b">
        <v>0</v>
      </c>
      <c r="J1330" s="35" t="b">
        <v>0</v>
      </c>
      <c r="K1330" s="35" t="b">
        <v>0</v>
      </c>
      <c r="L1330" s="35" t="b">
        <v>0</v>
      </c>
      <c r="M1330" s="35" t="b">
        <v>0</v>
      </c>
      <c r="N1330" s="35" t="b">
        <v>0</v>
      </c>
      <c r="O1330" s="35" t="b">
        <v>0</v>
      </c>
      <c r="P1330" s="35" t="b">
        <v>0</v>
      </c>
      <c r="Q1330" s="35" t="b">
        <v>0</v>
      </c>
      <c r="R1330" s="14"/>
      <c r="S1330" s="14"/>
      <c r="T1330" s="14"/>
      <c r="U1330" s="14"/>
      <c r="V1330" s="14"/>
      <c r="W1330" s="14"/>
    </row>
    <row r="1331" ht="31.5" customHeight="1">
      <c r="A1331" s="109" t="s">
        <v>14774</v>
      </c>
      <c r="B1331" s="110" t="s">
        <v>14776</v>
      </c>
      <c r="C1331" s="111" t="s">
        <v>14778</v>
      </c>
      <c r="D1331" s="28" t="s">
        <v>14780</v>
      </c>
      <c r="E1331" s="28" t="str">
        <f>IFERROR(__xludf.DUMMYFUNCTION("GOOGLETRANSLATE(D1331,""zh-CN"",""vi"")"),"Anh ta thà bỏ cuộc còn hơn là tiếp tục.")</f>
        <v>Anh ta thà bỏ cuộc còn hơn là tiếp tục.</v>
      </c>
      <c r="F1331" s="137"/>
      <c r="G1331" s="36" t="b">
        <f t="shared" si="1"/>
        <v>0</v>
      </c>
      <c r="H1331" s="35" t="b">
        <v>1</v>
      </c>
      <c r="I1331" s="35" t="b">
        <v>0</v>
      </c>
      <c r="J1331" s="35" t="b">
        <v>0</v>
      </c>
      <c r="K1331" s="35" t="b">
        <v>0</v>
      </c>
      <c r="L1331" s="35" t="b">
        <v>0</v>
      </c>
      <c r="M1331" s="35" t="b">
        <v>0</v>
      </c>
      <c r="N1331" s="35" t="b">
        <v>0</v>
      </c>
      <c r="O1331" s="35" t="b">
        <v>0</v>
      </c>
      <c r="P1331" s="35" t="b">
        <v>0</v>
      </c>
      <c r="Q1331" s="35" t="b">
        <v>0</v>
      </c>
      <c r="R1331" s="14"/>
      <c r="S1331" s="14"/>
      <c r="T1331" s="14"/>
      <c r="U1331" s="14"/>
      <c r="V1331" s="14"/>
      <c r="W1331" s="14"/>
    </row>
    <row r="1332" ht="31.5" customHeight="1">
      <c r="A1332" s="109" t="s">
        <v>14781</v>
      </c>
      <c r="B1332" s="110" t="s">
        <v>14782</v>
      </c>
      <c r="C1332" s="111" t="s">
        <v>14783</v>
      </c>
      <c r="D1332" s="28" t="s">
        <v>14784</v>
      </c>
      <c r="E1332" s="28" t="str">
        <f>IFERROR(__xludf.DUMMYFUNCTION("GOOGLETRANSLATE(D1332,""zh-CN"",""vi"")"),"Cúc áo của anh ấy bị rơi ra.")</f>
        <v>Cúc áo của anh ấy bị rơi ra.</v>
      </c>
      <c r="F1332" s="137"/>
      <c r="G1332" s="36" t="b">
        <f t="shared" si="1"/>
        <v>0</v>
      </c>
      <c r="H1332" s="35" t="b">
        <v>1</v>
      </c>
      <c r="I1332" s="35" t="b">
        <v>0</v>
      </c>
      <c r="J1332" s="35" t="b">
        <v>0</v>
      </c>
      <c r="K1332" s="35" t="b">
        <v>0</v>
      </c>
      <c r="L1332" s="35" t="b">
        <v>0</v>
      </c>
      <c r="M1332" s="35" t="b">
        <v>0</v>
      </c>
      <c r="N1332" s="35" t="b">
        <v>0</v>
      </c>
      <c r="O1332" s="35" t="b">
        <v>0</v>
      </c>
      <c r="P1332" s="35" t="b">
        <v>0</v>
      </c>
      <c r="Q1332" s="35" t="b">
        <v>0</v>
      </c>
      <c r="R1332" s="14"/>
      <c r="S1332" s="14"/>
      <c r="T1332" s="14"/>
      <c r="U1332" s="14"/>
      <c r="V1332" s="14"/>
      <c r="W1332" s="14"/>
    </row>
    <row r="1333" ht="31.5" customHeight="1">
      <c r="A1333" s="109" t="s">
        <v>14785</v>
      </c>
      <c r="B1333" s="110" t="s">
        <v>14786</v>
      </c>
      <c r="C1333" s="111" t="s">
        <v>14787</v>
      </c>
      <c r="D1333" s="28" t="s">
        <v>14788</v>
      </c>
      <c r="E1333" s="28" t="str">
        <f>IFERROR(__xludf.DUMMYFUNCTION("GOOGLETRANSLATE(D1333,""zh-CN"",""vi"")"),"Họ đang cố gắng xoay chuyển tình thế.")</f>
        <v>Họ đang cố gắng xoay chuyển tình thế.</v>
      </c>
      <c r="F1333" s="137"/>
      <c r="G1333" s="36" t="b">
        <f t="shared" si="1"/>
        <v>0</v>
      </c>
      <c r="H1333" s="35" t="b">
        <v>1</v>
      </c>
      <c r="I1333" s="35" t="b">
        <v>0</v>
      </c>
      <c r="J1333" s="35" t="b">
        <v>0</v>
      </c>
      <c r="K1333" s="35" t="b">
        <v>0</v>
      </c>
      <c r="L1333" s="35" t="b">
        <v>0</v>
      </c>
      <c r="M1333" s="35" t="b">
        <v>0</v>
      </c>
      <c r="N1333" s="35" t="b">
        <v>0</v>
      </c>
      <c r="O1333" s="35" t="b">
        <v>0</v>
      </c>
      <c r="P1333" s="35" t="b">
        <v>0</v>
      </c>
      <c r="Q1333" s="35" t="b">
        <v>0</v>
      </c>
      <c r="R1333" s="14"/>
      <c r="S1333" s="14"/>
      <c r="T1333" s="14"/>
      <c r="U1333" s="14"/>
      <c r="V1333" s="14"/>
      <c r="W1333" s="14"/>
    </row>
    <row r="1334" ht="31.5" customHeight="1">
      <c r="A1334" s="109" t="s">
        <v>14789</v>
      </c>
      <c r="B1334" s="110" t="s">
        <v>14790</v>
      </c>
      <c r="C1334" s="111" t="s">
        <v>14791</v>
      </c>
      <c r="D1334" s="28" t="s">
        <v>14792</v>
      </c>
      <c r="E1334" s="28" t="str">
        <f>IFERROR(__xludf.DUMMYFUNCTION("GOOGLETRANSLATE(D1334,""zh-CN"",""vi"")"),"Ông ấy rất quan tâm đến công việc này.")</f>
        <v>Ông ấy rất quan tâm đến công việc này.</v>
      </c>
      <c r="F1334" s="137"/>
      <c r="G1334" s="36" t="b">
        <f t="shared" si="1"/>
        <v>0</v>
      </c>
      <c r="H1334" s="35" t="b">
        <v>1</v>
      </c>
      <c r="I1334" s="35" t="b">
        <v>0</v>
      </c>
      <c r="J1334" s="35" t="b">
        <v>0</v>
      </c>
      <c r="K1334" s="35" t="b">
        <v>0</v>
      </c>
      <c r="L1334" s="35" t="b">
        <v>0</v>
      </c>
      <c r="M1334" s="35" t="b">
        <v>0</v>
      </c>
      <c r="N1334" s="35" t="b">
        <v>0</v>
      </c>
      <c r="O1334" s="35" t="b">
        <v>0</v>
      </c>
      <c r="P1334" s="35" t="b">
        <v>0</v>
      </c>
      <c r="Q1334" s="35" t="b">
        <v>0</v>
      </c>
      <c r="R1334" s="14"/>
      <c r="S1334" s="14"/>
      <c r="T1334" s="14"/>
      <c r="U1334" s="14"/>
      <c r="V1334" s="14"/>
      <c r="W1334" s="14"/>
    </row>
    <row r="1335" ht="31.5" customHeight="1">
      <c r="A1335" s="109" t="s">
        <v>14797</v>
      </c>
      <c r="B1335" s="110" t="s">
        <v>14798</v>
      </c>
      <c r="C1335" s="111" t="s">
        <v>14799</v>
      </c>
      <c r="D1335" s="28" t="s">
        <v>14800</v>
      </c>
      <c r="E1335" s="28" t="str">
        <f>IFERROR(__xludf.DUMMYFUNCTION("GOOGLETRANSLATE(D1335,""zh-CN"",""vi"")"),"Tết Nguyên Đán đang đến gần.")</f>
        <v>Tết Nguyên Đán đang đến gần.</v>
      </c>
      <c r="F1335" s="137"/>
      <c r="G1335" s="36" t="b">
        <f t="shared" si="1"/>
        <v>0</v>
      </c>
      <c r="H1335" s="35" t="b">
        <v>1</v>
      </c>
      <c r="I1335" s="35" t="b">
        <v>0</v>
      </c>
      <c r="J1335" s="35" t="b">
        <v>0</v>
      </c>
      <c r="K1335" s="35" t="b">
        <v>0</v>
      </c>
      <c r="L1335" s="35" t="b">
        <v>0</v>
      </c>
      <c r="M1335" s="35" t="b">
        <v>0</v>
      </c>
      <c r="N1335" s="35" t="b">
        <v>0</v>
      </c>
      <c r="O1335" s="35" t="b">
        <v>0</v>
      </c>
      <c r="P1335" s="35" t="b">
        <v>0</v>
      </c>
      <c r="Q1335" s="35" t="b">
        <v>0</v>
      </c>
      <c r="R1335" s="14"/>
      <c r="S1335" s="14"/>
      <c r="T1335" s="14"/>
      <c r="U1335" s="14"/>
      <c r="V1335" s="14"/>
      <c r="W1335" s="14"/>
    </row>
    <row r="1336" ht="31.5" customHeight="1">
      <c r="A1336" s="109" t="s">
        <v>14801</v>
      </c>
      <c r="B1336" s="110" t="s">
        <v>14803</v>
      </c>
      <c r="C1336" s="111" t="s">
        <v>14805</v>
      </c>
      <c r="D1336" s="28" t="s">
        <v>14808</v>
      </c>
      <c r="E1336" s="28" t="str">
        <f>IFERROR(__xludf.DUMMYFUNCTION("GOOGLETRANSLATE(D1336,""zh-CN"",""vi"")"),"Ông ta là chủ nô.")</f>
        <v>Ông ta là chủ nô.</v>
      </c>
      <c r="F1336" s="137"/>
      <c r="G1336" s="36" t="b">
        <f t="shared" si="1"/>
        <v>0</v>
      </c>
      <c r="H1336" s="35" t="b">
        <v>1</v>
      </c>
      <c r="I1336" s="35" t="b">
        <v>0</v>
      </c>
      <c r="J1336" s="35" t="b">
        <v>0</v>
      </c>
      <c r="K1336" s="35" t="b">
        <v>0</v>
      </c>
      <c r="L1336" s="35" t="b">
        <v>0</v>
      </c>
      <c r="M1336" s="35" t="b">
        <v>0</v>
      </c>
      <c r="N1336" s="35" t="b">
        <v>0</v>
      </c>
      <c r="O1336" s="35" t="b">
        <v>0</v>
      </c>
      <c r="P1336" s="35" t="b">
        <v>0</v>
      </c>
      <c r="Q1336" s="35" t="b">
        <v>0</v>
      </c>
      <c r="R1336" s="14"/>
      <c r="S1336" s="14"/>
      <c r="T1336" s="14"/>
      <c r="U1336" s="14"/>
      <c r="V1336" s="14"/>
      <c r="W1336" s="14"/>
    </row>
    <row r="1337" ht="31.5" customHeight="1">
      <c r="A1337" s="109" t="s">
        <v>14809</v>
      </c>
      <c r="B1337" s="110" t="s">
        <v>14810</v>
      </c>
      <c r="C1337" s="111" t="s">
        <v>14811</v>
      </c>
      <c r="D1337" s="28" t="s">
        <v>14812</v>
      </c>
      <c r="E1337" s="28" t="str">
        <f>IFERROR(__xludf.DUMMYFUNCTION("GOOGLETRANSLATE(D1337,""zh-CN"",""vi"")"),"Anh ta đẩy cái bàn ra sát cửa sổ.")</f>
        <v>Anh ta đẩy cái bàn ra sát cửa sổ.</v>
      </c>
      <c r="F1337" s="137"/>
      <c r="G1337" s="36" t="b">
        <f t="shared" si="1"/>
        <v>0</v>
      </c>
      <c r="H1337" s="35" t="b">
        <v>1</v>
      </c>
      <c r="I1337" s="35" t="b">
        <v>0</v>
      </c>
      <c r="J1337" s="35" t="b">
        <v>0</v>
      </c>
      <c r="K1337" s="35" t="b">
        <v>0</v>
      </c>
      <c r="L1337" s="35" t="b">
        <v>0</v>
      </c>
      <c r="M1337" s="35" t="b">
        <v>0</v>
      </c>
      <c r="N1337" s="35" t="b">
        <v>0</v>
      </c>
      <c r="O1337" s="35" t="b">
        <v>0</v>
      </c>
      <c r="P1337" s="35" t="b">
        <v>0</v>
      </c>
      <c r="Q1337" s="35" t="b">
        <v>0</v>
      </c>
      <c r="R1337" s="14"/>
      <c r="S1337" s="14"/>
      <c r="T1337" s="14"/>
      <c r="U1337" s="14"/>
      <c r="V1337" s="14"/>
      <c r="W1337" s="14"/>
    </row>
    <row r="1338" ht="31.5" customHeight="1">
      <c r="A1338" s="109" t="s">
        <v>14817</v>
      </c>
      <c r="B1338" s="110" t="s">
        <v>14818</v>
      </c>
      <c r="C1338" s="111" t="s">
        <v>14819</v>
      </c>
      <c r="D1338" s="28" t="s">
        <v>14820</v>
      </c>
      <c r="E1338" s="28" t="str">
        <f>IFERROR(__xludf.DUMMYFUNCTION("GOOGLETRANSLATE(D1338,""zh-CN"",""vi"")"),"Ông ta bị buộc tội ngược đãi động vật.")</f>
        <v>Ông ta bị buộc tội ngược đãi động vật.</v>
      </c>
      <c r="F1338" s="137"/>
      <c r="G1338" s="36" t="b">
        <f t="shared" si="1"/>
        <v>0</v>
      </c>
      <c r="H1338" s="35" t="b">
        <v>1</v>
      </c>
      <c r="I1338" s="35" t="b">
        <v>0</v>
      </c>
      <c r="J1338" s="35" t="b">
        <v>0</v>
      </c>
      <c r="K1338" s="35" t="b">
        <v>0</v>
      </c>
      <c r="L1338" s="35" t="b">
        <v>0</v>
      </c>
      <c r="M1338" s="35" t="b">
        <v>0</v>
      </c>
      <c r="N1338" s="35" t="b">
        <v>0</v>
      </c>
      <c r="O1338" s="35" t="b">
        <v>0</v>
      </c>
      <c r="P1338" s="35" t="b">
        <v>0</v>
      </c>
      <c r="Q1338" s="35" t="b">
        <v>0</v>
      </c>
      <c r="R1338" s="14"/>
      <c r="S1338" s="14"/>
      <c r="T1338" s="14"/>
      <c r="U1338" s="14"/>
      <c r="V1338" s="14"/>
      <c r="W1338" s="14"/>
    </row>
    <row r="1339" ht="31.5" customHeight="1">
      <c r="A1339" s="109" t="s">
        <v>14821</v>
      </c>
      <c r="B1339" s="110" t="s">
        <v>14822</v>
      </c>
      <c r="C1339" s="111" t="s">
        <v>14823</v>
      </c>
      <c r="D1339" s="28" t="s">
        <v>14824</v>
      </c>
      <c r="E1339" s="28" t="str">
        <f>IFERROR(__xludf.DUMMYFUNCTION("GOOGLETRANSLATE(D1339,""zh-CN"",""vi"")"),"À, tôi hiểu rồi.")</f>
        <v>À, tôi hiểu rồi.</v>
      </c>
      <c r="F1339" s="137"/>
      <c r="G1339" s="36" t="b">
        <f t="shared" si="1"/>
        <v>0</v>
      </c>
      <c r="H1339" s="35" t="b">
        <v>1</v>
      </c>
      <c r="I1339" s="35" t="b">
        <v>0</v>
      </c>
      <c r="J1339" s="35" t="b">
        <v>0</v>
      </c>
      <c r="K1339" s="35" t="b">
        <v>0</v>
      </c>
      <c r="L1339" s="35" t="b">
        <v>0</v>
      </c>
      <c r="M1339" s="35" t="b">
        <v>0</v>
      </c>
      <c r="N1339" s="35" t="b">
        <v>0</v>
      </c>
      <c r="O1339" s="35" t="b">
        <v>0</v>
      </c>
      <c r="P1339" s="35" t="b">
        <v>0</v>
      </c>
      <c r="Q1339" s="35" t="b">
        <v>0</v>
      </c>
      <c r="R1339" s="14"/>
      <c r="S1339" s="14"/>
      <c r="T1339" s="14"/>
      <c r="U1339" s="14"/>
      <c r="V1339" s="14"/>
      <c r="W1339" s="14"/>
    </row>
    <row r="1340" ht="31.5" customHeight="1">
      <c r="A1340" s="109" t="s">
        <v>14825</v>
      </c>
      <c r="B1340" s="110" t="s">
        <v>14826</v>
      </c>
      <c r="C1340" s="111" t="s">
        <v>14827</v>
      </c>
      <c r="D1340" s="28" t="s">
        <v>14828</v>
      </c>
      <c r="E1340" s="28" t="str">
        <f>IFERROR(__xludf.DUMMYFUNCTION("GOOGLETRANSLATE(D1340,""zh-CN"",""vi"")"),"Anh ta bị đánh đập dã man.")</f>
        <v>Anh ta bị đánh đập dã man.</v>
      </c>
      <c r="F1340" s="137"/>
      <c r="G1340" s="36" t="b">
        <f t="shared" si="1"/>
        <v>0</v>
      </c>
      <c r="H1340" s="35" t="b">
        <v>1</v>
      </c>
      <c r="I1340" s="35" t="b">
        <v>0</v>
      </c>
      <c r="J1340" s="35" t="b">
        <v>0</v>
      </c>
      <c r="K1340" s="35" t="b">
        <v>0</v>
      </c>
      <c r="L1340" s="35" t="b">
        <v>0</v>
      </c>
      <c r="M1340" s="35" t="b">
        <v>0</v>
      </c>
      <c r="N1340" s="35" t="b">
        <v>0</v>
      </c>
      <c r="O1340" s="35" t="b">
        <v>0</v>
      </c>
      <c r="P1340" s="35" t="b">
        <v>0</v>
      </c>
      <c r="Q1340" s="35" t="b">
        <v>0</v>
      </c>
      <c r="R1340" s="14"/>
      <c r="S1340" s="14"/>
      <c r="T1340" s="14"/>
      <c r="U1340" s="14"/>
      <c r="V1340" s="14"/>
      <c r="W1340" s="14"/>
    </row>
    <row r="1341" ht="31.5" customHeight="1">
      <c r="A1341" s="109" t="s">
        <v>9456</v>
      </c>
      <c r="B1341" s="110" t="s">
        <v>14829</v>
      </c>
      <c r="C1341" s="111" t="s">
        <v>14830</v>
      </c>
      <c r="D1341" s="28" t="s">
        <v>14831</v>
      </c>
      <c r="E1341" s="28" t="str">
        <f>IFERROR(__xludf.DUMMYFUNCTION("GOOGLETRANSLATE(D1341,""zh-CN"",""vi"")"),"Anh ấy dự định đi du lịch châu Âu.")</f>
        <v>Anh ấy dự định đi du lịch châu Âu.</v>
      </c>
      <c r="F1341" s="137"/>
      <c r="G1341" s="36" t="b">
        <f t="shared" si="1"/>
        <v>0</v>
      </c>
      <c r="H1341" s="35" t="b">
        <v>1</v>
      </c>
      <c r="I1341" s="35" t="b">
        <v>0</v>
      </c>
      <c r="J1341" s="35" t="b">
        <v>0</v>
      </c>
      <c r="K1341" s="35" t="b">
        <v>0</v>
      </c>
      <c r="L1341" s="35" t="b">
        <v>0</v>
      </c>
      <c r="M1341" s="35" t="b">
        <v>0</v>
      </c>
      <c r="N1341" s="35" t="b">
        <v>0</v>
      </c>
      <c r="O1341" s="35" t="b">
        <v>0</v>
      </c>
      <c r="P1341" s="35" t="b">
        <v>0</v>
      </c>
      <c r="Q1341" s="35" t="b">
        <v>0</v>
      </c>
      <c r="R1341" s="14"/>
      <c r="S1341" s="14"/>
      <c r="T1341" s="14"/>
      <c r="U1341" s="14"/>
      <c r="V1341" s="14"/>
      <c r="W1341" s="14"/>
    </row>
    <row r="1342" ht="31.5" customHeight="1">
      <c r="A1342" s="109" t="s">
        <v>14832</v>
      </c>
      <c r="B1342" s="110" t="s">
        <v>14833</v>
      </c>
      <c r="C1342" s="111" t="s">
        <v>14834</v>
      </c>
      <c r="D1342" s="28" t="s">
        <v>14835</v>
      </c>
      <c r="E1342" s="28" t="str">
        <f>IFERROR(__xludf.DUMMYFUNCTION("GOOGLETRANSLATE(D1342,""zh-CN"",""vi"")"),"Anh ấy nôn mửa sau khi ăn thức ăn không sạch.")</f>
        <v>Anh ấy nôn mửa sau khi ăn thức ăn không sạch.</v>
      </c>
      <c r="F1342" s="137"/>
      <c r="G1342" s="36" t="b">
        <f t="shared" si="1"/>
        <v>0</v>
      </c>
      <c r="H1342" s="35" t="b">
        <v>1</v>
      </c>
      <c r="I1342" s="35" t="b">
        <v>0</v>
      </c>
      <c r="J1342" s="35" t="b">
        <v>0</v>
      </c>
      <c r="K1342" s="35" t="b">
        <v>0</v>
      </c>
      <c r="L1342" s="35" t="b">
        <v>0</v>
      </c>
      <c r="M1342" s="35" t="b">
        <v>0</v>
      </c>
      <c r="N1342" s="35" t="b">
        <v>0</v>
      </c>
      <c r="O1342" s="35" t="b">
        <v>0</v>
      </c>
      <c r="P1342" s="35" t="b">
        <v>0</v>
      </c>
      <c r="Q1342" s="35" t="b">
        <v>0</v>
      </c>
      <c r="R1342" s="14"/>
      <c r="S1342" s="14"/>
      <c r="T1342" s="14"/>
      <c r="U1342" s="14"/>
      <c r="V1342" s="14"/>
      <c r="W1342" s="14"/>
    </row>
    <row r="1343" ht="31.5" customHeight="1">
      <c r="A1343" s="109" t="s">
        <v>14836</v>
      </c>
      <c r="B1343" s="110" t="s">
        <v>14837</v>
      </c>
      <c r="C1343" s="111" t="s">
        <v>14838</v>
      </c>
      <c r="D1343" s="28" t="s">
        <v>14839</v>
      </c>
      <c r="E1343" s="28" t="str">
        <f>IFERROR(__xludf.DUMMYFUNCTION("GOOGLETRANSLATE(D1343,""zh-CN"",""vi"")"),"Anh ta ngủ gục đầu trên bàn.")</f>
        <v>Anh ta ngủ gục đầu trên bàn.</v>
      </c>
      <c r="F1343" s="137"/>
      <c r="G1343" s="36" t="b">
        <f t="shared" si="1"/>
        <v>0</v>
      </c>
      <c r="H1343" s="35" t="b">
        <v>1</v>
      </c>
      <c r="I1343" s="35" t="b">
        <v>0</v>
      </c>
      <c r="J1343" s="35" t="b">
        <v>0</v>
      </c>
      <c r="K1343" s="35" t="b">
        <v>0</v>
      </c>
      <c r="L1343" s="35" t="b">
        <v>0</v>
      </c>
      <c r="M1343" s="35" t="b">
        <v>0</v>
      </c>
      <c r="N1343" s="35" t="b">
        <v>0</v>
      </c>
      <c r="O1343" s="35" t="b">
        <v>0</v>
      </c>
      <c r="P1343" s="35" t="b">
        <v>0</v>
      </c>
      <c r="Q1343" s="35" t="b">
        <v>0</v>
      </c>
      <c r="R1343" s="14"/>
      <c r="S1343" s="14"/>
      <c r="T1343" s="14"/>
      <c r="U1343" s="14"/>
      <c r="V1343" s="14"/>
      <c r="W1343" s="14"/>
    </row>
    <row r="1344" ht="31.5" customHeight="1">
      <c r="A1344" s="109" t="s">
        <v>14840</v>
      </c>
      <c r="B1344" s="110" t="s">
        <v>14841</v>
      </c>
      <c r="C1344" s="111" t="s">
        <v>14842</v>
      </c>
      <c r="D1344" s="28" t="s">
        <v>14843</v>
      </c>
      <c r="E1344" s="28" t="str">
        <f>IFERROR(__xludf.DUMMYFUNCTION("GOOGLETRANSLATE(D1344,""zh-CN"",""vi"")"),"Ông ta luôn bác bỏ những ý tưởng mới.")</f>
        <v>Ông ta luôn bác bỏ những ý tưởng mới.</v>
      </c>
      <c r="F1344" s="137"/>
      <c r="G1344" s="36" t="b">
        <f t="shared" si="1"/>
        <v>0</v>
      </c>
      <c r="H1344" s="35" t="b">
        <v>1</v>
      </c>
      <c r="I1344" s="35" t="b">
        <v>0</v>
      </c>
      <c r="J1344" s="35" t="b">
        <v>0</v>
      </c>
      <c r="K1344" s="35" t="b">
        <v>0</v>
      </c>
      <c r="L1344" s="35" t="b">
        <v>0</v>
      </c>
      <c r="M1344" s="35" t="b">
        <v>0</v>
      </c>
      <c r="N1344" s="35" t="b">
        <v>0</v>
      </c>
      <c r="O1344" s="35" t="b">
        <v>0</v>
      </c>
      <c r="P1344" s="35" t="b">
        <v>0</v>
      </c>
      <c r="Q1344" s="35" t="b">
        <v>0</v>
      </c>
      <c r="R1344" s="14"/>
      <c r="S1344" s="14"/>
      <c r="T1344" s="14"/>
      <c r="U1344" s="14"/>
      <c r="V1344" s="14"/>
      <c r="W1344" s="14"/>
    </row>
    <row r="1345" ht="31.5" customHeight="1">
      <c r="A1345" s="109" t="s">
        <v>14844</v>
      </c>
      <c r="B1345" s="110" t="s">
        <v>14845</v>
      </c>
      <c r="C1345" s="111" t="s">
        <v>14846</v>
      </c>
      <c r="D1345" s="28" t="s">
        <v>14847</v>
      </c>
      <c r="E1345" s="28" t="str">
        <f>IFERROR(__xludf.DUMMYFUNCTION("GOOGLETRANSLATE(D1345,""zh-CN"",""vi"")"),"Chúng ta phải loại bỏ mọi rủi ro có thể xảy ra.")</f>
        <v>Chúng ta phải loại bỏ mọi rủi ro có thể xảy ra.</v>
      </c>
      <c r="F1345" s="137"/>
      <c r="G1345" s="36" t="b">
        <f t="shared" si="1"/>
        <v>0</v>
      </c>
      <c r="H1345" s="35" t="b">
        <v>1</v>
      </c>
      <c r="I1345" s="35" t="b">
        <v>0</v>
      </c>
      <c r="J1345" s="35" t="b">
        <v>0</v>
      </c>
      <c r="K1345" s="35" t="b">
        <v>0</v>
      </c>
      <c r="L1345" s="35" t="b">
        <v>0</v>
      </c>
      <c r="M1345" s="35" t="b">
        <v>0</v>
      </c>
      <c r="N1345" s="35" t="b">
        <v>0</v>
      </c>
      <c r="O1345" s="35" t="b">
        <v>0</v>
      </c>
      <c r="P1345" s="35" t="b">
        <v>0</v>
      </c>
      <c r="Q1345" s="35" t="b">
        <v>0</v>
      </c>
      <c r="R1345" s="14"/>
      <c r="S1345" s="14"/>
      <c r="T1345" s="14"/>
      <c r="U1345" s="14"/>
      <c r="V1345" s="14"/>
      <c r="W1345" s="14"/>
    </row>
    <row r="1346" ht="31.5" customHeight="1">
      <c r="A1346" s="109" t="s">
        <v>14848</v>
      </c>
      <c r="B1346" s="110" t="s">
        <v>14849</v>
      </c>
      <c r="C1346" s="111" t="s">
        <v>14850</v>
      </c>
      <c r="D1346" s="28" t="s">
        <v>14851</v>
      </c>
      <c r="E1346" s="28" t="str">
        <f>IFERROR(__xludf.DUMMYFUNCTION("GOOGLETRANSLATE(D1346,""zh-CN"",""vi"")"),"Nhà máy này thải ra một lượng lớn khí thải.")</f>
        <v>Nhà máy này thải ra một lượng lớn khí thải.</v>
      </c>
      <c r="F1346" s="137"/>
      <c r="G1346" s="36" t="b">
        <f t="shared" si="1"/>
        <v>0</v>
      </c>
      <c r="H1346" s="35" t="b">
        <v>1</v>
      </c>
      <c r="I1346" s="35" t="b">
        <v>0</v>
      </c>
      <c r="J1346" s="35" t="b">
        <v>0</v>
      </c>
      <c r="K1346" s="35" t="b">
        <v>0</v>
      </c>
      <c r="L1346" s="35" t="b">
        <v>0</v>
      </c>
      <c r="M1346" s="35" t="b">
        <v>0</v>
      </c>
      <c r="N1346" s="35" t="b">
        <v>0</v>
      </c>
      <c r="O1346" s="35" t="b">
        <v>0</v>
      </c>
      <c r="P1346" s="35" t="b">
        <v>0</v>
      </c>
      <c r="Q1346" s="35" t="b">
        <v>0</v>
      </c>
      <c r="R1346" s="14"/>
      <c r="S1346" s="14"/>
      <c r="T1346" s="14"/>
      <c r="U1346" s="14"/>
      <c r="V1346" s="14"/>
      <c r="W1346" s="14"/>
    </row>
    <row r="1347" ht="31.5" customHeight="1">
      <c r="A1347" s="109" t="s">
        <v>14852</v>
      </c>
      <c r="B1347" s="110" t="s">
        <v>14853</v>
      </c>
      <c r="C1347" s="111" t="s">
        <v>14854</v>
      </c>
      <c r="D1347" s="28" t="s">
        <v>14855</v>
      </c>
      <c r="E1347" s="28" t="str">
        <f>IFERROR(__xludf.DUMMYFUNCTION("GOOGLETRANSLATE(D1347,""zh-CN"",""vi"")"),"Anh ta lang thang trên đường phố.")</f>
        <v>Anh ta lang thang trên đường phố.</v>
      </c>
      <c r="F1347" s="137"/>
      <c r="G1347" s="36" t="b">
        <f t="shared" si="1"/>
        <v>0</v>
      </c>
      <c r="H1347" s="35" t="b">
        <v>1</v>
      </c>
      <c r="I1347" s="35" t="b">
        <v>0</v>
      </c>
      <c r="J1347" s="35" t="b">
        <v>0</v>
      </c>
      <c r="K1347" s="35" t="b">
        <v>0</v>
      </c>
      <c r="L1347" s="35" t="b">
        <v>0</v>
      </c>
      <c r="M1347" s="35" t="b">
        <v>0</v>
      </c>
      <c r="N1347" s="35" t="b">
        <v>0</v>
      </c>
      <c r="O1347" s="35" t="b">
        <v>0</v>
      </c>
      <c r="P1347" s="35" t="b">
        <v>0</v>
      </c>
      <c r="Q1347" s="35" t="b">
        <v>0</v>
      </c>
      <c r="R1347" s="14"/>
      <c r="S1347" s="14"/>
      <c r="T1347" s="14"/>
      <c r="U1347" s="14"/>
      <c r="V1347" s="14"/>
      <c r="W1347" s="14"/>
    </row>
    <row r="1348" ht="31.5" customHeight="1">
      <c r="A1348" s="109" t="s">
        <v>14856</v>
      </c>
      <c r="B1348" s="110" t="s">
        <v>14857</v>
      </c>
      <c r="C1348" s="111" t="s">
        <v>14858</v>
      </c>
      <c r="D1348" s="28" t="s">
        <v>14859</v>
      </c>
      <c r="E1348" s="28" t="str">
        <f>IFERROR(__xludf.DUMMYFUNCTION("GOOGLETRANSLATE(D1348,""zh-CN"",""vi"")"),"Họ thuộc các phe phái khác nhau.")</f>
        <v>Họ thuộc các phe phái khác nhau.</v>
      </c>
      <c r="F1348" s="137"/>
      <c r="G1348" s="36" t="b">
        <f t="shared" si="1"/>
        <v>0</v>
      </c>
      <c r="H1348" s="35" t="b">
        <v>1</v>
      </c>
      <c r="I1348" s="35" t="b">
        <v>0</v>
      </c>
      <c r="J1348" s="35" t="b">
        <v>0</v>
      </c>
      <c r="K1348" s="35" t="b">
        <v>0</v>
      </c>
      <c r="L1348" s="35" t="b">
        <v>0</v>
      </c>
      <c r="M1348" s="35" t="b">
        <v>0</v>
      </c>
      <c r="N1348" s="35" t="b">
        <v>0</v>
      </c>
      <c r="O1348" s="35" t="b">
        <v>0</v>
      </c>
      <c r="P1348" s="35" t="b">
        <v>0</v>
      </c>
      <c r="Q1348" s="35" t="b">
        <v>0</v>
      </c>
      <c r="R1348" s="14"/>
      <c r="S1348" s="14"/>
      <c r="T1348" s="14"/>
      <c r="U1348" s="14"/>
      <c r="V1348" s="14"/>
      <c r="W1348" s="14"/>
    </row>
    <row r="1349" ht="31.5" customHeight="1">
      <c r="A1349" s="109" t="s">
        <v>14860</v>
      </c>
      <c r="B1349" s="110" t="s">
        <v>14861</v>
      </c>
      <c r="C1349" s="111" t="s">
        <v>14862</v>
      </c>
      <c r="D1349" s="28" t="s">
        <v>14863</v>
      </c>
      <c r="E1349" s="28" t="str">
        <f>IFERROR(__xludf.DUMMYFUNCTION("GOOGLETRANSLATE(D1349,""zh-CN"",""vi"")"),"Công ty cử anh ta đi công tác nước ngoài.")</f>
        <v>Công ty cử anh ta đi công tác nước ngoài.</v>
      </c>
      <c r="F1349" s="137"/>
      <c r="G1349" s="36" t="b">
        <f t="shared" si="1"/>
        <v>0</v>
      </c>
      <c r="H1349" s="35" t="b">
        <v>1</v>
      </c>
      <c r="I1349" s="35" t="b">
        <v>0</v>
      </c>
      <c r="J1349" s="35" t="b">
        <v>0</v>
      </c>
      <c r="K1349" s="35" t="b">
        <v>0</v>
      </c>
      <c r="L1349" s="35" t="b">
        <v>0</v>
      </c>
      <c r="M1349" s="35" t="b">
        <v>0</v>
      </c>
      <c r="N1349" s="35" t="b">
        <v>0</v>
      </c>
      <c r="O1349" s="35" t="b">
        <v>0</v>
      </c>
      <c r="P1349" s="35" t="b">
        <v>0</v>
      </c>
      <c r="Q1349" s="35" t="b">
        <v>0</v>
      </c>
      <c r="R1349" s="14"/>
      <c r="S1349" s="14"/>
      <c r="T1349" s="14"/>
      <c r="U1349" s="14"/>
      <c r="V1349" s="14"/>
      <c r="W1349" s="14"/>
    </row>
    <row r="1350" ht="31.5" customHeight="1">
      <c r="A1350" s="109" t="s">
        <v>14864</v>
      </c>
      <c r="B1350" s="110" t="s">
        <v>14865</v>
      </c>
      <c r="C1350" s="111" t="s">
        <v>14866</v>
      </c>
      <c r="D1350" s="28" t="s">
        <v>14867</v>
      </c>
      <c r="E1350" s="28" t="str">
        <f>IFERROR(__xludf.DUMMYFUNCTION("GOOGLETRANSLATE(D1350,""zh-CN"",""vi"")"),"Anh ấy thích leo núi.")</f>
        <v>Anh ấy thích leo núi.</v>
      </c>
      <c r="F1350" s="137"/>
      <c r="G1350" s="36" t="b">
        <f t="shared" si="1"/>
        <v>0</v>
      </c>
      <c r="H1350" s="35" t="b">
        <v>1</v>
      </c>
      <c r="I1350" s="35" t="b">
        <v>0</v>
      </c>
      <c r="J1350" s="35" t="b">
        <v>0</v>
      </c>
      <c r="K1350" s="35" t="b">
        <v>0</v>
      </c>
      <c r="L1350" s="35" t="b">
        <v>0</v>
      </c>
      <c r="M1350" s="35" t="b">
        <v>0</v>
      </c>
      <c r="N1350" s="35" t="b">
        <v>0</v>
      </c>
      <c r="O1350" s="35" t="b">
        <v>0</v>
      </c>
      <c r="P1350" s="35" t="b">
        <v>0</v>
      </c>
      <c r="Q1350" s="35" t="b">
        <v>0</v>
      </c>
      <c r="R1350" s="14"/>
      <c r="S1350" s="14"/>
      <c r="T1350" s="14"/>
      <c r="U1350" s="14"/>
      <c r="V1350" s="14"/>
      <c r="W1350" s="14"/>
    </row>
    <row r="1351" ht="31.5" customHeight="1">
      <c r="A1351" s="109" t="s">
        <v>14868</v>
      </c>
      <c r="B1351" s="110" t="s">
        <v>14869</v>
      </c>
      <c r="C1351" s="111" t="s">
        <v>14870</v>
      </c>
      <c r="D1351" s="28" t="s">
        <v>14871</v>
      </c>
      <c r="E1351" s="28" t="str">
        <f>IFERROR(__xludf.DUMMYFUNCTION("GOOGLETRANSLATE(D1351,""zh-CN"",""vi"")"),"Chiếc trực thăng lơ lửng trên không trung.")</f>
        <v>Chiếc trực thăng lơ lửng trên không trung.</v>
      </c>
      <c r="F1351" s="137"/>
      <c r="G1351" s="36" t="b">
        <f t="shared" si="1"/>
        <v>0</v>
      </c>
      <c r="H1351" s="35" t="b">
        <v>1</v>
      </c>
      <c r="I1351" s="35" t="b">
        <v>0</v>
      </c>
      <c r="J1351" s="35" t="b">
        <v>0</v>
      </c>
      <c r="K1351" s="35" t="b">
        <v>0</v>
      </c>
      <c r="L1351" s="35" t="b">
        <v>0</v>
      </c>
      <c r="M1351" s="35" t="b">
        <v>0</v>
      </c>
      <c r="N1351" s="35" t="b">
        <v>0</v>
      </c>
      <c r="O1351" s="35" t="b">
        <v>0</v>
      </c>
      <c r="P1351" s="35" t="b">
        <v>0</v>
      </c>
      <c r="Q1351" s="35" t="b">
        <v>0</v>
      </c>
      <c r="R1351" s="14"/>
      <c r="S1351" s="14"/>
      <c r="T1351" s="14"/>
      <c r="U1351" s="14"/>
      <c r="V1351" s="14"/>
      <c r="W1351" s="14"/>
    </row>
    <row r="1352" ht="31.5" customHeight="1">
      <c r="A1352" s="109" t="s">
        <v>14872</v>
      </c>
      <c r="B1352" s="110" t="s">
        <v>14873</v>
      </c>
      <c r="C1352" s="111" t="s">
        <v>14874</v>
      </c>
      <c r="D1352" s="28" t="s">
        <v>14875</v>
      </c>
      <c r="E1352" s="28" t="str">
        <f>IFERROR(__xludf.DUMMYFUNCTION("GOOGLETRANSLATE(D1352,""zh-CN"",""vi"")"),"Dòng suối chảy dọc sườn núi.")</f>
        <v>Dòng suối chảy dọc sườn núi.</v>
      </c>
      <c r="F1352" s="137"/>
      <c r="G1352" s="36" t="b">
        <f t="shared" si="1"/>
        <v>0</v>
      </c>
      <c r="H1352" s="35" t="b">
        <v>1</v>
      </c>
      <c r="I1352" s="35" t="b">
        <v>0</v>
      </c>
      <c r="J1352" s="35" t="b">
        <v>0</v>
      </c>
      <c r="K1352" s="35" t="b">
        <v>0</v>
      </c>
      <c r="L1352" s="35" t="b">
        <v>0</v>
      </c>
      <c r="M1352" s="35" t="b">
        <v>0</v>
      </c>
      <c r="N1352" s="35" t="b">
        <v>0</v>
      </c>
      <c r="O1352" s="35" t="b">
        <v>0</v>
      </c>
      <c r="P1352" s="35" t="b">
        <v>0</v>
      </c>
      <c r="Q1352" s="35" t="b">
        <v>0</v>
      </c>
      <c r="R1352" s="14"/>
      <c r="S1352" s="14"/>
      <c r="T1352" s="14"/>
      <c r="U1352" s="14"/>
      <c r="V1352" s="14"/>
      <c r="W1352" s="14"/>
    </row>
    <row r="1353" ht="31.5" customHeight="1">
      <c r="A1353" s="109" t="s">
        <v>14876</v>
      </c>
      <c r="B1353" s="110" t="s">
        <v>14877</v>
      </c>
      <c r="C1353" s="111" t="s">
        <v>14878</v>
      </c>
      <c r="D1353" s="28" t="s">
        <v>14879</v>
      </c>
      <c r="E1353" s="28" t="str">
        <f>IFERROR(__xludf.DUMMYFUNCTION("GOOGLETRANSLATE(D1353,""zh-CN"",""vi"")"),"Tòa án đã công bố phán quyết.")</f>
        <v>Tòa án đã công bố phán quyết.</v>
      </c>
      <c r="F1353" s="137"/>
      <c r="G1353" s="36" t="b">
        <f t="shared" si="1"/>
        <v>0</v>
      </c>
      <c r="H1353" s="35" t="b">
        <v>0</v>
      </c>
      <c r="I1353" s="35" t="b">
        <v>0</v>
      </c>
      <c r="J1353" s="35" t="b">
        <v>0</v>
      </c>
      <c r="K1353" s="35" t="b">
        <v>0</v>
      </c>
      <c r="L1353" s="35" t="b">
        <v>0</v>
      </c>
      <c r="M1353" s="35" t="b">
        <v>0</v>
      </c>
      <c r="N1353" s="35" t="b">
        <v>0</v>
      </c>
      <c r="O1353" s="35" t="b">
        <v>0</v>
      </c>
      <c r="P1353" s="35" t="b">
        <v>0</v>
      </c>
      <c r="Q1353" s="35" t="b">
        <v>0</v>
      </c>
      <c r="R1353" s="14"/>
      <c r="S1353" s="14"/>
      <c r="T1353" s="14"/>
      <c r="U1353" s="14"/>
      <c r="V1353" s="14"/>
      <c r="W1353" s="14"/>
    </row>
    <row r="1354" ht="31.5" customHeight="1">
      <c r="A1354" s="109" t="s">
        <v>14880</v>
      </c>
      <c r="B1354" s="110" t="s">
        <v>14881</v>
      </c>
      <c r="C1354" s="111" t="s">
        <v>14882</v>
      </c>
      <c r="D1354" s="28" t="s">
        <v>14883</v>
      </c>
      <c r="E1354" s="28" t="str">
        <f>IFERROR(__xludf.DUMMYFUNCTION("GOOGLETRANSLATE(D1354,""zh-CN"",""vi"")"),"Công ty này rất lớn.")</f>
        <v>Công ty này rất lớn.</v>
      </c>
      <c r="F1354" s="137"/>
      <c r="G1354" s="36" t="b">
        <f t="shared" si="1"/>
        <v>0</v>
      </c>
      <c r="H1354" s="35" t="b">
        <v>0</v>
      </c>
      <c r="I1354" s="35" t="b">
        <v>0</v>
      </c>
      <c r="J1354" s="35" t="b">
        <v>0</v>
      </c>
      <c r="K1354" s="35" t="b">
        <v>0</v>
      </c>
      <c r="L1354" s="35" t="b">
        <v>0</v>
      </c>
      <c r="M1354" s="35" t="b">
        <v>0</v>
      </c>
      <c r="N1354" s="35" t="b">
        <v>0</v>
      </c>
      <c r="O1354" s="35" t="b">
        <v>0</v>
      </c>
      <c r="P1354" s="35" t="b">
        <v>0</v>
      </c>
      <c r="Q1354" s="35" t="b">
        <v>0</v>
      </c>
      <c r="R1354" s="14"/>
      <c r="S1354" s="14"/>
      <c r="T1354" s="14"/>
      <c r="U1354" s="14"/>
      <c r="V1354" s="14"/>
      <c r="W1354" s="14"/>
    </row>
    <row r="1355" ht="31.5" customHeight="1">
      <c r="A1355" s="109" t="s">
        <v>14884</v>
      </c>
      <c r="B1355" s="110" t="s">
        <v>14885</v>
      </c>
      <c r="C1355" s="111" t="s">
        <v>14886</v>
      </c>
      <c r="D1355" s="28" t="s">
        <v>14887</v>
      </c>
      <c r="E1355" s="28" t="str">
        <f>IFERROR(__xludf.DUMMYFUNCTION("GOOGLETRANSLATE(D1355,""zh-CN"",""vi"")"),"Anh ấy quyết định từ bỏ những thói quen cũ.")</f>
        <v>Anh ấy quyết định từ bỏ những thói quen cũ.</v>
      </c>
      <c r="F1355" s="137"/>
      <c r="G1355" s="36" t="b">
        <f t="shared" si="1"/>
        <v>0</v>
      </c>
      <c r="H1355" s="35" t="b">
        <v>0</v>
      </c>
      <c r="I1355" s="35" t="b">
        <v>0</v>
      </c>
      <c r="J1355" s="35" t="b">
        <v>0</v>
      </c>
      <c r="K1355" s="35" t="b">
        <v>0</v>
      </c>
      <c r="L1355" s="35" t="b">
        <v>0</v>
      </c>
      <c r="M1355" s="35" t="b">
        <v>0</v>
      </c>
      <c r="N1355" s="35" t="b">
        <v>0</v>
      </c>
      <c r="O1355" s="35" t="b">
        <v>0</v>
      </c>
      <c r="P1355" s="35" t="b">
        <v>0</v>
      </c>
      <c r="Q1355" s="35" t="b">
        <v>0</v>
      </c>
      <c r="R1355" s="14"/>
      <c r="S1355" s="14"/>
      <c r="T1355" s="14"/>
      <c r="U1355" s="14"/>
      <c r="V1355" s="14"/>
      <c r="W1355" s="14"/>
    </row>
    <row r="1356" ht="31.5" customHeight="1">
      <c r="A1356" s="109" t="s">
        <v>14888</v>
      </c>
      <c r="B1356" s="110" t="s">
        <v>14889</v>
      </c>
      <c r="C1356" s="111" t="s">
        <v>14890</v>
      </c>
      <c r="D1356" s="28" t="s">
        <v>14891</v>
      </c>
      <c r="E1356" s="28" t="str">
        <f>IFERROR(__xludf.DUMMYFUNCTION("GOOGLETRANSLATE(D1356,""zh-CN"",""vi"")"),"Loại mút này rất nhẹ.")</f>
        <v>Loại mút này rất nhẹ.</v>
      </c>
      <c r="F1356" s="137"/>
      <c r="G1356" s="36" t="b">
        <f t="shared" si="1"/>
        <v>0</v>
      </c>
      <c r="H1356" s="35" t="b">
        <v>0</v>
      </c>
      <c r="I1356" s="35" t="b">
        <v>0</v>
      </c>
      <c r="J1356" s="35" t="b">
        <v>0</v>
      </c>
      <c r="K1356" s="35" t="b">
        <v>0</v>
      </c>
      <c r="L1356" s="35" t="b">
        <v>0</v>
      </c>
      <c r="M1356" s="35" t="b">
        <v>0</v>
      </c>
      <c r="N1356" s="35" t="b">
        <v>0</v>
      </c>
      <c r="O1356" s="35" t="b">
        <v>0</v>
      </c>
      <c r="P1356" s="35" t="b">
        <v>0</v>
      </c>
      <c r="Q1356" s="35" t="b">
        <v>0</v>
      </c>
      <c r="R1356" s="14"/>
      <c r="S1356" s="14"/>
      <c r="T1356" s="14"/>
      <c r="U1356" s="14"/>
      <c r="V1356" s="14"/>
      <c r="W1356" s="14"/>
    </row>
    <row r="1357" ht="31.5" customHeight="1">
      <c r="A1357" s="109" t="s">
        <v>9504</v>
      </c>
      <c r="B1357" s="110" t="s">
        <v>14892</v>
      </c>
      <c r="C1357" s="111" t="s">
        <v>14893</v>
      </c>
      <c r="D1357" s="28" t="s">
        <v>14894</v>
      </c>
      <c r="E1357" s="28" t="str">
        <f>IFERROR(__xludf.DUMMYFUNCTION("GOOGLETRANSLATE(D1357,""zh-CN"",""vi"")"),"Công ty cung cấp chương trình đào tạo cho nhân viên.")</f>
        <v>Công ty cung cấp chương trình đào tạo cho nhân viên.</v>
      </c>
      <c r="F1357" s="137"/>
      <c r="G1357" s="36" t="b">
        <f t="shared" si="1"/>
        <v>0</v>
      </c>
      <c r="H1357" s="35" t="b">
        <v>0</v>
      </c>
      <c r="I1357" s="35" t="b">
        <v>0</v>
      </c>
      <c r="J1357" s="35" t="b">
        <v>0</v>
      </c>
      <c r="K1357" s="35" t="b">
        <v>0</v>
      </c>
      <c r="L1357" s="35" t="b">
        <v>0</v>
      </c>
      <c r="M1357" s="35" t="b">
        <v>0</v>
      </c>
      <c r="N1357" s="35" t="b">
        <v>0</v>
      </c>
      <c r="O1357" s="35" t="b">
        <v>0</v>
      </c>
      <c r="P1357" s="35" t="b">
        <v>0</v>
      </c>
      <c r="Q1357" s="35" t="b">
        <v>0</v>
      </c>
      <c r="R1357" s="14"/>
      <c r="S1357" s="14"/>
      <c r="T1357" s="14"/>
      <c r="U1357" s="14"/>
      <c r="V1357" s="14"/>
      <c r="W1357" s="14"/>
    </row>
    <row r="1358" ht="31.5" customHeight="1">
      <c r="A1358" s="109" t="s">
        <v>14895</v>
      </c>
      <c r="B1358" s="110" t="s">
        <v>14896</v>
      </c>
      <c r="C1358" s="111" t="s">
        <v>14897</v>
      </c>
      <c r="D1358" s="28" t="s">
        <v>14898</v>
      </c>
      <c r="E1358" s="28" t="str">
        <f>IFERROR(__xludf.DUMMYFUNCTION("GOOGLETRANSLATE(D1358,""zh-CN"",""vi"")"),"Nông dân đang trồng những loại cây trồng mới.")</f>
        <v>Nông dân đang trồng những loại cây trồng mới.</v>
      </c>
      <c r="F1358" s="137"/>
      <c r="G1358" s="36" t="b">
        <f t="shared" si="1"/>
        <v>0</v>
      </c>
      <c r="H1358" s="35" t="b">
        <v>0</v>
      </c>
      <c r="I1358" s="35" t="b">
        <v>0</v>
      </c>
      <c r="J1358" s="35" t="b">
        <v>0</v>
      </c>
      <c r="K1358" s="35" t="b">
        <v>0</v>
      </c>
      <c r="L1358" s="35" t="b">
        <v>0</v>
      </c>
      <c r="M1358" s="35" t="b">
        <v>0</v>
      </c>
      <c r="N1358" s="35" t="b">
        <v>0</v>
      </c>
      <c r="O1358" s="35" t="b">
        <v>0</v>
      </c>
      <c r="P1358" s="35" t="b">
        <v>0</v>
      </c>
      <c r="Q1358" s="35" t="b">
        <v>0</v>
      </c>
      <c r="R1358" s="14"/>
      <c r="S1358" s="14"/>
      <c r="T1358" s="14"/>
      <c r="U1358" s="14"/>
      <c r="V1358" s="14"/>
      <c r="W1358" s="14"/>
    </row>
    <row r="1359" ht="31.5" customHeight="1">
      <c r="A1359" s="109" t="s">
        <v>14899</v>
      </c>
      <c r="B1359" s="110" t="s">
        <v>14900</v>
      </c>
      <c r="C1359" s="111" t="s">
        <v>14901</v>
      </c>
      <c r="D1359" s="28" t="s">
        <v>14902</v>
      </c>
      <c r="E1359" s="28" t="str">
        <f>IFERROR(__xludf.DUMMYFUNCTION("GOOGLETRANSLATE(D1359,""zh-CN"",""vi"")"),"Chúng ta cần trang bị cho mình những thiết bị tốt hơn.")</f>
        <v>Chúng ta cần trang bị cho mình những thiết bị tốt hơn.</v>
      </c>
      <c r="F1359" s="137"/>
      <c r="G1359" s="36" t="b">
        <f t="shared" si="1"/>
        <v>0</v>
      </c>
      <c r="H1359" s="35" t="b">
        <v>0</v>
      </c>
      <c r="I1359" s="35" t="b">
        <v>0</v>
      </c>
      <c r="J1359" s="35" t="b">
        <v>0</v>
      </c>
      <c r="K1359" s="35" t="b">
        <v>0</v>
      </c>
      <c r="L1359" s="35" t="b">
        <v>0</v>
      </c>
      <c r="M1359" s="35" t="b">
        <v>0</v>
      </c>
      <c r="N1359" s="35" t="b">
        <v>0</v>
      </c>
      <c r="O1359" s="35" t="b">
        <v>0</v>
      </c>
      <c r="P1359" s="35" t="b">
        <v>0</v>
      </c>
      <c r="Q1359" s="35" t="b">
        <v>0</v>
      </c>
      <c r="R1359" s="14"/>
      <c r="S1359" s="14"/>
      <c r="T1359" s="14"/>
      <c r="U1359" s="14"/>
      <c r="V1359" s="14"/>
      <c r="W1359" s="14"/>
    </row>
    <row r="1360" ht="31.5" customHeight="1">
      <c r="A1360" s="109" t="s">
        <v>14903</v>
      </c>
      <c r="B1360" s="110" t="s">
        <v>14904</v>
      </c>
      <c r="C1360" s="111" t="s">
        <v>14905</v>
      </c>
      <c r="D1360" s="28" t="s">
        <v>14906</v>
      </c>
      <c r="E1360" s="28" t="str">
        <f>IFERROR(__xludf.DUMMYFUNCTION("GOOGLETRANSLATE(D1360,""zh-CN"",""vi"")"),"Anh ấy đã tìm được người bạn đời lý tưởng của mình.")</f>
        <v>Anh ấy đã tìm được người bạn đời lý tưởng của mình.</v>
      </c>
      <c r="F1360" s="137"/>
      <c r="G1360" s="36" t="b">
        <f t="shared" si="1"/>
        <v>0</v>
      </c>
      <c r="H1360" s="35" t="b">
        <v>0</v>
      </c>
      <c r="I1360" s="35" t="b">
        <v>0</v>
      </c>
      <c r="J1360" s="35" t="b">
        <v>0</v>
      </c>
      <c r="K1360" s="35" t="b">
        <v>0</v>
      </c>
      <c r="L1360" s="35" t="b">
        <v>0</v>
      </c>
      <c r="M1360" s="35" t="b">
        <v>0</v>
      </c>
      <c r="N1360" s="35" t="b">
        <v>0</v>
      </c>
      <c r="O1360" s="35" t="b">
        <v>0</v>
      </c>
      <c r="P1360" s="35" t="b">
        <v>0</v>
      </c>
      <c r="Q1360" s="35" t="b">
        <v>0</v>
      </c>
      <c r="R1360" s="14"/>
      <c r="S1360" s="14"/>
      <c r="T1360" s="14"/>
      <c r="U1360" s="14"/>
      <c r="V1360" s="14"/>
      <c r="W1360" s="14"/>
    </row>
    <row r="1361" ht="31.5" customHeight="1">
      <c r="A1361" s="109" t="s">
        <v>14907</v>
      </c>
      <c r="B1361" s="110" t="s">
        <v>14908</v>
      </c>
      <c r="C1361" s="111" t="s">
        <v>14909</v>
      </c>
      <c r="D1361" s="28" t="s">
        <v>14910</v>
      </c>
      <c r="E1361" s="28" t="str">
        <f>IFERROR(__xludf.DUMMYFUNCTION("GOOGLETRANSLATE(D1361,""zh-CN"",""vi"")"),"Dự án đã hoàn thành.")</f>
        <v>Dự án đã hoàn thành.</v>
      </c>
      <c r="F1361" s="137"/>
      <c r="G1361" s="36" t="b">
        <f t="shared" si="1"/>
        <v>0</v>
      </c>
      <c r="H1361" s="35" t="b">
        <v>0</v>
      </c>
      <c r="I1361" s="35" t="b">
        <v>0</v>
      </c>
      <c r="J1361" s="35" t="b">
        <v>0</v>
      </c>
      <c r="K1361" s="35" t="b">
        <v>0</v>
      </c>
      <c r="L1361" s="35" t="b">
        <v>0</v>
      </c>
      <c r="M1361" s="35" t="b">
        <v>0</v>
      </c>
      <c r="N1361" s="35" t="b">
        <v>0</v>
      </c>
      <c r="O1361" s="35" t="b">
        <v>0</v>
      </c>
      <c r="P1361" s="35" t="b">
        <v>0</v>
      </c>
      <c r="Q1361" s="35" t="b">
        <v>0</v>
      </c>
      <c r="R1361" s="14"/>
      <c r="S1361" s="14"/>
      <c r="T1361" s="14"/>
      <c r="U1361" s="14"/>
      <c r="V1361" s="14"/>
      <c r="W1361" s="14"/>
    </row>
    <row r="1362" ht="31.5" customHeight="1">
      <c r="A1362" s="109" t="s">
        <v>14911</v>
      </c>
      <c r="B1362" s="110" t="s">
        <v>14912</v>
      </c>
      <c r="C1362" s="111" t="s">
        <v>14913</v>
      </c>
      <c r="D1362" s="28" t="s">
        <v>14914</v>
      </c>
      <c r="E1362" s="28" t="str">
        <f>IFERROR(__xludf.DUMMYFUNCTION("GOOGLETRANSLATE(D1362,""zh-CN"",""vi"")"),"Lưu vực này rất màu mỡ.")</f>
        <v>Lưu vực này rất màu mỡ.</v>
      </c>
      <c r="F1362" s="137"/>
      <c r="G1362" s="36" t="b">
        <f t="shared" si="1"/>
        <v>0</v>
      </c>
      <c r="H1362" s="35" t="b">
        <v>0</v>
      </c>
      <c r="I1362" s="35" t="b">
        <v>0</v>
      </c>
      <c r="J1362" s="35" t="b">
        <v>0</v>
      </c>
      <c r="K1362" s="35" t="b">
        <v>0</v>
      </c>
      <c r="L1362" s="35" t="b">
        <v>0</v>
      </c>
      <c r="M1362" s="35" t="b">
        <v>0</v>
      </c>
      <c r="N1362" s="35" t="b">
        <v>0</v>
      </c>
      <c r="O1362" s="35" t="b">
        <v>0</v>
      </c>
      <c r="P1362" s="35" t="b">
        <v>0</v>
      </c>
      <c r="Q1362" s="35" t="b">
        <v>0</v>
      </c>
      <c r="R1362" s="14"/>
      <c r="S1362" s="14"/>
      <c r="T1362" s="14"/>
      <c r="U1362" s="14"/>
      <c r="V1362" s="14"/>
      <c r="W1362" s="14"/>
    </row>
    <row r="1363" ht="31.5" customHeight="1">
      <c r="A1363" s="109" t="s">
        <v>14915</v>
      </c>
      <c r="B1363" s="110" t="s">
        <v>14916</v>
      </c>
      <c r="C1363" s="111" t="s">
        <v>14917</v>
      </c>
      <c r="D1363" s="28" t="s">
        <v>14918</v>
      </c>
      <c r="E1363" s="28" t="str">
        <f>IFERROR(__xludf.DUMMYFUNCTION("GOOGLETRANSLATE(D1363,""zh-CN"",""vi"")"),"Cô ấy rất thích nấu ăn.")</f>
        <v>Cô ấy rất thích nấu ăn.</v>
      </c>
      <c r="F1363" s="137"/>
      <c r="G1363" s="36" t="b">
        <f t="shared" si="1"/>
        <v>0</v>
      </c>
      <c r="H1363" s="35" t="b">
        <v>0</v>
      </c>
      <c r="I1363" s="35" t="b">
        <v>0</v>
      </c>
      <c r="J1363" s="35" t="b">
        <v>0</v>
      </c>
      <c r="K1363" s="35" t="b">
        <v>0</v>
      </c>
      <c r="L1363" s="35" t="b">
        <v>0</v>
      </c>
      <c r="M1363" s="35" t="b">
        <v>0</v>
      </c>
      <c r="N1363" s="35" t="b">
        <v>0</v>
      </c>
      <c r="O1363" s="35" t="b">
        <v>0</v>
      </c>
      <c r="P1363" s="35" t="b">
        <v>0</v>
      </c>
      <c r="Q1363" s="35" t="b">
        <v>0</v>
      </c>
      <c r="R1363" s="14"/>
      <c r="S1363" s="14"/>
      <c r="T1363" s="14"/>
      <c r="U1363" s="14"/>
      <c r="V1363" s="14"/>
      <c r="W1363" s="14"/>
    </row>
    <row r="1364" ht="31.5" customHeight="1">
      <c r="A1364" s="109" t="s">
        <v>14919</v>
      </c>
      <c r="B1364" s="110" t="s">
        <v>14920</v>
      </c>
      <c r="C1364" s="111" t="s">
        <v>14921</v>
      </c>
      <c r="D1364" s="28" t="s">
        <v>14922</v>
      </c>
      <c r="E1364" s="28" t="str">
        <f>IFERROR(__xludf.DUMMYFUNCTION("GOOGLETRANSLATE(D1364,""zh-CN"",""vi"")"),"Cô ấy đang cầm một bó hoa.")</f>
        <v>Cô ấy đang cầm một bó hoa.</v>
      </c>
      <c r="F1364" s="137"/>
      <c r="G1364" s="36" t="b">
        <f t="shared" si="1"/>
        <v>0</v>
      </c>
      <c r="H1364" s="35" t="b">
        <v>0</v>
      </c>
      <c r="I1364" s="35" t="b">
        <v>0</v>
      </c>
      <c r="J1364" s="35" t="b">
        <v>0</v>
      </c>
      <c r="K1364" s="35" t="b">
        <v>0</v>
      </c>
      <c r="L1364" s="35" t="b">
        <v>0</v>
      </c>
      <c r="M1364" s="35" t="b">
        <v>0</v>
      </c>
      <c r="N1364" s="35" t="b">
        <v>0</v>
      </c>
      <c r="O1364" s="35" t="b">
        <v>0</v>
      </c>
      <c r="P1364" s="35" t="b">
        <v>0</v>
      </c>
      <c r="Q1364" s="35" t="b">
        <v>0</v>
      </c>
      <c r="R1364" s="14"/>
      <c r="S1364" s="14"/>
      <c r="T1364" s="14"/>
      <c r="U1364" s="14"/>
      <c r="V1364" s="14"/>
      <c r="W1364" s="14"/>
    </row>
    <row r="1365" ht="31.5" customHeight="1">
      <c r="A1365" s="109" t="s">
        <v>14923</v>
      </c>
      <c r="B1365" s="110" t="s">
        <v>9566</v>
      </c>
      <c r="C1365" s="111" t="s">
        <v>14924</v>
      </c>
      <c r="D1365" s="28" t="s">
        <v>14925</v>
      </c>
      <c r="E1365" s="28" t="str">
        <f>IFERROR(__xludf.DUMMYFUNCTION("GOOGLETRANSLATE(D1365,""zh-CN"",""vi"")"),"Anh ta chẻ củi.")</f>
        <v>Anh ta chẻ củi.</v>
      </c>
      <c r="F1365" s="137"/>
      <c r="G1365" s="36" t="b">
        <f t="shared" si="1"/>
        <v>0</v>
      </c>
      <c r="H1365" s="35" t="b">
        <v>0</v>
      </c>
      <c r="I1365" s="35" t="b">
        <v>0</v>
      </c>
      <c r="J1365" s="35" t="b">
        <v>0</v>
      </c>
      <c r="K1365" s="35" t="b">
        <v>0</v>
      </c>
      <c r="L1365" s="35" t="b">
        <v>0</v>
      </c>
      <c r="M1365" s="35" t="b">
        <v>0</v>
      </c>
      <c r="N1365" s="35" t="b">
        <v>0</v>
      </c>
      <c r="O1365" s="35" t="b">
        <v>0</v>
      </c>
      <c r="P1365" s="35" t="b">
        <v>0</v>
      </c>
      <c r="Q1365" s="35" t="b">
        <v>0</v>
      </c>
      <c r="R1365" s="14"/>
      <c r="S1365" s="14"/>
      <c r="T1365" s="14"/>
      <c r="U1365" s="14"/>
      <c r="V1365" s="14"/>
      <c r="W1365" s="14"/>
    </row>
    <row r="1366" ht="31.5" customHeight="1">
      <c r="A1366" s="109" t="s">
        <v>14926</v>
      </c>
      <c r="B1366" s="110" t="s">
        <v>14927</v>
      </c>
      <c r="C1366" s="111" t="s">
        <v>14928</v>
      </c>
      <c r="D1366" s="28" t="s">
        <v>14929</v>
      </c>
      <c r="E1366" s="28" t="str">
        <f>IFERROR(__xludf.DUMMYFUNCTION("GOOGLETRANSLATE(D1366,""zh-CN"",""vi"")"),"Họ bán buôn một lượng lớn hàng hóa.")</f>
        <v>Họ bán buôn một lượng lớn hàng hóa.</v>
      </c>
      <c r="F1366" s="137"/>
      <c r="G1366" s="36" t="b">
        <f t="shared" si="1"/>
        <v>0</v>
      </c>
      <c r="H1366" s="35" t="b">
        <v>0</v>
      </c>
      <c r="I1366" s="35" t="b">
        <v>0</v>
      </c>
      <c r="J1366" s="35" t="b">
        <v>0</v>
      </c>
      <c r="K1366" s="35" t="b">
        <v>0</v>
      </c>
      <c r="L1366" s="35" t="b">
        <v>0</v>
      </c>
      <c r="M1366" s="35" t="b">
        <v>0</v>
      </c>
      <c r="N1366" s="35" t="b">
        <v>0</v>
      </c>
      <c r="O1366" s="35" t="b">
        <v>0</v>
      </c>
      <c r="P1366" s="35" t="b">
        <v>0</v>
      </c>
      <c r="Q1366" s="35" t="b">
        <v>0</v>
      </c>
      <c r="R1366" s="14"/>
      <c r="S1366" s="14"/>
      <c r="T1366" s="14"/>
      <c r="U1366" s="14"/>
      <c r="V1366" s="14"/>
      <c r="W1366" s="14"/>
    </row>
    <row r="1367" ht="31.5" customHeight="1">
      <c r="A1367" s="109" t="s">
        <v>14930</v>
      </c>
      <c r="B1367" s="110" t="s">
        <v>14931</v>
      </c>
      <c r="C1367" s="111" t="s">
        <v>14932</v>
      </c>
      <c r="D1367" s="28" t="s">
        <v>14933</v>
      </c>
      <c r="E1367" s="28" t="str">
        <f>IFERROR(__xludf.DUMMYFUNCTION("GOOGLETRANSLATE(D1367,""zh-CN"",""vi"")"),"Những phát ngôn của ông đã bị chỉ trích.")</f>
        <v>Những phát ngôn của ông đã bị chỉ trích.</v>
      </c>
      <c r="F1367" s="137"/>
      <c r="G1367" s="36" t="b">
        <f t="shared" si="1"/>
        <v>0</v>
      </c>
      <c r="H1367" s="35" t="b">
        <v>0</v>
      </c>
      <c r="I1367" s="35" t="b">
        <v>0</v>
      </c>
      <c r="J1367" s="35" t="b">
        <v>0</v>
      </c>
      <c r="K1367" s="35" t="b">
        <v>0</v>
      </c>
      <c r="L1367" s="35" t="b">
        <v>0</v>
      </c>
      <c r="M1367" s="35" t="b">
        <v>0</v>
      </c>
      <c r="N1367" s="35" t="b">
        <v>0</v>
      </c>
      <c r="O1367" s="35" t="b">
        <v>0</v>
      </c>
      <c r="P1367" s="35" t="b">
        <v>0</v>
      </c>
      <c r="Q1367" s="35" t="b">
        <v>0</v>
      </c>
      <c r="R1367" s="14"/>
      <c r="S1367" s="14"/>
      <c r="T1367" s="14"/>
      <c r="U1367" s="14"/>
      <c r="V1367" s="14"/>
      <c r="W1367" s="14"/>
    </row>
    <row r="1368" ht="31.5" customHeight="1">
      <c r="A1368" s="109" t="s">
        <v>14934</v>
      </c>
      <c r="B1368" s="110" t="s">
        <v>14935</v>
      </c>
      <c r="C1368" s="111" t="s">
        <v>14936</v>
      </c>
      <c r="D1368" s="28" t="s">
        <v>14937</v>
      </c>
      <c r="E1368" s="28" t="str">
        <f>IFERROR(__xludf.DUMMYFUNCTION("GOOGLETRANSLATE(D1368,""zh-CN"",""vi"")"),"Công việc khiến anh ấy cảm thấy kiệt sức.")</f>
        <v>Công việc khiến anh ấy cảm thấy kiệt sức.</v>
      </c>
      <c r="F1368" s="137"/>
      <c r="G1368" s="36" t="b">
        <f t="shared" si="1"/>
        <v>0</v>
      </c>
      <c r="H1368" s="35" t="b">
        <v>0</v>
      </c>
      <c r="I1368" s="35" t="b">
        <v>0</v>
      </c>
      <c r="J1368" s="35" t="b">
        <v>0</v>
      </c>
      <c r="K1368" s="35" t="b">
        <v>0</v>
      </c>
      <c r="L1368" s="35" t="b">
        <v>0</v>
      </c>
      <c r="M1368" s="35" t="b">
        <v>0</v>
      </c>
      <c r="N1368" s="35" t="b">
        <v>0</v>
      </c>
      <c r="O1368" s="35" t="b">
        <v>0</v>
      </c>
      <c r="P1368" s="35" t="b">
        <v>0</v>
      </c>
      <c r="Q1368" s="35" t="b">
        <v>0</v>
      </c>
      <c r="R1368" s="14"/>
      <c r="S1368" s="14"/>
      <c r="T1368" s="14"/>
      <c r="U1368" s="14"/>
      <c r="V1368" s="14"/>
      <c r="W1368" s="14"/>
    </row>
    <row r="1369" ht="31.5" customHeight="1">
      <c r="A1369" s="109" t="s">
        <v>14938</v>
      </c>
      <c r="B1369" s="110" t="s">
        <v>14939</v>
      </c>
      <c r="C1369" s="111" t="s">
        <v>14940</v>
      </c>
      <c r="D1369" s="28" t="s">
        <v>14941</v>
      </c>
      <c r="E1369" s="28" t="str">
        <f>IFERROR(__xludf.DUMMYFUNCTION("GOOGLETRANSLATE(D1369,""zh-CN"",""vi"")"),"Món đồ da này rất đắt tiền.")</f>
        <v>Món đồ da này rất đắt tiền.</v>
      </c>
      <c r="F1369" s="137"/>
      <c r="G1369" s="36" t="b">
        <f t="shared" si="1"/>
        <v>0</v>
      </c>
      <c r="H1369" s="35" t="b">
        <v>0</v>
      </c>
      <c r="I1369" s="35" t="b">
        <v>0</v>
      </c>
      <c r="J1369" s="35" t="b">
        <v>0</v>
      </c>
      <c r="K1369" s="35" t="b">
        <v>0</v>
      </c>
      <c r="L1369" s="35" t="b">
        <v>0</v>
      </c>
      <c r="M1369" s="35" t="b">
        <v>0</v>
      </c>
      <c r="N1369" s="35" t="b">
        <v>0</v>
      </c>
      <c r="O1369" s="35" t="b">
        <v>0</v>
      </c>
      <c r="P1369" s="35" t="b">
        <v>0</v>
      </c>
      <c r="Q1369" s="35" t="b">
        <v>0</v>
      </c>
      <c r="R1369" s="14"/>
      <c r="S1369" s="14"/>
      <c r="T1369" s="14"/>
      <c r="U1369" s="14"/>
      <c r="V1369" s="14"/>
      <c r="W1369" s="14"/>
    </row>
    <row r="1370" ht="31.5" customHeight="1">
      <c r="A1370" s="109" t="s">
        <v>14942</v>
      </c>
      <c r="B1370" s="110" t="s">
        <v>14943</v>
      </c>
      <c r="C1370" s="111" t="s">
        <v>14944</v>
      </c>
      <c r="D1370" s="28" t="s">
        <v>14945</v>
      </c>
      <c r="E1370" s="28" t="str">
        <f>IFERROR(__xludf.DUMMYFUNCTION("GOOGLETRANSLATE(D1370,""zh-CN"",""vi"")"),"Trông anh ấy rất mệt mỏi.")</f>
        <v>Trông anh ấy rất mệt mỏi.</v>
      </c>
      <c r="F1370" s="137"/>
      <c r="G1370" s="36" t="b">
        <f t="shared" si="1"/>
        <v>0</v>
      </c>
      <c r="H1370" s="35" t="b">
        <v>0</v>
      </c>
      <c r="I1370" s="35" t="b">
        <v>0</v>
      </c>
      <c r="J1370" s="35" t="b">
        <v>0</v>
      </c>
      <c r="K1370" s="35" t="b">
        <v>0</v>
      </c>
      <c r="L1370" s="35" t="b">
        <v>0</v>
      </c>
      <c r="M1370" s="35" t="b">
        <v>0</v>
      </c>
      <c r="N1370" s="35" t="b">
        <v>0</v>
      </c>
      <c r="O1370" s="35" t="b">
        <v>0</v>
      </c>
      <c r="P1370" s="35" t="b">
        <v>0</v>
      </c>
      <c r="Q1370" s="35" t="b">
        <v>0</v>
      </c>
      <c r="R1370" s="14"/>
      <c r="S1370" s="14"/>
      <c r="T1370" s="14"/>
      <c r="U1370" s="14"/>
      <c r="V1370" s="14"/>
      <c r="W1370" s="14"/>
    </row>
    <row r="1371" ht="31.5" customHeight="1">
      <c r="A1371" s="109" t="s">
        <v>3537</v>
      </c>
      <c r="B1371" s="110" t="s">
        <v>14946</v>
      </c>
      <c r="C1371" s="111" t="s">
        <v>14947</v>
      </c>
      <c r="D1371" s="28" t="s">
        <v>14948</v>
      </c>
      <c r="E1371" s="28" t="str">
        <f>IFERROR(__xludf.DUMMYFUNCTION("GOOGLETRANSLATE(D1371,""zh-CN"",""vi"")"),"Anh ta có tính khí rất nóng nảy.")</f>
        <v>Anh ta có tính khí rất nóng nảy.</v>
      </c>
      <c r="F1371" s="137"/>
      <c r="G1371" s="36" t="b">
        <f t="shared" si="1"/>
        <v>0</v>
      </c>
      <c r="H1371" s="35" t="b">
        <v>0</v>
      </c>
      <c r="I1371" s="35" t="b">
        <v>0</v>
      </c>
      <c r="J1371" s="35" t="b">
        <v>0</v>
      </c>
      <c r="K1371" s="35" t="b">
        <v>0</v>
      </c>
      <c r="L1371" s="35" t="b">
        <v>0</v>
      </c>
      <c r="M1371" s="35" t="b">
        <v>0</v>
      </c>
      <c r="N1371" s="35" t="b">
        <v>0</v>
      </c>
      <c r="O1371" s="35" t="b">
        <v>0</v>
      </c>
      <c r="P1371" s="35" t="b">
        <v>0</v>
      </c>
      <c r="Q1371" s="35" t="b">
        <v>0</v>
      </c>
      <c r="R1371" s="14"/>
      <c r="S1371" s="14"/>
      <c r="T1371" s="14"/>
      <c r="U1371" s="14"/>
      <c r="V1371" s="14"/>
      <c r="W1371" s="14"/>
    </row>
    <row r="1372" ht="31.5" customHeight="1">
      <c r="A1372" s="109" t="s">
        <v>14949</v>
      </c>
      <c r="B1372" s="110" t="s">
        <v>14950</v>
      </c>
      <c r="C1372" s="111" t="s">
        <v>14951</v>
      </c>
      <c r="D1372" s="28" t="s">
        <v>14952</v>
      </c>
      <c r="E1372" s="28" t="str">
        <f>IFERROR(__xludf.DUMMYFUNCTION("GOOGLETRANSLATE(D1372,""zh-CN"",""vi"")"),"Anh ta ngã xuống đất và mông anh ta đau.")</f>
        <v>Anh ta ngã xuống đất và mông anh ta đau.</v>
      </c>
      <c r="F1372" s="137"/>
      <c r="G1372" s="36" t="b">
        <f t="shared" si="1"/>
        <v>0</v>
      </c>
      <c r="H1372" s="35" t="b">
        <v>0</v>
      </c>
      <c r="I1372" s="35" t="b">
        <v>0</v>
      </c>
      <c r="J1372" s="35" t="b">
        <v>0</v>
      </c>
      <c r="K1372" s="35" t="b">
        <v>0</v>
      </c>
      <c r="L1372" s="35" t="b">
        <v>0</v>
      </c>
      <c r="M1372" s="35" t="b">
        <v>0</v>
      </c>
      <c r="N1372" s="35" t="b">
        <v>0</v>
      </c>
      <c r="O1372" s="35" t="b">
        <v>0</v>
      </c>
      <c r="P1372" s="35" t="b">
        <v>0</v>
      </c>
      <c r="Q1372" s="35" t="b">
        <v>0</v>
      </c>
      <c r="R1372" s="14"/>
      <c r="S1372" s="14"/>
      <c r="T1372" s="14"/>
      <c r="U1372" s="14"/>
      <c r="V1372" s="14"/>
      <c r="W1372" s="14"/>
    </row>
    <row r="1373" ht="31.5" customHeight="1">
      <c r="A1373" s="109" t="s">
        <v>14953</v>
      </c>
      <c r="B1373" s="110" t="s">
        <v>14954</v>
      </c>
      <c r="C1373" s="111" t="s">
        <v>14955</v>
      </c>
      <c r="D1373" s="28" t="s">
        <v>14956</v>
      </c>
      <c r="E1373" s="28" t="str">
        <f>IFERROR(__xludf.DUMMYFUNCTION("GOOGLETRANSLATE(D1373,""zh-CN"",""vi"")"),"Ví dụ, bạn có thể thử phương pháp này.")</f>
        <v>Ví dụ, bạn có thể thử phương pháp này.</v>
      </c>
      <c r="F1373" s="137"/>
      <c r="G1373" s="36" t="b">
        <f t="shared" si="1"/>
        <v>0</v>
      </c>
      <c r="H1373" s="35" t="b">
        <v>0</v>
      </c>
      <c r="I1373" s="35" t="b">
        <v>0</v>
      </c>
      <c r="J1373" s="35" t="b">
        <v>0</v>
      </c>
      <c r="K1373" s="35" t="b">
        <v>0</v>
      </c>
      <c r="L1373" s="35" t="b">
        <v>0</v>
      </c>
      <c r="M1373" s="35" t="b">
        <v>0</v>
      </c>
      <c r="N1373" s="35" t="b">
        <v>0</v>
      </c>
      <c r="O1373" s="35" t="b">
        <v>0</v>
      </c>
      <c r="P1373" s="35" t="b">
        <v>0</v>
      </c>
      <c r="Q1373" s="35" t="b">
        <v>0</v>
      </c>
      <c r="R1373" s="14"/>
      <c r="S1373" s="14"/>
      <c r="T1373" s="14"/>
      <c r="U1373" s="14"/>
      <c r="V1373" s="14"/>
      <c r="W1373" s="14"/>
    </row>
    <row r="1374" ht="31.5" customHeight="1">
      <c r="A1374" s="109" t="s">
        <v>14957</v>
      </c>
      <c r="B1374" s="110" t="s">
        <v>14958</v>
      </c>
      <c r="C1374" s="111" t="s">
        <v>14959</v>
      </c>
      <c r="D1374" s="28" t="s">
        <v>14960</v>
      </c>
      <c r="E1374" s="28" t="str">
        <f>IFERROR(__xludf.DUMMYFUNCTION("GOOGLETRANSLATE(D1374,""zh-CN"",""vi"")"),"Kế hoạch này có sai sót.")</f>
        <v>Kế hoạch này có sai sót.</v>
      </c>
      <c r="F1374" s="137"/>
      <c r="G1374" s="36" t="b">
        <f t="shared" si="1"/>
        <v>0</v>
      </c>
      <c r="H1374" s="35" t="b">
        <v>0</v>
      </c>
      <c r="I1374" s="35" t="b">
        <v>0</v>
      </c>
      <c r="J1374" s="35" t="b">
        <v>0</v>
      </c>
      <c r="K1374" s="35" t="b">
        <v>0</v>
      </c>
      <c r="L1374" s="35" t="b">
        <v>0</v>
      </c>
      <c r="M1374" s="35" t="b">
        <v>0</v>
      </c>
      <c r="N1374" s="35" t="b">
        <v>0</v>
      </c>
      <c r="O1374" s="35" t="b">
        <v>0</v>
      </c>
      <c r="P1374" s="35" t="b">
        <v>0</v>
      </c>
      <c r="Q1374" s="35" t="b">
        <v>0</v>
      </c>
      <c r="R1374" s="14"/>
      <c r="S1374" s="14"/>
      <c r="T1374" s="14"/>
      <c r="U1374" s="14"/>
      <c r="V1374" s="14"/>
      <c r="W1374" s="14"/>
    </row>
    <row r="1375" ht="31.5" customHeight="1">
      <c r="A1375" s="109" t="s">
        <v>14961</v>
      </c>
      <c r="B1375" s="110" t="s">
        <v>14962</v>
      </c>
      <c r="C1375" s="111" t="s">
        <v>14963</v>
      </c>
      <c r="D1375" s="28" t="s">
        <v>14964</v>
      </c>
      <c r="E1375" s="28" t="str">
        <f>IFERROR(__xludf.DUMMYFUNCTION("GOOGLETRANSLATE(D1375,""zh-CN"",""vi"")"),"Ông ta có thành kiến ​​với cô ấy.")</f>
        <v>Ông ta có thành kiến ​​với cô ấy.</v>
      </c>
      <c r="F1375" s="137"/>
      <c r="G1375" s="36" t="b">
        <f t="shared" si="1"/>
        <v>0</v>
      </c>
      <c r="H1375" s="35" t="b">
        <v>0</v>
      </c>
      <c r="I1375" s="35" t="b">
        <v>0</v>
      </c>
      <c r="J1375" s="35" t="b">
        <v>0</v>
      </c>
      <c r="K1375" s="35" t="b">
        <v>0</v>
      </c>
      <c r="L1375" s="35" t="b">
        <v>0</v>
      </c>
      <c r="M1375" s="35" t="b">
        <v>0</v>
      </c>
      <c r="N1375" s="35" t="b">
        <v>0</v>
      </c>
      <c r="O1375" s="35" t="b">
        <v>0</v>
      </c>
      <c r="P1375" s="35" t="b">
        <v>0</v>
      </c>
      <c r="Q1375" s="35" t="b">
        <v>0</v>
      </c>
      <c r="R1375" s="14"/>
      <c r="S1375" s="14"/>
      <c r="T1375" s="14"/>
      <c r="U1375" s="14"/>
      <c r="V1375" s="14"/>
      <c r="W1375" s="14"/>
    </row>
    <row r="1376" ht="31.5" customHeight="1">
      <c r="A1376" s="109" t="s">
        <v>14965</v>
      </c>
      <c r="B1376" s="110" t="s">
        <v>14966</v>
      </c>
      <c r="C1376" s="111" t="s">
        <v>14967</v>
      </c>
      <c r="D1376" s="28" t="s">
        <v>14968</v>
      </c>
      <c r="E1376" s="28" t="str">
        <f>IFERROR(__xludf.DUMMYFUNCTION("GOOGLETRANSLATE(D1376,""zh-CN"",""vi"")"),"Họ sống trong một ngôi làng hẻo lánh.")</f>
        <v>Họ sống trong một ngôi làng hẻo lánh.</v>
      </c>
      <c r="F1376" s="137"/>
      <c r="G1376" s="36" t="b">
        <f t="shared" si="1"/>
        <v>0</v>
      </c>
      <c r="H1376" s="35" t="b">
        <v>0</v>
      </c>
      <c r="I1376" s="35" t="b">
        <v>0</v>
      </c>
      <c r="J1376" s="35" t="b">
        <v>0</v>
      </c>
      <c r="K1376" s="35" t="b">
        <v>0</v>
      </c>
      <c r="L1376" s="35" t="b">
        <v>0</v>
      </c>
      <c r="M1376" s="35" t="b">
        <v>0</v>
      </c>
      <c r="N1376" s="35" t="b">
        <v>0</v>
      </c>
      <c r="O1376" s="35" t="b">
        <v>0</v>
      </c>
      <c r="P1376" s="35" t="b">
        <v>0</v>
      </c>
      <c r="Q1376" s="35" t="b">
        <v>0</v>
      </c>
      <c r="R1376" s="14"/>
      <c r="S1376" s="14"/>
      <c r="T1376" s="14"/>
      <c r="U1376" s="14"/>
      <c r="V1376" s="14"/>
      <c r="W1376" s="14"/>
    </row>
    <row r="1377" ht="31.5" customHeight="1">
      <c r="A1377" s="109" t="s">
        <v>14969</v>
      </c>
      <c r="B1377" s="110" t="s">
        <v>14970</v>
      </c>
      <c r="C1377" s="111" t="s">
        <v>14971</v>
      </c>
      <c r="D1377" s="28" t="s">
        <v>14972</v>
      </c>
      <c r="E1377" s="28" t="str">
        <f>IFERROR(__xludf.DUMMYFUNCTION("GOOGLETRANSLATE(D1377,""zh-CN"",""vi"")"),"Anh ấy chỉ tình cờ thích điều này thôi.")</f>
        <v>Anh ấy chỉ tình cờ thích điều này thôi.</v>
      </c>
      <c r="F1377" s="137"/>
      <c r="G1377" s="36" t="b">
        <f t="shared" si="1"/>
        <v>0</v>
      </c>
      <c r="H1377" s="35" t="b">
        <v>0</v>
      </c>
      <c r="I1377" s="35" t="b">
        <v>0</v>
      </c>
      <c r="J1377" s="35" t="b">
        <v>0</v>
      </c>
      <c r="K1377" s="35" t="b">
        <v>0</v>
      </c>
      <c r="L1377" s="35" t="b">
        <v>0</v>
      </c>
      <c r="M1377" s="35" t="b">
        <v>0</v>
      </c>
      <c r="N1377" s="35" t="b">
        <v>0</v>
      </c>
      <c r="O1377" s="35" t="b">
        <v>0</v>
      </c>
      <c r="P1377" s="35" t="b">
        <v>0</v>
      </c>
      <c r="Q1377" s="35" t="b">
        <v>0</v>
      </c>
      <c r="R1377" s="14"/>
      <c r="S1377" s="14"/>
      <c r="T1377" s="14"/>
      <c r="U1377" s="14"/>
      <c r="V1377" s="14"/>
      <c r="W1377" s="14"/>
    </row>
    <row r="1378" ht="31.5" customHeight="1">
      <c r="A1378" s="109" t="s">
        <v>14973</v>
      </c>
      <c r="B1378" s="110" t="s">
        <v>14974</v>
      </c>
      <c r="C1378" s="111" t="s">
        <v>14975</v>
      </c>
      <c r="D1378" s="28" t="s">
        <v>14976</v>
      </c>
      <c r="E1378" s="28" t="str">
        <f>IFERROR(__xludf.DUMMYFUNCTION("GOOGLETRANSLATE(D1378,""zh-CN"",""vi"")"),"Đây chỉ là một phần của câu chuyện.")</f>
        <v>Đây chỉ là một phần của câu chuyện.</v>
      </c>
      <c r="F1378" s="137"/>
      <c r="G1378" s="36" t="b">
        <f t="shared" si="1"/>
        <v>0</v>
      </c>
      <c r="H1378" s="35" t="b">
        <v>0</v>
      </c>
      <c r="I1378" s="35" t="b">
        <v>0</v>
      </c>
      <c r="J1378" s="35" t="b">
        <v>0</v>
      </c>
      <c r="K1378" s="35" t="b">
        <v>0</v>
      </c>
      <c r="L1378" s="35" t="b">
        <v>0</v>
      </c>
      <c r="M1378" s="35" t="b">
        <v>0</v>
      </c>
      <c r="N1378" s="35" t="b">
        <v>0</v>
      </c>
      <c r="O1378" s="35" t="b">
        <v>0</v>
      </c>
      <c r="P1378" s="35" t="b">
        <v>0</v>
      </c>
      <c r="Q1378" s="35" t="b">
        <v>0</v>
      </c>
      <c r="R1378" s="14"/>
      <c r="S1378" s="14"/>
      <c r="T1378" s="14"/>
      <c r="U1378" s="14"/>
      <c r="V1378" s="14"/>
      <c r="W1378" s="14"/>
    </row>
    <row r="1379" ht="31.5" customHeight="1">
      <c r="A1379" s="109" t="s">
        <v>14977</v>
      </c>
      <c r="B1379" s="110" t="s">
        <v>14978</v>
      </c>
      <c r="C1379" s="111" t="s">
        <v>14979</v>
      </c>
      <c r="D1379" s="28" t="s">
        <v>14980</v>
      </c>
      <c r="E1379" s="28" t="str">
        <f>IFERROR(__xludf.DUMMYFUNCTION("GOOGLETRANSLATE(D1379,""zh-CN"",""vi"")"),"Vui lòng chờ một chút.")</f>
        <v>Vui lòng chờ một chút.</v>
      </c>
      <c r="F1379" s="137"/>
      <c r="G1379" s="36" t="b">
        <f t="shared" si="1"/>
        <v>0</v>
      </c>
      <c r="H1379" s="35" t="b">
        <v>0</v>
      </c>
      <c r="I1379" s="35" t="b">
        <v>0</v>
      </c>
      <c r="J1379" s="35" t="b">
        <v>0</v>
      </c>
      <c r="K1379" s="35" t="b">
        <v>0</v>
      </c>
      <c r="L1379" s="35" t="b">
        <v>0</v>
      </c>
      <c r="M1379" s="35" t="b">
        <v>0</v>
      </c>
      <c r="N1379" s="35" t="b">
        <v>0</v>
      </c>
      <c r="O1379" s="35" t="b">
        <v>0</v>
      </c>
      <c r="P1379" s="35" t="b">
        <v>0</v>
      </c>
      <c r="Q1379" s="35" t="b">
        <v>0</v>
      </c>
      <c r="R1379" s="14"/>
      <c r="S1379" s="14"/>
      <c r="T1379" s="14"/>
      <c r="U1379" s="14"/>
      <c r="V1379" s="14"/>
      <c r="W1379" s="14"/>
    </row>
    <row r="1380" ht="31.5" customHeight="1">
      <c r="A1380" s="109" t="s">
        <v>14981</v>
      </c>
      <c r="B1380" s="110" t="s">
        <v>14982</v>
      </c>
      <c r="C1380" s="111" t="s">
        <v>14983</v>
      </c>
      <c r="D1380" s="28" t="s">
        <v>14984</v>
      </c>
      <c r="E1380" s="28" t="str">
        <f>IFERROR(__xludf.DUMMYFUNCTION("GOOGLETRANSLATE(D1380,""zh-CN"",""vi"")"),"Chiếc thuyền nhỏ trôi nổi trên mặt hồ.")</f>
        <v>Chiếc thuyền nhỏ trôi nổi trên mặt hồ.</v>
      </c>
      <c r="F1380" s="137"/>
      <c r="G1380" s="36" t="b">
        <f t="shared" si="1"/>
        <v>0</v>
      </c>
      <c r="H1380" s="35" t="b">
        <v>0</v>
      </c>
      <c r="I1380" s="35" t="b">
        <v>0</v>
      </c>
      <c r="J1380" s="35" t="b">
        <v>0</v>
      </c>
      <c r="K1380" s="35" t="b">
        <v>0</v>
      </c>
      <c r="L1380" s="35" t="b">
        <v>0</v>
      </c>
      <c r="M1380" s="35" t="b">
        <v>0</v>
      </c>
      <c r="N1380" s="35" t="b">
        <v>0</v>
      </c>
      <c r="O1380" s="35" t="b">
        <v>0</v>
      </c>
      <c r="P1380" s="35" t="b">
        <v>0</v>
      </c>
      <c r="Q1380" s="35" t="b">
        <v>0</v>
      </c>
      <c r="R1380" s="14"/>
      <c r="S1380" s="14"/>
      <c r="T1380" s="14"/>
      <c r="U1380" s="14"/>
      <c r="V1380" s="14"/>
      <c r="W1380" s="14"/>
    </row>
    <row r="1381" ht="31.5" customHeight="1">
      <c r="A1381" s="109" t="s">
        <v>14985</v>
      </c>
      <c r="B1381" s="110" t="s">
        <v>14986</v>
      </c>
      <c r="C1381" s="111" t="s">
        <v>14987</v>
      </c>
      <c r="D1381" s="28" t="s">
        <v>14988</v>
      </c>
      <c r="E1381" s="28" t="str">
        <f>IFERROR(__xludf.DUMMYFUNCTION("GOOGLETRANSLATE(D1381,""zh-CN"",""vi"")"),"Lá cờ tung bay trong gió.")</f>
        <v>Lá cờ tung bay trong gió.</v>
      </c>
      <c r="F1381" s="137"/>
      <c r="G1381" s="36" t="b">
        <f t="shared" si="1"/>
        <v>0</v>
      </c>
      <c r="H1381" s="35" t="b">
        <v>0</v>
      </c>
      <c r="I1381" s="35" t="b">
        <v>0</v>
      </c>
      <c r="J1381" s="35" t="b">
        <v>0</v>
      </c>
      <c r="K1381" s="35" t="b">
        <v>0</v>
      </c>
      <c r="L1381" s="35" t="b">
        <v>0</v>
      </c>
      <c r="M1381" s="35" t="b">
        <v>0</v>
      </c>
      <c r="N1381" s="35" t="b">
        <v>0</v>
      </c>
      <c r="O1381" s="35" t="b">
        <v>0</v>
      </c>
      <c r="P1381" s="35" t="b">
        <v>0</v>
      </c>
      <c r="Q1381" s="35" t="b">
        <v>0</v>
      </c>
      <c r="R1381" s="14"/>
      <c r="S1381" s="14"/>
      <c r="T1381" s="14"/>
      <c r="U1381" s="14"/>
      <c r="V1381" s="14"/>
      <c r="W1381" s="14"/>
    </row>
    <row r="1382" ht="31.5" customHeight="1">
      <c r="A1382" s="109" t="s">
        <v>14989</v>
      </c>
      <c r="B1382" s="110" t="s">
        <v>14990</v>
      </c>
      <c r="C1382" s="111" t="s">
        <v>14991</v>
      </c>
      <c r="D1382" s="28" t="s">
        <v>14992</v>
      </c>
      <c r="E1382" s="28" t="str">
        <f>IFERROR(__xludf.DUMMYFUNCTION("GOOGLETRANSLATE(D1382,""zh-CN"",""vi"")"),"Anh ấy nỗ lực để đạt được ước mơ của mình.")</f>
        <v>Anh ấy nỗ lực để đạt được ước mơ của mình.</v>
      </c>
      <c r="F1382" s="137"/>
      <c r="G1382" s="36" t="b">
        <f t="shared" si="1"/>
        <v>0</v>
      </c>
      <c r="H1382" s="35" t="b">
        <v>0</v>
      </c>
      <c r="I1382" s="35" t="b">
        <v>0</v>
      </c>
      <c r="J1382" s="35" t="b">
        <v>0</v>
      </c>
      <c r="K1382" s="35" t="b">
        <v>0</v>
      </c>
      <c r="L1382" s="35" t="b">
        <v>0</v>
      </c>
      <c r="M1382" s="35" t="b">
        <v>0</v>
      </c>
      <c r="N1382" s="35" t="b">
        <v>0</v>
      </c>
      <c r="O1382" s="35" t="b">
        <v>0</v>
      </c>
      <c r="P1382" s="35" t="b">
        <v>0</v>
      </c>
      <c r="Q1382" s="35" t="b">
        <v>0</v>
      </c>
      <c r="R1382" s="14"/>
      <c r="S1382" s="14"/>
      <c r="T1382" s="14"/>
      <c r="U1382" s="14"/>
      <c r="V1382" s="14"/>
      <c r="W1382" s="14"/>
    </row>
    <row r="1383" ht="31.5" customHeight="1">
      <c r="A1383" s="109" t="s">
        <v>14993</v>
      </c>
      <c r="B1383" s="110" t="s">
        <v>14994</v>
      </c>
      <c r="C1383" s="111" t="s">
        <v>14995</v>
      </c>
      <c r="D1383" s="28" t="s">
        <v>14996</v>
      </c>
      <c r="E1383" s="28" t="str">
        <f>IFERROR(__xludf.DUMMYFUNCTION("GOOGLETRANSLATE(D1383,""zh-CN"",""vi"")"),"Anh ấy đã làm việc vô cùng chăm chỉ.")</f>
        <v>Anh ấy đã làm việc vô cùng chăm chỉ.</v>
      </c>
      <c r="F1383" s="137"/>
      <c r="G1383" s="36" t="b">
        <f t="shared" si="1"/>
        <v>0</v>
      </c>
      <c r="H1383" s="35" t="b">
        <v>0</v>
      </c>
      <c r="I1383" s="35" t="b">
        <v>0</v>
      </c>
      <c r="J1383" s="35" t="b">
        <v>0</v>
      </c>
      <c r="K1383" s="35" t="b">
        <v>0</v>
      </c>
      <c r="L1383" s="35" t="b">
        <v>0</v>
      </c>
      <c r="M1383" s="35" t="b">
        <v>0</v>
      </c>
      <c r="N1383" s="35" t="b">
        <v>0</v>
      </c>
      <c r="O1383" s="35" t="b">
        <v>0</v>
      </c>
      <c r="P1383" s="35" t="b">
        <v>0</v>
      </c>
      <c r="Q1383" s="35" t="b">
        <v>0</v>
      </c>
      <c r="R1383" s="14"/>
      <c r="S1383" s="14"/>
      <c r="T1383" s="14"/>
      <c r="U1383" s="14"/>
      <c r="V1383" s="14"/>
      <c r="W1383" s="14"/>
    </row>
    <row r="1384" ht="31.5" customHeight="1">
      <c r="A1384" s="109" t="s">
        <v>14997</v>
      </c>
      <c r="B1384" s="110" t="s">
        <v>14998</v>
      </c>
      <c r="C1384" s="111" t="s">
        <v>14999</v>
      </c>
      <c r="D1384" s="28" t="s">
        <v>15000</v>
      </c>
      <c r="E1384" s="28" t="str">
        <f>IFERROR(__xludf.DUMMYFUNCTION("GOOGLETRANSLATE(D1384,""zh-CN"",""vi"")"),"Sự khan hiếm tài nguyên khiến quá trình phát triển gặp nhiều khó khăn.")</f>
        <v>Sự khan hiếm tài nguyên khiến quá trình phát triển gặp nhiều khó khăn.</v>
      </c>
      <c r="F1384" s="137"/>
      <c r="G1384" s="36" t="b">
        <f t="shared" si="1"/>
        <v>0</v>
      </c>
      <c r="H1384" s="35" t="b">
        <v>0</v>
      </c>
      <c r="I1384" s="35" t="b">
        <v>0</v>
      </c>
      <c r="J1384" s="35" t="b">
        <v>0</v>
      </c>
      <c r="K1384" s="35" t="b">
        <v>0</v>
      </c>
      <c r="L1384" s="35" t="b">
        <v>0</v>
      </c>
      <c r="M1384" s="35" t="b">
        <v>0</v>
      </c>
      <c r="N1384" s="35" t="b">
        <v>0</v>
      </c>
      <c r="O1384" s="35" t="b">
        <v>0</v>
      </c>
      <c r="P1384" s="35" t="b">
        <v>0</v>
      </c>
      <c r="Q1384" s="35" t="b">
        <v>0</v>
      </c>
      <c r="R1384" s="14"/>
      <c r="S1384" s="14"/>
      <c r="T1384" s="14"/>
      <c r="U1384" s="14"/>
      <c r="V1384" s="14"/>
      <c r="W1384" s="14"/>
    </row>
    <row r="1385" ht="31.5" customHeight="1">
      <c r="A1385" s="109" t="s">
        <v>15001</v>
      </c>
      <c r="B1385" s="110" t="s">
        <v>15002</v>
      </c>
      <c r="C1385" s="111" t="s">
        <v>15003</v>
      </c>
      <c r="D1385" s="28" t="s">
        <v>15004</v>
      </c>
      <c r="E1385" s="28" t="str">
        <f>IFERROR(__xludf.DUMMYFUNCTION("GOOGLETRANSLATE(D1385,""zh-CN"",""vi"")"),"Anh ấy thường xuyên gọi điện cho tôi.")</f>
        <v>Anh ấy thường xuyên gọi điện cho tôi.</v>
      </c>
      <c r="F1385" s="137"/>
      <c r="G1385" s="36" t="b">
        <f t="shared" si="1"/>
        <v>0</v>
      </c>
      <c r="H1385" s="35" t="b">
        <v>0</v>
      </c>
      <c r="I1385" s="35" t="b">
        <v>0</v>
      </c>
      <c r="J1385" s="35" t="b">
        <v>0</v>
      </c>
      <c r="K1385" s="35" t="b">
        <v>0</v>
      </c>
      <c r="L1385" s="35" t="b">
        <v>0</v>
      </c>
      <c r="M1385" s="35" t="b">
        <v>0</v>
      </c>
      <c r="N1385" s="35" t="b">
        <v>0</v>
      </c>
      <c r="O1385" s="35" t="b">
        <v>0</v>
      </c>
      <c r="P1385" s="35" t="b">
        <v>0</v>
      </c>
      <c r="Q1385" s="35" t="b">
        <v>0</v>
      </c>
      <c r="R1385" s="14"/>
      <c r="S1385" s="14"/>
      <c r="T1385" s="14"/>
      <c r="U1385" s="14"/>
      <c r="V1385" s="14"/>
      <c r="W1385" s="14"/>
    </row>
    <row r="1386" ht="31.5" customHeight="1">
      <c r="A1386" s="109" t="s">
        <v>15005</v>
      </c>
      <c r="B1386" s="110" t="s">
        <v>15006</v>
      </c>
      <c r="C1386" s="111" t="s">
        <v>15007</v>
      </c>
      <c r="D1386" s="28" t="s">
        <v>15008</v>
      </c>
      <c r="E1386" s="28" t="str">
        <f>IFERROR(__xludf.DUMMYFUNCTION("GOOGLETRANSLATE(D1386,""zh-CN"",""vi"")"),"Khu vực này vô cùng nghèo khó.")</f>
        <v>Khu vực này vô cùng nghèo khó.</v>
      </c>
      <c r="F1386" s="137"/>
      <c r="G1386" s="36" t="b">
        <f t="shared" si="1"/>
        <v>0</v>
      </c>
      <c r="H1386" s="35" t="b">
        <v>0</v>
      </c>
      <c r="I1386" s="35" t="b">
        <v>0</v>
      </c>
      <c r="J1386" s="35" t="b">
        <v>0</v>
      </c>
      <c r="K1386" s="35" t="b">
        <v>0</v>
      </c>
      <c r="L1386" s="35" t="b">
        <v>0</v>
      </c>
      <c r="M1386" s="35" t="b">
        <v>0</v>
      </c>
      <c r="N1386" s="35" t="b">
        <v>0</v>
      </c>
      <c r="O1386" s="35" t="b">
        <v>0</v>
      </c>
      <c r="P1386" s="35" t="b">
        <v>0</v>
      </c>
      <c r="Q1386" s="35" t="b">
        <v>0</v>
      </c>
      <c r="R1386" s="14"/>
      <c r="S1386" s="14"/>
      <c r="T1386" s="14"/>
      <c r="U1386" s="14"/>
      <c r="V1386" s="14"/>
      <c r="W1386" s="14"/>
    </row>
    <row r="1387" ht="31.5" customHeight="1">
      <c r="A1387" s="109" t="s">
        <v>15009</v>
      </c>
      <c r="B1387" s="110" t="s">
        <v>15010</v>
      </c>
      <c r="C1387" s="111" t="s">
        <v>15011</v>
      </c>
      <c r="D1387" s="28" t="s">
        <v>15012</v>
      </c>
      <c r="E1387" s="28" t="str">
        <f>IFERROR(__xludf.DUMMYFUNCTION("GOOGLETRANSLATE(D1387,""zh-CN"",""vi"")"),"Chúng ta cần tăng tần suất học tập.")</f>
        <v>Chúng ta cần tăng tần suất học tập.</v>
      </c>
      <c r="F1387" s="137"/>
      <c r="G1387" s="36" t="b">
        <f t="shared" si="1"/>
        <v>0</v>
      </c>
      <c r="H1387" s="35" t="b">
        <v>0</v>
      </c>
      <c r="I1387" s="35" t="b">
        <v>0</v>
      </c>
      <c r="J1387" s="35" t="b">
        <v>0</v>
      </c>
      <c r="K1387" s="35" t="b">
        <v>0</v>
      </c>
      <c r="L1387" s="35" t="b">
        <v>0</v>
      </c>
      <c r="M1387" s="35" t="b">
        <v>0</v>
      </c>
      <c r="N1387" s="35" t="b">
        <v>0</v>
      </c>
      <c r="O1387" s="35" t="b">
        <v>0</v>
      </c>
      <c r="P1387" s="35" t="b">
        <v>0</v>
      </c>
      <c r="Q1387" s="35" t="b">
        <v>0</v>
      </c>
      <c r="R1387" s="14"/>
      <c r="S1387" s="14"/>
      <c r="T1387" s="14"/>
      <c r="U1387" s="14"/>
      <c r="V1387" s="14"/>
      <c r="W1387" s="14"/>
    </row>
    <row r="1388" ht="31.5" customHeight="1">
      <c r="A1388" s="109" t="s">
        <v>15013</v>
      </c>
      <c r="B1388" s="110" t="s">
        <v>15014</v>
      </c>
      <c r="C1388" s="111" t="s">
        <v>15015</v>
      </c>
      <c r="D1388" s="28" t="s">
        <v>15016</v>
      </c>
      <c r="E1388" s="28" t="str">
        <f>IFERROR(__xludf.DUMMYFUNCTION("GOOGLETRANSLATE(D1388,""zh-CN"",""vi"")"),"Ông ấy đã nếm thử tất cả các món ăn.")</f>
        <v>Ông ấy đã nếm thử tất cả các món ăn.</v>
      </c>
      <c r="F1388" s="137"/>
      <c r="G1388" s="36" t="b">
        <f t="shared" si="1"/>
        <v>0</v>
      </c>
      <c r="H1388" s="35" t="b">
        <v>0</v>
      </c>
      <c r="I1388" s="35" t="b">
        <v>0</v>
      </c>
      <c r="J1388" s="35" t="b">
        <v>0</v>
      </c>
      <c r="K1388" s="35" t="b">
        <v>0</v>
      </c>
      <c r="L1388" s="35" t="b">
        <v>0</v>
      </c>
      <c r="M1388" s="35" t="b">
        <v>0</v>
      </c>
      <c r="N1388" s="35" t="b">
        <v>0</v>
      </c>
      <c r="O1388" s="35" t="b">
        <v>0</v>
      </c>
      <c r="P1388" s="35" t="b">
        <v>0</v>
      </c>
      <c r="Q1388" s="35" t="b">
        <v>0</v>
      </c>
      <c r="R1388" s="14"/>
      <c r="S1388" s="14"/>
      <c r="T1388" s="14"/>
      <c r="U1388" s="14"/>
      <c r="V1388" s="14"/>
      <c r="W1388" s="14"/>
    </row>
    <row r="1389" ht="31.5" customHeight="1">
      <c r="A1389" s="109" t="s">
        <v>15017</v>
      </c>
      <c r="B1389" s="110" t="s">
        <v>15018</v>
      </c>
      <c r="C1389" s="111" t="s">
        <v>15019</v>
      </c>
      <c r="D1389" s="28" t="s">
        <v>15020</v>
      </c>
      <c r="E1389" s="28" t="str">
        <f>IFERROR(__xludf.DUMMYFUNCTION("GOOGLETRANSLATE(D1389,""zh-CN"",""vi"")"),"Ông ấy là người có phẩm chất đạo đức cao.")</f>
        <v>Ông ấy là người có phẩm chất đạo đức cao.</v>
      </c>
      <c r="F1389" s="137"/>
      <c r="G1389" s="36" t="b">
        <f t="shared" si="1"/>
        <v>0</v>
      </c>
      <c r="H1389" s="35" t="b">
        <v>0</v>
      </c>
      <c r="I1389" s="35" t="b">
        <v>0</v>
      </c>
      <c r="J1389" s="35" t="b">
        <v>0</v>
      </c>
      <c r="K1389" s="35" t="b">
        <v>0</v>
      </c>
      <c r="L1389" s="35" t="b">
        <v>0</v>
      </c>
      <c r="M1389" s="35" t="b">
        <v>0</v>
      </c>
      <c r="N1389" s="35" t="b">
        <v>0</v>
      </c>
      <c r="O1389" s="35" t="b">
        <v>0</v>
      </c>
      <c r="P1389" s="35" t="b">
        <v>0</v>
      </c>
      <c r="Q1389" s="35" t="b">
        <v>0</v>
      </c>
      <c r="R1389" s="14"/>
      <c r="S1389" s="14"/>
      <c r="T1389" s="14"/>
      <c r="U1389" s="14"/>
      <c r="V1389" s="14"/>
      <c r="W1389" s="14"/>
    </row>
    <row r="1390" ht="31.5" customHeight="1">
      <c r="A1390" s="109" t="s">
        <v>15021</v>
      </c>
      <c r="B1390" s="110" t="s">
        <v>15022</v>
      </c>
      <c r="C1390" s="111" t="s">
        <v>15023</v>
      </c>
      <c r="D1390" s="28" t="s">
        <v>15024</v>
      </c>
      <c r="E1390" s="28" t="str">
        <f>IFERROR(__xludf.DUMMYFUNCTION("GOOGLETRANSLATE(D1390,""zh-CN"",""vi"")"),"Phẩm chất của anh ấy hoàn hảo.")</f>
        <v>Phẩm chất của anh ấy hoàn hảo.</v>
      </c>
      <c r="F1390" s="137"/>
      <c r="G1390" s="36" t="b">
        <f t="shared" si="1"/>
        <v>0</v>
      </c>
      <c r="H1390" s="35" t="b">
        <v>0</v>
      </c>
      <c r="I1390" s="35" t="b">
        <v>0</v>
      </c>
      <c r="J1390" s="35" t="b">
        <v>0</v>
      </c>
      <c r="K1390" s="35" t="b">
        <v>0</v>
      </c>
      <c r="L1390" s="35" t="b">
        <v>0</v>
      </c>
      <c r="M1390" s="35" t="b">
        <v>0</v>
      </c>
      <c r="N1390" s="35" t="b">
        <v>0</v>
      </c>
      <c r="O1390" s="35" t="b">
        <v>0</v>
      </c>
      <c r="P1390" s="35" t="b">
        <v>0</v>
      </c>
      <c r="Q1390" s="35" t="b">
        <v>0</v>
      </c>
      <c r="R1390" s="14"/>
      <c r="S1390" s="14"/>
      <c r="T1390" s="14"/>
      <c r="U1390" s="14"/>
      <c r="V1390" s="14"/>
      <c r="W1390" s="14"/>
    </row>
    <row r="1391" ht="31.5" customHeight="1">
      <c r="A1391" s="109" t="s">
        <v>15025</v>
      </c>
      <c r="B1391" s="110" t="s">
        <v>15026</v>
      </c>
      <c r="C1391" s="111" t="s">
        <v>15027</v>
      </c>
      <c r="D1391" s="28" t="s">
        <v>15028</v>
      </c>
      <c r="E1391" s="28" t="str">
        <f>IFERROR(__xludf.DUMMYFUNCTION("GOOGLETRANSLATE(D1391,""zh-CN"",""vi"")"),"Sản phẩm của họ có chất lượng rất tốt.")</f>
        <v>Sản phẩm của họ có chất lượng rất tốt.</v>
      </c>
      <c r="F1391" s="137"/>
      <c r="G1391" s="36" t="b">
        <f t="shared" si="1"/>
        <v>0</v>
      </c>
      <c r="H1391" s="35" t="b">
        <v>0</v>
      </c>
      <c r="I1391" s="35" t="b">
        <v>0</v>
      </c>
      <c r="J1391" s="35" t="b">
        <v>0</v>
      </c>
      <c r="K1391" s="35" t="b">
        <v>0</v>
      </c>
      <c r="L1391" s="35" t="b">
        <v>0</v>
      </c>
      <c r="M1391" s="35" t="b">
        <v>0</v>
      </c>
      <c r="N1391" s="35" t="b">
        <v>0</v>
      </c>
      <c r="O1391" s="35" t="b">
        <v>0</v>
      </c>
      <c r="P1391" s="35" t="b">
        <v>0</v>
      </c>
      <c r="Q1391" s="35" t="b">
        <v>0</v>
      </c>
      <c r="R1391" s="14"/>
      <c r="S1391" s="14"/>
      <c r="T1391" s="14"/>
      <c r="U1391" s="14"/>
      <c r="V1391" s="14"/>
      <c r="W1391" s="14"/>
    </row>
    <row r="1392" ht="31.5" customHeight="1">
      <c r="A1392" s="109" t="s">
        <v>15029</v>
      </c>
      <c r="B1392" s="110" t="s">
        <v>15030</v>
      </c>
      <c r="C1392" s="111" t="s">
        <v>15031</v>
      </c>
      <c r="D1392" s="28" t="s">
        <v>15032</v>
      </c>
      <c r="E1392" s="28" t="str">
        <f>IFERROR(__xludf.DUMMYFUNCTION("GOOGLETRANSLATE(D1392,""zh-CN"",""vi"")"),"Ông ấy là một người bình thường.")</f>
        <v>Ông ấy là một người bình thường.</v>
      </c>
      <c r="F1392" s="137"/>
      <c r="G1392" s="36" t="b">
        <f t="shared" si="1"/>
        <v>0</v>
      </c>
      <c r="H1392" s="35" t="b">
        <v>0</v>
      </c>
      <c r="I1392" s="35" t="b">
        <v>0</v>
      </c>
      <c r="J1392" s="35" t="b">
        <v>0</v>
      </c>
      <c r="K1392" s="35" t="b">
        <v>0</v>
      </c>
      <c r="L1392" s="35" t="b">
        <v>0</v>
      </c>
      <c r="M1392" s="35" t="b">
        <v>0</v>
      </c>
      <c r="N1392" s="35" t="b">
        <v>0</v>
      </c>
      <c r="O1392" s="35" t="b">
        <v>0</v>
      </c>
      <c r="P1392" s="35" t="b">
        <v>0</v>
      </c>
      <c r="Q1392" s="35" t="b">
        <v>0</v>
      </c>
      <c r="R1392" s="14"/>
      <c r="S1392" s="14"/>
      <c r="T1392" s="14"/>
      <c r="U1392" s="14"/>
      <c r="V1392" s="14"/>
      <c r="W1392" s="14"/>
    </row>
    <row r="1393" ht="31.5" customHeight="1">
      <c r="A1393" s="109" t="s">
        <v>15033</v>
      </c>
      <c r="B1393" s="110" t="s">
        <v>15034</v>
      </c>
      <c r="C1393" s="111" t="s">
        <v>15035</v>
      </c>
      <c r="D1393" s="28" t="s">
        <v>15036</v>
      </c>
      <c r="E1393" s="28" t="str">
        <f>IFERROR(__xludf.DUMMYFUNCTION("GOOGLETRANSLATE(D1393,""zh-CN"",""vi"")"),"Chúng ta cần đánh giá rủi ro của dự án này.")</f>
        <v>Chúng ta cần đánh giá rủi ro của dự án này.</v>
      </c>
      <c r="F1393" s="137"/>
      <c r="G1393" s="36" t="b">
        <f t="shared" si="1"/>
        <v>0</v>
      </c>
      <c r="H1393" s="35" t="b">
        <v>0</v>
      </c>
      <c r="I1393" s="35" t="b">
        <v>0</v>
      </c>
      <c r="J1393" s="35" t="b">
        <v>0</v>
      </c>
      <c r="K1393" s="35" t="b">
        <v>0</v>
      </c>
      <c r="L1393" s="35" t="b">
        <v>0</v>
      </c>
      <c r="M1393" s="35" t="b">
        <v>0</v>
      </c>
      <c r="N1393" s="35" t="b">
        <v>0</v>
      </c>
      <c r="O1393" s="35" t="b">
        <v>0</v>
      </c>
      <c r="P1393" s="35" t="b">
        <v>0</v>
      </c>
      <c r="Q1393" s="35" t="b">
        <v>0</v>
      </c>
      <c r="R1393" s="14"/>
      <c r="S1393" s="14"/>
      <c r="T1393" s="14"/>
      <c r="U1393" s="14"/>
      <c r="V1393" s="14"/>
      <c r="W1393" s="14"/>
    </row>
    <row r="1394" ht="31.5" customHeight="1">
      <c r="A1394" s="109" t="s">
        <v>15037</v>
      </c>
      <c r="B1394" s="110" t="s">
        <v>15038</v>
      </c>
      <c r="C1394" s="111" t="s">
        <v>15039</v>
      </c>
      <c r="D1394" s="28" t="s">
        <v>15040</v>
      </c>
      <c r="E1394" s="28" t="str">
        <f>IFERROR(__xludf.DUMMYFUNCTION("GOOGLETRANSLATE(D1394,""zh-CN"",""vi"")"),"Những nhận xét của ông ấy rất xác đáng.")</f>
        <v>Những nhận xét của ông ấy rất xác đáng.</v>
      </c>
      <c r="F1394" s="137"/>
      <c r="G1394" s="36" t="b">
        <f t="shared" si="1"/>
        <v>0</v>
      </c>
      <c r="H1394" s="35" t="b">
        <v>0</v>
      </c>
      <c r="I1394" s="35" t="b">
        <v>0</v>
      </c>
      <c r="J1394" s="35" t="b">
        <v>0</v>
      </c>
      <c r="K1394" s="35" t="b">
        <v>0</v>
      </c>
      <c r="L1394" s="35" t="b">
        <v>0</v>
      </c>
      <c r="M1394" s="35" t="b">
        <v>0</v>
      </c>
      <c r="N1394" s="35" t="b">
        <v>0</v>
      </c>
      <c r="O1394" s="35" t="b">
        <v>0</v>
      </c>
      <c r="P1394" s="35" t="b">
        <v>0</v>
      </c>
      <c r="Q1394" s="35" t="b">
        <v>0</v>
      </c>
      <c r="R1394" s="14"/>
      <c r="S1394" s="14"/>
      <c r="T1394" s="14"/>
      <c r="U1394" s="14"/>
      <c r="V1394" s="14"/>
      <c r="W1394" s="14"/>
    </row>
    <row r="1395" ht="31.5" customHeight="1">
      <c r="A1395" s="109" t="s">
        <v>15041</v>
      </c>
      <c r="B1395" s="110" t="s">
        <v>15042</v>
      </c>
      <c r="C1395" s="111" t="s">
        <v>15043</v>
      </c>
      <c r="D1395" s="28" t="s">
        <v>15044</v>
      </c>
      <c r="E1395" s="28" t="str">
        <f>IFERROR(__xludf.DUMMYFUNCTION("GOOGLETRANSLATE(D1395,""zh-CN"",""vi"")"),"Đây là một bản thiết kế mặt bằng tuyệt đẹp.")</f>
        <v>Đây là một bản thiết kế mặt bằng tuyệt đẹp.</v>
      </c>
      <c r="F1395" s="137"/>
      <c r="G1395" s="36" t="b">
        <f t="shared" si="1"/>
        <v>0</v>
      </c>
      <c r="H1395" s="35" t="b">
        <v>0</v>
      </c>
      <c r="I1395" s="35" t="b">
        <v>0</v>
      </c>
      <c r="J1395" s="35" t="b">
        <v>0</v>
      </c>
      <c r="K1395" s="35" t="b">
        <v>0</v>
      </c>
      <c r="L1395" s="35" t="b">
        <v>0</v>
      </c>
      <c r="M1395" s="35" t="b">
        <v>0</v>
      </c>
      <c r="N1395" s="35" t="b">
        <v>0</v>
      </c>
      <c r="O1395" s="35" t="b">
        <v>0</v>
      </c>
      <c r="P1395" s="35" t="b">
        <v>0</v>
      </c>
      <c r="Q1395" s="35" t="b">
        <v>0</v>
      </c>
      <c r="R1395" s="14"/>
      <c r="S1395" s="14"/>
      <c r="T1395" s="14"/>
      <c r="U1395" s="14"/>
      <c r="V1395" s="14"/>
      <c r="W1395" s="14"/>
    </row>
    <row r="1396" ht="31.5" customHeight="1">
      <c r="A1396" s="109" t="s">
        <v>15045</v>
      </c>
      <c r="B1396" s="110" t="s">
        <v>15046</v>
      </c>
      <c r="C1396" s="111" t="s">
        <v>15047</v>
      </c>
      <c r="D1396" s="28" t="s">
        <v>15048</v>
      </c>
      <c r="E1396" s="28" t="str">
        <f>IFERROR(__xludf.DUMMYFUNCTION("GOOGLETRANSLATE(D1396,""zh-CN"",""vi"")"),"Con đường này bằng phẳng.")</f>
        <v>Con đường này bằng phẳng.</v>
      </c>
      <c r="F1396" s="137"/>
      <c r="G1396" s="36" t="b">
        <f t="shared" si="1"/>
        <v>0</v>
      </c>
      <c r="H1396" s="35" t="b">
        <v>0</v>
      </c>
      <c r="I1396" s="35" t="b">
        <v>0</v>
      </c>
      <c r="J1396" s="35" t="b">
        <v>0</v>
      </c>
      <c r="K1396" s="35" t="b">
        <v>0</v>
      </c>
      <c r="L1396" s="35" t="b">
        <v>0</v>
      </c>
      <c r="M1396" s="35" t="b">
        <v>0</v>
      </c>
      <c r="N1396" s="35" t="b">
        <v>0</v>
      </c>
      <c r="O1396" s="35" t="b">
        <v>0</v>
      </c>
      <c r="P1396" s="35" t="b">
        <v>0</v>
      </c>
      <c r="Q1396" s="35" t="b">
        <v>0</v>
      </c>
      <c r="R1396" s="14"/>
      <c r="S1396" s="14"/>
      <c r="T1396" s="14"/>
      <c r="U1396" s="14"/>
      <c r="V1396" s="14"/>
      <c r="W1396" s="14"/>
    </row>
    <row r="1397" ht="31.5" customHeight="1">
      <c r="A1397" s="109" t="s">
        <v>15049</v>
      </c>
      <c r="B1397" s="110" t="s">
        <v>15050</v>
      </c>
      <c r="C1397" s="111" t="s">
        <v>15051</v>
      </c>
      <c r="D1397" s="28" t="s">
        <v>15052</v>
      </c>
      <c r="E1397" s="28" t="str">
        <f>IFERROR(__xludf.DUMMYFUNCTION("GOOGLETRANSLATE(D1397,""zh-CN"",""vi"")"),"Chúng là các đường thẳng song song.")</f>
        <v>Chúng là các đường thẳng song song.</v>
      </c>
      <c r="F1397" s="137"/>
      <c r="G1397" s="36" t="b">
        <f t="shared" si="1"/>
        <v>0</v>
      </c>
      <c r="H1397" s="35" t="b">
        <v>1</v>
      </c>
      <c r="I1397" s="35" t="b">
        <v>0</v>
      </c>
      <c r="J1397" s="35" t="b">
        <v>0</v>
      </c>
      <c r="K1397" s="35" t="b">
        <v>0</v>
      </c>
      <c r="L1397" s="35" t="b">
        <v>0</v>
      </c>
      <c r="M1397" s="35" t="b">
        <v>0</v>
      </c>
      <c r="N1397" s="35" t="b">
        <v>0</v>
      </c>
      <c r="O1397" s="35" t="b">
        <v>0</v>
      </c>
      <c r="P1397" s="35" t="b">
        <v>0</v>
      </c>
      <c r="Q1397" s="35" t="b">
        <v>0</v>
      </c>
      <c r="R1397" s="14"/>
      <c r="S1397" s="14"/>
      <c r="T1397" s="14"/>
      <c r="U1397" s="14"/>
      <c r="V1397" s="14"/>
      <c r="W1397" s="14"/>
    </row>
    <row r="1398" ht="31.5" customHeight="1">
      <c r="A1398" s="109" t="s">
        <v>15053</v>
      </c>
      <c r="B1398" s="110" t="s">
        <v>15054</v>
      </c>
      <c r="C1398" s="111" t="s">
        <v>15055</v>
      </c>
      <c r="D1398" s="28" t="s">
        <v>15056</v>
      </c>
      <c r="E1398" s="28" t="str">
        <f>IFERROR(__xludf.DUMMYFUNCTION("GOOGLETRANSLATE(D1398,""zh-CN"",""vi"")"),"Đồng bằng này rất rộng lớn.")</f>
        <v>Đồng bằng này rất rộng lớn.</v>
      </c>
      <c r="F1398" s="137"/>
      <c r="G1398" s="36" t="b">
        <f t="shared" si="1"/>
        <v>0</v>
      </c>
      <c r="H1398" s="35" t="b">
        <v>1</v>
      </c>
      <c r="I1398" s="35" t="b">
        <v>0</v>
      </c>
      <c r="J1398" s="35" t="b">
        <v>0</v>
      </c>
      <c r="K1398" s="35" t="b">
        <v>0</v>
      </c>
      <c r="L1398" s="35" t="b">
        <v>0</v>
      </c>
      <c r="M1398" s="35" t="b">
        <v>0</v>
      </c>
      <c r="N1398" s="35" t="b">
        <v>0</v>
      </c>
      <c r="O1398" s="35" t="b">
        <v>0</v>
      </c>
      <c r="P1398" s="35" t="b">
        <v>0</v>
      </c>
      <c r="Q1398" s="35" t="b">
        <v>0</v>
      </c>
      <c r="R1398" s="14"/>
      <c r="S1398" s="14"/>
      <c r="T1398" s="14"/>
      <c r="U1398" s="14"/>
      <c r="V1398" s="14"/>
      <c r="W1398" s="14"/>
    </row>
    <row r="1399" ht="31.5" customHeight="1">
      <c r="A1399" s="109" t="s">
        <v>15057</v>
      </c>
      <c r="B1399" s="110" t="s">
        <v>15058</v>
      </c>
      <c r="C1399" s="111" t="s">
        <v>15059</v>
      </c>
      <c r="D1399" s="28" t="s">
        <v>15060</v>
      </c>
      <c r="E1399" s="28" t="str">
        <f>IFERROR(__xludf.DUMMYFUNCTION("GOOGLETRANSLATE(D1399,""zh-CN"",""vi"")"),"Những hàng cây tạo thành một rào chắn tự nhiên.")</f>
        <v>Những hàng cây tạo thành một rào chắn tự nhiên.</v>
      </c>
      <c r="F1399" s="137"/>
      <c r="G1399" s="36" t="b">
        <f t="shared" si="1"/>
        <v>0</v>
      </c>
      <c r="H1399" s="35" t="b">
        <v>1</v>
      </c>
      <c r="I1399" s="35" t="b">
        <v>0</v>
      </c>
      <c r="J1399" s="35" t="b">
        <v>0</v>
      </c>
      <c r="K1399" s="35" t="b">
        <v>0</v>
      </c>
      <c r="L1399" s="35" t="b">
        <v>0</v>
      </c>
      <c r="M1399" s="35" t="b">
        <v>0</v>
      </c>
      <c r="N1399" s="35" t="b">
        <v>0</v>
      </c>
      <c r="O1399" s="35" t="b">
        <v>0</v>
      </c>
      <c r="P1399" s="35" t="b">
        <v>0</v>
      </c>
      <c r="Q1399" s="35" t="b">
        <v>0</v>
      </c>
      <c r="R1399" s="14"/>
      <c r="S1399" s="14"/>
      <c r="T1399" s="14"/>
      <c r="U1399" s="14"/>
      <c r="V1399" s="14"/>
      <c r="W1399" s="14"/>
    </row>
    <row r="1400" ht="31.5" customHeight="1">
      <c r="A1400" s="109" t="s">
        <v>15061</v>
      </c>
      <c r="B1400" s="110" t="s">
        <v>15062</v>
      </c>
      <c r="C1400" s="111" t="s">
        <v>15063</v>
      </c>
      <c r="D1400" s="28" t="s">
        <v>15064</v>
      </c>
      <c r="E1400" s="28" t="str">
        <f>IFERROR(__xludf.DUMMYFUNCTION("GOOGLETRANSLATE(D1400,""zh-CN"",""vi"")"),"Họ trượt xuống sườn đồi.")</f>
        <v>Họ trượt xuống sườn đồi.</v>
      </c>
      <c r="F1400" s="137"/>
      <c r="G1400" s="36" t="b">
        <f t="shared" si="1"/>
        <v>0</v>
      </c>
      <c r="H1400" s="35" t="b">
        <v>1</v>
      </c>
      <c r="I1400" s="35" t="b">
        <v>0</v>
      </c>
      <c r="J1400" s="35" t="b">
        <v>0</v>
      </c>
      <c r="K1400" s="35" t="b">
        <v>0</v>
      </c>
      <c r="L1400" s="35" t="b">
        <v>0</v>
      </c>
      <c r="M1400" s="35" t="b">
        <v>0</v>
      </c>
      <c r="N1400" s="35" t="b">
        <v>0</v>
      </c>
      <c r="O1400" s="35" t="b">
        <v>0</v>
      </c>
      <c r="P1400" s="35" t="b">
        <v>0</v>
      </c>
      <c r="Q1400" s="35" t="b">
        <v>0</v>
      </c>
      <c r="R1400" s="14"/>
      <c r="S1400" s="14"/>
      <c r="T1400" s="14"/>
      <c r="U1400" s="14"/>
      <c r="V1400" s="14"/>
      <c r="W1400" s="14"/>
    </row>
    <row r="1401" ht="31.5" customHeight="1">
      <c r="A1401" s="109" t="s">
        <v>15065</v>
      </c>
      <c r="B1401" s="110" t="s">
        <v>15062</v>
      </c>
      <c r="C1401" s="111" t="s">
        <v>15066</v>
      </c>
      <c r="D1401" s="28" t="s">
        <v>15067</v>
      </c>
      <c r="E1401" s="28" t="str">
        <f>IFERROR(__xludf.DUMMYFUNCTION("GOOGLETRANSLATE(D1401,""zh-CN"",""vi"")"),"Anh ta làm đổ nước xuống đất.")</f>
        <v>Anh ta làm đổ nước xuống đất.</v>
      </c>
      <c r="F1401" s="137"/>
      <c r="G1401" s="36" t="b">
        <f t="shared" si="1"/>
        <v>0</v>
      </c>
      <c r="H1401" s="35" t="b">
        <v>1</v>
      </c>
      <c r="I1401" s="35" t="b">
        <v>0</v>
      </c>
      <c r="J1401" s="35" t="b">
        <v>0</v>
      </c>
      <c r="K1401" s="35" t="b">
        <v>0</v>
      </c>
      <c r="L1401" s="35" t="b">
        <v>0</v>
      </c>
      <c r="M1401" s="35" t="b">
        <v>0</v>
      </c>
      <c r="N1401" s="35" t="b">
        <v>0</v>
      </c>
      <c r="O1401" s="35" t="b">
        <v>0</v>
      </c>
      <c r="P1401" s="35" t="b">
        <v>0</v>
      </c>
      <c r="Q1401" s="35" t="b">
        <v>0</v>
      </c>
      <c r="R1401" s="14"/>
      <c r="S1401" s="14"/>
      <c r="T1401" s="14"/>
      <c r="U1401" s="14"/>
      <c r="V1401" s="14"/>
      <c r="W1401" s="14"/>
    </row>
    <row r="1402" ht="31.5" customHeight="1">
      <c r="A1402" s="109" t="s">
        <v>15068</v>
      </c>
      <c r="B1402" s="110" t="s">
        <v>15062</v>
      </c>
      <c r="C1402" s="111" t="s">
        <v>15069</v>
      </c>
      <c r="D1402" s="28" t="s">
        <v>15070</v>
      </c>
      <c r="E1402" s="28" t="str">
        <f>IFERROR(__xludf.DUMMYFUNCTION("GOOGLETRANSLATE(D1402,""zh-CN"",""vi"")"),"Quan điểm của ông ấy khá gây tranh cãi.")</f>
        <v>Quan điểm của ông ấy khá gây tranh cãi.</v>
      </c>
      <c r="F1402" s="137"/>
      <c r="G1402" s="36" t="b">
        <f t="shared" si="1"/>
        <v>0</v>
      </c>
      <c r="H1402" s="35" t="b">
        <v>1</v>
      </c>
      <c r="I1402" s="35" t="b">
        <v>0</v>
      </c>
      <c r="J1402" s="35" t="b">
        <v>0</v>
      </c>
      <c r="K1402" s="35" t="b">
        <v>0</v>
      </c>
      <c r="L1402" s="35" t="b">
        <v>0</v>
      </c>
      <c r="M1402" s="35" t="b">
        <v>0</v>
      </c>
      <c r="N1402" s="35" t="b">
        <v>0</v>
      </c>
      <c r="O1402" s="35" t="b">
        <v>0</v>
      </c>
      <c r="P1402" s="35" t="b">
        <v>0</v>
      </c>
      <c r="Q1402" s="35" t="b">
        <v>0</v>
      </c>
      <c r="R1402" s="14"/>
      <c r="S1402" s="14"/>
      <c r="T1402" s="14"/>
      <c r="U1402" s="14"/>
      <c r="V1402" s="14"/>
      <c r="W1402" s="14"/>
    </row>
    <row r="1403" ht="31.5" customHeight="1">
      <c r="A1403" s="109" t="s">
        <v>15071</v>
      </c>
      <c r="B1403" s="110" t="s">
        <v>15072</v>
      </c>
      <c r="C1403" s="111" t="s">
        <v>15073</v>
      </c>
      <c r="D1403" s="28" t="s">
        <v>15074</v>
      </c>
      <c r="E1403" s="28" t="str">
        <f>IFERROR(__xludf.DUMMYFUNCTION("GOOGLETRANSLATE(D1403,""zh-CN"",""vi"")"),"Tôi nóng lòng muốn chia sẻ tin vui này với bạn.")</f>
        <v>Tôi nóng lòng muốn chia sẻ tin vui này với bạn.</v>
      </c>
      <c r="F1403" s="137"/>
      <c r="G1403" s="36" t="b">
        <f t="shared" si="1"/>
        <v>0</v>
      </c>
      <c r="H1403" s="35" t="b">
        <v>1</v>
      </c>
      <c r="I1403" s="35" t="b">
        <v>0</v>
      </c>
      <c r="J1403" s="35" t="b">
        <v>0</v>
      </c>
      <c r="K1403" s="35" t="b">
        <v>0</v>
      </c>
      <c r="L1403" s="35" t="b">
        <v>0</v>
      </c>
      <c r="M1403" s="35" t="b">
        <v>0</v>
      </c>
      <c r="N1403" s="35" t="b">
        <v>0</v>
      </c>
      <c r="O1403" s="35" t="b">
        <v>0</v>
      </c>
      <c r="P1403" s="35" t="b">
        <v>0</v>
      </c>
      <c r="Q1403" s="35" t="b">
        <v>0</v>
      </c>
      <c r="R1403" s="14"/>
      <c r="S1403" s="14"/>
      <c r="T1403" s="14"/>
      <c r="U1403" s="14"/>
      <c r="V1403" s="14"/>
      <c r="W1403" s="14"/>
    </row>
    <row r="1404" ht="31.5" customHeight="1">
      <c r="A1404" s="109" t="s">
        <v>15075</v>
      </c>
      <c r="B1404" s="110" t="s">
        <v>15076</v>
      </c>
      <c r="C1404" s="111" t="s">
        <v>15077</v>
      </c>
      <c r="D1404" s="28" t="s">
        <v>15078</v>
      </c>
      <c r="E1404" s="28" t="str">
        <f>IFERROR(__xludf.DUMMYFUNCTION("GOOGLETRANSLATE(D1404,""zh-CN"",""vi"")"),"Ông bị bức hại vì những phát ngôn của mình.")</f>
        <v>Ông bị bức hại vì những phát ngôn của mình.</v>
      </c>
      <c r="F1404" s="137"/>
      <c r="G1404" s="36" t="b">
        <f t="shared" si="1"/>
        <v>0</v>
      </c>
      <c r="H1404" s="35" t="b">
        <v>1</v>
      </c>
      <c r="I1404" s="35" t="b">
        <v>0</v>
      </c>
      <c r="J1404" s="35" t="b">
        <v>0</v>
      </c>
      <c r="K1404" s="35" t="b">
        <v>0</v>
      </c>
      <c r="L1404" s="35" t="b">
        <v>0</v>
      </c>
      <c r="M1404" s="35" t="b">
        <v>0</v>
      </c>
      <c r="N1404" s="35" t="b">
        <v>0</v>
      </c>
      <c r="O1404" s="35" t="b">
        <v>0</v>
      </c>
      <c r="P1404" s="35" t="b">
        <v>0</v>
      </c>
      <c r="Q1404" s="35" t="b">
        <v>0</v>
      </c>
      <c r="R1404" s="14"/>
      <c r="S1404" s="14"/>
      <c r="T1404" s="14"/>
      <c r="U1404" s="14"/>
      <c r="V1404" s="14"/>
      <c r="W1404" s="14"/>
    </row>
    <row r="1405" ht="31.5" customHeight="1">
      <c r="A1405" s="109" t="s">
        <v>15079</v>
      </c>
      <c r="B1405" s="110" t="s">
        <v>15080</v>
      </c>
      <c r="C1405" s="111" t="s">
        <v>15081</v>
      </c>
      <c r="D1405" s="28" t="s">
        <v>15082</v>
      </c>
      <c r="E1405" s="28" t="str">
        <f>IFERROR(__xludf.DUMMYFUNCTION("GOOGLETRANSLATE(D1405,""zh-CN"",""vi"")"),"Chúng tôi đã ngoại lệ và cho phép anh ấy tham gia lần này.")</f>
        <v>Chúng tôi đã ngoại lệ và cho phép anh ấy tham gia lần này.</v>
      </c>
      <c r="F1405" s="137"/>
      <c r="G1405" s="36" t="b">
        <f t="shared" si="1"/>
        <v>0</v>
      </c>
      <c r="H1405" s="35" t="b">
        <v>1</v>
      </c>
      <c r="I1405" s="35" t="b">
        <v>0</v>
      </c>
      <c r="J1405" s="35" t="b">
        <v>0</v>
      </c>
      <c r="K1405" s="35" t="b">
        <v>0</v>
      </c>
      <c r="L1405" s="35" t="b">
        <v>0</v>
      </c>
      <c r="M1405" s="35" t="b">
        <v>0</v>
      </c>
      <c r="N1405" s="35" t="b">
        <v>0</v>
      </c>
      <c r="O1405" s="35" t="b">
        <v>0</v>
      </c>
      <c r="P1405" s="35" t="b">
        <v>0</v>
      </c>
      <c r="Q1405" s="35" t="b">
        <v>0</v>
      </c>
      <c r="R1405" s="14"/>
      <c r="S1405" s="14"/>
      <c r="T1405" s="14"/>
      <c r="U1405" s="14"/>
      <c r="V1405" s="14"/>
      <c r="W1405" s="14"/>
    </row>
    <row r="1406" ht="31.5" customHeight="1">
      <c r="A1406" s="109" t="s">
        <v>15083</v>
      </c>
      <c r="B1406" s="110" t="s">
        <v>15080</v>
      </c>
      <c r="C1406" s="111" t="s">
        <v>15084</v>
      </c>
      <c r="D1406" s="28" t="s">
        <v>15085</v>
      </c>
      <c r="E1406" s="28" t="str">
        <f>IFERROR(__xludf.DUMMYFUNCTION("GOOGLETRANSLATE(D1406,""zh-CN"",""vi"")"),"Cô ấy rất dũng cảm.")</f>
        <v>Cô ấy rất dũng cảm.</v>
      </c>
      <c r="F1406" s="137"/>
      <c r="G1406" s="36" t="b">
        <f t="shared" si="1"/>
        <v>0</v>
      </c>
      <c r="H1406" s="35" t="b">
        <v>1</v>
      </c>
      <c r="I1406" s="35" t="b">
        <v>0</v>
      </c>
      <c r="J1406" s="35" t="b">
        <v>0</v>
      </c>
      <c r="K1406" s="35" t="b">
        <v>0</v>
      </c>
      <c r="L1406" s="35" t="b">
        <v>0</v>
      </c>
      <c r="M1406" s="35" t="b">
        <v>0</v>
      </c>
      <c r="N1406" s="35" t="b">
        <v>0</v>
      </c>
      <c r="O1406" s="35" t="b">
        <v>0</v>
      </c>
      <c r="P1406" s="35" t="b">
        <v>0</v>
      </c>
      <c r="Q1406" s="35" t="b">
        <v>0</v>
      </c>
      <c r="R1406" s="14"/>
      <c r="S1406" s="14"/>
      <c r="T1406" s="14"/>
      <c r="U1406" s="14"/>
      <c r="V1406" s="14"/>
      <c r="W1406" s="14"/>
    </row>
    <row r="1407" ht="31.5" customHeight="1">
      <c r="A1407" s="109" t="s">
        <v>15086</v>
      </c>
      <c r="B1407" s="110" t="s">
        <v>15087</v>
      </c>
      <c r="C1407" s="111" t="s">
        <v>15088</v>
      </c>
      <c r="D1407" s="28" t="s">
        <v>15089</v>
      </c>
      <c r="E1407" s="28" t="str">
        <f>IFERROR(__xludf.DUMMYFUNCTION("GOOGLETRANSLATE(D1407,""zh-CN"",""vi"")"),"Anh ta lao vào kẻ thù trước mặt.")</f>
        <v>Anh ta lao vào kẻ thù trước mặt.</v>
      </c>
      <c r="F1407" s="137"/>
      <c r="G1407" s="36" t="b">
        <f t="shared" si="1"/>
        <v>0</v>
      </c>
      <c r="H1407" s="35" t="b">
        <v>1</v>
      </c>
      <c r="I1407" s="35" t="b">
        <v>0</v>
      </c>
      <c r="J1407" s="35" t="b">
        <v>0</v>
      </c>
      <c r="K1407" s="35" t="b">
        <v>0</v>
      </c>
      <c r="L1407" s="35" t="b">
        <v>0</v>
      </c>
      <c r="M1407" s="35" t="b">
        <v>0</v>
      </c>
      <c r="N1407" s="35" t="b">
        <v>0</v>
      </c>
      <c r="O1407" s="35" t="b">
        <v>0</v>
      </c>
      <c r="P1407" s="35" t="b">
        <v>0</v>
      </c>
      <c r="Q1407" s="35" t="b">
        <v>0</v>
      </c>
      <c r="R1407" s="14"/>
      <c r="S1407" s="14"/>
      <c r="T1407" s="14"/>
      <c r="U1407" s="14"/>
      <c r="V1407" s="14"/>
      <c r="W1407" s="14"/>
    </row>
    <row r="1408" ht="31.5" customHeight="1">
      <c r="A1408" s="109" t="s">
        <v>15090</v>
      </c>
      <c r="B1408" s="110" t="s">
        <v>15087</v>
      </c>
      <c r="C1408" s="111" t="s">
        <v>15091</v>
      </c>
      <c r="D1408" s="28" t="s">
        <v>15092</v>
      </c>
      <c r="E1408" s="28" t="str">
        <f>IFERROR(__xludf.DUMMYFUNCTION("GOOGLETRANSLATE(D1408,""zh-CN"",""vi"")"),"Họ trải một tấm chăn xuống đất.")</f>
        <v>Họ trải một tấm chăn xuống đất.</v>
      </c>
      <c r="F1408" s="137"/>
      <c r="G1408" s="36" t="b">
        <f t="shared" si="1"/>
        <v>0</v>
      </c>
      <c r="H1408" s="35" t="b">
        <v>1</v>
      </c>
      <c r="I1408" s="35" t="b">
        <v>0</v>
      </c>
      <c r="J1408" s="35" t="b">
        <v>0</v>
      </c>
      <c r="K1408" s="35" t="b">
        <v>0</v>
      </c>
      <c r="L1408" s="35" t="b">
        <v>0</v>
      </c>
      <c r="M1408" s="35" t="b">
        <v>0</v>
      </c>
      <c r="N1408" s="35" t="b">
        <v>0</v>
      </c>
      <c r="O1408" s="35" t="b">
        <v>0</v>
      </c>
      <c r="P1408" s="35" t="b">
        <v>0</v>
      </c>
      <c r="Q1408" s="35" t="b">
        <v>0</v>
      </c>
      <c r="R1408" s="14"/>
      <c r="S1408" s="14"/>
      <c r="T1408" s="14"/>
      <c r="U1408" s="14"/>
      <c r="V1408" s="14"/>
      <c r="W1408" s="14"/>
    </row>
    <row r="1409" ht="31.5" customHeight="1">
      <c r="A1409" s="109" t="s">
        <v>15093</v>
      </c>
      <c r="B1409" s="110" t="s">
        <v>15094</v>
      </c>
      <c r="C1409" s="111" t="s">
        <v>15095</v>
      </c>
      <c r="D1409" s="28" t="s">
        <v>15096</v>
      </c>
      <c r="E1409" s="28" t="str">
        <f>IFERROR(__xludf.DUMMYFUNCTION("GOOGLETRANSLATE(D1409,""zh-CN"",""vi"")"),"Nội dung cuốn sách này rất được ưa chuộng.")</f>
        <v>Nội dung cuốn sách này rất được ưa chuộng.</v>
      </c>
      <c r="F1409" s="137"/>
      <c r="G1409" s="36" t="b">
        <f t="shared" si="1"/>
        <v>0</v>
      </c>
      <c r="H1409" s="35" t="b">
        <v>1</v>
      </c>
      <c r="I1409" s="35" t="b">
        <v>0</v>
      </c>
      <c r="J1409" s="35" t="b">
        <v>0</v>
      </c>
      <c r="K1409" s="35" t="b">
        <v>0</v>
      </c>
      <c r="L1409" s="35" t="b">
        <v>0</v>
      </c>
      <c r="M1409" s="35" t="b">
        <v>0</v>
      </c>
      <c r="N1409" s="35" t="b">
        <v>0</v>
      </c>
      <c r="O1409" s="35" t="b">
        <v>0</v>
      </c>
      <c r="P1409" s="35" t="b">
        <v>0</v>
      </c>
      <c r="Q1409" s="35" t="b">
        <v>0</v>
      </c>
      <c r="R1409" s="14"/>
      <c r="S1409" s="14"/>
      <c r="T1409" s="14"/>
      <c r="U1409" s="14"/>
      <c r="V1409" s="14"/>
      <c r="W1409" s="14"/>
    </row>
    <row r="1410" ht="31.5" customHeight="1">
      <c r="A1410" s="109" t="s">
        <v>15097</v>
      </c>
      <c r="B1410" s="110" t="s">
        <v>15098</v>
      </c>
      <c r="C1410" s="111" t="s">
        <v>15099</v>
      </c>
      <c r="D1410" s="28" t="s">
        <v>15100</v>
      </c>
      <c r="E1410" s="28" t="str">
        <f>IFERROR(__xludf.DUMMYFUNCTION("GOOGLETRANSLATE(D1410,""zh-CN"",""vi"")"),"Cuộc sống của ông ấy rất giản dị.")</f>
        <v>Cuộc sống của ông ấy rất giản dị.</v>
      </c>
      <c r="F1410" s="137"/>
      <c r="G1410" s="36" t="b">
        <f t="shared" si="1"/>
        <v>0</v>
      </c>
      <c r="H1410" s="35" t="b">
        <v>1</v>
      </c>
      <c r="I1410" s="35" t="b">
        <v>0</v>
      </c>
      <c r="J1410" s="35" t="b">
        <v>0</v>
      </c>
      <c r="K1410" s="35" t="b">
        <v>0</v>
      </c>
      <c r="L1410" s="35" t="b">
        <v>0</v>
      </c>
      <c r="M1410" s="35" t="b">
        <v>0</v>
      </c>
      <c r="N1410" s="35" t="b">
        <v>0</v>
      </c>
      <c r="O1410" s="35" t="b">
        <v>0</v>
      </c>
      <c r="P1410" s="35" t="b">
        <v>0</v>
      </c>
      <c r="Q1410" s="35" t="b">
        <v>0</v>
      </c>
      <c r="R1410" s="14"/>
      <c r="S1410" s="14"/>
      <c r="T1410" s="14"/>
      <c r="U1410" s="14"/>
      <c r="V1410" s="14"/>
      <c r="W1410" s="14"/>
    </row>
    <row r="1411" ht="31.5" customHeight="1">
      <c r="A1411" s="109" t="s">
        <v>15101</v>
      </c>
      <c r="B1411" s="110" t="s">
        <v>15102</v>
      </c>
      <c r="C1411" s="111" t="s">
        <v>15103</v>
      </c>
      <c r="D1411" s="28" t="s">
        <v>15104</v>
      </c>
      <c r="E1411" s="28" t="str">
        <f>IFERROR(__xludf.DUMMYFUNCTION("GOOGLETRANSLATE(D1411,""zh-CN"",""vi"")"),"Chúng tôi đã đến một thác nước tuyệt đẹp.")</f>
        <v>Chúng tôi đã đến một thác nước tuyệt đẹp.</v>
      </c>
      <c r="F1411" s="137"/>
      <c r="G1411" s="36" t="b">
        <f t="shared" si="1"/>
        <v>0</v>
      </c>
      <c r="H1411" s="35" t="b">
        <v>1</v>
      </c>
      <c r="I1411" s="35" t="b">
        <v>0</v>
      </c>
      <c r="J1411" s="35" t="b">
        <v>0</v>
      </c>
      <c r="K1411" s="35" t="b">
        <v>0</v>
      </c>
      <c r="L1411" s="35" t="b">
        <v>0</v>
      </c>
      <c r="M1411" s="35" t="b">
        <v>0</v>
      </c>
      <c r="N1411" s="35" t="b">
        <v>0</v>
      </c>
      <c r="O1411" s="35" t="b">
        <v>0</v>
      </c>
      <c r="P1411" s="35" t="b">
        <v>0</v>
      </c>
      <c r="Q1411" s="35" t="b">
        <v>0</v>
      </c>
      <c r="R1411" s="14"/>
      <c r="S1411" s="14"/>
      <c r="T1411" s="14"/>
      <c r="U1411" s="14"/>
      <c r="V1411" s="14"/>
      <c r="W1411" s="14"/>
    </row>
    <row r="1412" ht="31.5" customHeight="1">
      <c r="A1412" s="109" t="s">
        <v>15105</v>
      </c>
      <c r="B1412" s="110" t="s">
        <v>15106</v>
      </c>
      <c r="C1412" s="111" t="s">
        <v>15107</v>
      </c>
      <c r="D1412" s="28" t="s">
        <v>15108</v>
      </c>
      <c r="E1412" s="28" t="str">
        <f>IFERROR(__xludf.DUMMYFUNCTION("GOOGLETRANSLATE(D1412,""zh-CN"",""vi"")"),"Hắn ta luôn bắt nạt người yếu thế.")</f>
        <v>Hắn ta luôn bắt nạt người yếu thế.</v>
      </c>
      <c r="F1412" s="137"/>
      <c r="G1412" s="36" t="b">
        <f t="shared" si="1"/>
        <v>0</v>
      </c>
      <c r="H1412" s="35" t="b">
        <v>1</v>
      </c>
      <c r="I1412" s="35" t="b">
        <v>0</v>
      </c>
      <c r="J1412" s="35" t="b">
        <v>0</v>
      </c>
      <c r="K1412" s="35" t="b">
        <v>0</v>
      </c>
      <c r="L1412" s="35" t="b">
        <v>0</v>
      </c>
      <c r="M1412" s="35" t="b">
        <v>0</v>
      </c>
      <c r="N1412" s="35" t="b">
        <v>0</v>
      </c>
      <c r="O1412" s="35" t="b">
        <v>0</v>
      </c>
      <c r="P1412" s="35" t="b">
        <v>0</v>
      </c>
      <c r="Q1412" s="35" t="b">
        <v>0</v>
      </c>
      <c r="R1412" s="14"/>
      <c r="S1412" s="14"/>
      <c r="T1412" s="14"/>
      <c r="U1412" s="14"/>
      <c r="V1412" s="14"/>
      <c r="W1412" s="14"/>
    </row>
    <row r="1413" ht="31.5" customHeight="1">
      <c r="A1413" s="109" t="s">
        <v>15109</v>
      </c>
      <c r="B1413" s="110" t="s">
        <v>15110</v>
      </c>
      <c r="C1413" s="111" t="s">
        <v>15111</v>
      </c>
      <c r="D1413" s="28" t="s">
        <v>15112</v>
      </c>
      <c r="E1413" s="28" t="str">
        <f>IFERROR(__xludf.DUMMYFUNCTION("GOOGLETRANSLATE(D1413,""zh-CN"",""vi"")"),"Nơi này trông thật hoang vắng.")</f>
        <v>Nơi này trông thật hoang vắng.</v>
      </c>
      <c r="F1413" s="137"/>
      <c r="G1413" s="36" t="b">
        <f t="shared" si="1"/>
        <v>0</v>
      </c>
      <c r="H1413" s="35" t="b">
        <v>1</v>
      </c>
      <c r="I1413" s="35" t="b">
        <v>0</v>
      </c>
      <c r="J1413" s="35" t="b">
        <v>0</v>
      </c>
      <c r="K1413" s="35" t="b">
        <v>0</v>
      </c>
      <c r="L1413" s="35" t="b">
        <v>0</v>
      </c>
      <c r="M1413" s="35" t="b">
        <v>0</v>
      </c>
      <c r="N1413" s="35" t="b">
        <v>0</v>
      </c>
      <c r="O1413" s="35" t="b">
        <v>0</v>
      </c>
      <c r="P1413" s="35" t="b">
        <v>0</v>
      </c>
      <c r="Q1413" s="35" t="b">
        <v>0</v>
      </c>
      <c r="R1413" s="14"/>
      <c r="S1413" s="14"/>
      <c r="T1413" s="14"/>
      <c r="U1413" s="14"/>
      <c r="V1413" s="14"/>
      <c r="W1413" s="14"/>
    </row>
    <row r="1414" ht="31.5" customHeight="1">
      <c r="A1414" s="109" t="s">
        <v>15113</v>
      </c>
      <c r="B1414" s="110" t="s">
        <v>15114</v>
      </c>
      <c r="C1414" s="111" t="s">
        <v>15115</v>
      </c>
      <c r="D1414" s="28" t="s">
        <v>15116</v>
      </c>
      <c r="E1414" s="28" t="str">
        <f>IFERROR(__xludf.DUMMYFUNCTION("GOOGLETRANSLATE(D1414,""zh-CN"",""vi"")"),"Anh ta đã bị bạn mình lừa gạt.")</f>
        <v>Anh ta đã bị bạn mình lừa gạt.</v>
      </c>
      <c r="F1414" s="137"/>
      <c r="G1414" s="36" t="b">
        <f t="shared" si="1"/>
        <v>0</v>
      </c>
      <c r="H1414" s="35" t="b">
        <v>1</v>
      </c>
      <c r="I1414" s="35" t="b">
        <v>0</v>
      </c>
      <c r="J1414" s="35" t="b">
        <v>0</v>
      </c>
      <c r="K1414" s="35" t="b">
        <v>0</v>
      </c>
      <c r="L1414" s="35" t="b">
        <v>0</v>
      </c>
      <c r="M1414" s="35" t="b">
        <v>0</v>
      </c>
      <c r="N1414" s="35" t="b">
        <v>0</v>
      </c>
      <c r="O1414" s="35" t="b">
        <v>0</v>
      </c>
      <c r="P1414" s="35" t="b">
        <v>0</v>
      </c>
      <c r="Q1414" s="35" t="b">
        <v>0</v>
      </c>
      <c r="R1414" s="14"/>
      <c r="S1414" s="14"/>
      <c r="T1414" s="14"/>
      <c r="U1414" s="14"/>
      <c r="V1414" s="14"/>
      <c r="W1414" s="14"/>
    </row>
    <row r="1415" ht="31.5" customHeight="1">
      <c r="A1415" s="109" t="s">
        <v>15117</v>
      </c>
      <c r="B1415" s="110" t="s">
        <v>15118</v>
      </c>
      <c r="C1415" s="111" t="s">
        <v>15119</v>
      </c>
      <c r="D1415" s="28" t="s">
        <v>15120</v>
      </c>
      <c r="E1415" s="28" t="str">
        <f>IFERROR(__xludf.DUMMYFUNCTION("GOOGLETRANSLATE(D1415,""zh-CN"",""vi"")"),"Tôi đặt nhiều kỳ vọng vào bạn.")</f>
        <v>Tôi đặt nhiều kỳ vọng vào bạn.</v>
      </c>
      <c r="F1415" s="137"/>
      <c r="G1415" s="36" t="b">
        <f t="shared" si="1"/>
        <v>0</v>
      </c>
      <c r="H1415" s="35" t="b">
        <v>1</v>
      </c>
      <c r="I1415" s="35" t="b">
        <v>0</v>
      </c>
      <c r="J1415" s="35" t="b">
        <v>0</v>
      </c>
      <c r="K1415" s="35" t="b">
        <v>0</v>
      </c>
      <c r="L1415" s="35" t="b">
        <v>0</v>
      </c>
      <c r="M1415" s="35" t="b">
        <v>0</v>
      </c>
      <c r="N1415" s="35" t="b">
        <v>0</v>
      </c>
      <c r="O1415" s="35" t="b">
        <v>0</v>
      </c>
      <c r="P1415" s="35" t="b">
        <v>0</v>
      </c>
      <c r="Q1415" s="35" t="b">
        <v>0</v>
      </c>
      <c r="R1415" s="14"/>
      <c r="S1415" s="14"/>
      <c r="T1415" s="14"/>
      <c r="U1415" s="14"/>
      <c r="V1415" s="14"/>
      <c r="W1415" s="14"/>
    </row>
    <row r="1416" ht="31.5" customHeight="1">
      <c r="A1416" s="109" t="s">
        <v>15121</v>
      </c>
      <c r="B1416" s="110" t="s">
        <v>15122</v>
      </c>
      <c r="C1416" s="111" t="s">
        <v>15123</v>
      </c>
      <c r="D1416" s="28" t="s">
        <v>15124</v>
      </c>
      <c r="E1416" s="28" t="str">
        <f>IFERROR(__xludf.DUMMYFUNCTION("GOOGLETRANSLATE(D1416,""zh-CN"",""vi"")"),"Vui lòng hoàn thành nhiệm vụ trong thời hạn quy định.")</f>
        <v>Vui lòng hoàn thành nhiệm vụ trong thời hạn quy định.</v>
      </c>
      <c r="F1416" s="137"/>
      <c r="G1416" s="36" t="b">
        <f t="shared" si="1"/>
        <v>0</v>
      </c>
      <c r="H1416" s="35" t="b">
        <v>1</v>
      </c>
      <c r="I1416" s="35" t="b">
        <v>0</v>
      </c>
      <c r="J1416" s="35" t="b">
        <v>0</v>
      </c>
      <c r="K1416" s="35" t="b">
        <v>0</v>
      </c>
      <c r="L1416" s="35" t="b">
        <v>0</v>
      </c>
      <c r="M1416" s="35" t="b">
        <v>0</v>
      </c>
      <c r="N1416" s="35" t="b">
        <v>0</v>
      </c>
      <c r="O1416" s="35" t="b">
        <v>0</v>
      </c>
      <c r="P1416" s="35" t="b">
        <v>0</v>
      </c>
      <c r="Q1416" s="35" t="b">
        <v>0</v>
      </c>
      <c r="R1416" s="14"/>
      <c r="S1416" s="14"/>
      <c r="T1416" s="14"/>
      <c r="U1416" s="14"/>
      <c r="V1416" s="14"/>
      <c r="W1416" s="14"/>
    </row>
    <row r="1417" ht="31.5" customHeight="1">
      <c r="A1417" s="109" t="s">
        <v>15125</v>
      </c>
      <c r="B1417" s="110" t="s">
        <v>15126</v>
      </c>
      <c r="C1417" s="111" t="s">
        <v>15127</v>
      </c>
      <c r="D1417" s="28" t="s">
        <v>15128</v>
      </c>
      <c r="E1417" s="28" t="str">
        <f>IFERROR(__xludf.DUMMYFUNCTION("GOOGLETRANSLATE(D1417,""zh-CN"",""vi"")"),"Nơi này có rất nhiều điều tuyệt vời.")</f>
        <v>Nơi này có rất nhiều điều tuyệt vời.</v>
      </c>
      <c r="F1417" s="137"/>
      <c r="G1417" s="36" t="b">
        <f t="shared" si="1"/>
        <v>0</v>
      </c>
      <c r="H1417" s="35" t="b">
        <v>1</v>
      </c>
      <c r="I1417" s="35" t="b">
        <v>0</v>
      </c>
      <c r="J1417" s="35" t="b">
        <v>0</v>
      </c>
      <c r="K1417" s="35" t="b">
        <v>0</v>
      </c>
      <c r="L1417" s="35" t="b">
        <v>0</v>
      </c>
      <c r="M1417" s="35" t="b">
        <v>0</v>
      </c>
      <c r="N1417" s="35" t="b">
        <v>0</v>
      </c>
      <c r="O1417" s="35" t="b">
        <v>0</v>
      </c>
      <c r="P1417" s="35" t="b">
        <v>0</v>
      </c>
      <c r="Q1417" s="35" t="b">
        <v>0</v>
      </c>
      <c r="R1417" s="14"/>
      <c r="S1417" s="14"/>
      <c r="T1417" s="14"/>
      <c r="U1417" s="14"/>
      <c r="V1417" s="14"/>
      <c r="W1417" s="14"/>
    </row>
    <row r="1418" ht="31.5" customHeight="1">
      <c r="A1418" s="109" t="s">
        <v>15129</v>
      </c>
      <c r="B1418" s="110" t="s">
        <v>15130</v>
      </c>
      <c r="C1418" s="111" t="s">
        <v>15131</v>
      </c>
      <c r="D1418" s="28" t="s">
        <v>15132</v>
      </c>
      <c r="E1418" s="28" t="str">
        <f>IFERROR(__xludf.DUMMYFUNCTION("GOOGLETRANSLATE(D1418,""zh-CN"",""vi"")"),"Cô ấy mặc một chiếc sườn xám rất đẹp.")</f>
        <v>Cô ấy mặc một chiếc sườn xám rất đẹp.</v>
      </c>
      <c r="F1418" s="137"/>
      <c r="G1418" s="36" t="b">
        <f t="shared" si="1"/>
        <v>0</v>
      </c>
      <c r="H1418" s="35" t="b">
        <v>1</v>
      </c>
      <c r="I1418" s="35" t="b">
        <v>0</v>
      </c>
      <c r="J1418" s="35" t="b">
        <v>0</v>
      </c>
      <c r="K1418" s="35" t="b">
        <v>0</v>
      </c>
      <c r="L1418" s="35" t="b">
        <v>0</v>
      </c>
      <c r="M1418" s="35" t="b">
        <v>0</v>
      </c>
      <c r="N1418" s="35" t="b">
        <v>0</v>
      </c>
      <c r="O1418" s="35" t="b">
        <v>0</v>
      </c>
      <c r="P1418" s="35" t="b">
        <v>0</v>
      </c>
      <c r="Q1418" s="35" t="b">
        <v>0</v>
      </c>
      <c r="R1418" s="14"/>
      <c r="S1418" s="14"/>
      <c r="T1418" s="14"/>
      <c r="U1418" s="14"/>
      <c r="V1418" s="14"/>
      <c r="W1418" s="14"/>
    </row>
    <row r="1419" ht="31.5" customHeight="1">
      <c r="A1419" s="109" t="s">
        <v>15133</v>
      </c>
      <c r="B1419" s="110" t="s">
        <v>15134</v>
      </c>
      <c r="C1419" s="111" t="s">
        <v>15135</v>
      </c>
      <c r="D1419" s="28" t="s">
        <v>15136</v>
      </c>
      <c r="E1419" s="28" t="str">
        <f>IFERROR(__xludf.DUMMYFUNCTION("GOOGLETRANSLATE(D1419,""zh-CN"",""vi"")"),"Phòng này được trang bị đầy đủ.")</f>
        <v>Phòng này được trang bị đầy đủ.</v>
      </c>
      <c r="F1419" s="137"/>
      <c r="G1419" s="36" t="b">
        <f t="shared" si="1"/>
        <v>0</v>
      </c>
      <c r="H1419" s="35" t="b">
        <v>1</v>
      </c>
      <c r="I1419" s="35" t="b">
        <v>0</v>
      </c>
      <c r="J1419" s="35" t="b">
        <v>0</v>
      </c>
      <c r="K1419" s="35" t="b">
        <v>0</v>
      </c>
      <c r="L1419" s="35" t="b">
        <v>0</v>
      </c>
      <c r="M1419" s="35" t="b">
        <v>0</v>
      </c>
      <c r="N1419" s="35" t="b">
        <v>0</v>
      </c>
      <c r="O1419" s="35" t="b">
        <v>0</v>
      </c>
      <c r="P1419" s="35" t="b">
        <v>0</v>
      </c>
      <c r="Q1419" s="35" t="b">
        <v>0</v>
      </c>
      <c r="R1419" s="14"/>
      <c r="S1419" s="14"/>
      <c r="T1419" s="14"/>
      <c r="U1419" s="14"/>
      <c r="V1419" s="14"/>
      <c r="W1419" s="14"/>
    </row>
    <row r="1420" ht="31.5" customHeight="1">
      <c r="A1420" s="109" t="s">
        <v>15137</v>
      </c>
      <c r="B1420" s="110" t="s">
        <v>15138</v>
      </c>
      <c r="C1420" s="111" t="s">
        <v>15139</v>
      </c>
      <c r="D1420" s="28" t="s">
        <v>15140</v>
      </c>
      <c r="E1420" s="28" t="str">
        <f>IFERROR(__xludf.DUMMYFUNCTION("GOOGLETRANSLATE(D1420,""zh-CN"",""vi"")"),"Chúng ta phải xóa bỏ sự phân biệt đối xử.")</f>
        <v>Chúng ta phải xóa bỏ sự phân biệt đối xử.</v>
      </c>
      <c r="F1420" s="137"/>
      <c r="G1420" s="36" t="b">
        <f t="shared" si="1"/>
        <v>0</v>
      </c>
      <c r="H1420" s="35" t="b">
        <v>1</v>
      </c>
      <c r="I1420" s="35" t="b">
        <v>0</v>
      </c>
      <c r="J1420" s="35" t="b">
        <v>0</v>
      </c>
      <c r="K1420" s="35" t="b">
        <v>0</v>
      </c>
      <c r="L1420" s="35" t="b">
        <v>0</v>
      </c>
      <c r="M1420" s="35" t="b">
        <v>0</v>
      </c>
      <c r="N1420" s="35" t="b">
        <v>0</v>
      </c>
      <c r="O1420" s="35" t="b">
        <v>0</v>
      </c>
      <c r="P1420" s="35" t="b">
        <v>0</v>
      </c>
      <c r="Q1420" s="35" t="b">
        <v>0</v>
      </c>
      <c r="R1420" s="14"/>
      <c r="S1420" s="14"/>
      <c r="T1420" s="14"/>
      <c r="U1420" s="14"/>
      <c r="V1420" s="14"/>
      <c r="W1420" s="14"/>
    </row>
    <row r="1421" ht="31.5" customHeight="1">
      <c r="A1421" s="109" t="s">
        <v>15141</v>
      </c>
      <c r="B1421" s="110" t="s">
        <v>15142</v>
      </c>
      <c r="C1421" s="111" t="s">
        <v>15143</v>
      </c>
      <c r="D1421" s="28" t="s">
        <v>15144</v>
      </c>
      <c r="E1421" s="28" t="str">
        <f>IFERROR(__xludf.DUMMYFUNCTION("GOOGLETRANSLATE(D1421,""zh-CN"",""vi"")"),"Mọi người cùng nhau hợp tác để hoàn thành nhiệm vụ.")</f>
        <v>Mọi người cùng nhau hợp tác để hoàn thành nhiệm vụ.</v>
      </c>
      <c r="F1421" s="137"/>
      <c r="G1421" s="36" t="b">
        <f t="shared" si="1"/>
        <v>0</v>
      </c>
      <c r="H1421" s="35" t="b">
        <v>1</v>
      </c>
      <c r="I1421" s="35" t="b">
        <v>0</v>
      </c>
      <c r="J1421" s="35" t="b">
        <v>0</v>
      </c>
      <c r="K1421" s="35" t="b">
        <v>0</v>
      </c>
      <c r="L1421" s="35" t="b">
        <v>0</v>
      </c>
      <c r="M1421" s="35" t="b">
        <v>0</v>
      </c>
      <c r="N1421" s="35" t="b">
        <v>0</v>
      </c>
      <c r="O1421" s="35" t="b">
        <v>0</v>
      </c>
      <c r="P1421" s="35" t="b">
        <v>0</v>
      </c>
      <c r="Q1421" s="35" t="b">
        <v>0</v>
      </c>
      <c r="R1421" s="14"/>
      <c r="S1421" s="14"/>
      <c r="T1421" s="14"/>
      <c r="U1421" s="14"/>
      <c r="V1421" s="14"/>
      <c r="W1421" s="14"/>
    </row>
    <row r="1422" ht="31.5" customHeight="1">
      <c r="A1422" s="109" t="s">
        <v>15145</v>
      </c>
      <c r="B1422" s="110" t="s">
        <v>15146</v>
      </c>
      <c r="C1422" s="111" t="s">
        <v>15147</v>
      </c>
      <c r="D1422" s="28" t="s">
        <v>15148</v>
      </c>
      <c r="E1422" s="28" t="str">
        <f>IFERROR(__xludf.DUMMYFUNCTION("GOOGLETRANSLATE(D1422,""zh-CN"",""vi"")"),"Lá cờ tung bay trong gió.")</f>
        <v>Lá cờ tung bay trong gió.</v>
      </c>
      <c r="F1422" s="137"/>
      <c r="G1422" s="36" t="b">
        <f t="shared" si="1"/>
        <v>0</v>
      </c>
      <c r="H1422" s="35" t="b">
        <v>1</v>
      </c>
      <c r="I1422" s="35" t="b">
        <v>0</v>
      </c>
      <c r="J1422" s="35" t="b">
        <v>0</v>
      </c>
      <c r="K1422" s="35" t="b">
        <v>0</v>
      </c>
      <c r="L1422" s="35" t="b">
        <v>0</v>
      </c>
      <c r="M1422" s="35" t="b">
        <v>0</v>
      </c>
      <c r="N1422" s="35" t="b">
        <v>0</v>
      </c>
      <c r="O1422" s="35" t="b">
        <v>0</v>
      </c>
      <c r="P1422" s="35" t="b">
        <v>0</v>
      </c>
      <c r="Q1422" s="35" t="b">
        <v>0</v>
      </c>
      <c r="R1422" s="14"/>
      <c r="S1422" s="14"/>
      <c r="T1422" s="14"/>
      <c r="U1422" s="14"/>
      <c r="V1422" s="14"/>
      <c r="W1422" s="14"/>
    </row>
    <row r="1423" ht="31.5" customHeight="1">
      <c r="A1423" s="109" t="s">
        <v>15149</v>
      </c>
      <c r="B1423" s="110" t="s">
        <v>15150</v>
      </c>
      <c r="C1423" s="111" t="s">
        <v>15151</v>
      </c>
      <c r="D1423" s="28" t="s">
        <v>15152</v>
      </c>
      <c r="E1423" s="28" t="str">
        <f>IFERROR(__xludf.DUMMYFUNCTION("GOOGLETRANSLATE(D1423,""zh-CN"",""vi"")"),"Ông ấy chịu trách nhiệm soạn thảo văn bản này.")</f>
        <v>Ông ấy chịu trách nhiệm soạn thảo văn bản này.</v>
      </c>
      <c r="F1423" s="137"/>
      <c r="G1423" s="36" t="b">
        <f t="shared" si="1"/>
        <v>0</v>
      </c>
      <c r="H1423" s="35" t="b">
        <v>1</v>
      </c>
      <c r="I1423" s="35" t="b">
        <v>0</v>
      </c>
      <c r="J1423" s="35" t="b">
        <v>0</v>
      </c>
      <c r="K1423" s="35" t="b">
        <v>0</v>
      </c>
      <c r="L1423" s="35" t="b">
        <v>0</v>
      </c>
      <c r="M1423" s="35" t="b">
        <v>0</v>
      </c>
      <c r="N1423" s="35" t="b">
        <v>0</v>
      </c>
      <c r="O1423" s="35" t="b">
        <v>0</v>
      </c>
      <c r="P1423" s="35" t="b">
        <v>0</v>
      </c>
      <c r="Q1423" s="35" t="b">
        <v>0</v>
      </c>
      <c r="R1423" s="14"/>
      <c r="S1423" s="14"/>
      <c r="T1423" s="14"/>
      <c r="U1423" s="14"/>
      <c r="V1423" s="14"/>
      <c r="W1423" s="14"/>
    </row>
    <row r="1424" ht="31.5" customHeight="1">
      <c r="A1424" s="109" t="s">
        <v>15153</v>
      </c>
      <c r="B1424" s="110" t="s">
        <v>15154</v>
      </c>
      <c r="C1424" s="111" t="s">
        <v>15155</v>
      </c>
      <c r="D1424" s="28" t="s">
        <v>15156</v>
      </c>
      <c r="E1424" s="28" t="str">
        <f>IFERROR(__xludf.DUMMYFUNCTION("GOOGLETRANSLATE(D1424,""zh-CN"",""vi"")"),"Chúng tôi sẽ khởi hành chuyến đi vào ngày mai.")</f>
        <v>Chúng tôi sẽ khởi hành chuyến đi vào ngày mai.</v>
      </c>
      <c r="F1424" s="137"/>
      <c r="G1424" s="36" t="b">
        <f t="shared" si="1"/>
        <v>0</v>
      </c>
      <c r="H1424" s="35" t="b">
        <v>1</v>
      </c>
      <c r="I1424" s="35" t="b">
        <v>0</v>
      </c>
      <c r="J1424" s="35" t="b">
        <v>0</v>
      </c>
      <c r="K1424" s="35" t="b">
        <v>0</v>
      </c>
      <c r="L1424" s="35" t="b">
        <v>0</v>
      </c>
      <c r="M1424" s="35" t="b">
        <v>0</v>
      </c>
      <c r="N1424" s="35" t="b">
        <v>0</v>
      </c>
      <c r="O1424" s="35" t="b">
        <v>0</v>
      </c>
      <c r="P1424" s="35" t="b">
        <v>0</v>
      </c>
      <c r="Q1424" s="35" t="b">
        <v>0</v>
      </c>
      <c r="R1424" s="14"/>
      <c r="S1424" s="14"/>
      <c r="T1424" s="14"/>
      <c r="U1424" s="14"/>
      <c r="V1424" s="14"/>
      <c r="W1424" s="14"/>
    </row>
    <row r="1425" ht="31.5" customHeight="1">
      <c r="A1425" s="109" t="s">
        <v>15157</v>
      </c>
      <c r="B1425" s="110" t="s">
        <v>15158</v>
      </c>
      <c r="C1425" s="111" t="s">
        <v>15159</v>
      </c>
      <c r="D1425" s="28" t="s">
        <v>15160</v>
      </c>
      <c r="E1425" s="28" t="str">
        <f>IFERROR(__xludf.DUMMYFUNCTION("GOOGLETRANSLATE(D1425,""zh-CN"",""vi"")"),"Ban đầu, anh ấy tỏ ra lưỡng lự.")</f>
        <v>Ban đầu, anh ấy tỏ ra lưỡng lự.</v>
      </c>
      <c r="F1425" s="137"/>
      <c r="G1425" s="36" t="b">
        <f t="shared" si="1"/>
        <v>0</v>
      </c>
      <c r="H1425" s="35" t="b">
        <v>1</v>
      </c>
      <c r="I1425" s="35" t="b">
        <v>0</v>
      </c>
      <c r="J1425" s="35" t="b">
        <v>0</v>
      </c>
      <c r="K1425" s="35" t="b">
        <v>0</v>
      </c>
      <c r="L1425" s="35" t="b">
        <v>0</v>
      </c>
      <c r="M1425" s="35" t="b">
        <v>0</v>
      </c>
      <c r="N1425" s="35" t="b">
        <v>0</v>
      </c>
      <c r="O1425" s="35" t="b">
        <v>0</v>
      </c>
      <c r="P1425" s="35" t="b">
        <v>0</v>
      </c>
      <c r="Q1425" s="35" t="b">
        <v>0</v>
      </c>
      <c r="R1425" s="14"/>
      <c r="S1425" s="14"/>
      <c r="T1425" s="14"/>
      <c r="U1425" s="14"/>
      <c r="V1425" s="14"/>
      <c r="W1425" s="14"/>
    </row>
    <row r="1426" ht="31.5" customHeight="1">
      <c r="A1426" s="109" t="s">
        <v>15161</v>
      </c>
      <c r="B1426" s="110" t="s">
        <v>15162</v>
      </c>
      <c r="C1426" s="111" t="s">
        <v>15163</v>
      </c>
      <c r="D1426" s="28" t="s">
        <v>15164</v>
      </c>
      <c r="E1426" s="28" t="str">
        <f>IFERROR(__xludf.DUMMYFUNCTION("GOOGLETRANSLATE(D1426,""zh-CN"",""vi"")"),"Con đường gồ ghề.")</f>
        <v>Con đường gồ ghề.</v>
      </c>
      <c r="F1426" s="137"/>
      <c r="G1426" s="36" t="b">
        <f t="shared" si="1"/>
        <v>0</v>
      </c>
      <c r="H1426" s="35" t="b">
        <v>1</v>
      </c>
      <c r="I1426" s="35" t="b">
        <v>0</v>
      </c>
      <c r="J1426" s="35" t="b">
        <v>0</v>
      </c>
      <c r="K1426" s="35" t="b">
        <v>0</v>
      </c>
      <c r="L1426" s="35" t="b">
        <v>0</v>
      </c>
      <c r="M1426" s="35" t="b">
        <v>0</v>
      </c>
      <c r="N1426" s="35" t="b">
        <v>0</v>
      </c>
      <c r="O1426" s="35" t="b">
        <v>0</v>
      </c>
      <c r="P1426" s="35" t="b">
        <v>0</v>
      </c>
      <c r="Q1426" s="35" t="b">
        <v>0</v>
      </c>
      <c r="R1426" s="14"/>
      <c r="S1426" s="14"/>
      <c r="T1426" s="14"/>
      <c r="U1426" s="14"/>
      <c r="V1426" s="14"/>
      <c r="W1426" s="14"/>
    </row>
    <row r="1427" ht="31.5" customHeight="1">
      <c r="A1427" s="109" t="s">
        <v>15165</v>
      </c>
      <c r="B1427" s="110" t="s">
        <v>15166</v>
      </c>
      <c r="C1427" s="111" t="s">
        <v>15167</v>
      </c>
      <c r="D1427" s="28" t="s">
        <v>15168</v>
      </c>
      <c r="E1427" s="28" t="str">
        <f>IFERROR(__xludf.DUMMYFUNCTION("GOOGLETRANSLATE(D1427,""zh-CN"",""vi"")"),"Một người ăn xin đang xin tiền trên đường phố.")</f>
        <v>Một người ăn xin đang xin tiền trên đường phố.</v>
      </c>
      <c r="F1427" s="137"/>
      <c r="G1427" s="36" t="b">
        <f t="shared" si="1"/>
        <v>0</v>
      </c>
      <c r="H1427" s="35" t="b">
        <v>1</v>
      </c>
      <c r="I1427" s="35" t="b">
        <v>0</v>
      </c>
      <c r="J1427" s="35" t="b">
        <v>0</v>
      </c>
      <c r="K1427" s="35" t="b">
        <v>0</v>
      </c>
      <c r="L1427" s="35" t="b">
        <v>0</v>
      </c>
      <c r="M1427" s="35" t="b">
        <v>0</v>
      </c>
      <c r="N1427" s="35" t="b">
        <v>0</v>
      </c>
      <c r="O1427" s="35" t="b">
        <v>0</v>
      </c>
      <c r="P1427" s="35" t="b">
        <v>0</v>
      </c>
      <c r="Q1427" s="35" t="b">
        <v>0</v>
      </c>
      <c r="R1427" s="14"/>
      <c r="S1427" s="14"/>
      <c r="T1427" s="14"/>
      <c r="U1427" s="14"/>
      <c r="V1427" s="14"/>
      <c r="W1427" s="14"/>
    </row>
    <row r="1428" ht="31.5" customHeight="1">
      <c r="A1428" s="109" t="s">
        <v>15169</v>
      </c>
      <c r="B1428" s="110" t="s">
        <v>15170</v>
      </c>
      <c r="C1428" s="111" t="s">
        <v>15171</v>
      </c>
      <c r="D1428" s="28" t="s">
        <v>15172</v>
      </c>
      <c r="E1428" s="28" t="str">
        <f>IFERROR(__xludf.DUMMYFUNCTION("GOOGLETRANSLATE(D1428,""zh-CN"",""vi"")"),"Bọn trẻ đang làm ầm ĩ.")</f>
        <v>Bọn trẻ đang làm ầm ĩ.</v>
      </c>
      <c r="F1428" s="137"/>
      <c r="G1428" s="36" t="b">
        <f t="shared" si="1"/>
        <v>0</v>
      </c>
      <c r="H1428" s="35" t="b">
        <v>1</v>
      </c>
      <c r="I1428" s="35" t="b">
        <v>0</v>
      </c>
      <c r="J1428" s="35" t="b">
        <v>0</v>
      </c>
      <c r="K1428" s="35" t="b">
        <v>0</v>
      </c>
      <c r="L1428" s="35" t="b">
        <v>0</v>
      </c>
      <c r="M1428" s="35" t="b">
        <v>0</v>
      </c>
      <c r="N1428" s="35" t="b">
        <v>0</v>
      </c>
      <c r="O1428" s="35" t="b">
        <v>0</v>
      </c>
      <c r="P1428" s="35" t="b">
        <v>0</v>
      </c>
      <c r="Q1428" s="35" t="b">
        <v>0</v>
      </c>
      <c r="R1428" s="14"/>
      <c r="S1428" s="14"/>
      <c r="T1428" s="14"/>
      <c r="U1428" s="14"/>
      <c r="V1428" s="14"/>
      <c r="W1428" s="14"/>
    </row>
    <row r="1429" ht="31.5" customHeight="1">
      <c r="A1429" s="109" t="s">
        <v>15173</v>
      </c>
      <c r="B1429" s="110" t="s">
        <v>15174</v>
      </c>
      <c r="C1429" s="111" t="s">
        <v>15175</v>
      </c>
      <c r="D1429" s="28" t="s">
        <v>15176</v>
      </c>
      <c r="E1429" s="28" t="str">
        <f>IFERROR(__xludf.DUMMYFUNCTION("GOOGLETRANSLATE(D1429,""zh-CN"",""vi"")"),"Ít nhất bạn cũng nên xin lỗi.")</f>
        <v>Ít nhất bạn cũng nên xin lỗi.</v>
      </c>
      <c r="F1429" s="137"/>
      <c r="G1429" s="36" t="b">
        <f t="shared" si="1"/>
        <v>0</v>
      </c>
      <c r="H1429" s="35" t="b">
        <v>1</v>
      </c>
      <c r="I1429" s="35" t="b">
        <v>0</v>
      </c>
      <c r="J1429" s="35" t="b">
        <v>0</v>
      </c>
      <c r="K1429" s="35" t="b">
        <v>0</v>
      </c>
      <c r="L1429" s="35" t="b">
        <v>0</v>
      </c>
      <c r="M1429" s="35" t="b">
        <v>0</v>
      </c>
      <c r="N1429" s="35" t="b">
        <v>0</v>
      </c>
      <c r="O1429" s="35" t="b">
        <v>0</v>
      </c>
      <c r="P1429" s="35" t="b">
        <v>0</v>
      </c>
      <c r="Q1429" s="35" t="b">
        <v>0</v>
      </c>
      <c r="R1429" s="14"/>
      <c r="S1429" s="14"/>
      <c r="T1429" s="14"/>
      <c r="U1429" s="14"/>
      <c r="V1429" s="14"/>
      <c r="W1429" s="14"/>
    </row>
    <row r="1430" ht="31.5" customHeight="1">
      <c r="A1430" s="109" t="s">
        <v>15177</v>
      </c>
      <c r="B1430" s="110" t="s">
        <v>15178</v>
      </c>
      <c r="C1430" s="111" t="s">
        <v>15179</v>
      </c>
      <c r="D1430" s="28" t="s">
        <v>15180</v>
      </c>
      <c r="E1430" s="28" t="str">
        <f>IFERROR(__xludf.DUMMYFUNCTION("GOOGLETRANSLATE(D1430,""zh-CN"",""vi"")"),"Sự việc này đã giúp tôi hiểu ra rất nhiều điều.")</f>
        <v>Sự việc này đã giúp tôi hiểu ra rất nhiều điều.</v>
      </c>
      <c r="F1430" s="137"/>
      <c r="G1430" s="36" t="b">
        <f t="shared" si="1"/>
        <v>0</v>
      </c>
      <c r="H1430" s="35" t="b">
        <v>1</v>
      </c>
      <c r="I1430" s="35" t="b">
        <v>0</v>
      </c>
      <c r="J1430" s="35" t="b">
        <v>0</v>
      </c>
      <c r="K1430" s="35" t="b">
        <v>0</v>
      </c>
      <c r="L1430" s="35" t="b">
        <v>0</v>
      </c>
      <c r="M1430" s="35" t="b">
        <v>0</v>
      </c>
      <c r="N1430" s="35" t="b">
        <v>0</v>
      </c>
      <c r="O1430" s="35" t="b">
        <v>0</v>
      </c>
      <c r="P1430" s="35" t="b">
        <v>0</v>
      </c>
      <c r="Q1430" s="35" t="b">
        <v>0</v>
      </c>
      <c r="R1430" s="14"/>
      <c r="S1430" s="14"/>
      <c r="T1430" s="14"/>
      <c r="U1430" s="14"/>
      <c r="V1430" s="14"/>
      <c r="W1430" s="14"/>
    </row>
    <row r="1431" ht="31.5" customHeight="1">
      <c r="A1431" s="109" t="s">
        <v>15181</v>
      </c>
      <c r="B1431" s="110" t="s">
        <v>15178</v>
      </c>
      <c r="C1431" s="111" t="s">
        <v>15182</v>
      </c>
      <c r="D1431" s="28" t="s">
        <v>15183</v>
      </c>
      <c r="E1431" s="28" t="str">
        <f>IFERROR(__xludf.DUMMYFUNCTION("GOOGLETRANSLATE(D1431,""zh-CN"",""vi"")"),"Một thông báo đã được dán trên bảng tin.")</f>
        <v>Một thông báo đã được dán trên bảng tin.</v>
      </c>
      <c r="F1431" s="137"/>
      <c r="G1431" s="36" t="b">
        <f t="shared" si="1"/>
        <v>0</v>
      </c>
      <c r="H1431" s="35" t="b">
        <v>1</v>
      </c>
      <c r="I1431" s="35" t="b">
        <v>0</v>
      </c>
      <c r="J1431" s="35" t="b">
        <v>0</v>
      </c>
      <c r="K1431" s="35" t="b">
        <v>0</v>
      </c>
      <c r="L1431" s="35" t="b">
        <v>0</v>
      </c>
      <c r="M1431" s="35" t="b">
        <v>0</v>
      </c>
      <c r="N1431" s="35" t="b">
        <v>0</v>
      </c>
      <c r="O1431" s="35" t="b">
        <v>0</v>
      </c>
      <c r="P1431" s="35" t="b">
        <v>0</v>
      </c>
      <c r="Q1431" s="35" t="b">
        <v>0</v>
      </c>
      <c r="R1431" s="14"/>
      <c r="S1431" s="14"/>
      <c r="T1431" s="14"/>
      <c r="U1431" s="14"/>
      <c r="V1431" s="14"/>
      <c r="W1431" s="14"/>
    </row>
    <row r="1432" ht="31.5" customHeight="1">
      <c r="A1432" s="109" t="s">
        <v>15184</v>
      </c>
      <c r="B1432" s="110" t="s">
        <v>15185</v>
      </c>
      <c r="C1432" s="111" t="s">
        <v>15186</v>
      </c>
      <c r="D1432" s="28" t="s">
        <v>15187</v>
      </c>
      <c r="E1432" s="28" t="str">
        <f>IFERROR(__xludf.DUMMYFUNCTION("GOOGLETRANSLATE(D1432,""zh-CN"",""vi"")"),"Họ đã lên kế hoạch cho một cuộc nổi dậy.")</f>
        <v>Họ đã lên kế hoạch cho một cuộc nổi dậy.</v>
      </c>
      <c r="F1432" s="137"/>
      <c r="G1432" s="36" t="b">
        <f t="shared" si="1"/>
        <v>0</v>
      </c>
      <c r="H1432" s="35" t="b">
        <v>1</v>
      </c>
      <c r="I1432" s="35" t="b">
        <v>0</v>
      </c>
      <c r="J1432" s="35" t="b">
        <v>0</v>
      </c>
      <c r="K1432" s="35" t="b">
        <v>0</v>
      </c>
      <c r="L1432" s="35" t="b">
        <v>0</v>
      </c>
      <c r="M1432" s="35" t="b">
        <v>0</v>
      </c>
      <c r="N1432" s="35" t="b">
        <v>0</v>
      </c>
      <c r="O1432" s="35" t="b">
        <v>0</v>
      </c>
      <c r="P1432" s="35" t="b">
        <v>0</v>
      </c>
      <c r="Q1432" s="35" t="b">
        <v>0</v>
      </c>
      <c r="R1432" s="14"/>
      <c r="S1432" s="14"/>
      <c r="T1432" s="14"/>
      <c r="U1432" s="14"/>
      <c r="V1432" s="14"/>
      <c r="W1432" s="14"/>
    </row>
    <row r="1433" ht="31.5" customHeight="1">
      <c r="A1433" s="109" t="s">
        <v>15188</v>
      </c>
      <c r="B1433" s="110" t="s">
        <v>15189</v>
      </c>
      <c r="C1433" s="111" t="s">
        <v>15190</v>
      </c>
      <c r="D1433" s="28" t="s">
        <v>15191</v>
      </c>
      <c r="E1433" s="28" t="str">
        <f>IFERROR(__xludf.DUMMYFUNCTION("GOOGLETRANSLATE(D1433,""zh-CN"",""vi"")"),"Hành vi này hoàn toàn vô lý.")</f>
        <v>Hành vi này hoàn toàn vô lý.</v>
      </c>
      <c r="F1433" s="137"/>
      <c r="G1433" s="36" t="b">
        <f t="shared" si="1"/>
        <v>0</v>
      </c>
      <c r="H1433" s="35" t="b">
        <v>1</v>
      </c>
      <c r="I1433" s="35" t="b">
        <v>0</v>
      </c>
      <c r="J1433" s="35" t="b">
        <v>0</v>
      </c>
      <c r="K1433" s="35" t="b">
        <v>0</v>
      </c>
      <c r="L1433" s="35" t="b">
        <v>0</v>
      </c>
      <c r="M1433" s="35" t="b">
        <v>0</v>
      </c>
      <c r="N1433" s="35" t="b">
        <v>0</v>
      </c>
      <c r="O1433" s="35" t="b">
        <v>0</v>
      </c>
      <c r="P1433" s="35" t="b">
        <v>0</v>
      </c>
      <c r="Q1433" s="35" t="b">
        <v>0</v>
      </c>
      <c r="R1433" s="14"/>
      <c r="S1433" s="14"/>
      <c r="T1433" s="14"/>
      <c r="U1433" s="14"/>
      <c r="V1433" s="14"/>
      <c r="W1433" s="14"/>
    </row>
    <row r="1434" ht="31.5" customHeight="1">
      <c r="A1434" s="109" t="s">
        <v>15192</v>
      </c>
      <c r="B1434" s="110" t="s">
        <v>15193</v>
      </c>
      <c r="C1434" s="111" t="s">
        <v>15194</v>
      </c>
      <c r="D1434" s="28" t="s">
        <v>15195</v>
      </c>
      <c r="E1434" s="28" t="str">
        <f>IFERROR(__xludf.DUMMYFUNCTION("GOOGLETRANSLATE(D1434,""zh-CN"",""vi"")"),"Văn hóa bắt nguồn từ cuộc sống.")</f>
        <v>Văn hóa bắt nguồn từ cuộc sống.</v>
      </c>
      <c r="F1434" s="137"/>
      <c r="G1434" s="36" t="b">
        <f t="shared" si="1"/>
        <v>0</v>
      </c>
      <c r="H1434" s="35" t="b">
        <v>1</v>
      </c>
      <c r="I1434" s="35" t="b">
        <v>0</v>
      </c>
      <c r="J1434" s="35" t="b">
        <v>0</v>
      </c>
      <c r="K1434" s="35" t="b">
        <v>0</v>
      </c>
      <c r="L1434" s="35" t="b">
        <v>0</v>
      </c>
      <c r="M1434" s="35" t="b">
        <v>0</v>
      </c>
      <c r="N1434" s="35" t="b">
        <v>0</v>
      </c>
      <c r="O1434" s="35" t="b">
        <v>0</v>
      </c>
      <c r="P1434" s="35" t="b">
        <v>0</v>
      </c>
      <c r="Q1434" s="35" t="b">
        <v>0</v>
      </c>
      <c r="R1434" s="14"/>
      <c r="S1434" s="14"/>
      <c r="T1434" s="14"/>
      <c r="U1434" s="14"/>
      <c r="V1434" s="14"/>
      <c r="W1434" s="14"/>
    </row>
    <row r="1435" ht="31.5" customHeight="1">
      <c r="A1435" s="109" t="s">
        <v>15196</v>
      </c>
      <c r="B1435" s="110" t="s">
        <v>15197</v>
      </c>
      <c r="C1435" s="111" t="s">
        <v>15198</v>
      </c>
      <c r="D1435" s="28" t="s">
        <v>15199</v>
      </c>
      <c r="E1435" s="28" t="str">
        <f>IFERROR(__xludf.DUMMYFUNCTION("GOOGLETRANSLATE(D1435,""zh-CN"",""vi"")"),"Các thiết bị tập luyện đã sẵn sàng.")</f>
        <v>Các thiết bị tập luyện đã sẵn sàng.</v>
      </c>
      <c r="F1435" s="137"/>
      <c r="G1435" s="36" t="b">
        <f t="shared" si="1"/>
        <v>0</v>
      </c>
      <c r="H1435" s="35" t="b">
        <v>1</v>
      </c>
      <c r="I1435" s="35" t="b">
        <v>0</v>
      </c>
      <c r="J1435" s="35" t="b">
        <v>0</v>
      </c>
      <c r="K1435" s="35" t="b">
        <v>0</v>
      </c>
      <c r="L1435" s="35" t="b">
        <v>0</v>
      </c>
      <c r="M1435" s="35" t="b">
        <v>0</v>
      </c>
      <c r="N1435" s="35" t="b">
        <v>0</v>
      </c>
      <c r="O1435" s="35" t="b">
        <v>0</v>
      </c>
      <c r="P1435" s="35" t="b">
        <v>0</v>
      </c>
      <c r="Q1435" s="35" t="b">
        <v>0</v>
      </c>
      <c r="R1435" s="14"/>
      <c r="S1435" s="14"/>
      <c r="T1435" s="14"/>
      <c r="U1435" s="14"/>
      <c r="V1435" s="14"/>
      <c r="W1435" s="14"/>
    </row>
    <row r="1436" ht="31.5" customHeight="1">
      <c r="A1436" s="109" t="s">
        <v>15200</v>
      </c>
      <c r="B1436" s="110" t="s">
        <v>15201</v>
      </c>
      <c r="C1436" s="111" t="s">
        <v>15202</v>
      </c>
      <c r="D1436" s="28" t="s">
        <v>15203</v>
      </c>
      <c r="E1436" s="28" t="str">
        <f>IFERROR(__xludf.DUMMYFUNCTION("GOOGLETRANSLATE(D1436,""zh-CN"",""vi"")"),"Anh ấy rất dũng cảm.")</f>
        <v>Anh ấy rất dũng cảm.</v>
      </c>
      <c r="F1436" s="137"/>
      <c r="G1436" s="36" t="b">
        <f t="shared" si="1"/>
        <v>0</v>
      </c>
      <c r="H1436" s="35" t="b">
        <v>1</v>
      </c>
      <c r="I1436" s="35" t="b">
        <v>0</v>
      </c>
      <c r="J1436" s="35" t="b">
        <v>0</v>
      </c>
      <c r="K1436" s="35" t="b">
        <v>0</v>
      </c>
      <c r="L1436" s="35" t="b">
        <v>0</v>
      </c>
      <c r="M1436" s="35" t="b">
        <v>0</v>
      </c>
      <c r="N1436" s="35" t="b">
        <v>0</v>
      </c>
      <c r="O1436" s="35" t="b">
        <v>0</v>
      </c>
      <c r="P1436" s="35" t="b">
        <v>0</v>
      </c>
      <c r="Q1436" s="35" t="b">
        <v>0</v>
      </c>
      <c r="R1436" s="14"/>
      <c r="S1436" s="14"/>
      <c r="T1436" s="14"/>
      <c r="U1436" s="14"/>
      <c r="V1436" s="14"/>
      <c r="W1436" s="14"/>
    </row>
    <row r="1437" ht="31.5" customHeight="1">
      <c r="A1437" s="109" t="s">
        <v>15204</v>
      </c>
      <c r="B1437" s="110" t="s">
        <v>15205</v>
      </c>
      <c r="C1437" s="111" t="s">
        <v>15206</v>
      </c>
      <c r="D1437" s="28" t="s">
        <v>15207</v>
      </c>
      <c r="E1437" s="28" t="str">
        <f>IFERROR(__xludf.DUMMYFUNCTION("GOOGLETRANSLATE(D1437,""zh-CN"",""vi"")"),"Anh ấy đang tập khí công.")</f>
        <v>Anh ấy đang tập khí công.</v>
      </c>
      <c r="F1437" s="137"/>
      <c r="G1437" s="36" t="b">
        <f t="shared" si="1"/>
        <v>0</v>
      </c>
      <c r="H1437" s="35" t="b">
        <v>1</v>
      </c>
      <c r="I1437" s="35" t="b">
        <v>0</v>
      </c>
      <c r="J1437" s="35" t="b">
        <v>0</v>
      </c>
      <c r="K1437" s="35" t="b">
        <v>0</v>
      </c>
      <c r="L1437" s="35" t="b">
        <v>0</v>
      </c>
      <c r="M1437" s="35" t="b">
        <v>0</v>
      </c>
      <c r="N1437" s="35" t="b">
        <v>0</v>
      </c>
      <c r="O1437" s="35" t="b">
        <v>0</v>
      </c>
      <c r="P1437" s="35" t="b">
        <v>0</v>
      </c>
      <c r="Q1437" s="35" t="b">
        <v>0</v>
      </c>
      <c r="R1437" s="14"/>
      <c r="S1437" s="14"/>
      <c r="T1437" s="14"/>
      <c r="U1437" s="14"/>
      <c r="V1437" s="14"/>
      <c r="W1437" s="14"/>
    </row>
    <row r="1438" ht="31.5" customHeight="1">
      <c r="A1438" s="109" t="s">
        <v>15208</v>
      </c>
      <c r="B1438" s="110" t="s">
        <v>15209</v>
      </c>
      <c r="C1438" s="111" t="s">
        <v>15210</v>
      </c>
      <c r="D1438" s="28" t="s">
        <v>15211</v>
      </c>
      <c r="E1438" s="28" t="str">
        <f>IFERROR(__xludf.DUMMYFUNCTION("GOOGLETRANSLATE(D1438,""zh-CN"",""vi"")"),"Cơ thể người có rất nhiều cơ quan phức tạp.")</f>
        <v>Cơ thể người có rất nhiều cơ quan phức tạp.</v>
      </c>
      <c r="F1438" s="137"/>
      <c r="G1438" s="36" t="b">
        <f t="shared" si="1"/>
        <v>0</v>
      </c>
      <c r="H1438" s="35" t="b">
        <v>1</v>
      </c>
      <c r="I1438" s="35" t="b">
        <v>0</v>
      </c>
      <c r="J1438" s="35" t="b">
        <v>0</v>
      </c>
      <c r="K1438" s="35" t="b">
        <v>0</v>
      </c>
      <c r="L1438" s="35" t="b">
        <v>0</v>
      </c>
      <c r="M1438" s="35" t="b">
        <v>0</v>
      </c>
      <c r="N1438" s="35" t="b">
        <v>0</v>
      </c>
      <c r="O1438" s="35" t="b">
        <v>0</v>
      </c>
      <c r="P1438" s="35" t="b">
        <v>0</v>
      </c>
      <c r="Q1438" s="35" t="b">
        <v>0</v>
      </c>
      <c r="R1438" s="14"/>
      <c r="S1438" s="14"/>
      <c r="T1438" s="14"/>
      <c r="U1438" s="14"/>
      <c r="V1438" s="14"/>
      <c r="W1438" s="14"/>
    </row>
    <row r="1439" ht="31.5" customHeight="1">
      <c r="A1439" s="109" t="s">
        <v>15212</v>
      </c>
      <c r="B1439" s="110" t="s">
        <v>15213</v>
      </c>
      <c r="C1439" s="111" t="s">
        <v>15214</v>
      </c>
      <c r="D1439" s="28" t="s">
        <v>15215</v>
      </c>
      <c r="E1439" s="28" t="str">
        <f>IFERROR(__xludf.DUMMYFUNCTION("GOOGLETRANSLATE(D1439,""zh-CN"",""vi"")"),"Cho đến nay, mọi việc đều diễn ra suôn sẻ.")</f>
        <v>Cho đến nay, mọi việc đều diễn ra suôn sẻ.</v>
      </c>
      <c r="F1439" s="137"/>
      <c r="G1439" s="36" t="b">
        <f t="shared" si="1"/>
        <v>0</v>
      </c>
      <c r="H1439" s="35" t="b">
        <v>1</v>
      </c>
      <c r="I1439" s="35" t="b">
        <v>0</v>
      </c>
      <c r="J1439" s="35" t="b">
        <v>0</v>
      </c>
      <c r="K1439" s="35" t="b">
        <v>0</v>
      </c>
      <c r="L1439" s="35" t="b">
        <v>0</v>
      </c>
      <c r="M1439" s="35" t="b">
        <v>0</v>
      </c>
      <c r="N1439" s="35" t="b">
        <v>0</v>
      </c>
      <c r="O1439" s="35" t="b">
        <v>0</v>
      </c>
      <c r="P1439" s="35" t="b">
        <v>0</v>
      </c>
      <c r="Q1439" s="35" t="b">
        <v>0</v>
      </c>
      <c r="R1439" s="14"/>
      <c r="S1439" s="14"/>
      <c r="T1439" s="14"/>
      <c r="U1439" s="14"/>
      <c r="V1439" s="14"/>
      <c r="W1439" s="14"/>
    </row>
    <row r="1440" ht="31.5" customHeight="1">
      <c r="A1440" s="109" t="s">
        <v>15216</v>
      </c>
      <c r="B1440" s="110" t="s">
        <v>15217</v>
      </c>
      <c r="C1440" s="111" t="s">
        <v>15218</v>
      </c>
      <c r="D1440" s="28" t="s">
        <v>15219</v>
      </c>
      <c r="E1440" s="28" t="str">
        <f>IFERROR(__xludf.DUMMYFUNCTION("GOOGLETRANSLATE(D1440,""zh-CN"",""vi"")"),"Tinh thần của anh ấy thật đáng ngưỡng mộ.")</f>
        <v>Tinh thần của anh ấy thật đáng ngưỡng mộ.</v>
      </c>
      <c r="F1440" s="137"/>
      <c r="G1440" s="36" t="b">
        <f t="shared" si="1"/>
        <v>0</v>
      </c>
      <c r="H1440" s="35" t="b">
        <v>1</v>
      </c>
      <c r="I1440" s="35" t="b">
        <v>0</v>
      </c>
      <c r="J1440" s="35" t="b">
        <v>0</v>
      </c>
      <c r="K1440" s="35" t="b">
        <v>0</v>
      </c>
      <c r="L1440" s="35" t="b">
        <v>0</v>
      </c>
      <c r="M1440" s="35" t="b">
        <v>0</v>
      </c>
      <c r="N1440" s="35" t="b">
        <v>0</v>
      </c>
      <c r="O1440" s="35" t="b">
        <v>0</v>
      </c>
      <c r="P1440" s="35" t="b">
        <v>0</v>
      </c>
      <c r="Q1440" s="35" t="b">
        <v>0</v>
      </c>
      <c r="R1440" s="14"/>
      <c r="S1440" s="14"/>
      <c r="T1440" s="14"/>
      <c r="U1440" s="14"/>
      <c r="V1440" s="14"/>
      <c r="W1440" s="14"/>
    </row>
    <row r="1441" ht="31.5" customHeight="1">
      <c r="A1441" s="109" t="s">
        <v>15220</v>
      </c>
      <c r="B1441" s="110" t="s">
        <v>15221</v>
      </c>
      <c r="C1441" s="111" t="s">
        <v>15222</v>
      </c>
      <c r="D1441" s="28" t="s">
        <v>15223</v>
      </c>
      <c r="E1441" s="28" t="str">
        <f>IFERROR(__xludf.DUMMYFUNCTION("GOOGLETRANSLATE(D1441,""zh-CN"",""vi"")"),"Trông anh ấy rất khỏe.")</f>
        <v>Trông anh ấy rất khỏe.</v>
      </c>
      <c r="F1441" s="137"/>
      <c r="G1441" s="36" t="b">
        <f t="shared" si="1"/>
        <v>0</v>
      </c>
      <c r="H1441" s="35" t="b">
        <v>1</v>
      </c>
      <c r="I1441" s="35" t="b">
        <v>0</v>
      </c>
      <c r="J1441" s="35" t="b">
        <v>0</v>
      </c>
      <c r="K1441" s="35" t="b">
        <v>0</v>
      </c>
      <c r="L1441" s="35" t="b">
        <v>0</v>
      </c>
      <c r="M1441" s="35" t="b">
        <v>0</v>
      </c>
      <c r="N1441" s="35" t="b">
        <v>0</v>
      </c>
      <c r="O1441" s="35" t="b">
        <v>0</v>
      </c>
      <c r="P1441" s="35" t="b">
        <v>0</v>
      </c>
      <c r="Q1441" s="35" t="b">
        <v>0</v>
      </c>
      <c r="R1441" s="14"/>
      <c r="S1441" s="14"/>
      <c r="T1441" s="14"/>
      <c r="U1441" s="14"/>
      <c r="V1441" s="14"/>
      <c r="W1441" s="14"/>
    </row>
    <row r="1442" ht="31.5" customHeight="1">
      <c r="A1442" s="109" t="s">
        <v>15224</v>
      </c>
      <c r="B1442" s="110" t="s">
        <v>15225</v>
      </c>
      <c r="C1442" s="111" t="s">
        <v>15226</v>
      </c>
      <c r="D1442" s="28" t="s">
        <v>15227</v>
      </c>
      <c r="E1442" s="28" t="str">
        <f>IFERROR(__xludf.DUMMYFUNCTION("GOOGLETRANSLATE(D1442,""zh-CN"",""vi"")"),"Ông ấy có một khí chất rất mạnh mẽ.")</f>
        <v>Ông ấy có một khí chất rất mạnh mẽ.</v>
      </c>
      <c r="F1442" s="137"/>
      <c r="G1442" s="36" t="b">
        <f t="shared" si="1"/>
        <v>0</v>
      </c>
      <c r="H1442" s="35" t="b">
        <v>1</v>
      </c>
      <c r="I1442" s="35" t="b">
        <v>0</v>
      </c>
      <c r="J1442" s="35" t="b">
        <v>0</v>
      </c>
      <c r="K1442" s="35" t="b">
        <v>0</v>
      </c>
      <c r="L1442" s="35" t="b">
        <v>0</v>
      </c>
      <c r="M1442" s="35" t="b">
        <v>0</v>
      </c>
      <c r="N1442" s="35" t="b">
        <v>0</v>
      </c>
      <c r="O1442" s="35" t="b">
        <v>0</v>
      </c>
      <c r="P1442" s="35" t="b">
        <v>0</v>
      </c>
      <c r="Q1442" s="35" t="b">
        <v>0</v>
      </c>
      <c r="R1442" s="14"/>
      <c r="S1442" s="14"/>
      <c r="T1442" s="14"/>
      <c r="U1442" s="14"/>
      <c r="V1442" s="14"/>
      <c r="W1442" s="14"/>
    </row>
    <row r="1443" ht="31.5" customHeight="1">
      <c r="A1443" s="109" t="s">
        <v>15228</v>
      </c>
      <c r="B1443" s="110" t="s">
        <v>15229</v>
      </c>
      <c r="C1443" s="111" t="s">
        <v>15230</v>
      </c>
      <c r="D1443" s="28" t="s">
        <v>15231</v>
      </c>
      <c r="E1443" s="28" t="str">
        <f>IFERROR(__xludf.DUMMYFUNCTION("GOOGLETRANSLATE(D1443,""zh-CN"",""vi"")"),"Loài hoa này có mùi hương đặc trưng.")</f>
        <v>Loài hoa này có mùi hương đặc trưng.</v>
      </c>
      <c r="F1443" s="137"/>
      <c r="G1443" s="36" t="b">
        <f t="shared" si="1"/>
        <v>0</v>
      </c>
      <c r="H1443" s="35" t="b">
        <v>1</v>
      </c>
      <c r="I1443" s="35" t="b">
        <v>0</v>
      </c>
      <c r="J1443" s="35" t="b">
        <v>0</v>
      </c>
      <c r="K1443" s="35" t="b">
        <v>0</v>
      </c>
      <c r="L1443" s="35" t="b">
        <v>0</v>
      </c>
      <c r="M1443" s="35" t="b">
        <v>0</v>
      </c>
      <c r="N1443" s="35" t="b">
        <v>0</v>
      </c>
      <c r="O1443" s="35" t="b">
        <v>0</v>
      </c>
      <c r="P1443" s="35" t="b">
        <v>0</v>
      </c>
      <c r="Q1443" s="35" t="b">
        <v>0</v>
      </c>
      <c r="R1443" s="14"/>
      <c r="S1443" s="14"/>
      <c r="T1443" s="14"/>
      <c r="U1443" s="14"/>
      <c r="V1443" s="14"/>
      <c r="W1443" s="14"/>
    </row>
    <row r="1444" ht="31.5" customHeight="1">
      <c r="A1444" s="109" t="s">
        <v>15232</v>
      </c>
      <c r="B1444" s="110" t="s">
        <v>15233</v>
      </c>
      <c r="C1444" s="111" t="s">
        <v>15234</v>
      </c>
      <c r="D1444" s="28" t="s">
        <v>15235</v>
      </c>
      <c r="E1444" s="28" t="str">
        <f>IFERROR(__xludf.DUMMYFUNCTION("GOOGLETRANSLATE(D1444,""zh-CN"",""vi"")"),"Dự báo thời tiết cho biết hôm nay trời sẽ mưa.")</f>
        <v>Dự báo thời tiết cho biết hôm nay trời sẽ mưa.</v>
      </c>
      <c r="F1444" s="137"/>
      <c r="G1444" s="36" t="b">
        <f t="shared" si="1"/>
        <v>0</v>
      </c>
      <c r="H1444" s="35" t="b">
        <v>1</v>
      </c>
      <c r="I1444" s="35" t="b">
        <v>0</v>
      </c>
      <c r="J1444" s="35" t="b">
        <v>0</v>
      </c>
      <c r="K1444" s="35" t="b">
        <v>0</v>
      </c>
      <c r="L1444" s="35" t="b">
        <v>0</v>
      </c>
      <c r="M1444" s="35" t="b">
        <v>0</v>
      </c>
      <c r="N1444" s="35" t="b">
        <v>0</v>
      </c>
      <c r="O1444" s="35" t="b">
        <v>0</v>
      </c>
      <c r="P1444" s="35" t="b">
        <v>0</v>
      </c>
      <c r="Q1444" s="35" t="b">
        <v>0</v>
      </c>
      <c r="R1444" s="14"/>
      <c r="S1444" s="14"/>
      <c r="T1444" s="14"/>
      <c r="U1444" s="14"/>
      <c r="V1444" s="14"/>
      <c r="W1444" s="14"/>
    </row>
    <row r="1445" ht="31.5" customHeight="1">
      <c r="A1445" s="109" t="s">
        <v>15236</v>
      </c>
      <c r="B1445" s="110" t="s">
        <v>15237</v>
      </c>
      <c r="C1445" s="111" t="s">
        <v>15238</v>
      </c>
      <c r="D1445" s="28" t="s">
        <v>15239</v>
      </c>
      <c r="E1445" s="28" t="str">
        <f>IFERROR(__xludf.DUMMYFUNCTION("GOOGLETRANSLATE(D1445,""zh-CN"",""vi"")"),"Chúng ta cần xem xét sự thay đổi áp suất không khí.")</f>
        <v>Chúng ta cần xem xét sự thay đổi áp suất không khí.</v>
      </c>
      <c r="F1445" s="137"/>
      <c r="G1445" s="36" t="b">
        <f t="shared" si="1"/>
        <v>0</v>
      </c>
      <c r="H1445" s="35" t="b">
        <v>1</v>
      </c>
      <c r="I1445" s="35" t="b">
        <v>0</v>
      </c>
      <c r="J1445" s="35" t="b">
        <v>0</v>
      </c>
      <c r="K1445" s="35" t="b">
        <v>0</v>
      </c>
      <c r="L1445" s="35" t="b">
        <v>0</v>
      </c>
      <c r="M1445" s="35" t="b">
        <v>0</v>
      </c>
      <c r="N1445" s="35" t="b">
        <v>0</v>
      </c>
      <c r="O1445" s="35" t="b">
        <v>0</v>
      </c>
      <c r="P1445" s="35" t="b">
        <v>0</v>
      </c>
      <c r="Q1445" s="35" t="b">
        <v>0</v>
      </c>
      <c r="R1445" s="14"/>
      <c r="S1445" s="14"/>
      <c r="T1445" s="14"/>
      <c r="U1445" s="14"/>
      <c r="V1445" s="14"/>
      <c r="W1445" s="14"/>
    </row>
    <row r="1446" ht="31.5" customHeight="1">
      <c r="A1446" s="109" t="s">
        <v>15240</v>
      </c>
      <c r="B1446" s="110" t="s">
        <v>15241</v>
      </c>
      <c r="C1446" s="111" t="s">
        <v>15242</v>
      </c>
      <c r="D1446" s="28" t="s">
        <v>15243</v>
      </c>
      <c r="E1446" s="28" t="str">
        <f>IFERROR(__xludf.DUMMYFUNCTION("GOOGLETRANSLATE(D1446,""zh-CN"",""vi"")"),"Cô ấy hái một bông hoa.")</f>
        <v>Cô ấy hái một bông hoa.</v>
      </c>
      <c r="F1446" s="137"/>
      <c r="G1446" s="36" t="b">
        <f t="shared" si="1"/>
        <v>0</v>
      </c>
      <c r="H1446" s="35" t="b">
        <v>1</v>
      </c>
      <c r="I1446" s="35" t="b">
        <v>0</v>
      </c>
      <c r="J1446" s="35" t="b">
        <v>0</v>
      </c>
      <c r="K1446" s="35" t="b">
        <v>0</v>
      </c>
      <c r="L1446" s="35" t="b">
        <v>0</v>
      </c>
      <c r="M1446" s="35" t="b">
        <v>0</v>
      </c>
      <c r="N1446" s="35" t="b">
        <v>0</v>
      </c>
      <c r="O1446" s="35" t="b">
        <v>0</v>
      </c>
      <c r="P1446" s="35" t="b">
        <v>0</v>
      </c>
      <c r="Q1446" s="35" t="b">
        <v>0</v>
      </c>
      <c r="R1446" s="14"/>
      <c r="S1446" s="14"/>
      <c r="T1446" s="14"/>
      <c r="U1446" s="14"/>
      <c r="V1446" s="14"/>
      <c r="W1446" s="14"/>
    </row>
    <row r="1447" ht="31.5" customHeight="1">
      <c r="A1447" s="109" t="s">
        <v>15244</v>
      </c>
      <c r="B1447" s="110" t="s">
        <v>15245</v>
      </c>
      <c r="C1447" s="111" t="s">
        <v>15246</v>
      </c>
      <c r="D1447" s="28" t="s">
        <v>15247</v>
      </c>
      <c r="E1447" s="28" t="str">
        <f>IFERROR(__xludf.DUMMYFUNCTION("GOOGLETRANSLATE(D1447,""zh-CN"",""vi"")"),"Việc sắp xếp cho cuộc họp này rất phù hợp.")</f>
        <v>Việc sắp xếp cho cuộc họp này rất phù hợp.</v>
      </c>
      <c r="F1447" s="137"/>
      <c r="G1447" s="36" t="b">
        <f t="shared" si="1"/>
        <v>0</v>
      </c>
      <c r="H1447" s="35" t="b">
        <v>1</v>
      </c>
      <c r="I1447" s="35" t="b">
        <v>0</v>
      </c>
      <c r="J1447" s="35" t="b">
        <v>0</v>
      </c>
      <c r="K1447" s="35" t="b">
        <v>0</v>
      </c>
      <c r="L1447" s="35" t="b">
        <v>0</v>
      </c>
      <c r="M1447" s="35" t="b">
        <v>0</v>
      </c>
      <c r="N1447" s="35" t="b">
        <v>0</v>
      </c>
      <c r="O1447" s="35" t="b">
        <v>0</v>
      </c>
      <c r="P1447" s="35" t="b">
        <v>0</v>
      </c>
      <c r="Q1447" s="35" t="b">
        <v>0</v>
      </c>
      <c r="R1447" s="14"/>
      <c r="S1447" s="14"/>
      <c r="T1447" s="14"/>
      <c r="U1447" s="14"/>
      <c r="V1447" s="14"/>
      <c r="W1447" s="14"/>
    </row>
    <row r="1448" ht="31.5" customHeight="1">
      <c r="A1448" s="109" t="s">
        <v>15248</v>
      </c>
      <c r="B1448" s="110" t="s">
        <v>15249</v>
      </c>
      <c r="C1448" s="111" t="s">
        <v>15250</v>
      </c>
      <c r="D1448" s="28" t="s">
        <v>15251</v>
      </c>
      <c r="E1448" s="28" t="str">
        <f>IFERROR(__xludf.DUMMYFUNCTION("GOOGLETRANSLATE(D1448,""zh-CN"",""vi"")"),"Anh ấy luôn làm mọi việc một cách hoàn hảo.")</f>
        <v>Anh ấy luôn làm mọi việc một cách hoàn hảo.</v>
      </c>
      <c r="F1448" s="137"/>
      <c r="G1448" s="36" t="b">
        <f t="shared" si="1"/>
        <v>0</v>
      </c>
      <c r="H1448" s="35" t="b">
        <v>1</v>
      </c>
      <c r="I1448" s="35" t="b">
        <v>0</v>
      </c>
      <c r="J1448" s="35" t="b">
        <v>0</v>
      </c>
      <c r="K1448" s="35" t="b">
        <v>0</v>
      </c>
      <c r="L1448" s="35" t="b">
        <v>0</v>
      </c>
      <c r="M1448" s="35" t="b">
        <v>0</v>
      </c>
      <c r="N1448" s="35" t="b">
        <v>0</v>
      </c>
      <c r="O1448" s="35" t="b">
        <v>0</v>
      </c>
      <c r="P1448" s="35" t="b">
        <v>0</v>
      </c>
      <c r="Q1448" s="35" t="b">
        <v>0</v>
      </c>
      <c r="R1448" s="14"/>
      <c r="S1448" s="14"/>
      <c r="T1448" s="14"/>
      <c r="U1448" s="14"/>
      <c r="V1448" s="14"/>
      <c r="W1448" s="14"/>
    </row>
    <row r="1449" ht="31.5" customHeight="1">
      <c r="A1449" s="109" t="s">
        <v>15252</v>
      </c>
      <c r="B1449" s="110" t="s">
        <v>15253</v>
      </c>
      <c r="C1449" s="111" t="s">
        <v>15254</v>
      </c>
      <c r="D1449" s="28" t="s">
        <v>15255</v>
      </c>
      <c r="E1449" s="28" t="str">
        <f>IFERROR(__xludf.DUMMYFUNCTION("GOOGLETRANSLATE(D1449,""zh-CN"",""vi"")"),"Chúng ta tình cờ có chung sở thích.")</f>
        <v>Chúng ta tình cờ có chung sở thích.</v>
      </c>
      <c r="F1449" s="137"/>
      <c r="G1449" s="36" t="b">
        <f t="shared" si="1"/>
        <v>0</v>
      </c>
      <c r="H1449" s="35" t="b">
        <v>1</v>
      </c>
      <c r="I1449" s="35" t="b">
        <v>0</v>
      </c>
      <c r="J1449" s="35" t="b">
        <v>0</v>
      </c>
      <c r="K1449" s="35" t="b">
        <v>0</v>
      </c>
      <c r="L1449" s="35" t="b">
        <v>0</v>
      </c>
      <c r="M1449" s="35" t="b">
        <v>0</v>
      </c>
      <c r="N1449" s="35" t="b">
        <v>0</v>
      </c>
      <c r="O1449" s="35" t="b">
        <v>0</v>
      </c>
      <c r="P1449" s="35" t="b">
        <v>0</v>
      </c>
      <c r="Q1449" s="35" t="b">
        <v>0</v>
      </c>
      <c r="R1449" s="14"/>
      <c r="S1449" s="14"/>
      <c r="T1449" s="14"/>
      <c r="U1449" s="14"/>
      <c r="V1449" s="14"/>
      <c r="W1449" s="14"/>
    </row>
    <row r="1450" ht="31.5" customHeight="1">
      <c r="A1450" s="109" t="s">
        <v>15256</v>
      </c>
      <c r="B1450" s="110" t="s">
        <v>15257</v>
      </c>
      <c r="C1450" s="111" t="s">
        <v>15258</v>
      </c>
      <c r="D1450" s="28" t="s">
        <v>15259</v>
      </c>
      <c r="E1450" s="28" t="str">
        <f>IFERROR(__xludf.DUMMYFUNCTION("GOOGLETRANSLATE(D1450,""zh-CN"",""vi"")"),"Họ đang thảo luận về các vấn đề hợp tác.")</f>
        <v>Họ đang thảo luận về các vấn đề hợp tác.</v>
      </c>
      <c r="F1450" s="137"/>
      <c r="G1450" s="36" t="b">
        <f t="shared" si="1"/>
        <v>0</v>
      </c>
      <c r="H1450" s="35" t="b">
        <v>1</v>
      </c>
      <c r="I1450" s="35" t="b">
        <v>0</v>
      </c>
      <c r="J1450" s="35" t="b">
        <v>0</v>
      </c>
      <c r="K1450" s="35" t="b">
        <v>0</v>
      </c>
      <c r="L1450" s="35" t="b">
        <v>0</v>
      </c>
      <c r="M1450" s="35" t="b">
        <v>0</v>
      </c>
      <c r="N1450" s="35" t="b">
        <v>0</v>
      </c>
      <c r="O1450" s="35" t="b">
        <v>0</v>
      </c>
      <c r="P1450" s="35" t="b">
        <v>0</v>
      </c>
      <c r="Q1450" s="35" t="b">
        <v>0</v>
      </c>
      <c r="R1450" s="14"/>
      <c r="S1450" s="14"/>
      <c r="T1450" s="14"/>
      <c r="U1450" s="14"/>
      <c r="V1450" s="14"/>
      <c r="W1450" s="14"/>
    </row>
    <row r="1451" ht="31.5" customHeight="1">
      <c r="A1451" s="109" t="s">
        <v>15260</v>
      </c>
      <c r="B1451" s="110" t="s">
        <v>15261</v>
      </c>
      <c r="C1451" s="111" t="s">
        <v>15262</v>
      </c>
      <c r="D1451" s="28" t="s">
        <v>15263</v>
      </c>
      <c r="E1451" s="28" t="str">
        <f>IFERROR(__xludf.DUMMYFUNCTION("GOOGLETRANSLATE(D1451,""zh-CN"",""vi"")"),"Vấn đề này liên quan đến rất nhiều người.")</f>
        <v>Vấn đề này liên quan đến rất nhiều người.</v>
      </c>
      <c r="F1451" s="137"/>
      <c r="G1451" s="36" t="b">
        <f t="shared" si="1"/>
        <v>0</v>
      </c>
      <c r="H1451" s="35" t="b">
        <v>1</v>
      </c>
      <c r="I1451" s="35" t="b">
        <v>0</v>
      </c>
      <c r="J1451" s="35" t="b">
        <v>0</v>
      </c>
      <c r="K1451" s="35" t="b">
        <v>0</v>
      </c>
      <c r="L1451" s="35" t="b">
        <v>0</v>
      </c>
      <c r="M1451" s="35" t="b">
        <v>0</v>
      </c>
      <c r="N1451" s="35" t="b">
        <v>0</v>
      </c>
      <c r="O1451" s="35" t="b">
        <v>0</v>
      </c>
      <c r="P1451" s="35" t="b">
        <v>0</v>
      </c>
      <c r="Q1451" s="35" t="b">
        <v>0</v>
      </c>
      <c r="R1451" s="14"/>
      <c r="S1451" s="14"/>
      <c r="T1451" s="14"/>
      <c r="U1451" s="14"/>
      <c r="V1451" s="14"/>
      <c r="W1451" s="14"/>
    </row>
    <row r="1452" ht="31.5" customHeight="1">
      <c r="A1452" s="109" t="s">
        <v>15264</v>
      </c>
      <c r="B1452" s="110" t="s">
        <v>15265</v>
      </c>
      <c r="C1452" s="111" t="s">
        <v>15266</v>
      </c>
      <c r="D1452" s="28" t="s">
        <v>15267</v>
      </c>
      <c r="E1452" s="28" t="str">
        <f>IFERROR(__xludf.DUMMYFUNCTION("GOOGLETRANSLATE(D1452,""zh-CN"",""vi"")"),"Họ đã ký hợp đồng.")</f>
        <v>Họ đã ký hợp đồng.</v>
      </c>
      <c r="F1452" s="137"/>
      <c r="G1452" s="36" t="b">
        <f t="shared" si="1"/>
        <v>0</v>
      </c>
      <c r="H1452" s="35" t="b">
        <v>1</v>
      </c>
      <c r="I1452" s="35" t="b">
        <v>0</v>
      </c>
      <c r="J1452" s="35" t="b">
        <v>0</v>
      </c>
      <c r="K1452" s="35" t="b">
        <v>0</v>
      </c>
      <c r="L1452" s="35" t="b">
        <v>0</v>
      </c>
      <c r="M1452" s="35" t="b">
        <v>0</v>
      </c>
      <c r="N1452" s="35" t="b">
        <v>0</v>
      </c>
      <c r="O1452" s="35" t="b">
        <v>0</v>
      </c>
      <c r="P1452" s="35" t="b">
        <v>0</v>
      </c>
      <c r="Q1452" s="35" t="b">
        <v>0</v>
      </c>
      <c r="R1452" s="14"/>
      <c r="S1452" s="14"/>
      <c r="T1452" s="14"/>
      <c r="U1452" s="14"/>
      <c r="V1452" s="14"/>
      <c r="W1452" s="14"/>
    </row>
    <row r="1453" ht="31.5" customHeight="1">
      <c r="A1453" s="109" t="s">
        <v>15268</v>
      </c>
      <c r="B1453" s="110" t="s">
        <v>15269</v>
      </c>
      <c r="C1453" s="111" t="s">
        <v>15270</v>
      </c>
      <c r="D1453" s="28" t="s">
        <v>15271</v>
      </c>
      <c r="E1453" s="28" t="str">
        <f>IFERROR(__xludf.DUMMYFUNCTION("GOOGLETRANSLATE(D1453,""zh-CN"",""vi"")"),"Chúng tôi đã thử mọi cách có thể để giải quyết vấn đề.")</f>
        <v>Chúng tôi đã thử mọi cách có thể để giải quyết vấn đề.</v>
      </c>
      <c r="F1453" s="137"/>
      <c r="G1453" s="36" t="b">
        <f t="shared" si="1"/>
        <v>0</v>
      </c>
      <c r="H1453" s="35" t="b">
        <v>1</v>
      </c>
      <c r="I1453" s="35" t="b">
        <v>0</v>
      </c>
      <c r="J1453" s="35" t="b">
        <v>0</v>
      </c>
      <c r="K1453" s="35" t="b">
        <v>0</v>
      </c>
      <c r="L1453" s="35" t="b">
        <v>0</v>
      </c>
      <c r="M1453" s="35" t="b">
        <v>0</v>
      </c>
      <c r="N1453" s="35" t="b">
        <v>0</v>
      </c>
      <c r="O1453" s="35" t="b">
        <v>0</v>
      </c>
      <c r="P1453" s="35" t="b">
        <v>0</v>
      </c>
      <c r="Q1453" s="35" t="b">
        <v>0</v>
      </c>
      <c r="R1453" s="14"/>
      <c r="S1453" s="14"/>
      <c r="T1453" s="14"/>
      <c r="U1453" s="14"/>
      <c r="V1453" s="14"/>
      <c r="W1453" s="14"/>
    </row>
    <row r="1454" ht="31.5" customHeight="1">
      <c r="A1454" s="109" t="s">
        <v>15272</v>
      </c>
      <c r="B1454" s="110" t="s">
        <v>15273</v>
      </c>
      <c r="C1454" s="111" t="s">
        <v>15274</v>
      </c>
      <c r="D1454" s="28" t="s">
        <v>15275</v>
      </c>
      <c r="E1454" s="28" t="str">
        <f>IFERROR(__xludf.DUMMYFUNCTION("GOOGLETRANSLATE(D1454,""zh-CN"",""vi"")"),"Anh ấy luôn sẵn lòng giúp đỡ người khác.")</f>
        <v>Anh ấy luôn sẵn lòng giúp đỡ người khác.</v>
      </c>
      <c r="F1454" s="137"/>
      <c r="G1454" s="36" t="b">
        <f t="shared" si="1"/>
        <v>0</v>
      </c>
      <c r="H1454" s="35" t="b">
        <v>1</v>
      </c>
      <c r="I1454" s="35" t="b">
        <v>0</v>
      </c>
      <c r="J1454" s="35" t="b">
        <v>0</v>
      </c>
      <c r="K1454" s="35" t="b">
        <v>0</v>
      </c>
      <c r="L1454" s="35" t="b">
        <v>0</v>
      </c>
      <c r="M1454" s="35" t="b">
        <v>0</v>
      </c>
      <c r="N1454" s="35" t="b">
        <v>0</v>
      </c>
      <c r="O1454" s="35" t="b">
        <v>0</v>
      </c>
      <c r="P1454" s="35" t="b">
        <v>0</v>
      </c>
      <c r="Q1454" s="35" t="b">
        <v>0</v>
      </c>
      <c r="R1454" s="14"/>
      <c r="S1454" s="14"/>
      <c r="T1454" s="14"/>
      <c r="U1454" s="14"/>
      <c r="V1454" s="14"/>
      <c r="W1454" s="14"/>
    </row>
    <row r="1455" ht="31.5" customHeight="1">
      <c r="A1455" s="109" t="s">
        <v>15276</v>
      </c>
      <c r="B1455" s="110" t="s">
        <v>15277</v>
      </c>
      <c r="C1455" s="111" t="s">
        <v>15278</v>
      </c>
      <c r="D1455" s="28" t="s">
        <v>15279</v>
      </c>
      <c r="E1455" s="28" t="str">
        <f>IFERROR(__xludf.DUMMYFUNCTION("GOOGLETRANSLATE(D1455,""zh-CN"",""vi"")"),"Hai bên đã ký kết một thỏa thuận.")</f>
        <v>Hai bên đã ký kết một thỏa thuận.</v>
      </c>
      <c r="F1455" s="137"/>
      <c r="G1455" s="36" t="b">
        <f t="shared" si="1"/>
        <v>0</v>
      </c>
      <c r="H1455" s="35" t="b">
        <v>1</v>
      </c>
      <c r="I1455" s="35" t="b">
        <v>0</v>
      </c>
      <c r="J1455" s="35" t="b">
        <v>0</v>
      </c>
      <c r="K1455" s="35" t="b">
        <v>0</v>
      </c>
      <c r="L1455" s="35" t="b">
        <v>0</v>
      </c>
      <c r="M1455" s="35" t="b">
        <v>0</v>
      </c>
      <c r="N1455" s="35" t="b">
        <v>0</v>
      </c>
      <c r="O1455" s="35" t="b">
        <v>0</v>
      </c>
      <c r="P1455" s="35" t="b">
        <v>0</v>
      </c>
      <c r="Q1455" s="35" t="b">
        <v>0</v>
      </c>
      <c r="R1455" s="14"/>
      <c r="S1455" s="14"/>
      <c r="T1455" s="14"/>
      <c r="U1455" s="14"/>
      <c r="V1455" s="14"/>
      <c r="W1455" s="14"/>
    </row>
    <row r="1456" ht="31.5" customHeight="1">
      <c r="A1456" s="109" t="s">
        <v>15280</v>
      </c>
      <c r="B1456" s="110" t="s">
        <v>15281</v>
      </c>
      <c r="C1456" s="111" t="s">
        <v>15282</v>
      </c>
      <c r="D1456" s="28" t="s">
        <v>15283</v>
      </c>
      <c r="E1456" s="28" t="str">
        <f>IFERROR(__xludf.DUMMYFUNCTION("GOOGLETRANSLATE(D1456,""zh-CN"",""vi"")"),"Động vật di cư theo mùa.")</f>
        <v>Động vật di cư theo mùa.</v>
      </c>
      <c r="F1456" s="137"/>
      <c r="G1456" s="36" t="b">
        <f t="shared" si="1"/>
        <v>0</v>
      </c>
      <c r="H1456" s="35" t="b">
        <v>1</v>
      </c>
      <c r="I1456" s="35" t="b">
        <v>0</v>
      </c>
      <c r="J1456" s="35" t="b">
        <v>0</v>
      </c>
      <c r="K1456" s="35" t="b">
        <v>0</v>
      </c>
      <c r="L1456" s="35" t="b">
        <v>0</v>
      </c>
      <c r="M1456" s="35" t="b">
        <v>0</v>
      </c>
      <c r="N1456" s="35" t="b">
        <v>0</v>
      </c>
      <c r="O1456" s="35" t="b">
        <v>0</v>
      </c>
      <c r="P1456" s="35" t="b">
        <v>0</v>
      </c>
      <c r="Q1456" s="35" t="b">
        <v>0</v>
      </c>
      <c r="R1456" s="14"/>
      <c r="S1456" s="14"/>
      <c r="T1456" s="14"/>
      <c r="U1456" s="14"/>
      <c r="V1456" s="14"/>
      <c r="W1456" s="14"/>
    </row>
    <row r="1457" ht="31.5" customHeight="1">
      <c r="A1457" s="109" t="s">
        <v>15284</v>
      </c>
      <c r="B1457" s="110" t="s">
        <v>15285</v>
      </c>
      <c r="C1457" s="111" t="s">
        <v>15286</v>
      </c>
      <c r="D1457" s="28" t="s">
        <v>15287</v>
      </c>
      <c r="E1457" s="28" t="str">
        <f>IFERROR(__xludf.DUMMYFUNCTION("GOOGLETRANSLATE(D1457,""zh-CN"",""vi"")"),"Ông ấy khiêm tốn và không bao giờ khoe khoang.")</f>
        <v>Ông ấy khiêm tốn và không bao giờ khoe khoang.</v>
      </c>
      <c r="F1457" s="137"/>
      <c r="G1457" s="36" t="b">
        <f t="shared" si="1"/>
        <v>0</v>
      </c>
      <c r="H1457" s="35" t="b">
        <v>1</v>
      </c>
      <c r="I1457" s="35" t="b">
        <v>0</v>
      </c>
      <c r="J1457" s="35" t="b">
        <v>0</v>
      </c>
      <c r="K1457" s="35" t="b">
        <v>0</v>
      </c>
      <c r="L1457" s="35" t="b">
        <v>0</v>
      </c>
      <c r="M1457" s="35" t="b">
        <v>0</v>
      </c>
      <c r="N1457" s="35" t="b">
        <v>0</v>
      </c>
      <c r="O1457" s="35" t="b">
        <v>0</v>
      </c>
      <c r="P1457" s="35" t="b">
        <v>0</v>
      </c>
      <c r="Q1457" s="35" t="b">
        <v>0</v>
      </c>
      <c r="R1457" s="14"/>
      <c r="S1457" s="14"/>
      <c r="T1457" s="14"/>
      <c r="U1457" s="14"/>
      <c r="V1457" s="14"/>
      <c r="W1457" s="14"/>
    </row>
    <row r="1458" ht="31.5" customHeight="1">
      <c r="A1458" s="109" t="s">
        <v>15288</v>
      </c>
      <c r="B1458" s="110" t="s">
        <v>15289</v>
      </c>
      <c r="C1458" s="111" t="s">
        <v>15290</v>
      </c>
      <c r="D1458" s="28" t="s">
        <v>15291</v>
      </c>
      <c r="E1458" s="28" t="str">
        <f>IFERROR(__xludf.DUMMYFUNCTION("GOOGLETRANSLATE(D1458,""zh-CN"",""vi"")"),"Những nhận xét của bà ấy đóng vai trò như một sự kiểm soát và cân bằng.")</f>
        <v>Những nhận xét của bà ấy đóng vai trò như một sự kiểm soát và cân bằng.</v>
      </c>
      <c r="F1458" s="137"/>
      <c r="G1458" s="36" t="b">
        <f t="shared" si="1"/>
        <v>0</v>
      </c>
      <c r="H1458" s="35" t="b">
        <v>1</v>
      </c>
      <c r="I1458" s="35" t="b">
        <v>0</v>
      </c>
      <c r="J1458" s="35" t="b">
        <v>0</v>
      </c>
      <c r="K1458" s="35" t="b">
        <v>0</v>
      </c>
      <c r="L1458" s="35" t="b">
        <v>0</v>
      </c>
      <c r="M1458" s="35" t="b">
        <v>0</v>
      </c>
      <c r="N1458" s="35" t="b">
        <v>0</v>
      </c>
      <c r="O1458" s="35" t="b">
        <v>0</v>
      </c>
      <c r="P1458" s="35" t="b">
        <v>0</v>
      </c>
      <c r="Q1458" s="35" t="b">
        <v>0</v>
      </c>
      <c r="R1458" s="14"/>
      <c r="S1458" s="14"/>
      <c r="T1458" s="14"/>
      <c r="U1458" s="14"/>
      <c r="V1458" s="14"/>
      <c r="W1458" s="14"/>
    </row>
    <row r="1459" ht="31.5" customHeight="1">
      <c r="A1459" s="109" t="s">
        <v>15292</v>
      </c>
      <c r="B1459" s="110" t="s">
        <v>15293</v>
      </c>
      <c r="C1459" s="111" t="s">
        <v>15294</v>
      </c>
      <c r="D1459" s="28" t="s">
        <v>15295</v>
      </c>
      <c r="E1459" s="28" t="str">
        <f>IFERROR(__xludf.DUMMYFUNCTION("GOOGLETRANSLATE(D1459,""zh-CN"",""vi"")"),"Công ty có một tương lai tươi sáng.")</f>
        <v>Công ty có một tương lai tươi sáng.</v>
      </c>
      <c r="F1459" s="137"/>
      <c r="G1459" s="36" t="b">
        <f t="shared" si="1"/>
        <v>0</v>
      </c>
      <c r="H1459" s="35" t="b">
        <v>1</v>
      </c>
      <c r="I1459" s="35" t="b">
        <v>0</v>
      </c>
      <c r="J1459" s="35" t="b">
        <v>0</v>
      </c>
      <c r="K1459" s="35" t="b">
        <v>0</v>
      </c>
      <c r="L1459" s="35" t="b">
        <v>0</v>
      </c>
      <c r="M1459" s="35" t="b">
        <v>0</v>
      </c>
      <c r="N1459" s="35" t="b">
        <v>0</v>
      </c>
      <c r="O1459" s="35" t="b">
        <v>0</v>
      </c>
      <c r="P1459" s="35" t="b">
        <v>0</v>
      </c>
      <c r="Q1459" s="35" t="b">
        <v>0</v>
      </c>
      <c r="R1459" s="14"/>
      <c r="S1459" s="14"/>
      <c r="T1459" s="14"/>
      <c r="U1459" s="14"/>
      <c r="V1459" s="14"/>
      <c r="W1459" s="14"/>
    </row>
    <row r="1460" ht="31.5" customHeight="1">
      <c r="A1460" s="109" t="s">
        <v>15296</v>
      </c>
      <c r="B1460" s="110" t="s">
        <v>15297</v>
      </c>
      <c r="C1460" s="111" t="s">
        <v>15298</v>
      </c>
      <c r="D1460" s="28" t="s">
        <v>15299</v>
      </c>
      <c r="E1460" s="28" t="str">
        <f>IFERROR(__xludf.DUMMYFUNCTION("GOOGLETRANSLATE(D1460,""zh-CN"",""vi"")"),"Anh ấy có tiềm năng rất lớn.")</f>
        <v>Anh ấy có tiềm năng rất lớn.</v>
      </c>
      <c r="F1460" s="137"/>
      <c r="G1460" s="36" t="b">
        <f t="shared" si="1"/>
        <v>0</v>
      </c>
      <c r="H1460" s="35" t="b">
        <v>1</v>
      </c>
      <c r="I1460" s="35" t="b">
        <v>0</v>
      </c>
      <c r="J1460" s="35" t="b">
        <v>0</v>
      </c>
      <c r="K1460" s="35" t="b">
        <v>0</v>
      </c>
      <c r="L1460" s="35" t="b">
        <v>0</v>
      </c>
      <c r="M1460" s="35" t="b">
        <v>0</v>
      </c>
      <c r="N1460" s="35" t="b">
        <v>0</v>
      </c>
      <c r="O1460" s="35" t="b">
        <v>0</v>
      </c>
      <c r="P1460" s="35" t="b">
        <v>0</v>
      </c>
      <c r="Q1460" s="35" t="b">
        <v>0</v>
      </c>
      <c r="R1460" s="14"/>
      <c r="S1460" s="14"/>
      <c r="T1460" s="14"/>
      <c r="U1460" s="14"/>
      <c r="V1460" s="14"/>
      <c r="W1460" s="14"/>
    </row>
    <row r="1461" ht="31.5" customHeight="1">
      <c r="A1461" s="109" t="s">
        <v>15300</v>
      </c>
      <c r="B1461" s="110" t="s">
        <v>15301</v>
      </c>
      <c r="C1461" s="111" t="s">
        <v>15302</v>
      </c>
      <c r="D1461" s="28" t="s">
        <v>15303</v>
      </c>
      <c r="E1461" s="28" t="str">
        <f>IFERROR(__xludf.DUMMYFUNCTION("GOOGLETRANSLATE(D1461,""zh-CN"",""vi"")"),"Anh ấy thích lặn.")</f>
        <v>Anh ấy thích lặn.</v>
      </c>
      <c r="F1461" s="137"/>
      <c r="G1461" s="36" t="b">
        <f t="shared" si="1"/>
        <v>0</v>
      </c>
      <c r="H1461" s="35" t="b">
        <v>1</v>
      </c>
      <c r="I1461" s="35" t="b">
        <v>0</v>
      </c>
      <c r="J1461" s="35" t="b">
        <v>0</v>
      </c>
      <c r="K1461" s="35" t="b">
        <v>0</v>
      </c>
      <c r="L1461" s="35" t="b">
        <v>0</v>
      </c>
      <c r="M1461" s="35" t="b">
        <v>0</v>
      </c>
      <c r="N1461" s="35" t="b">
        <v>0</v>
      </c>
      <c r="O1461" s="35" t="b">
        <v>0</v>
      </c>
      <c r="P1461" s="35" t="b">
        <v>0</v>
      </c>
      <c r="Q1461" s="35" t="b">
        <v>0</v>
      </c>
      <c r="R1461" s="14"/>
      <c r="S1461" s="14"/>
      <c r="T1461" s="14"/>
      <c r="U1461" s="14"/>
      <c r="V1461" s="14"/>
      <c r="W1461" s="14"/>
    </row>
    <row r="1462" ht="31.5" customHeight="1">
      <c r="A1462" s="109" t="s">
        <v>15304</v>
      </c>
      <c r="B1462" s="110" t="s">
        <v>15305</v>
      </c>
      <c r="C1462" s="111" t="s">
        <v>15306</v>
      </c>
      <c r="D1462" s="28" t="s">
        <v>15307</v>
      </c>
      <c r="E1462" s="28" t="str">
        <f>IFERROR(__xludf.DUMMYFUNCTION("GOOGLETRANSLATE(D1462,""zh-CN"",""vi"")"),"Đây là điều kiện tiên quyết để hợp tác.")</f>
        <v>Đây là điều kiện tiên quyết để hợp tác.</v>
      </c>
      <c r="F1462" s="137"/>
      <c r="G1462" s="36" t="b">
        <f t="shared" si="1"/>
        <v>0</v>
      </c>
      <c r="H1462" s="35" t="b">
        <v>1</v>
      </c>
      <c r="I1462" s="35" t="b">
        <v>0</v>
      </c>
      <c r="J1462" s="35" t="b">
        <v>0</v>
      </c>
      <c r="K1462" s="35" t="b">
        <v>0</v>
      </c>
      <c r="L1462" s="35" t="b">
        <v>0</v>
      </c>
      <c r="M1462" s="35" t="b">
        <v>0</v>
      </c>
      <c r="N1462" s="35" t="b">
        <v>0</v>
      </c>
      <c r="O1462" s="35" t="b">
        <v>0</v>
      </c>
      <c r="P1462" s="35" t="b">
        <v>0</v>
      </c>
      <c r="Q1462" s="35" t="b">
        <v>0</v>
      </c>
      <c r="R1462" s="14"/>
      <c r="S1462" s="14"/>
      <c r="T1462" s="14"/>
      <c r="U1462" s="14"/>
      <c r="V1462" s="14"/>
      <c r="W1462" s="14"/>
    </row>
    <row r="1463" ht="31.5" customHeight="1">
      <c r="A1463" s="109" t="s">
        <v>15308</v>
      </c>
      <c r="B1463" s="110" t="s">
        <v>15309</v>
      </c>
      <c r="C1463" s="111" t="s">
        <v>15310</v>
      </c>
      <c r="D1463" s="28" t="s">
        <v>15311</v>
      </c>
      <c r="E1463" s="28" t="str">
        <f>IFERROR(__xludf.DUMMYFUNCTION("GOOGLETRANSLATE(D1463,""zh-CN"",""vi"")"),"Ảnh hưởng này rất tinh tế và diễn ra từ từ.")</f>
        <v>Ảnh hưởng này rất tinh tế và diễn ra từ từ.</v>
      </c>
      <c r="F1463" s="137"/>
      <c r="G1463" s="36" t="b">
        <f t="shared" si="1"/>
        <v>0</v>
      </c>
      <c r="H1463" s="35" t="b">
        <v>1</v>
      </c>
      <c r="I1463" s="35" t="b">
        <v>0</v>
      </c>
      <c r="J1463" s="35" t="b">
        <v>0</v>
      </c>
      <c r="K1463" s="35" t="b">
        <v>0</v>
      </c>
      <c r="L1463" s="35" t="b">
        <v>0</v>
      </c>
      <c r="M1463" s="35" t="b">
        <v>0</v>
      </c>
      <c r="N1463" s="35" t="b">
        <v>0</v>
      </c>
      <c r="O1463" s="35" t="b">
        <v>0</v>
      </c>
      <c r="P1463" s="35" t="b">
        <v>0</v>
      </c>
      <c r="Q1463" s="35" t="b">
        <v>0</v>
      </c>
      <c r="R1463" s="14"/>
      <c r="S1463" s="14"/>
      <c r="T1463" s="14"/>
      <c r="U1463" s="14"/>
      <c r="V1463" s="14"/>
      <c r="W1463" s="14"/>
    </row>
    <row r="1464" ht="31.5" customHeight="1">
      <c r="A1464" s="109" t="s">
        <v>15312</v>
      </c>
      <c r="B1464" s="110" t="s">
        <v>15313</v>
      </c>
      <c r="C1464" s="111" t="s">
        <v>15314</v>
      </c>
      <c r="D1464" s="28" t="s">
        <v>15315</v>
      </c>
      <c r="E1464" s="28" t="str">
        <f>IFERROR(__xludf.DUMMYFUNCTION("GOOGLETRANSLATE(D1464,""zh-CN"",""vi"")"),"Họ lên án hành vi này.")</f>
        <v>Họ lên án hành vi này.</v>
      </c>
      <c r="F1464" s="137"/>
      <c r="G1464" s="36" t="b">
        <f t="shared" si="1"/>
        <v>0</v>
      </c>
      <c r="H1464" s="35" t="b">
        <v>1</v>
      </c>
      <c r="I1464" s="35" t="b">
        <v>0</v>
      </c>
      <c r="J1464" s="35" t="b">
        <v>0</v>
      </c>
      <c r="K1464" s="35" t="b">
        <v>0</v>
      </c>
      <c r="L1464" s="35" t="b">
        <v>0</v>
      </c>
      <c r="M1464" s="35" t="b">
        <v>0</v>
      </c>
      <c r="N1464" s="35" t="b">
        <v>0</v>
      </c>
      <c r="O1464" s="35" t="b">
        <v>0</v>
      </c>
      <c r="P1464" s="35" t="b">
        <v>0</v>
      </c>
      <c r="Q1464" s="35" t="b">
        <v>0</v>
      </c>
      <c r="R1464" s="14"/>
      <c r="S1464" s="14"/>
      <c r="T1464" s="14"/>
      <c r="U1464" s="14"/>
      <c r="V1464" s="14"/>
      <c r="W1464" s="14"/>
    </row>
    <row r="1465" ht="31.5" customHeight="1">
      <c r="A1465" s="109" t="s">
        <v>15316</v>
      </c>
      <c r="B1465" s="110" t="s">
        <v>15317</v>
      </c>
      <c r="C1465" s="111" t="s">
        <v>14044</v>
      </c>
      <c r="D1465" s="28" t="s">
        <v>15318</v>
      </c>
      <c r="E1465" s="28" t="str">
        <f>IFERROR(__xludf.DUMMYFUNCTION("GOOGLETRANSLATE(D1465,""zh-CN"",""vi"")"),"Cảnh sát đã ngăn chặn vụ cướp.")</f>
        <v>Cảnh sát đã ngăn chặn vụ cướp.</v>
      </c>
      <c r="F1465" s="137"/>
      <c r="G1465" s="36" t="b">
        <f t="shared" si="1"/>
        <v>0</v>
      </c>
      <c r="H1465" s="35" t="b">
        <v>1</v>
      </c>
      <c r="I1465" s="35" t="b">
        <v>0</v>
      </c>
      <c r="J1465" s="35" t="b">
        <v>0</v>
      </c>
      <c r="K1465" s="35" t="b">
        <v>0</v>
      </c>
      <c r="L1465" s="35" t="b">
        <v>0</v>
      </c>
      <c r="M1465" s="35" t="b">
        <v>0</v>
      </c>
      <c r="N1465" s="35" t="b">
        <v>0</v>
      </c>
      <c r="O1465" s="35" t="b">
        <v>0</v>
      </c>
      <c r="P1465" s="35" t="b">
        <v>0</v>
      </c>
      <c r="Q1465" s="35" t="b">
        <v>0</v>
      </c>
      <c r="R1465" s="14"/>
      <c r="S1465" s="14"/>
      <c r="T1465" s="14"/>
      <c r="U1465" s="14"/>
      <c r="V1465" s="14"/>
      <c r="W1465" s="14"/>
    </row>
    <row r="1466" ht="31.5" customHeight="1">
      <c r="A1466" s="109" t="s">
        <v>15319</v>
      </c>
      <c r="B1466" s="110" t="s">
        <v>15320</v>
      </c>
      <c r="C1466" s="111" t="s">
        <v>15321</v>
      </c>
      <c r="D1466" s="28" t="s">
        <v>15322</v>
      </c>
      <c r="E1466" s="28" t="str">
        <f>IFERROR(__xludf.DUMMYFUNCTION("GOOGLETRANSLATE(D1466,""zh-CN"",""vi"")"),"Thi hành pháp luật.")</f>
        <v>Thi hành pháp luật.</v>
      </c>
      <c r="F1466" s="137"/>
      <c r="G1466" s="36" t="b">
        <f t="shared" si="1"/>
        <v>0</v>
      </c>
      <c r="H1466" s="35" t="b">
        <v>1</v>
      </c>
      <c r="I1466" s="35" t="b">
        <v>0</v>
      </c>
      <c r="J1466" s="35" t="b">
        <v>0</v>
      </c>
      <c r="K1466" s="35" t="b">
        <v>0</v>
      </c>
      <c r="L1466" s="35" t="b">
        <v>0</v>
      </c>
      <c r="M1466" s="35" t="b">
        <v>0</v>
      </c>
      <c r="N1466" s="35" t="b">
        <v>0</v>
      </c>
      <c r="O1466" s="35" t="b">
        <v>0</v>
      </c>
      <c r="P1466" s="35" t="b">
        <v>0</v>
      </c>
      <c r="Q1466" s="35" t="b">
        <v>0</v>
      </c>
      <c r="R1466" s="14"/>
      <c r="S1466" s="14"/>
      <c r="T1466" s="14"/>
      <c r="U1466" s="14"/>
      <c r="V1466" s="14"/>
      <c r="W1466" s="14"/>
    </row>
    <row r="1467" ht="31.5" customHeight="1">
      <c r="A1467" s="109" t="s">
        <v>15323</v>
      </c>
      <c r="B1467" s="110" t="s">
        <v>15324</v>
      </c>
      <c r="C1467" s="111" t="s">
        <v>15325</v>
      </c>
      <c r="D1467" s="28" t="s">
        <v>15326</v>
      </c>
      <c r="E1467" s="28" t="str">
        <f>IFERROR(__xludf.DUMMYFUNCTION("GOOGLETRANSLATE(D1467,""zh-CN"",""vi"")"),"Ông ấy được đưa đến bệnh viện cấp cứu vì bị đau tim.")</f>
        <v>Ông ấy được đưa đến bệnh viện cấp cứu vì bị đau tim.</v>
      </c>
      <c r="F1467" s="137"/>
      <c r="G1467" s="36" t="b">
        <f t="shared" si="1"/>
        <v>0</v>
      </c>
      <c r="H1467" s="35" t="b">
        <v>1</v>
      </c>
      <c r="I1467" s="35" t="b">
        <v>0</v>
      </c>
      <c r="J1467" s="35" t="b">
        <v>0</v>
      </c>
      <c r="K1467" s="35" t="b">
        <v>0</v>
      </c>
      <c r="L1467" s="35" t="b">
        <v>0</v>
      </c>
      <c r="M1467" s="35" t="b">
        <v>0</v>
      </c>
      <c r="N1467" s="35" t="b">
        <v>0</v>
      </c>
      <c r="O1467" s="35" t="b">
        <v>0</v>
      </c>
      <c r="P1467" s="35" t="b">
        <v>0</v>
      </c>
      <c r="Q1467" s="35" t="b">
        <v>0</v>
      </c>
      <c r="R1467" s="14"/>
      <c r="S1467" s="14"/>
      <c r="T1467" s="14"/>
      <c r="U1467" s="14"/>
      <c r="V1467" s="14"/>
      <c r="W1467" s="14"/>
    </row>
    <row r="1468" ht="31.5" customHeight="1">
      <c r="A1468" s="109" t="s">
        <v>15327</v>
      </c>
      <c r="B1468" s="110" t="s">
        <v>15328</v>
      </c>
      <c r="C1468" s="111" t="s">
        <v>15329</v>
      </c>
      <c r="D1468" s="28" t="s">
        <v>15330</v>
      </c>
      <c r="E1468" s="28" t="str">
        <f>IFERROR(__xludf.DUMMYFUNCTION("GOOGLETRANSLATE(D1468,""zh-CN"",""vi"")"),"Bạn không thể ép buộc người khác.")</f>
        <v>Bạn không thể ép buộc người khác.</v>
      </c>
      <c r="F1468" s="137"/>
      <c r="G1468" s="36" t="b">
        <f t="shared" si="1"/>
        <v>0</v>
      </c>
      <c r="H1468" s="35" t="b">
        <v>1</v>
      </c>
      <c r="I1468" s="35" t="b">
        <v>0</v>
      </c>
      <c r="J1468" s="35" t="b">
        <v>0</v>
      </c>
      <c r="K1468" s="35" t="b">
        <v>0</v>
      </c>
      <c r="L1468" s="35" t="b">
        <v>0</v>
      </c>
      <c r="M1468" s="35" t="b">
        <v>0</v>
      </c>
      <c r="N1468" s="35" t="b">
        <v>0</v>
      </c>
      <c r="O1468" s="35" t="b">
        <v>0</v>
      </c>
      <c r="P1468" s="35" t="b">
        <v>0</v>
      </c>
      <c r="Q1468" s="35" t="b">
        <v>0</v>
      </c>
      <c r="R1468" s="14"/>
      <c r="S1468" s="14"/>
      <c r="T1468" s="14"/>
      <c r="U1468" s="14"/>
      <c r="V1468" s="14"/>
      <c r="W1468" s="14"/>
    </row>
    <row r="1469" ht="31.5" customHeight="1">
      <c r="A1469" s="109" t="s">
        <v>15331</v>
      </c>
      <c r="B1469" s="110" t="s">
        <v>15332</v>
      </c>
      <c r="C1469" s="111" t="s">
        <v>15333</v>
      </c>
      <c r="D1469" s="28" t="s">
        <v>15334</v>
      </c>
      <c r="E1469" s="28" t="str">
        <f>IFERROR(__xludf.DUMMYFUNCTION("GOOGLETRANSLATE(D1469,""zh-CN"",""vi"")"),"Cây cầu này nối liền hai nơi.")</f>
        <v>Cây cầu này nối liền hai nơi.</v>
      </c>
      <c r="F1469" s="137"/>
      <c r="G1469" s="36" t="b">
        <f t="shared" si="1"/>
        <v>0</v>
      </c>
      <c r="H1469" s="35" t="b">
        <v>1</v>
      </c>
      <c r="I1469" s="35" t="b">
        <v>0</v>
      </c>
      <c r="J1469" s="35" t="b">
        <v>0</v>
      </c>
      <c r="K1469" s="35" t="b">
        <v>0</v>
      </c>
      <c r="L1469" s="35" t="b">
        <v>0</v>
      </c>
      <c r="M1469" s="35" t="b">
        <v>0</v>
      </c>
      <c r="N1469" s="35" t="b">
        <v>0</v>
      </c>
      <c r="O1469" s="35" t="b">
        <v>0</v>
      </c>
      <c r="P1469" s="35" t="b">
        <v>0</v>
      </c>
      <c r="Q1469" s="35" t="b">
        <v>0</v>
      </c>
      <c r="R1469" s="14"/>
      <c r="S1469" s="14"/>
      <c r="T1469" s="14"/>
      <c r="U1469" s="14"/>
      <c r="V1469" s="14"/>
      <c r="W1469" s="14"/>
    </row>
    <row r="1470" ht="31.5" customHeight="1">
      <c r="A1470" s="109" t="s">
        <v>15335</v>
      </c>
      <c r="B1470" s="110" t="s">
        <v>15336</v>
      </c>
      <c r="C1470" s="111" t="s">
        <v>15337</v>
      </c>
      <c r="D1470" s="28" t="s">
        <v>15338</v>
      </c>
      <c r="E1470" s="28" t="str">
        <f>IFERROR(__xludf.DUMMYFUNCTION("GOOGLETRANSLATE(D1470,""zh-CN"",""vi"")"),"Lông mi của cô ấy rất cong.")</f>
        <v>Lông mi của cô ấy rất cong.</v>
      </c>
      <c r="F1470" s="137"/>
      <c r="G1470" s="36" t="b">
        <f t="shared" si="1"/>
        <v>0</v>
      </c>
      <c r="H1470" s="35" t="b">
        <v>1</v>
      </c>
      <c r="I1470" s="35" t="b">
        <v>0</v>
      </c>
      <c r="J1470" s="35" t="b">
        <v>0</v>
      </c>
      <c r="K1470" s="35" t="b">
        <v>0</v>
      </c>
      <c r="L1470" s="35" t="b">
        <v>0</v>
      </c>
      <c r="M1470" s="35" t="b">
        <v>0</v>
      </c>
      <c r="N1470" s="35" t="b">
        <v>0</v>
      </c>
      <c r="O1470" s="35" t="b">
        <v>0</v>
      </c>
      <c r="P1470" s="35" t="b">
        <v>0</v>
      </c>
      <c r="Q1470" s="35" t="b">
        <v>0</v>
      </c>
      <c r="R1470" s="14"/>
      <c r="S1470" s="14"/>
      <c r="T1470" s="14"/>
      <c r="U1470" s="14"/>
      <c r="V1470" s="14"/>
      <c r="W1470" s="14"/>
    </row>
    <row r="1471" ht="31.5" customHeight="1">
      <c r="A1471" s="109" t="s">
        <v>15339</v>
      </c>
      <c r="B1471" s="110" t="s">
        <v>15340</v>
      </c>
      <c r="C1471" s="111" t="s">
        <v>15341</v>
      </c>
      <c r="D1471" s="28" t="s">
        <v>15342</v>
      </c>
      <c r="E1471" s="28" t="str">
        <f>IFERROR(__xludf.DUMMYFUNCTION("GOOGLETRANSLATE(D1471,""zh-CN"",""vi"")"),"Chúng ta phải không ngừng theo đuổi ước mơ của mình.")</f>
        <v>Chúng ta phải không ngừng theo đuổi ước mơ của mình.</v>
      </c>
      <c r="F1471" s="137"/>
      <c r="G1471" s="36" t="b">
        <f t="shared" si="1"/>
        <v>0</v>
      </c>
      <c r="H1471" s="35" t="b">
        <v>1</v>
      </c>
      <c r="I1471" s="35" t="b">
        <v>0</v>
      </c>
      <c r="J1471" s="35" t="b">
        <v>0</v>
      </c>
      <c r="K1471" s="35" t="b">
        <v>0</v>
      </c>
      <c r="L1471" s="35" t="b">
        <v>0</v>
      </c>
      <c r="M1471" s="35" t="b">
        <v>0</v>
      </c>
      <c r="N1471" s="35" t="b">
        <v>0</v>
      </c>
      <c r="O1471" s="35" t="b">
        <v>0</v>
      </c>
      <c r="P1471" s="35" t="b">
        <v>0</v>
      </c>
      <c r="Q1471" s="35" t="b">
        <v>0</v>
      </c>
      <c r="R1471" s="14"/>
      <c r="S1471" s="14"/>
      <c r="T1471" s="14"/>
      <c r="U1471" s="14"/>
      <c r="V1471" s="14"/>
      <c r="W1471" s="14"/>
    </row>
    <row r="1472" ht="31.5" customHeight="1">
      <c r="A1472" s="109" t="s">
        <v>15343</v>
      </c>
      <c r="B1472" s="110" t="s">
        <v>15344</v>
      </c>
      <c r="C1472" s="111" t="s">
        <v>15345</v>
      </c>
      <c r="D1472" s="28" t="s">
        <v>15346</v>
      </c>
      <c r="E1472" s="28" t="str">
        <f>IFERROR(__xludf.DUMMYFUNCTION("GOOGLETRANSLATE(D1472,""zh-CN"",""vi"")"),"Chúng ta phải có những biện pháp cụ thể.")</f>
        <v>Chúng ta phải có những biện pháp cụ thể.</v>
      </c>
      <c r="F1472" s="137"/>
      <c r="G1472" s="36" t="b">
        <f t="shared" si="1"/>
        <v>0</v>
      </c>
      <c r="H1472" s="35" t="b">
        <v>1</v>
      </c>
      <c r="I1472" s="35" t="b">
        <v>0</v>
      </c>
      <c r="J1472" s="35" t="b">
        <v>0</v>
      </c>
      <c r="K1472" s="35" t="b">
        <v>0</v>
      </c>
      <c r="L1472" s="35" t="b">
        <v>0</v>
      </c>
      <c r="M1472" s="35" t="b">
        <v>0</v>
      </c>
      <c r="N1472" s="35" t="b">
        <v>0</v>
      </c>
      <c r="O1472" s="35" t="b">
        <v>0</v>
      </c>
      <c r="P1472" s="35" t="b">
        <v>0</v>
      </c>
      <c r="Q1472" s="35" t="b">
        <v>0</v>
      </c>
      <c r="R1472" s="14"/>
      <c r="S1472" s="14"/>
      <c r="T1472" s="14"/>
      <c r="U1472" s="14"/>
      <c r="V1472" s="14"/>
      <c r="W1472" s="14"/>
    </row>
    <row r="1473" ht="31.5" customHeight="1">
      <c r="A1473" s="109" t="s">
        <v>15347</v>
      </c>
      <c r="B1473" s="110" t="s">
        <v>15348</v>
      </c>
      <c r="C1473" s="111" t="s">
        <v>15349</v>
      </c>
      <c r="D1473" s="28" t="s">
        <v>15350</v>
      </c>
      <c r="E1473" s="28" t="str">
        <f>IFERROR(__xludf.DUMMYFUNCTION("GOOGLETRANSLATE(D1473,""zh-CN"",""vi"")"),"Xâm phạm quyền lợi của người khác là sai trái.")</f>
        <v>Xâm phạm quyền lợi của người khác là sai trái.</v>
      </c>
      <c r="F1473" s="137"/>
      <c r="G1473" s="36" t="b">
        <f t="shared" si="1"/>
        <v>0</v>
      </c>
      <c r="H1473" s="35" t="b">
        <v>1</v>
      </c>
      <c r="I1473" s="35" t="b">
        <v>0</v>
      </c>
      <c r="J1473" s="35" t="b">
        <v>0</v>
      </c>
      <c r="K1473" s="35" t="b">
        <v>0</v>
      </c>
      <c r="L1473" s="35" t="b">
        <v>0</v>
      </c>
      <c r="M1473" s="35" t="b">
        <v>0</v>
      </c>
      <c r="N1473" s="35" t="b">
        <v>0</v>
      </c>
      <c r="O1473" s="35" t="b">
        <v>0</v>
      </c>
      <c r="P1473" s="35" t="b">
        <v>0</v>
      </c>
      <c r="Q1473" s="35" t="b">
        <v>0</v>
      </c>
      <c r="R1473" s="14"/>
      <c r="S1473" s="14"/>
      <c r="T1473" s="14"/>
      <c r="U1473" s="14"/>
      <c r="V1473" s="14"/>
      <c r="W1473" s="14"/>
    </row>
    <row r="1474" ht="31.5" customHeight="1">
      <c r="A1474" s="109" t="s">
        <v>15351</v>
      </c>
      <c r="B1474" s="110" t="s">
        <v>15352</v>
      </c>
      <c r="C1474" s="111" t="s">
        <v>15353</v>
      </c>
      <c r="D1474" s="28" t="s">
        <v>15354</v>
      </c>
      <c r="E1474" s="28" t="str">
        <f>IFERROR(__xludf.DUMMYFUNCTION("GOOGLETRANSLATE(D1474,""zh-CN"",""vi"")"),"Tôi ngưỡng mộ lòng dũng cảm của anh ấy.")</f>
        <v>Tôi ngưỡng mộ lòng dũng cảm của anh ấy.</v>
      </c>
      <c r="F1474" s="137"/>
      <c r="G1474" s="36" t="b">
        <f t="shared" si="1"/>
        <v>0</v>
      </c>
      <c r="H1474" s="35" t="b">
        <v>1</v>
      </c>
      <c r="I1474" s="35" t="b">
        <v>0</v>
      </c>
      <c r="J1474" s="35" t="b">
        <v>0</v>
      </c>
      <c r="K1474" s="35" t="b">
        <v>0</v>
      </c>
      <c r="L1474" s="35" t="b">
        <v>0</v>
      </c>
      <c r="M1474" s="35" t="b">
        <v>0</v>
      </c>
      <c r="N1474" s="35" t="b">
        <v>0</v>
      </c>
      <c r="O1474" s="35" t="b">
        <v>0</v>
      </c>
      <c r="P1474" s="35" t="b">
        <v>0</v>
      </c>
      <c r="Q1474" s="35" t="b">
        <v>0</v>
      </c>
      <c r="R1474" s="14"/>
      <c r="S1474" s="14"/>
      <c r="T1474" s="14"/>
      <c r="U1474" s="14"/>
      <c r="V1474" s="14"/>
      <c r="W1474" s="14"/>
    </row>
    <row r="1475" ht="31.5" customHeight="1">
      <c r="A1475" s="109" t="s">
        <v>15355</v>
      </c>
      <c r="B1475" s="110" t="s">
        <v>15356</v>
      </c>
      <c r="C1475" s="111" t="s">
        <v>15357</v>
      </c>
      <c r="D1475" s="28" t="s">
        <v>15358</v>
      </c>
      <c r="E1475" s="28" t="str">
        <f>IFERROR(__xludf.DUMMYFUNCTION("GOOGLETRANSLATE(D1475,""zh-CN"",""vi"")"),"Họ có mối quan hệ rất thân thiết.")</f>
        <v>Họ có mối quan hệ rất thân thiết.</v>
      </c>
      <c r="F1475" s="137"/>
      <c r="G1475" s="36" t="b">
        <f t="shared" si="1"/>
        <v>0</v>
      </c>
      <c r="H1475" s="35" t="b">
        <v>1</v>
      </c>
      <c r="I1475" s="35" t="b">
        <v>0</v>
      </c>
      <c r="J1475" s="35" t="b">
        <v>0</v>
      </c>
      <c r="K1475" s="35" t="b">
        <v>0</v>
      </c>
      <c r="L1475" s="35" t="b">
        <v>0</v>
      </c>
      <c r="M1475" s="35" t="b">
        <v>0</v>
      </c>
      <c r="N1475" s="35" t="b">
        <v>0</v>
      </c>
      <c r="O1475" s="35" t="b">
        <v>0</v>
      </c>
      <c r="P1475" s="35" t="b">
        <v>0</v>
      </c>
      <c r="Q1475" s="35" t="b">
        <v>0</v>
      </c>
      <c r="R1475" s="14"/>
      <c r="S1475" s="14"/>
      <c r="T1475" s="14"/>
      <c r="U1475" s="14"/>
      <c r="V1475" s="14"/>
      <c r="W1475" s="14"/>
    </row>
    <row r="1476" ht="31.5" customHeight="1">
      <c r="A1476" s="109" t="s">
        <v>15359</v>
      </c>
      <c r="B1476" s="110" t="s">
        <v>15360</v>
      </c>
      <c r="C1476" s="111" t="s">
        <v>15361</v>
      </c>
      <c r="D1476" s="28" t="s">
        <v>15362</v>
      </c>
      <c r="E1476" s="28" t="str">
        <f>IFERROR(__xludf.DUMMYFUNCTION("GOOGLETRANSLATE(D1476,""zh-CN"",""vi"")"),"Ông ấy đã trực tiếp trải nghiệm điều này.")</f>
        <v>Ông ấy đã trực tiếp trải nghiệm điều này.</v>
      </c>
      <c r="F1476" s="137"/>
      <c r="G1476" s="36" t="b">
        <f t="shared" si="1"/>
        <v>0</v>
      </c>
      <c r="H1476" s="35" t="b">
        <v>1</v>
      </c>
      <c r="I1476" s="35" t="b">
        <v>0</v>
      </c>
      <c r="J1476" s="35" t="b">
        <v>0</v>
      </c>
      <c r="K1476" s="35" t="b">
        <v>0</v>
      </c>
      <c r="L1476" s="35" t="b">
        <v>0</v>
      </c>
      <c r="M1476" s="35" t="b">
        <v>0</v>
      </c>
      <c r="N1476" s="35" t="b">
        <v>0</v>
      </c>
      <c r="O1476" s="35" t="b">
        <v>0</v>
      </c>
      <c r="P1476" s="35" t="b">
        <v>0</v>
      </c>
      <c r="Q1476" s="35" t="b">
        <v>0</v>
      </c>
      <c r="R1476" s="14"/>
      <c r="S1476" s="14"/>
      <c r="T1476" s="14"/>
      <c r="U1476" s="14"/>
      <c r="V1476" s="14"/>
      <c r="W1476" s="14"/>
    </row>
    <row r="1477" ht="31.5" customHeight="1">
      <c r="A1477" s="109" t="s">
        <v>15363</v>
      </c>
      <c r="B1477" s="110" t="s">
        <v>15364</v>
      </c>
      <c r="C1477" s="111" t="s">
        <v>15365</v>
      </c>
      <c r="D1477" s="28" t="s">
        <v>15366</v>
      </c>
      <c r="E1477" s="28" t="str">
        <f>IFERROR(__xludf.DUMMYFUNCTION("GOOGLETRANSLATE(D1477,""zh-CN"",""vi"")"),"Chúng ta nên siêng năng và tiết kiệm.")</f>
        <v>Chúng ta nên siêng năng và tiết kiệm.</v>
      </c>
      <c r="F1477" s="137"/>
      <c r="G1477" s="36" t="b">
        <f t="shared" si="1"/>
        <v>0</v>
      </c>
      <c r="H1477" s="35" t="b">
        <v>1</v>
      </c>
      <c r="I1477" s="35" t="b">
        <v>0</v>
      </c>
      <c r="J1477" s="35" t="b">
        <v>0</v>
      </c>
      <c r="K1477" s="35" t="b">
        <v>0</v>
      </c>
      <c r="L1477" s="35" t="b">
        <v>0</v>
      </c>
      <c r="M1477" s="35" t="b">
        <v>0</v>
      </c>
      <c r="N1477" s="35" t="b">
        <v>0</v>
      </c>
      <c r="O1477" s="35" t="b">
        <v>0</v>
      </c>
      <c r="P1477" s="35" t="b">
        <v>0</v>
      </c>
      <c r="Q1477" s="35" t="b">
        <v>0</v>
      </c>
      <c r="R1477" s="14"/>
      <c r="S1477" s="14"/>
      <c r="T1477" s="14"/>
      <c r="U1477" s="14"/>
      <c r="V1477" s="14"/>
      <c r="W1477" s="14"/>
    </row>
    <row r="1478" ht="31.5" customHeight="1">
      <c r="A1478" s="109" t="s">
        <v>15367</v>
      </c>
      <c r="B1478" s="110" t="s">
        <v>15368</v>
      </c>
      <c r="C1478" s="111" t="s">
        <v>15369</v>
      </c>
      <c r="D1478" s="28" t="s">
        <v>15370</v>
      </c>
      <c r="E1478" s="28" t="str">
        <f>IFERROR(__xludf.DUMMYFUNCTION("GOOGLETRANSLATE(D1478,""zh-CN"",""vi"")"),"Cô ấy rất siêng năng trong công việc.")</f>
        <v>Cô ấy rất siêng năng trong công việc.</v>
      </c>
      <c r="F1478" s="137"/>
      <c r="G1478" s="36" t="b">
        <f t="shared" si="1"/>
        <v>0</v>
      </c>
      <c r="H1478" s="35" t="b">
        <v>1</v>
      </c>
      <c r="I1478" s="35" t="b">
        <v>0</v>
      </c>
      <c r="J1478" s="35" t="b">
        <v>0</v>
      </c>
      <c r="K1478" s="35" t="b">
        <v>0</v>
      </c>
      <c r="L1478" s="35" t="b">
        <v>0</v>
      </c>
      <c r="M1478" s="35" t="b">
        <v>0</v>
      </c>
      <c r="N1478" s="35" t="b">
        <v>0</v>
      </c>
      <c r="O1478" s="35" t="b">
        <v>0</v>
      </c>
      <c r="P1478" s="35" t="b">
        <v>0</v>
      </c>
      <c r="Q1478" s="35" t="b">
        <v>0</v>
      </c>
      <c r="R1478" s="14"/>
      <c r="S1478" s="14"/>
      <c r="T1478" s="14"/>
      <c r="U1478" s="14"/>
      <c r="V1478" s="14"/>
      <c r="W1478" s="14"/>
    </row>
    <row r="1479" ht="31.5" customHeight="1">
      <c r="A1479" s="109" t="s">
        <v>15371</v>
      </c>
      <c r="B1479" s="110" t="s">
        <v>3662</v>
      </c>
      <c r="C1479" s="111" t="s">
        <v>15372</v>
      </c>
      <c r="D1479" s="28" t="s">
        <v>15373</v>
      </c>
      <c r="E1479" s="28" t="str">
        <f>IFERROR(__xludf.DUMMYFUNCTION("GOOGLETRANSLATE(D1479,""zh-CN"",""vi"")"),"Hydro là một loại khí nhẹ.")</f>
        <v>Hydro là một loại khí nhẹ.</v>
      </c>
      <c r="F1479" s="137"/>
      <c r="G1479" s="36" t="b">
        <f t="shared" si="1"/>
        <v>0</v>
      </c>
      <c r="H1479" s="35" t="b">
        <v>1</v>
      </c>
      <c r="I1479" s="35" t="b">
        <v>0</v>
      </c>
      <c r="J1479" s="35" t="b">
        <v>0</v>
      </c>
      <c r="K1479" s="35" t="b">
        <v>0</v>
      </c>
      <c r="L1479" s="35" t="b">
        <v>0</v>
      </c>
      <c r="M1479" s="35" t="b">
        <v>0</v>
      </c>
      <c r="N1479" s="35" t="b">
        <v>0</v>
      </c>
      <c r="O1479" s="35" t="b">
        <v>0</v>
      </c>
      <c r="P1479" s="35" t="b">
        <v>0</v>
      </c>
      <c r="Q1479" s="35" t="b">
        <v>0</v>
      </c>
      <c r="R1479" s="14"/>
      <c r="S1479" s="14"/>
      <c r="T1479" s="14"/>
      <c r="U1479" s="14"/>
      <c r="V1479" s="14"/>
      <c r="W1479" s="14"/>
    </row>
    <row r="1480" ht="31.5" customHeight="1">
      <c r="A1480" s="109" t="s">
        <v>15374</v>
      </c>
      <c r="B1480" s="110" t="s">
        <v>15375</v>
      </c>
      <c r="C1480" s="111" t="s">
        <v>15376</v>
      </c>
      <c r="D1480" s="28" t="s">
        <v>15377</v>
      </c>
      <c r="E1480" s="28" t="str">
        <f>IFERROR(__xludf.DUMMYFUNCTION("GOOGLETRANSLATE(D1480,""zh-CN"",""vi"")"),"Nước hồ trong vắt.")</f>
        <v>Nước hồ trong vắt.</v>
      </c>
      <c r="F1480" s="137"/>
      <c r="G1480" s="36" t="b">
        <f t="shared" si="1"/>
        <v>0</v>
      </c>
      <c r="H1480" s="35" t="b">
        <v>1</v>
      </c>
      <c r="I1480" s="35" t="b">
        <v>0</v>
      </c>
      <c r="J1480" s="35" t="b">
        <v>0</v>
      </c>
      <c r="K1480" s="35" t="b">
        <v>0</v>
      </c>
      <c r="L1480" s="35" t="b">
        <v>0</v>
      </c>
      <c r="M1480" s="35" t="b">
        <v>0</v>
      </c>
      <c r="N1480" s="35" t="b">
        <v>0</v>
      </c>
      <c r="O1480" s="35" t="b">
        <v>0</v>
      </c>
      <c r="P1480" s="35" t="b">
        <v>0</v>
      </c>
      <c r="Q1480" s="35" t="b">
        <v>0</v>
      </c>
      <c r="R1480" s="14"/>
      <c r="S1480" s="14"/>
      <c r="T1480" s="14"/>
      <c r="U1480" s="14"/>
      <c r="V1480" s="14"/>
      <c r="W1480" s="14"/>
    </row>
    <row r="1481" ht="31.5" customHeight="1">
      <c r="A1481" s="109" t="s">
        <v>15378</v>
      </c>
      <c r="B1481" s="110" t="s">
        <v>15379</v>
      </c>
      <c r="C1481" s="111" t="s">
        <v>15380</v>
      </c>
      <c r="D1481" s="28" t="s">
        <v>15381</v>
      </c>
      <c r="E1481" s="28" t="str">
        <f>IFERROR(__xludf.DUMMYFUNCTION("GOOGLETRANSLATE(D1481,""zh-CN"",""vi"")"),"Không khí buổi sáng rất trong lành.")</f>
        <v>Không khí buổi sáng rất trong lành.</v>
      </c>
      <c r="F1481" s="137"/>
      <c r="G1481" s="36" t="b">
        <f t="shared" si="1"/>
        <v>0</v>
      </c>
      <c r="H1481" s="35" t="b">
        <v>1</v>
      </c>
      <c r="I1481" s="35" t="b">
        <v>0</v>
      </c>
      <c r="J1481" s="35" t="b">
        <v>0</v>
      </c>
      <c r="K1481" s="35" t="b">
        <v>0</v>
      </c>
      <c r="L1481" s="35" t="b">
        <v>0</v>
      </c>
      <c r="M1481" s="35" t="b">
        <v>0</v>
      </c>
      <c r="N1481" s="35" t="b">
        <v>0</v>
      </c>
      <c r="O1481" s="35" t="b">
        <v>0</v>
      </c>
      <c r="P1481" s="35" t="b">
        <v>0</v>
      </c>
      <c r="Q1481" s="35" t="b">
        <v>0</v>
      </c>
      <c r="R1481" s="14"/>
      <c r="S1481" s="14"/>
      <c r="T1481" s="14"/>
      <c r="U1481" s="14"/>
      <c r="V1481" s="14"/>
      <c r="W1481" s="14"/>
    </row>
    <row r="1482" ht="31.5" customHeight="1">
      <c r="A1482" s="109" t="s">
        <v>15382</v>
      </c>
      <c r="B1482" s="110" t="s">
        <v>15383</v>
      </c>
      <c r="C1482" s="111" t="s">
        <v>15384</v>
      </c>
      <c r="D1482" s="28" t="s">
        <v>15385</v>
      </c>
      <c r="E1482" s="28" t="str">
        <f>IFERROR(__xludf.DUMMYFUNCTION("GOOGLETRANSLATE(D1482,""zh-CN"",""vi"")"),"Chúng ta cần phải dọn sạch cỏ dại.")</f>
        <v>Chúng ta cần phải dọn sạch cỏ dại.</v>
      </c>
      <c r="F1482" s="137"/>
      <c r="G1482" s="36" t="b">
        <f t="shared" si="1"/>
        <v>0</v>
      </c>
      <c r="H1482" s="35" t="b">
        <v>1</v>
      </c>
      <c r="I1482" s="35" t="b">
        <v>0</v>
      </c>
      <c r="J1482" s="35" t="b">
        <v>0</v>
      </c>
      <c r="K1482" s="35" t="b">
        <v>0</v>
      </c>
      <c r="L1482" s="35" t="b">
        <v>0</v>
      </c>
      <c r="M1482" s="35" t="b">
        <v>0</v>
      </c>
      <c r="N1482" s="35" t="b">
        <v>0</v>
      </c>
      <c r="O1482" s="35" t="b">
        <v>0</v>
      </c>
      <c r="P1482" s="35" t="b">
        <v>0</v>
      </c>
      <c r="Q1482" s="35" t="b">
        <v>0</v>
      </c>
      <c r="R1482" s="14"/>
      <c r="S1482" s="14"/>
      <c r="T1482" s="14"/>
      <c r="U1482" s="14"/>
      <c r="V1482" s="14"/>
      <c r="W1482" s="14"/>
    </row>
    <row r="1483" ht="31.5" customHeight="1">
      <c r="A1483" s="109" t="s">
        <v>15386</v>
      </c>
      <c r="B1483" s="110" t="s">
        <v>15387</v>
      </c>
      <c r="C1483" s="111" t="s">
        <v>15388</v>
      </c>
      <c r="D1483" s="28" t="s">
        <v>15389</v>
      </c>
      <c r="E1483" s="28" t="str">
        <f>IFERROR(__xludf.DUMMYFUNCTION("GOOGLETRANSLATE(D1483,""zh-CN"",""vi"")"),"Việc này dễ như ăn bánh.")</f>
        <v>Việc này dễ như ăn bánh.</v>
      </c>
      <c r="F1483" s="137"/>
      <c r="G1483" s="36" t="b">
        <f t="shared" si="1"/>
        <v>0</v>
      </c>
      <c r="H1483" s="35" t="b">
        <v>1</v>
      </c>
      <c r="I1483" s="35" t="b">
        <v>0</v>
      </c>
      <c r="J1483" s="35" t="b">
        <v>0</v>
      </c>
      <c r="K1483" s="35" t="b">
        <v>0</v>
      </c>
      <c r="L1483" s="35" t="b">
        <v>0</v>
      </c>
      <c r="M1483" s="35" t="b">
        <v>0</v>
      </c>
      <c r="N1483" s="35" t="b">
        <v>0</v>
      </c>
      <c r="O1483" s="35" t="b">
        <v>0</v>
      </c>
      <c r="P1483" s="35" t="b">
        <v>0</v>
      </c>
      <c r="Q1483" s="35" t="b">
        <v>0</v>
      </c>
      <c r="R1483" s="14"/>
      <c r="S1483" s="14"/>
      <c r="T1483" s="14"/>
      <c r="U1483" s="14"/>
      <c r="V1483" s="14"/>
      <c r="W1483" s="14"/>
    </row>
    <row r="1484" ht="31.5" customHeight="1">
      <c r="A1484" s="109" t="s">
        <v>15390</v>
      </c>
      <c r="B1484" s="110" t="s">
        <v>15391</v>
      </c>
      <c r="C1484" s="111" t="s">
        <v>15392</v>
      </c>
      <c r="D1484" s="28" t="s">
        <v>15393</v>
      </c>
      <c r="E1484" s="28" t="str">
        <f>IFERROR(__xludf.DUMMYFUNCTION("GOOGLETRANSLATE(D1484,""zh-CN"",""vi"")"),"Căn phòng cần được dọn dẹp.")</f>
        <v>Căn phòng cần được dọn dẹp.</v>
      </c>
      <c r="F1484" s="137"/>
      <c r="G1484" s="36" t="b">
        <f t="shared" si="1"/>
        <v>0</v>
      </c>
      <c r="H1484" s="35" t="b">
        <v>1</v>
      </c>
      <c r="I1484" s="35" t="b">
        <v>0</v>
      </c>
      <c r="J1484" s="35" t="b">
        <v>0</v>
      </c>
      <c r="K1484" s="35" t="b">
        <v>0</v>
      </c>
      <c r="L1484" s="35" t="b">
        <v>0</v>
      </c>
      <c r="M1484" s="35" t="b">
        <v>0</v>
      </c>
      <c r="N1484" s="35" t="b">
        <v>0</v>
      </c>
      <c r="O1484" s="35" t="b">
        <v>0</v>
      </c>
      <c r="P1484" s="35" t="b">
        <v>0</v>
      </c>
      <c r="Q1484" s="35" t="b">
        <v>0</v>
      </c>
      <c r="R1484" s="14"/>
      <c r="S1484" s="14"/>
      <c r="T1484" s="14"/>
      <c r="U1484" s="14"/>
      <c r="V1484" s="14"/>
      <c r="W1484" s="14"/>
    </row>
    <row r="1485" ht="31.5" customHeight="1">
      <c r="A1485" s="109" t="s">
        <v>15394</v>
      </c>
      <c r="B1485" s="110" t="s">
        <v>15395</v>
      </c>
      <c r="C1485" s="111" t="s">
        <v>15396</v>
      </c>
      <c r="D1485" s="28" t="s">
        <v>15397</v>
      </c>
      <c r="E1485" s="28" t="str">
        <f>IFERROR(__xludf.DUMMYFUNCTION("GOOGLETRANSLATE(D1485,""zh-CN"",""vi"")"),"Hãy dọn sách khỏi bàn.")</f>
        <v>Hãy dọn sách khỏi bàn.</v>
      </c>
      <c r="F1485" s="137"/>
      <c r="G1485" s="36" t="b">
        <f t="shared" si="1"/>
        <v>0</v>
      </c>
      <c r="H1485" s="35" t="b">
        <v>1</v>
      </c>
      <c r="I1485" s="35" t="b">
        <v>0</v>
      </c>
      <c r="J1485" s="35" t="b">
        <v>0</v>
      </c>
      <c r="K1485" s="35" t="b">
        <v>0</v>
      </c>
      <c r="L1485" s="35" t="b">
        <v>0</v>
      </c>
      <c r="M1485" s="35" t="b">
        <v>0</v>
      </c>
      <c r="N1485" s="35" t="b">
        <v>0</v>
      </c>
      <c r="O1485" s="35" t="b">
        <v>0</v>
      </c>
      <c r="P1485" s="35" t="b">
        <v>0</v>
      </c>
      <c r="Q1485" s="35" t="b">
        <v>0</v>
      </c>
      <c r="R1485" s="14"/>
      <c r="S1485" s="14"/>
      <c r="T1485" s="14"/>
      <c r="U1485" s="14"/>
      <c r="V1485" s="14"/>
      <c r="W1485" s="14"/>
    </row>
    <row r="1486" ht="31.5" customHeight="1">
      <c r="A1486" s="109" t="s">
        <v>15398</v>
      </c>
      <c r="B1486" s="110" t="s">
        <v>15399</v>
      </c>
      <c r="C1486" s="111" t="s">
        <v>15400</v>
      </c>
      <c r="D1486" s="28" t="s">
        <v>15401</v>
      </c>
      <c r="E1486" s="28" t="str">
        <f>IFERROR(__xludf.DUMMYFUNCTION("GOOGLETRANSLATE(D1486,""zh-CN"",""vi"")"),"Anh ấy lặng lẽ lắng nghe ý kiến ​​của mọi người.")</f>
        <v>Anh ấy lặng lẽ lắng nghe ý kiến ​​của mọi người.</v>
      </c>
      <c r="F1486" s="137"/>
      <c r="G1486" s="36" t="b">
        <f t="shared" si="1"/>
        <v>0</v>
      </c>
      <c r="H1486" s="35" t="b">
        <v>1</v>
      </c>
      <c r="I1486" s="35" t="b">
        <v>0</v>
      </c>
      <c r="J1486" s="35" t="b">
        <v>0</v>
      </c>
      <c r="K1486" s="35" t="b">
        <v>0</v>
      </c>
      <c r="L1486" s="35" t="b">
        <v>0</v>
      </c>
      <c r="M1486" s="35" t="b">
        <v>0</v>
      </c>
      <c r="N1486" s="35" t="b">
        <v>0</v>
      </c>
      <c r="O1486" s="35" t="b">
        <v>0</v>
      </c>
      <c r="P1486" s="35" t="b">
        <v>0</v>
      </c>
      <c r="Q1486" s="35" t="b">
        <v>0</v>
      </c>
      <c r="R1486" s="14"/>
      <c r="S1486" s="14"/>
      <c r="T1486" s="14"/>
      <c r="U1486" s="14"/>
      <c r="V1486" s="14"/>
      <c r="W1486" s="14"/>
    </row>
    <row r="1487" ht="31.5" customHeight="1">
      <c r="A1487" s="109" t="s">
        <v>15402</v>
      </c>
      <c r="B1487" s="110" t="s">
        <v>15403</v>
      </c>
      <c r="C1487" s="111" t="s">
        <v>15404</v>
      </c>
      <c r="D1487" s="28" t="s">
        <v>15405</v>
      </c>
      <c r="E1487" s="28" t="str">
        <f>IFERROR(__xludf.DUMMYFUNCTION("GOOGLETRANSLATE(D1487,""zh-CN"",""vi"")"),"Hình ảnh rất rõ nét.")</f>
        <v>Hình ảnh rất rõ nét.</v>
      </c>
      <c r="F1487" s="137"/>
      <c r="G1487" s="36" t="b">
        <f t="shared" si="1"/>
        <v>0</v>
      </c>
      <c r="H1487" s="35" t="b">
        <v>1</v>
      </c>
      <c r="I1487" s="35" t="b">
        <v>0</v>
      </c>
      <c r="J1487" s="35" t="b">
        <v>0</v>
      </c>
      <c r="K1487" s="35" t="b">
        <v>0</v>
      </c>
      <c r="L1487" s="35" t="b">
        <v>0</v>
      </c>
      <c r="M1487" s="35" t="b">
        <v>0</v>
      </c>
      <c r="N1487" s="35" t="b">
        <v>0</v>
      </c>
      <c r="O1487" s="35" t="b">
        <v>0</v>
      </c>
      <c r="P1487" s="35" t="b">
        <v>0</v>
      </c>
      <c r="Q1487" s="35" t="b">
        <v>0</v>
      </c>
      <c r="R1487" s="14"/>
      <c r="S1487" s="14"/>
      <c r="T1487" s="14"/>
      <c r="U1487" s="14"/>
      <c r="V1487" s="14"/>
      <c r="W1487" s="14"/>
    </row>
    <row r="1488" ht="31.5" customHeight="1">
      <c r="A1488" s="109" t="s">
        <v>15406</v>
      </c>
      <c r="B1488" s="110" t="s">
        <v>15407</v>
      </c>
      <c r="C1488" s="111" t="s">
        <v>15408</v>
      </c>
      <c r="D1488" s="28" t="s">
        <v>15409</v>
      </c>
      <c r="E1488" s="28" t="str">
        <f>IFERROR(__xludf.DUMMYFUNCTION("GOOGLETRANSLATE(D1488,""zh-CN"",""vi"")"),"Ông ấy có xu hướng ủng hộ đề xuất đó.")</f>
        <v>Ông ấy có xu hướng ủng hộ đề xuất đó.</v>
      </c>
      <c r="F1488" s="137"/>
      <c r="G1488" s="36" t="b">
        <f t="shared" si="1"/>
        <v>0</v>
      </c>
      <c r="H1488" s="35" t="b">
        <v>1</v>
      </c>
      <c r="I1488" s="35" t="b">
        <v>0</v>
      </c>
      <c r="J1488" s="35" t="b">
        <v>0</v>
      </c>
      <c r="K1488" s="35" t="b">
        <v>0</v>
      </c>
      <c r="L1488" s="35" t="b">
        <v>0</v>
      </c>
      <c r="M1488" s="35" t="b">
        <v>0</v>
      </c>
      <c r="N1488" s="35" t="b">
        <v>0</v>
      </c>
      <c r="O1488" s="35" t="b">
        <v>0</v>
      </c>
      <c r="P1488" s="35" t="b">
        <v>0</v>
      </c>
      <c r="Q1488" s="35" t="b">
        <v>0</v>
      </c>
      <c r="R1488" s="14"/>
      <c r="S1488" s="14"/>
      <c r="T1488" s="14"/>
      <c r="U1488" s="14"/>
      <c r="V1488" s="14"/>
      <c r="W1488" s="14"/>
    </row>
    <row r="1489" ht="31.5" customHeight="1">
      <c r="A1489" s="109" t="s">
        <v>15410</v>
      </c>
      <c r="B1489" s="110" t="s">
        <v>15411</v>
      </c>
      <c r="C1489" s="111" t="s">
        <v>15412</v>
      </c>
      <c r="D1489" s="28" t="s">
        <v>15413</v>
      </c>
      <c r="E1489" s="28" t="str">
        <f>IFERROR(__xludf.DUMMYFUNCTION("GOOGLETRANSLATE(D1489,""zh-CN"",""vi"")"),"Ngôi nhà hơi nghiêng.")</f>
        <v>Ngôi nhà hơi nghiêng.</v>
      </c>
      <c r="F1489" s="137"/>
      <c r="G1489" s="36" t="b">
        <f t="shared" si="1"/>
        <v>0</v>
      </c>
      <c r="H1489" s="35" t="b">
        <v>1</v>
      </c>
      <c r="I1489" s="35" t="b">
        <v>0</v>
      </c>
      <c r="J1489" s="35" t="b">
        <v>0</v>
      </c>
      <c r="K1489" s="35" t="b">
        <v>0</v>
      </c>
      <c r="L1489" s="35" t="b">
        <v>0</v>
      </c>
      <c r="M1489" s="35" t="b">
        <v>0</v>
      </c>
      <c r="N1489" s="35" t="b">
        <v>0</v>
      </c>
      <c r="O1489" s="35" t="b">
        <v>0</v>
      </c>
      <c r="P1489" s="35" t="b">
        <v>0</v>
      </c>
      <c r="Q1489" s="35" t="b">
        <v>0</v>
      </c>
      <c r="R1489" s="14"/>
      <c r="S1489" s="14"/>
      <c r="T1489" s="14"/>
      <c r="U1489" s="14"/>
      <c r="V1489" s="14"/>
      <c r="W1489" s="14"/>
    </row>
    <row r="1490" ht="31.5" customHeight="1">
      <c r="A1490" s="109" t="s">
        <v>15414</v>
      </c>
      <c r="B1490" s="110" t="s">
        <v>15415</v>
      </c>
      <c r="C1490" s="111" t="s">
        <v>15416</v>
      </c>
      <c r="D1490" s="28" t="s">
        <v>15417</v>
      </c>
      <c r="E1490" s="28" t="str">
        <f>IFERROR(__xludf.DUMMYFUNCTION("GOOGLETRANSLATE(D1490,""zh-CN"",""vi"")"),"Cuối cùng thì ông ta cũng tỉnh ngộ.")</f>
        <v>Cuối cùng thì ông ta cũng tỉnh ngộ.</v>
      </c>
      <c r="F1490" s="137"/>
      <c r="G1490" s="36" t="b">
        <f t="shared" si="1"/>
        <v>0</v>
      </c>
      <c r="H1490" s="35" t="b">
        <v>1</v>
      </c>
      <c r="I1490" s="35" t="b">
        <v>0</v>
      </c>
      <c r="J1490" s="35" t="b">
        <v>0</v>
      </c>
      <c r="K1490" s="35" t="b">
        <v>0</v>
      </c>
      <c r="L1490" s="35" t="b">
        <v>0</v>
      </c>
      <c r="M1490" s="35" t="b">
        <v>0</v>
      </c>
      <c r="N1490" s="35" t="b">
        <v>0</v>
      </c>
      <c r="O1490" s="35" t="b">
        <v>0</v>
      </c>
      <c r="P1490" s="35" t="b">
        <v>0</v>
      </c>
      <c r="Q1490" s="35" t="b">
        <v>0</v>
      </c>
      <c r="R1490" s="14"/>
      <c r="S1490" s="14"/>
      <c r="T1490" s="14"/>
      <c r="U1490" s="14"/>
      <c r="V1490" s="14"/>
      <c r="W1490" s="14"/>
    </row>
    <row r="1491" ht="31.5" customHeight="1">
      <c r="A1491" s="109" t="s">
        <v>15418</v>
      </c>
      <c r="B1491" s="110" t="s">
        <v>15419</v>
      </c>
      <c r="C1491" s="111" t="s">
        <v>15420</v>
      </c>
      <c r="D1491" s="28" t="s">
        <v>15421</v>
      </c>
      <c r="E1491" s="28" t="str">
        <f>IFERROR(__xludf.DUMMYFUNCTION("GOOGLETRANSLATE(D1491,""zh-CN"",""vi"")"),"Anh ấy là đầu bếp chuyên nấu các món ăn halal.")</f>
        <v>Anh ấy là đầu bếp chuyên nấu các món ăn halal.</v>
      </c>
      <c r="F1491" s="137"/>
      <c r="G1491" s="36" t="b">
        <f t="shared" si="1"/>
        <v>0</v>
      </c>
      <c r="H1491" s="35" t="b">
        <v>1</v>
      </c>
      <c r="I1491" s="35" t="b">
        <v>0</v>
      </c>
      <c r="J1491" s="35" t="b">
        <v>0</v>
      </c>
      <c r="K1491" s="35" t="b">
        <v>0</v>
      </c>
      <c r="L1491" s="35" t="b">
        <v>0</v>
      </c>
      <c r="M1491" s="35" t="b">
        <v>0</v>
      </c>
      <c r="N1491" s="35" t="b">
        <v>0</v>
      </c>
      <c r="O1491" s="35" t="b">
        <v>0</v>
      </c>
      <c r="P1491" s="35" t="b">
        <v>0</v>
      </c>
      <c r="Q1491" s="35" t="b">
        <v>0</v>
      </c>
      <c r="R1491" s="14"/>
      <c r="S1491" s="14"/>
      <c r="T1491" s="14"/>
      <c r="U1491" s="14"/>
      <c r="V1491" s="14"/>
      <c r="W1491" s="14"/>
    </row>
    <row r="1492" ht="31.5" customHeight="1">
      <c r="A1492" s="109" t="s">
        <v>15422</v>
      </c>
      <c r="B1492" s="110" t="s">
        <v>15423</v>
      </c>
      <c r="C1492" s="111" t="s">
        <v>15424</v>
      </c>
      <c r="D1492" s="28" t="s">
        <v>15425</v>
      </c>
      <c r="E1492" s="28" t="str">
        <f>IFERROR(__xludf.DUMMYFUNCTION("GOOGLETRANSLATE(D1492,""zh-CN"",""vi"")"),"Thông tin tình báo cho thấy địch đang tiến đến.")</f>
        <v>Thông tin tình báo cho thấy địch đang tiến đến.</v>
      </c>
      <c r="F1492" s="137"/>
      <c r="G1492" s="36" t="b">
        <f t="shared" si="1"/>
        <v>0</v>
      </c>
      <c r="H1492" s="35" t="b">
        <v>1</v>
      </c>
      <c r="I1492" s="35" t="b">
        <v>0</v>
      </c>
      <c r="J1492" s="35" t="b">
        <v>0</v>
      </c>
      <c r="K1492" s="35" t="b">
        <v>0</v>
      </c>
      <c r="L1492" s="35" t="b">
        <v>0</v>
      </c>
      <c r="M1492" s="35" t="b">
        <v>0</v>
      </c>
      <c r="N1492" s="35" t="b">
        <v>0</v>
      </c>
      <c r="O1492" s="35" t="b">
        <v>0</v>
      </c>
      <c r="P1492" s="35" t="b">
        <v>0</v>
      </c>
      <c r="Q1492" s="35" t="b">
        <v>0</v>
      </c>
      <c r="R1492" s="14"/>
      <c r="S1492" s="14"/>
      <c r="T1492" s="14"/>
      <c r="U1492" s="14"/>
      <c r="V1492" s="14"/>
      <c r="W1492" s="14"/>
    </row>
    <row r="1493" ht="31.5" customHeight="1">
      <c r="A1493" s="109" t="s">
        <v>15426</v>
      </c>
      <c r="B1493" s="110" t="s">
        <v>15427</v>
      </c>
      <c r="C1493" s="111" t="s">
        <v>15428</v>
      </c>
      <c r="D1493" s="28" t="s">
        <v>15429</v>
      </c>
      <c r="E1493" s="28" t="str">
        <f>IFERROR(__xludf.DUMMYFUNCTION("GOOGLETRANSLATE(D1493,""zh-CN"",""vi"")"),"Cốt truyện của cuốn tiểu thuyết này rất hồi hộp.")</f>
        <v>Cốt truyện của cuốn tiểu thuyết này rất hồi hộp.</v>
      </c>
      <c r="F1493" s="137"/>
      <c r="G1493" s="36" t="b">
        <f t="shared" si="1"/>
        <v>0</v>
      </c>
      <c r="H1493" s="35" t="b">
        <v>1</v>
      </c>
      <c r="I1493" s="35" t="b">
        <v>0</v>
      </c>
      <c r="J1493" s="35" t="b">
        <v>0</v>
      </c>
      <c r="K1493" s="35" t="b">
        <v>0</v>
      </c>
      <c r="L1493" s="35" t="b">
        <v>0</v>
      </c>
      <c r="M1493" s="35" t="b">
        <v>0</v>
      </c>
      <c r="N1493" s="35" t="b">
        <v>0</v>
      </c>
      <c r="O1493" s="35" t="b">
        <v>0</v>
      </c>
      <c r="P1493" s="35" t="b">
        <v>0</v>
      </c>
      <c r="Q1493" s="35" t="b">
        <v>0</v>
      </c>
      <c r="R1493" s="14"/>
      <c r="S1493" s="14"/>
      <c r="T1493" s="14"/>
      <c r="U1493" s="14"/>
      <c r="V1493" s="14"/>
      <c r="W1493" s="14"/>
    </row>
    <row r="1494" ht="31.5" customHeight="1">
      <c r="A1494" s="109" t="s">
        <v>15430</v>
      </c>
      <c r="B1494" s="110" t="s">
        <v>15431</v>
      </c>
      <c r="C1494" s="111" t="s">
        <v>15432</v>
      </c>
      <c r="D1494" s="28" t="s">
        <v>15433</v>
      </c>
      <c r="E1494" s="28" t="str">
        <f>IFERROR(__xludf.DUMMYFUNCTION("GOOGLETRANSLATE(D1494,""zh-CN"",""vi"")"),"Thời tiết nắng đẹp, rất lý tưởng cho một chuyến đi chơi.")</f>
        <v>Thời tiết nắng đẹp, rất lý tưởng cho một chuyến đi chơi.</v>
      </c>
      <c r="F1494" s="137"/>
      <c r="G1494" s="36" t="b">
        <f t="shared" si="1"/>
        <v>0</v>
      </c>
      <c r="H1494" s="35" t="b">
        <v>1</v>
      </c>
      <c r="I1494" s="35" t="b">
        <v>0</v>
      </c>
      <c r="J1494" s="35" t="b">
        <v>0</v>
      </c>
      <c r="K1494" s="35" t="b">
        <v>0</v>
      </c>
      <c r="L1494" s="35" t="b">
        <v>0</v>
      </c>
      <c r="M1494" s="35" t="b">
        <v>0</v>
      </c>
      <c r="N1494" s="35" t="b">
        <v>0</v>
      </c>
      <c r="O1494" s="35" t="b">
        <v>0</v>
      </c>
      <c r="P1494" s="35" t="b">
        <v>0</v>
      </c>
      <c r="Q1494" s="35" t="b">
        <v>0</v>
      </c>
      <c r="R1494" s="14"/>
      <c r="S1494" s="14"/>
      <c r="T1494" s="14"/>
      <c r="U1494" s="14"/>
      <c r="V1494" s="14"/>
      <c r="W1494" s="14"/>
    </row>
    <row r="1495" ht="31.5" customHeight="1">
      <c r="A1495" s="109" t="s">
        <v>15434</v>
      </c>
      <c r="B1495" s="110" t="s">
        <v>15435</v>
      </c>
      <c r="C1495" s="111" t="s">
        <v>15436</v>
      </c>
      <c r="D1495" s="28" t="s">
        <v>15437</v>
      </c>
      <c r="E1495" s="28" t="str">
        <f>IFERROR(__xludf.DUMMYFUNCTION("GOOGLETRANSLATE(D1495,""zh-CN"",""vi"")"),"Hành vi này là không hợp lý.")</f>
        <v>Hành vi này là không hợp lý.</v>
      </c>
      <c r="F1495" s="137"/>
      <c r="G1495" s="36" t="b">
        <f t="shared" si="1"/>
        <v>0</v>
      </c>
      <c r="H1495" s="35" t="b">
        <v>1</v>
      </c>
      <c r="I1495" s="35" t="b">
        <v>0</v>
      </c>
      <c r="J1495" s="35" t="b">
        <v>0</v>
      </c>
      <c r="K1495" s="35" t="b">
        <v>0</v>
      </c>
      <c r="L1495" s="35" t="b">
        <v>0</v>
      </c>
      <c r="M1495" s="35" t="b">
        <v>0</v>
      </c>
      <c r="N1495" s="35" t="b">
        <v>0</v>
      </c>
      <c r="O1495" s="35" t="b">
        <v>0</v>
      </c>
      <c r="P1495" s="35" t="b">
        <v>0</v>
      </c>
      <c r="Q1495" s="35" t="b">
        <v>0</v>
      </c>
      <c r="R1495" s="14"/>
      <c r="S1495" s="14"/>
      <c r="T1495" s="14"/>
      <c r="U1495" s="14"/>
      <c r="V1495" s="14"/>
      <c r="W1495" s="14"/>
    </row>
    <row r="1496" ht="31.5" customHeight="1">
      <c r="A1496" s="109" t="s">
        <v>15438</v>
      </c>
      <c r="B1496" s="110" t="s">
        <v>15439</v>
      </c>
      <c r="C1496" s="111" t="s">
        <v>15440</v>
      </c>
      <c r="D1496" s="28" t="s">
        <v>15441</v>
      </c>
      <c r="E1496" s="28" t="str">
        <f>IFERROR(__xludf.DUMMYFUNCTION("GOOGLETRANSLATE(D1496,""zh-CN"",""vi"")"),"Tình hình hiện tại rất phức tạp.")</f>
        <v>Tình hình hiện tại rất phức tạp.</v>
      </c>
      <c r="F1496" s="137"/>
      <c r="G1496" s="36" t="b">
        <f t="shared" si="1"/>
        <v>0</v>
      </c>
      <c r="H1496" s="35" t="b">
        <v>1</v>
      </c>
      <c r="I1496" s="35" t="b">
        <v>0</v>
      </c>
      <c r="J1496" s="35" t="b">
        <v>0</v>
      </c>
      <c r="K1496" s="35" t="b">
        <v>0</v>
      </c>
      <c r="L1496" s="35" t="b">
        <v>0</v>
      </c>
      <c r="M1496" s="35" t="b">
        <v>0</v>
      </c>
      <c r="N1496" s="35" t="b">
        <v>0</v>
      </c>
      <c r="O1496" s="35" t="b">
        <v>0</v>
      </c>
      <c r="P1496" s="35" t="b">
        <v>0</v>
      </c>
      <c r="Q1496" s="35" t="b">
        <v>0</v>
      </c>
      <c r="R1496" s="14"/>
      <c r="S1496" s="14"/>
      <c r="T1496" s="14"/>
      <c r="U1496" s="14"/>
      <c r="V1496" s="14"/>
      <c r="W1496" s="14"/>
    </row>
    <row r="1497" ht="31.5" customHeight="1">
      <c r="A1497" s="109" t="s">
        <v>15442</v>
      </c>
      <c r="B1497" s="110" t="s">
        <v>15443</v>
      </c>
      <c r="C1497" s="111" t="s">
        <v>15444</v>
      </c>
      <c r="D1497" s="28" t="s">
        <v>15445</v>
      </c>
      <c r="E1497" s="28" t="str">
        <f>IFERROR(__xludf.DUMMYFUNCTION("GOOGLETRANSLATE(D1497,""zh-CN"",""vi"")"),"Chúng tôi đã nhận được thư mời của bạn.")</f>
        <v>Chúng tôi đã nhận được thư mời của bạn.</v>
      </c>
      <c r="F1497" s="137"/>
      <c r="G1497" s="36" t="b">
        <f t="shared" si="1"/>
        <v>0</v>
      </c>
      <c r="H1497" s="35" t="b">
        <v>1</v>
      </c>
      <c r="I1497" s="35" t="b">
        <v>0</v>
      </c>
      <c r="J1497" s="35" t="b">
        <v>0</v>
      </c>
      <c r="K1497" s="35" t="b">
        <v>0</v>
      </c>
      <c r="L1497" s="35" t="b">
        <v>0</v>
      </c>
      <c r="M1497" s="35" t="b">
        <v>0</v>
      </c>
      <c r="N1497" s="35" t="b">
        <v>0</v>
      </c>
      <c r="O1497" s="35" t="b">
        <v>0</v>
      </c>
      <c r="P1497" s="35" t="b">
        <v>0</v>
      </c>
      <c r="Q1497" s="35" t="b">
        <v>0</v>
      </c>
      <c r="R1497" s="14"/>
      <c r="S1497" s="14"/>
      <c r="T1497" s="14"/>
      <c r="U1497" s="14"/>
      <c r="V1497" s="14"/>
      <c r="W1497" s="14"/>
    </row>
    <row r="1498" ht="31.5" customHeight="1">
      <c r="A1498" s="109" t="s">
        <v>15446</v>
      </c>
      <c r="B1498" s="110" t="s">
        <v>15447</v>
      </c>
      <c r="C1498" s="111" t="s">
        <v>15448</v>
      </c>
      <c r="D1498" s="28" t="s">
        <v>15449</v>
      </c>
      <c r="E1498" s="28" t="str">
        <f>IFERROR(__xludf.DUMMYFUNCTION("GOOGLETRANSLATE(D1498,""zh-CN"",""vi"")"),"Hãy dạy tôi cách sử dụng phần mềm này.")</f>
        <v>Hãy dạy tôi cách sử dụng phần mềm này.</v>
      </c>
      <c r="F1498" s="137"/>
      <c r="G1498" s="36" t="b">
        <f t="shared" si="1"/>
        <v>0</v>
      </c>
      <c r="H1498" s="35" t="b">
        <v>1</v>
      </c>
      <c r="I1498" s="35" t="b">
        <v>0</v>
      </c>
      <c r="J1498" s="35" t="b">
        <v>0</v>
      </c>
      <c r="K1498" s="35" t="b">
        <v>0</v>
      </c>
      <c r="L1498" s="35" t="b">
        <v>0</v>
      </c>
      <c r="M1498" s="35" t="b">
        <v>0</v>
      </c>
      <c r="N1498" s="35" t="b">
        <v>0</v>
      </c>
      <c r="O1498" s="35" t="b">
        <v>0</v>
      </c>
      <c r="P1498" s="35" t="b">
        <v>0</v>
      </c>
      <c r="Q1498" s="35" t="b">
        <v>0</v>
      </c>
      <c r="R1498" s="14"/>
      <c r="S1498" s="14"/>
      <c r="T1498" s="14"/>
      <c r="U1498" s="14"/>
      <c r="V1498" s="14"/>
      <c r="W1498" s="14"/>
    </row>
    <row r="1499" ht="31.5" customHeight="1">
      <c r="A1499" s="109" t="s">
        <v>15450</v>
      </c>
      <c r="B1499" s="110" t="s">
        <v>15451</v>
      </c>
      <c r="C1499" s="111" t="s">
        <v>15452</v>
      </c>
      <c r="D1499" s="28" t="s">
        <v>15453</v>
      </c>
      <c r="E1499" s="28" t="str">
        <f>IFERROR(__xludf.DUMMYFUNCTION("GOOGLETRANSLATE(D1499,""zh-CN"",""vi"")"),"Ông đã tham khảo ý kiến ​​cấp trên về vấn đề này.")</f>
        <v>Ông đã tham khảo ý kiến ​​cấp trên về vấn đề này.</v>
      </c>
      <c r="F1499" s="137"/>
      <c r="G1499" s="36" t="b">
        <f t="shared" si="1"/>
        <v>0</v>
      </c>
      <c r="H1499" s="35" t="b">
        <v>1</v>
      </c>
      <c r="I1499" s="35" t="b">
        <v>0</v>
      </c>
      <c r="J1499" s="35" t="b">
        <v>0</v>
      </c>
      <c r="K1499" s="35" t="b">
        <v>0</v>
      </c>
      <c r="L1499" s="35" t="b">
        <v>0</v>
      </c>
      <c r="M1499" s="35" t="b">
        <v>0</v>
      </c>
      <c r="N1499" s="35" t="b">
        <v>0</v>
      </c>
      <c r="O1499" s="35" t="b">
        <v>0</v>
      </c>
      <c r="P1499" s="35" t="b">
        <v>0</v>
      </c>
      <c r="Q1499" s="35" t="b">
        <v>0</v>
      </c>
      <c r="R1499" s="14"/>
      <c r="S1499" s="14"/>
      <c r="T1499" s="14"/>
      <c r="U1499" s="14"/>
      <c r="V1499" s="14"/>
      <c r="W1499" s="14"/>
    </row>
    <row r="1500" ht="31.5" customHeight="1">
      <c r="A1500" s="109" t="s">
        <v>15454</v>
      </c>
      <c r="B1500" s="110" t="s">
        <v>15455</v>
      </c>
      <c r="C1500" s="111" t="s">
        <v>15444</v>
      </c>
      <c r="D1500" s="28" t="s">
        <v>15456</v>
      </c>
      <c r="E1500" s="28" t="str">
        <f>IFERROR(__xludf.DUMMYFUNCTION("GOOGLETRANSLATE(D1500,""zh-CN"",""vi"")"),"Chúng tôi đã nhận được thiệp mời đám cưới.")</f>
        <v>Chúng tôi đã nhận được thiệp mời đám cưới.</v>
      </c>
      <c r="F1500" s="137"/>
      <c r="G1500" s="36" t="b">
        <f t="shared" si="1"/>
        <v>0</v>
      </c>
      <c r="H1500" s="35" t="b">
        <v>1</v>
      </c>
      <c r="I1500" s="35" t="b">
        <v>0</v>
      </c>
      <c r="J1500" s="35" t="b">
        <v>0</v>
      </c>
      <c r="K1500" s="35" t="b">
        <v>0</v>
      </c>
      <c r="L1500" s="35" t="b">
        <v>0</v>
      </c>
      <c r="M1500" s="35" t="b">
        <v>0</v>
      </c>
      <c r="N1500" s="35" t="b">
        <v>0</v>
      </c>
      <c r="O1500" s="35" t="b">
        <v>0</v>
      </c>
      <c r="P1500" s="35" t="b">
        <v>0</v>
      </c>
      <c r="Q1500" s="35" t="b">
        <v>0</v>
      </c>
      <c r="R1500" s="14"/>
      <c r="S1500" s="14"/>
      <c r="T1500" s="14"/>
      <c r="U1500" s="14"/>
      <c r="V1500" s="14"/>
      <c r="W1500" s="14"/>
    </row>
    <row r="1501" ht="31.5" customHeight="1">
      <c r="A1501" s="109" t="s">
        <v>15457</v>
      </c>
      <c r="B1501" s="110" t="s">
        <v>15458</v>
      </c>
      <c r="C1501" s="111" t="s">
        <v>15459</v>
      </c>
      <c r="D1501" s="28" t="s">
        <v>15460</v>
      </c>
      <c r="E1501" s="28" t="str">
        <f>IFERROR(__xludf.DUMMYFUNCTION("GOOGLETRANSLATE(D1501,""zh-CN"",""vi"")"),"Vùng đồi núi rất thích hợp để trồng nho.")</f>
        <v>Vùng đồi núi rất thích hợp để trồng nho.</v>
      </c>
      <c r="F1501" s="137"/>
      <c r="G1501" s="36" t="b">
        <f t="shared" si="1"/>
        <v>0</v>
      </c>
      <c r="H1501" s="35" t="b">
        <v>1</v>
      </c>
      <c r="I1501" s="35" t="b">
        <v>0</v>
      </c>
      <c r="J1501" s="35" t="b">
        <v>0</v>
      </c>
      <c r="K1501" s="35" t="b">
        <v>0</v>
      </c>
      <c r="L1501" s="35" t="b">
        <v>0</v>
      </c>
      <c r="M1501" s="35" t="b">
        <v>0</v>
      </c>
      <c r="N1501" s="35" t="b">
        <v>0</v>
      </c>
      <c r="O1501" s="35" t="b">
        <v>0</v>
      </c>
      <c r="P1501" s="35" t="b">
        <v>0</v>
      </c>
      <c r="Q1501" s="35" t="b">
        <v>0</v>
      </c>
      <c r="R1501" s="14"/>
      <c r="S1501" s="14"/>
      <c r="T1501" s="14"/>
      <c r="U1501" s="14"/>
      <c r="V1501" s="14"/>
      <c r="W1501" s="14"/>
    </row>
    <row r="1502" ht="31.5" customHeight="1">
      <c r="A1502" s="109" t="s">
        <v>15461</v>
      </c>
      <c r="B1502" s="110" t="s">
        <v>15462</v>
      </c>
      <c r="C1502" s="111" t="s">
        <v>15463</v>
      </c>
      <c r="D1502" s="28" t="s">
        <v>15464</v>
      </c>
      <c r="E1502" s="28" t="str">
        <f>IFERROR(__xludf.DUMMYFUNCTION("GOOGLETRANSLATE(D1502,""zh-CN"",""vi"")"),"Chúng ta cần phân biệt giữa sự thật và ý kiến.")</f>
        <v>Chúng ta cần phân biệt giữa sự thật và ý kiến.</v>
      </c>
      <c r="F1502" s="137"/>
      <c r="G1502" s="36" t="b">
        <f t="shared" si="1"/>
        <v>0</v>
      </c>
      <c r="H1502" s="35" t="b">
        <v>1</v>
      </c>
      <c r="I1502" s="35" t="b">
        <v>0</v>
      </c>
      <c r="J1502" s="35" t="b">
        <v>0</v>
      </c>
      <c r="K1502" s="35" t="b">
        <v>0</v>
      </c>
      <c r="L1502" s="35" t="b">
        <v>0</v>
      </c>
      <c r="M1502" s="35" t="b">
        <v>0</v>
      </c>
      <c r="N1502" s="35" t="b">
        <v>0</v>
      </c>
      <c r="O1502" s="35" t="b">
        <v>0</v>
      </c>
      <c r="P1502" s="35" t="b">
        <v>0</v>
      </c>
      <c r="Q1502" s="35" t="b">
        <v>0</v>
      </c>
      <c r="R1502" s="14"/>
      <c r="S1502" s="14"/>
      <c r="T1502" s="14"/>
      <c r="U1502" s="14"/>
      <c r="V1502" s="14"/>
      <c r="W1502" s="14"/>
    </row>
    <row r="1503" ht="31.5" customHeight="1">
      <c r="A1503" s="109" t="s">
        <v>15465</v>
      </c>
      <c r="B1503" s="110" t="s">
        <v>15466</v>
      </c>
      <c r="C1503" s="111" t="s">
        <v>15467</v>
      </c>
      <c r="D1503" s="28" t="s">
        <v>15468</v>
      </c>
      <c r="E1503" s="28" t="str">
        <f>IFERROR(__xludf.DUMMYFUNCTION("GOOGLETRANSLATE(D1503,""zh-CN"",""vi"")"),"Đối mặt với một đối thủ mạnh, anh ta không còn lựa chọn nào khác ngoài việc nhượng bộ.")</f>
        <v>Đối mặt với một đối thủ mạnh, anh ta không còn lựa chọn nào khác ngoài việc nhượng bộ.</v>
      </c>
      <c r="F1503" s="137"/>
      <c r="G1503" s="36" t="b">
        <f t="shared" si="1"/>
        <v>0</v>
      </c>
      <c r="H1503" s="35" t="b">
        <v>0</v>
      </c>
      <c r="I1503" s="35" t="b">
        <v>0</v>
      </c>
      <c r="J1503" s="35" t="b">
        <v>0</v>
      </c>
      <c r="K1503" s="35" t="b">
        <v>0</v>
      </c>
      <c r="L1503" s="35" t="b">
        <v>0</v>
      </c>
      <c r="M1503" s="35" t="b">
        <v>0</v>
      </c>
      <c r="N1503" s="35" t="b">
        <v>0</v>
      </c>
      <c r="O1503" s="35" t="b">
        <v>0</v>
      </c>
      <c r="P1503" s="35" t="b">
        <v>0</v>
      </c>
      <c r="Q1503" s="35" t="b">
        <v>0</v>
      </c>
      <c r="R1503" s="14"/>
      <c r="S1503" s="14"/>
      <c r="T1503" s="14"/>
      <c r="U1503" s="14"/>
      <c r="V1503" s="14"/>
      <c r="W1503" s="14"/>
    </row>
    <row r="1504" ht="31.5" customHeight="1">
      <c r="A1504" s="109" t="s">
        <v>15469</v>
      </c>
      <c r="B1504" s="110" t="s">
        <v>15470</v>
      </c>
      <c r="C1504" s="111" t="s">
        <v>15471</v>
      </c>
      <c r="D1504" s="28" t="s">
        <v>15472</v>
      </c>
      <c r="E1504" s="28" t="str">
        <f>IFERROR(__xludf.DUMMYFUNCTION("GOOGLETRANSLATE(D1504,""zh-CN"",""vi"")"),"Việc hút thuốc bị cấm trong khu vực này.")</f>
        <v>Việc hút thuốc bị cấm trong khu vực này.</v>
      </c>
      <c r="F1504" s="137"/>
      <c r="G1504" s="36" t="b">
        <f t="shared" si="1"/>
        <v>0</v>
      </c>
      <c r="H1504" s="35" t="b">
        <v>0</v>
      </c>
      <c r="I1504" s="35" t="b">
        <v>0</v>
      </c>
      <c r="J1504" s="35" t="b">
        <v>0</v>
      </c>
      <c r="K1504" s="35" t="b">
        <v>0</v>
      </c>
      <c r="L1504" s="35" t="b">
        <v>0</v>
      </c>
      <c r="M1504" s="35" t="b">
        <v>0</v>
      </c>
      <c r="N1504" s="35" t="b">
        <v>0</v>
      </c>
      <c r="O1504" s="35" t="b">
        <v>0</v>
      </c>
      <c r="P1504" s="35" t="b">
        <v>0</v>
      </c>
      <c r="Q1504" s="35" t="b">
        <v>0</v>
      </c>
      <c r="R1504" s="14"/>
      <c r="S1504" s="14"/>
      <c r="T1504" s="14"/>
      <c r="U1504" s="14"/>
      <c r="V1504" s="14"/>
      <c r="W1504" s="14"/>
    </row>
    <row r="1505" ht="31.5" customHeight="1">
      <c r="A1505" s="109" t="s">
        <v>15473</v>
      </c>
      <c r="B1505" s="110" t="s">
        <v>15474</v>
      </c>
      <c r="C1505" s="111" t="s">
        <v>15475</v>
      </c>
      <c r="D1505" s="28" t="s">
        <v>15476</v>
      </c>
      <c r="E1505" s="28" t="str">
        <f>IFERROR(__xludf.DUMMYFUNCTION("GOOGLETRANSLATE(D1505,""zh-CN"",""vi"")"),"Con đường này rất quanh co.")</f>
        <v>Con đường này rất quanh co.</v>
      </c>
      <c r="F1505" s="137"/>
      <c r="G1505" s="36" t="b">
        <f t="shared" si="1"/>
        <v>0</v>
      </c>
      <c r="H1505" s="35" t="b">
        <v>0</v>
      </c>
      <c r="I1505" s="35" t="b">
        <v>0</v>
      </c>
      <c r="J1505" s="35" t="b">
        <v>0</v>
      </c>
      <c r="K1505" s="35" t="b">
        <v>0</v>
      </c>
      <c r="L1505" s="35" t="b">
        <v>0</v>
      </c>
      <c r="M1505" s="35" t="b">
        <v>0</v>
      </c>
      <c r="N1505" s="35" t="b">
        <v>0</v>
      </c>
      <c r="O1505" s="35" t="b">
        <v>0</v>
      </c>
      <c r="P1505" s="35" t="b">
        <v>0</v>
      </c>
      <c r="Q1505" s="35" t="b">
        <v>0</v>
      </c>
      <c r="R1505" s="14"/>
      <c r="S1505" s="14"/>
      <c r="T1505" s="14"/>
      <c r="U1505" s="14"/>
      <c r="V1505" s="14"/>
      <c r="W1505" s="14"/>
    </row>
    <row r="1506" ht="31.5" customHeight="1">
      <c r="A1506" s="109" t="s">
        <v>15477</v>
      </c>
      <c r="B1506" s="110" t="s">
        <v>15478</v>
      </c>
      <c r="C1506" s="111" t="s">
        <v>15479</v>
      </c>
      <c r="D1506" s="28" t="s">
        <v>15480</v>
      </c>
      <c r="E1506" s="28" t="str">
        <f>IFERROR(__xludf.DUMMYFUNCTION("GOOGLETRANSLATE(D1506,""zh-CN"",""vi"")"),"Ông ta đã bị trục xuất.")</f>
        <v>Ông ta đã bị trục xuất.</v>
      </c>
      <c r="F1506" s="137"/>
      <c r="G1506" s="36" t="b">
        <f t="shared" si="1"/>
        <v>0</v>
      </c>
      <c r="H1506" s="35" t="b">
        <v>0</v>
      </c>
      <c r="I1506" s="35" t="b">
        <v>0</v>
      </c>
      <c r="J1506" s="35" t="b">
        <v>0</v>
      </c>
      <c r="K1506" s="35" t="b">
        <v>0</v>
      </c>
      <c r="L1506" s="35" t="b">
        <v>0</v>
      </c>
      <c r="M1506" s="35" t="b">
        <v>0</v>
      </c>
      <c r="N1506" s="35" t="b">
        <v>0</v>
      </c>
      <c r="O1506" s="35" t="b">
        <v>0</v>
      </c>
      <c r="P1506" s="35" t="b">
        <v>0</v>
      </c>
      <c r="Q1506" s="35" t="b">
        <v>0</v>
      </c>
      <c r="R1506" s="14"/>
      <c r="S1506" s="14"/>
      <c r="T1506" s="14"/>
      <c r="U1506" s="14"/>
      <c r="V1506" s="14"/>
      <c r="W1506" s="14"/>
    </row>
    <row r="1507" ht="31.5" customHeight="1">
      <c r="A1507" s="109" t="s">
        <v>15481</v>
      </c>
      <c r="B1507" s="110" t="s">
        <v>15482</v>
      </c>
      <c r="C1507" s="111" t="s">
        <v>15483</v>
      </c>
      <c r="D1507" s="28" t="s">
        <v>15484</v>
      </c>
      <c r="E1507" s="28" t="str">
        <f>IFERROR(__xludf.DUMMYFUNCTION("GOOGLETRANSLATE(D1507,""zh-CN"",""vi"")"),"Họ đang tìm kiếm những kênh mới.")</f>
        <v>Họ đang tìm kiếm những kênh mới.</v>
      </c>
      <c r="F1507" s="137"/>
      <c r="G1507" s="36" t="b">
        <f t="shared" si="1"/>
        <v>0</v>
      </c>
      <c r="H1507" s="35" t="b">
        <v>0</v>
      </c>
      <c r="I1507" s="35" t="b">
        <v>0</v>
      </c>
      <c r="J1507" s="35" t="b">
        <v>0</v>
      </c>
      <c r="K1507" s="35" t="b">
        <v>0</v>
      </c>
      <c r="L1507" s="35" t="b">
        <v>0</v>
      </c>
      <c r="M1507" s="35" t="b">
        <v>0</v>
      </c>
      <c r="N1507" s="35" t="b">
        <v>0</v>
      </c>
      <c r="O1507" s="35" t="b">
        <v>0</v>
      </c>
      <c r="P1507" s="35" t="b">
        <v>0</v>
      </c>
      <c r="Q1507" s="35" t="b">
        <v>0</v>
      </c>
      <c r="R1507" s="14"/>
      <c r="S1507" s="14"/>
      <c r="T1507" s="14"/>
      <c r="U1507" s="14"/>
      <c r="V1507" s="14"/>
      <c r="W1507" s="14"/>
    </row>
    <row r="1508" ht="31.5" customHeight="1">
      <c r="A1508" s="109" t="s">
        <v>15485</v>
      </c>
      <c r="B1508" s="110" t="s">
        <v>15486</v>
      </c>
      <c r="C1508" s="111" t="s">
        <v>15487</v>
      </c>
      <c r="D1508" s="28" t="s">
        <v>15488</v>
      </c>
      <c r="E1508" s="28" t="str">
        <f>IFERROR(__xludf.DUMMYFUNCTION("GOOGLETRANSLATE(D1508,""zh-CN"",""vi"")"),"Chính phủ đã mạnh tay trấn áp các hoạt động bất hợp pháp.")</f>
        <v>Chính phủ đã mạnh tay trấn áp các hoạt động bất hợp pháp.</v>
      </c>
      <c r="F1508" s="137"/>
      <c r="G1508" s="36" t="b">
        <f t="shared" si="1"/>
        <v>0</v>
      </c>
      <c r="H1508" s="35" t="b">
        <v>0</v>
      </c>
      <c r="I1508" s="35" t="b">
        <v>0</v>
      </c>
      <c r="J1508" s="35" t="b">
        <v>0</v>
      </c>
      <c r="K1508" s="35" t="b">
        <v>0</v>
      </c>
      <c r="L1508" s="35" t="b">
        <v>0</v>
      </c>
      <c r="M1508" s="35" t="b">
        <v>0</v>
      </c>
      <c r="N1508" s="35" t="b">
        <v>0</v>
      </c>
      <c r="O1508" s="35" t="b">
        <v>0</v>
      </c>
      <c r="P1508" s="35" t="b">
        <v>0</v>
      </c>
      <c r="Q1508" s="35" t="b">
        <v>0</v>
      </c>
      <c r="R1508" s="14"/>
      <c r="S1508" s="14"/>
      <c r="T1508" s="14"/>
      <c r="U1508" s="14"/>
      <c r="V1508" s="14"/>
      <c r="W1508" s="14"/>
    </row>
    <row r="1509" ht="31.5" customHeight="1">
      <c r="A1509" s="109" t="s">
        <v>15489</v>
      </c>
      <c r="B1509" s="110" t="s">
        <v>15490</v>
      </c>
      <c r="C1509" s="111" t="s">
        <v>15491</v>
      </c>
      <c r="D1509" s="28" t="s">
        <v>15492</v>
      </c>
      <c r="E1509" s="28" t="str">
        <f>IFERROR(__xludf.DUMMYFUNCTION("GOOGLETRANSLATE(D1509,""zh-CN"",""vi"")"),"Bản nhạc này rất hay.")</f>
        <v>Bản nhạc này rất hay.</v>
      </c>
      <c r="F1509" s="137"/>
      <c r="G1509" s="36" t="b">
        <f t="shared" si="1"/>
        <v>0</v>
      </c>
      <c r="H1509" s="35" t="b">
        <v>0</v>
      </c>
      <c r="I1509" s="35" t="b">
        <v>0</v>
      </c>
      <c r="J1509" s="35" t="b">
        <v>0</v>
      </c>
      <c r="K1509" s="35" t="b">
        <v>0</v>
      </c>
      <c r="L1509" s="35" t="b">
        <v>0</v>
      </c>
      <c r="M1509" s="35" t="b">
        <v>0</v>
      </c>
      <c r="N1509" s="35" t="b">
        <v>0</v>
      </c>
      <c r="O1509" s="35" t="b">
        <v>0</v>
      </c>
      <c r="P1509" s="35" t="b">
        <v>0</v>
      </c>
      <c r="Q1509" s="35" t="b">
        <v>0</v>
      </c>
      <c r="R1509" s="14"/>
      <c r="S1509" s="14"/>
      <c r="T1509" s="14"/>
      <c r="U1509" s="14"/>
      <c r="V1509" s="14"/>
      <c r="W1509" s="14"/>
    </row>
    <row r="1510" ht="31.5" customHeight="1">
      <c r="A1510" s="109" t="s">
        <v>15493</v>
      </c>
      <c r="B1510" s="110" t="s">
        <v>15494</v>
      </c>
      <c r="C1510" s="111" t="s">
        <v>15495</v>
      </c>
      <c r="D1510" s="28" t="s">
        <v>15496</v>
      </c>
      <c r="E1510" s="28" t="str">
        <f>IFERROR(__xludf.DUMMYFUNCTION("GOOGLETRANSLATE(D1510,""zh-CN"",""vi"")"),"Ông ấy thấy cuộc sống thật hấp dẫn.")</f>
        <v>Ông ấy thấy cuộc sống thật hấp dẫn.</v>
      </c>
      <c r="F1510" s="137"/>
      <c r="G1510" s="36" t="b">
        <f t="shared" si="1"/>
        <v>0</v>
      </c>
      <c r="H1510" s="35" t="b">
        <v>0</v>
      </c>
      <c r="I1510" s="35" t="b">
        <v>0</v>
      </c>
      <c r="J1510" s="35" t="b">
        <v>0</v>
      </c>
      <c r="K1510" s="35" t="b">
        <v>0</v>
      </c>
      <c r="L1510" s="35" t="b">
        <v>0</v>
      </c>
      <c r="M1510" s="35" t="b">
        <v>0</v>
      </c>
      <c r="N1510" s="35" t="b">
        <v>0</v>
      </c>
      <c r="O1510" s="35" t="b">
        <v>0</v>
      </c>
      <c r="P1510" s="35" t="b">
        <v>0</v>
      </c>
      <c r="Q1510" s="35" t="b">
        <v>0</v>
      </c>
      <c r="R1510" s="14"/>
      <c r="S1510" s="14"/>
      <c r="T1510" s="14"/>
      <c r="U1510" s="14"/>
      <c r="V1510" s="14"/>
      <c r="W1510" s="14"/>
    </row>
    <row r="1511" ht="31.5" customHeight="1">
      <c r="A1511" s="109" t="s">
        <v>15497</v>
      </c>
      <c r="B1511" s="110" t="s">
        <v>15498</v>
      </c>
      <c r="C1511" s="111" t="s">
        <v>15499</v>
      </c>
      <c r="D1511" s="28" t="s">
        <v>15500</v>
      </c>
      <c r="E1511" s="28" t="str">
        <f>IFERROR(__xludf.DUMMYFUNCTION("GOOGLETRANSLATE(D1511,""zh-CN"",""vi"")"),"Anh ta đã rơi vào bẫy do đối thủ giăng ra.")</f>
        <v>Anh ta đã rơi vào bẫy do đối thủ giăng ra.</v>
      </c>
      <c r="F1511" s="137"/>
      <c r="G1511" s="36" t="b">
        <f t="shared" si="1"/>
        <v>0</v>
      </c>
      <c r="H1511" s="35" t="b">
        <v>0</v>
      </c>
      <c r="I1511" s="35" t="b">
        <v>0</v>
      </c>
      <c r="J1511" s="35" t="b">
        <v>0</v>
      </c>
      <c r="K1511" s="35" t="b">
        <v>0</v>
      </c>
      <c r="L1511" s="35" t="b">
        <v>0</v>
      </c>
      <c r="M1511" s="35" t="b">
        <v>0</v>
      </c>
      <c r="N1511" s="35" t="b">
        <v>0</v>
      </c>
      <c r="O1511" s="35" t="b">
        <v>0</v>
      </c>
      <c r="P1511" s="35" t="b">
        <v>0</v>
      </c>
      <c r="Q1511" s="35" t="b">
        <v>0</v>
      </c>
      <c r="R1511" s="14"/>
      <c r="S1511" s="14"/>
      <c r="T1511" s="14"/>
      <c r="U1511" s="14"/>
      <c r="V1511" s="14"/>
      <c r="W1511" s="14"/>
    </row>
    <row r="1512" ht="31.5" customHeight="1">
      <c r="A1512" s="109" t="s">
        <v>15501</v>
      </c>
      <c r="B1512" s="110" t="s">
        <v>15502</v>
      </c>
      <c r="C1512" s="111" t="s">
        <v>15503</v>
      </c>
      <c r="D1512" s="28" t="s">
        <v>15504</v>
      </c>
      <c r="E1512" s="28" t="str">
        <f>IFERROR(__xludf.DUMMYFUNCTION("GOOGLETRANSLATE(D1512,""zh-CN"",""vi"")"),"Chúng ta cần cân nhắc những ưu điểm và nhược điểm.")</f>
        <v>Chúng ta cần cân nhắc những ưu điểm và nhược điểm.</v>
      </c>
      <c r="F1512" s="137"/>
      <c r="G1512" s="36" t="b">
        <f t="shared" si="1"/>
        <v>0</v>
      </c>
      <c r="H1512" s="35" t="b">
        <v>0</v>
      </c>
      <c r="I1512" s="35" t="b">
        <v>0</v>
      </c>
      <c r="J1512" s="35" t="b">
        <v>0</v>
      </c>
      <c r="K1512" s="35" t="b">
        <v>0</v>
      </c>
      <c r="L1512" s="35" t="b">
        <v>0</v>
      </c>
      <c r="M1512" s="35" t="b">
        <v>0</v>
      </c>
      <c r="N1512" s="35" t="b">
        <v>0</v>
      </c>
      <c r="O1512" s="35" t="b">
        <v>0</v>
      </c>
      <c r="P1512" s="35" t="b">
        <v>0</v>
      </c>
      <c r="Q1512" s="35" t="b">
        <v>0</v>
      </c>
      <c r="R1512" s="14"/>
      <c r="S1512" s="14"/>
      <c r="T1512" s="14"/>
      <c r="U1512" s="14"/>
      <c r="V1512" s="14"/>
      <c r="W1512" s="14"/>
    </row>
    <row r="1513" ht="31.5" customHeight="1">
      <c r="A1513" s="109" t="s">
        <v>15505</v>
      </c>
      <c r="B1513" s="110" t="s">
        <v>15506</v>
      </c>
      <c r="C1513" s="111" t="s">
        <v>15507</v>
      </c>
      <c r="D1513" s="28" t="s">
        <v>15508</v>
      </c>
      <c r="E1513" s="28" t="str">
        <f>IFERROR(__xludf.DUMMYFUNCTION("GOOGLETRANSLATE(D1513,""zh-CN"",""vi"")"),"Chiến lược tổng thể của công ty đã rất thành công.")</f>
        <v>Chiến lược tổng thể của công ty đã rất thành công.</v>
      </c>
      <c r="F1513" s="137"/>
      <c r="G1513" s="36" t="b">
        <f t="shared" si="1"/>
        <v>0</v>
      </c>
      <c r="H1513" s="35" t="b">
        <v>0</v>
      </c>
      <c r="I1513" s="35" t="b">
        <v>0</v>
      </c>
      <c r="J1513" s="35" t="b">
        <v>0</v>
      </c>
      <c r="K1513" s="35" t="b">
        <v>0</v>
      </c>
      <c r="L1513" s="35" t="b">
        <v>0</v>
      </c>
      <c r="M1513" s="35" t="b">
        <v>0</v>
      </c>
      <c r="N1513" s="35" t="b">
        <v>0</v>
      </c>
      <c r="O1513" s="35" t="b">
        <v>0</v>
      </c>
      <c r="P1513" s="35" t="b">
        <v>0</v>
      </c>
      <c r="Q1513" s="35" t="b">
        <v>0</v>
      </c>
      <c r="R1513" s="14"/>
      <c r="S1513" s="14"/>
      <c r="T1513" s="14"/>
      <c r="U1513" s="14"/>
      <c r="V1513" s="14"/>
      <c r="W1513" s="14"/>
    </row>
    <row r="1514" ht="31.5" customHeight="1">
      <c r="A1514" s="109" t="s">
        <v>15509</v>
      </c>
      <c r="B1514" s="110" t="s">
        <v>15510</v>
      </c>
      <c r="C1514" s="111" t="s">
        <v>15511</v>
      </c>
      <c r="D1514" s="28" t="s">
        <v>15512</v>
      </c>
      <c r="E1514" s="28" t="str">
        <f>IFERROR(__xludf.DUMMYFUNCTION("GOOGLETRANSLATE(D1514,""zh-CN"",""vi"")"),"Chúng tôi sẽ nỗ lực hết sức để hoàn thành nhiệm vụ.")</f>
        <v>Chúng tôi sẽ nỗ lực hết sức để hoàn thành nhiệm vụ.</v>
      </c>
      <c r="F1514" s="137"/>
      <c r="G1514" s="36" t="b">
        <f t="shared" si="1"/>
        <v>0</v>
      </c>
      <c r="H1514" s="35" t="b">
        <v>0</v>
      </c>
      <c r="I1514" s="35" t="b">
        <v>0</v>
      </c>
      <c r="J1514" s="35" t="b">
        <v>0</v>
      </c>
      <c r="K1514" s="35" t="b">
        <v>0</v>
      </c>
      <c r="L1514" s="35" t="b">
        <v>0</v>
      </c>
      <c r="M1514" s="35" t="b">
        <v>0</v>
      </c>
      <c r="N1514" s="35" t="b">
        <v>0</v>
      </c>
      <c r="O1514" s="35" t="b">
        <v>0</v>
      </c>
      <c r="P1514" s="35" t="b">
        <v>0</v>
      </c>
      <c r="Q1514" s="35" t="b">
        <v>0</v>
      </c>
      <c r="R1514" s="14"/>
      <c r="S1514" s="14"/>
      <c r="T1514" s="14"/>
      <c r="U1514" s="14"/>
      <c r="V1514" s="14"/>
      <c r="W1514" s="14"/>
    </row>
    <row r="1515" ht="31.5" customHeight="1">
      <c r="A1515" s="109" t="s">
        <v>15513</v>
      </c>
      <c r="B1515" s="110" t="s">
        <v>15514</v>
      </c>
      <c r="C1515" s="111" t="s">
        <v>15515</v>
      </c>
      <c r="D1515" s="28" t="s">
        <v>15516</v>
      </c>
      <c r="E1515" s="28" t="str">
        <f>IFERROR(__xludf.DUMMYFUNCTION("GOOGLETRANSLATE(D1515,""zh-CN"",""vi"")"),"Những cú đấm của anh ấy rất mạnh.")</f>
        <v>Những cú đấm của anh ấy rất mạnh.</v>
      </c>
      <c r="F1515" s="137"/>
      <c r="G1515" s="36" t="b">
        <f t="shared" si="1"/>
        <v>0</v>
      </c>
      <c r="H1515" s="35" t="b">
        <v>0</v>
      </c>
      <c r="I1515" s="35" t="b">
        <v>0</v>
      </c>
      <c r="J1515" s="35" t="b">
        <v>0</v>
      </c>
      <c r="K1515" s="35" t="b">
        <v>0</v>
      </c>
      <c r="L1515" s="35" t="b">
        <v>0</v>
      </c>
      <c r="M1515" s="35" t="b">
        <v>0</v>
      </c>
      <c r="N1515" s="35" t="b">
        <v>0</v>
      </c>
      <c r="O1515" s="35" t="b">
        <v>0</v>
      </c>
      <c r="P1515" s="35" t="b">
        <v>0</v>
      </c>
      <c r="Q1515" s="35" t="b">
        <v>0</v>
      </c>
      <c r="R1515" s="14"/>
      <c r="S1515" s="14"/>
      <c r="T1515" s="14"/>
      <c r="U1515" s="14"/>
      <c r="V1515" s="14"/>
      <c r="W1515" s="14"/>
    </row>
    <row r="1516" ht="31.5" customHeight="1">
      <c r="A1516" s="109" t="s">
        <v>15517</v>
      </c>
      <c r="B1516" s="110" t="s">
        <v>15518</v>
      </c>
      <c r="C1516" s="111" t="s">
        <v>15519</v>
      </c>
      <c r="D1516" s="28" t="s">
        <v>15520</v>
      </c>
      <c r="E1516" s="28" t="str">
        <f>IFERROR(__xludf.DUMMYFUNCTION("GOOGLETRANSLATE(D1516,""zh-CN"",""vi"")"),"Ông ấy là một học giả có uy tín.")</f>
        <v>Ông ấy là một học giả có uy tín.</v>
      </c>
      <c r="F1516" s="137"/>
      <c r="G1516" s="36" t="b">
        <f t="shared" si="1"/>
        <v>0</v>
      </c>
      <c r="H1516" s="35" t="b">
        <v>0</v>
      </c>
      <c r="I1516" s="35" t="b">
        <v>0</v>
      </c>
      <c r="J1516" s="35" t="b">
        <v>0</v>
      </c>
      <c r="K1516" s="35" t="b">
        <v>0</v>
      </c>
      <c r="L1516" s="35" t="b">
        <v>0</v>
      </c>
      <c r="M1516" s="35" t="b">
        <v>0</v>
      </c>
      <c r="N1516" s="35" t="b">
        <v>0</v>
      </c>
      <c r="O1516" s="35" t="b">
        <v>0</v>
      </c>
      <c r="P1516" s="35" t="b">
        <v>0</v>
      </c>
      <c r="Q1516" s="35" t="b">
        <v>0</v>
      </c>
      <c r="R1516" s="14"/>
      <c r="S1516" s="14"/>
      <c r="T1516" s="14"/>
      <c r="U1516" s="14"/>
      <c r="V1516" s="14"/>
      <c r="W1516" s="14"/>
    </row>
    <row r="1517" ht="31.5" customHeight="1">
      <c r="A1517" s="109" t="s">
        <v>15521</v>
      </c>
      <c r="B1517" s="110" t="s">
        <v>15522</v>
      </c>
      <c r="C1517" s="111" t="s">
        <v>15523</v>
      </c>
      <c r="D1517" s="28" t="s">
        <v>15524</v>
      </c>
      <c r="E1517" s="28" t="str">
        <f>IFERROR(__xludf.DUMMYFUNCTION("GOOGLETRANSLATE(D1517,""zh-CN"",""vi"")"),"Chúng ta phải bảo vệ quyền lợi của mình.")</f>
        <v>Chúng ta phải bảo vệ quyền lợi của mình.</v>
      </c>
      <c r="F1517" s="137"/>
      <c r="G1517" s="36" t="b">
        <f t="shared" si="1"/>
        <v>0</v>
      </c>
      <c r="H1517" s="35" t="b">
        <v>0</v>
      </c>
      <c r="I1517" s="35" t="b">
        <v>0</v>
      </c>
      <c r="J1517" s="35" t="b">
        <v>0</v>
      </c>
      <c r="K1517" s="35" t="b">
        <v>0</v>
      </c>
      <c r="L1517" s="35" t="b">
        <v>0</v>
      </c>
      <c r="M1517" s="35" t="b">
        <v>0</v>
      </c>
      <c r="N1517" s="35" t="b">
        <v>0</v>
      </c>
      <c r="O1517" s="35" t="b">
        <v>0</v>
      </c>
      <c r="P1517" s="35" t="b">
        <v>0</v>
      </c>
      <c r="Q1517" s="35" t="b">
        <v>0</v>
      </c>
      <c r="R1517" s="14"/>
      <c r="S1517" s="14"/>
      <c r="T1517" s="14"/>
      <c r="U1517" s="14"/>
      <c r="V1517" s="14"/>
      <c r="W1517" s="14"/>
    </row>
    <row r="1518" ht="31.5" customHeight="1">
      <c r="A1518" s="109" t="s">
        <v>15525</v>
      </c>
      <c r="B1518" s="110" t="s">
        <v>15526</v>
      </c>
      <c r="C1518" s="111" t="s">
        <v>15527</v>
      </c>
      <c r="D1518" s="28" t="s">
        <v>15528</v>
      </c>
      <c r="E1518" s="28" t="str">
        <f>IFERROR(__xludf.DUMMYFUNCTION("GOOGLETRANSLATE(D1518,""zh-CN"",""vi"")"),"Anh ấy có một chú chó rất đáng yêu.")</f>
        <v>Anh ấy có một chú chó rất đáng yêu.</v>
      </c>
      <c r="F1518" s="137"/>
      <c r="G1518" s="36" t="b">
        <f t="shared" si="1"/>
        <v>0</v>
      </c>
      <c r="H1518" s="35" t="b">
        <v>0</v>
      </c>
      <c r="I1518" s="35" t="b">
        <v>0</v>
      </c>
      <c r="J1518" s="35" t="b">
        <v>0</v>
      </c>
      <c r="K1518" s="35" t="b">
        <v>0</v>
      </c>
      <c r="L1518" s="35" t="b">
        <v>0</v>
      </c>
      <c r="M1518" s="35" t="b">
        <v>0</v>
      </c>
      <c r="N1518" s="35" t="b">
        <v>0</v>
      </c>
      <c r="O1518" s="35" t="b">
        <v>0</v>
      </c>
      <c r="P1518" s="35" t="b">
        <v>0</v>
      </c>
      <c r="Q1518" s="35" t="b">
        <v>0</v>
      </c>
      <c r="R1518" s="14"/>
      <c r="S1518" s="14"/>
      <c r="T1518" s="14"/>
      <c r="U1518" s="14"/>
      <c r="V1518" s="14"/>
      <c r="W1518" s="14"/>
    </row>
    <row r="1519" ht="31.5" customHeight="1">
      <c r="A1519" s="109" t="s">
        <v>15529</v>
      </c>
      <c r="B1519" s="110" t="s">
        <v>15530</v>
      </c>
      <c r="C1519" s="111" t="s">
        <v>15531</v>
      </c>
      <c r="D1519" s="28" t="s">
        <v>15532</v>
      </c>
      <c r="E1519" s="28" t="str">
        <f>IFERROR(__xludf.DUMMYFUNCTION("GOOGLETRANSLATE(D1519,""zh-CN"",""vi"")"),"Có một khe hở trên tường.")</f>
        <v>Có một khe hở trên tường.</v>
      </c>
      <c r="F1519" s="137"/>
      <c r="G1519" s="36" t="b">
        <f t="shared" si="1"/>
        <v>0</v>
      </c>
      <c r="H1519" s="35" t="b">
        <v>0</v>
      </c>
      <c r="I1519" s="35" t="b">
        <v>0</v>
      </c>
      <c r="J1519" s="35" t="b">
        <v>0</v>
      </c>
      <c r="K1519" s="35" t="b">
        <v>0</v>
      </c>
      <c r="L1519" s="35" t="b">
        <v>0</v>
      </c>
      <c r="M1519" s="35" t="b">
        <v>0</v>
      </c>
      <c r="N1519" s="35" t="b">
        <v>0</v>
      </c>
      <c r="O1519" s="35" t="b">
        <v>0</v>
      </c>
      <c r="P1519" s="35" t="b">
        <v>0</v>
      </c>
      <c r="Q1519" s="35" t="b">
        <v>0</v>
      </c>
      <c r="R1519" s="14"/>
      <c r="S1519" s="14"/>
      <c r="T1519" s="14"/>
      <c r="U1519" s="14"/>
      <c r="V1519" s="14"/>
      <c r="W1519" s="14"/>
    </row>
    <row r="1520" ht="31.5" customHeight="1">
      <c r="A1520" s="109" t="s">
        <v>15533</v>
      </c>
      <c r="B1520" s="110" t="s">
        <v>15534</v>
      </c>
      <c r="C1520" s="111" t="s">
        <v>15535</v>
      </c>
      <c r="D1520" s="28" t="s">
        <v>15536</v>
      </c>
      <c r="E1520" s="28" t="str">
        <f>IFERROR(__xludf.DUMMYFUNCTION("GOOGLETRANSLATE(D1520,""zh-CN"",""vi"")"),"Ông ấy vắng mặt trong cuộc họp vì lý do sức khỏe.")</f>
        <v>Ông ấy vắng mặt trong cuộc họp vì lý do sức khỏe.</v>
      </c>
      <c r="F1520" s="137"/>
      <c r="G1520" s="36" t="b">
        <f t="shared" si="1"/>
        <v>0</v>
      </c>
      <c r="H1520" s="35" t="b">
        <v>0</v>
      </c>
      <c r="I1520" s="35" t="b">
        <v>0</v>
      </c>
      <c r="J1520" s="35" t="b">
        <v>0</v>
      </c>
      <c r="K1520" s="35" t="b">
        <v>0</v>
      </c>
      <c r="L1520" s="35" t="b">
        <v>0</v>
      </c>
      <c r="M1520" s="35" t="b">
        <v>0</v>
      </c>
      <c r="N1520" s="35" t="b">
        <v>0</v>
      </c>
      <c r="O1520" s="35" t="b">
        <v>0</v>
      </c>
      <c r="P1520" s="35" t="b">
        <v>0</v>
      </c>
      <c r="Q1520" s="35" t="b">
        <v>0</v>
      </c>
      <c r="R1520" s="14"/>
      <c r="S1520" s="14"/>
      <c r="T1520" s="14"/>
      <c r="U1520" s="14"/>
      <c r="V1520" s="14"/>
      <c r="W1520" s="14"/>
    </row>
    <row r="1521" ht="31.5" customHeight="1">
      <c r="A1521" s="109" t="s">
        <v>15537</v>
      </c>
      <c r="B1521" s="110" t="s">
        <v>15538</v>
      </c>
      <c r="C1521" s="111" t="s">
        <v>15539</v>
      </c>
      <c r="D1521" s="28" t="s">
        <v>15540</v>
      </c>
      <c r="E1521" s="28" t="str">
        <f>IFERROR(__xludf.DUMMYFUNCTION("GOOGLETRANSLATE(D1521,""zh-CN"",""vi"")"),"Máy này có một số lỗi.")</f>
        <v>Máy này có một số lỗi.</v>
      </c>
      <c r="F1521" s="137"/>
      <c r="G1521" s="36" t="b">
        <f t="shared" si="1"/>
        <v>0</v>
      </c>
      <c r="H1521" s="35" t="b">
        <v>0</v>
      </c>
      <c r="I1521" s="35" t="b">
        <v>0</v>
      </c>
      <c r="J1521" s="35" t="b">
        <v>0</v>
      </c>
      <c r="K1521" s="35" t="b">
        <v>0</v>
      </c>
      <c r="L1521" s="35" t="b">
        <v>0</v>
      </c>
      <c r="M1521" s="35" t="b">
        <v>0</v>
      </c>
      <c r="N1521" s="35" t="b">
        <v>0</v>
      </c>
      <c r="O1521" s="35" t="b">
        <v>0</v>
      </c>
      <c r="P1521" s="35" t="b">
        <v>0</v>
      </c>
      <c r="Q1521" s="35" t="b">
        <v>0</v>
      </c>
      <c r="R1521" s="14"/>
      <c r="S1521" s="14"/>
      <c r="T1521" s="14"/>
      <c r="U1521" s="14"/>
      <c r="V1521" s="14"/>
      <c r="W1521" s="14"/>
    </row>
    <row r="1522" ht="31.5" customHeight="1">
      <c r="A1522" s="109" t="s">
        <v>15541</v>
      </c>
      <c r="B1522" s="110" t="s">
        <v>15542</v>
      </c>
      <c r="C1522" s="111" t="s">
        <v>15543</v>
      </c>
      <c r="D1522" s="28" t="s">
        <v>15544</v>
      </c>
      <c r="E1522" s="28" t="str">
        <f>IFERROR(__xludf.DUMMYFUNCTION("GOOGLETRANSLATE(D1522,""zh-CN"",""vi"")"),"Ông ta bị ngã và bị què.")</f>
        <v>Ông ta bị ngã và bị què.</v>
      </c>
      <c r="F1522" s="137"/>
      <c r="G1522" s="36" t="b">
        <f t="shared" si="1"/>
        <v>0</v>
      </c>
      <c r="H1522" s="35" t="b">
        <v>0</v>
      </c>
      <c r="I1522" s="35" t="b">
        <v>0</v>
      </c>
      <c r="J1522" s="35" t="b">
        <v>0</v>
      </c>
      <c r="K1522" s="35" t="b">
        <v>0</v>
      </c>
      <c r="L1522" s="35" t="b">
        <v>0</v>
      </c>
      <c r="M1522" s="35" t="b">
        <v>0</v>
      </c>
      <c r="N1522" s="35" t="b">
        <v>0</v>
      </c>
      <c r="O1522" s="35" t="b">
        <v>0</v>
      </c>
      <c r="P1522" s="35" t="b">
        <v>0</v>
      </c>
      <c r="Q1522" s="35" t="b">
        <v>0</v>
      </c>
      <c r="R1522" s="14"/>
      <c r="S1522" s="14"/>
      <c r="T1522" s="14"/>
      <c r="U1522" s="14"/>
      <c r="V1522" s="14"/>
      <c r="W1522" s="14"/>
    </row>
    <row r="1523" ht="31.5" customHeight="1">
      <c r="A1523" s="109" t="s">
        <v>15545</v>
      </c>
      <c r="B1523" s="110" t="s">
        <v>15546</v>
      </c>
      <c r="C1523" s="111" t="s">
        <v>15547</v>
      </c>
      <c r="D1523" s="28" t="s">
        <v>15548</v>
      </c>
      <c r="E1523" s="28" t="str">
        <f>IFERROR(__xludf.DUMMYFUNCTION("GOOGLETRANSLATE(D1523,""zh-CN"",""vi"")"),"Chúng ta phải đảm bảo an toàn.")</f>
        <v>Chúng ta phải đảm bảo an toàn.</v>
      </c>
      <c r="F1523" s="137"/>
      <c r="G1523" s="36" t="b">
        <f t="shared" si="1"/>
        <v>0</v>
      </c>
      <c r="H1523" s="35" t="b">
        <v>0</v>
      </c>
      <c r="I1523" s="35" t="b">
        <v>0</v>
      </c>
      <c r="J1523" s="35" t="b">
        <v>0</v>
      </c>
      <c r="K1523" s="35" t="b">
        <v>0</v>
      </c>
      <c r="L1523" s="35" t="b">
        <v>0</v>
      </c>
      <c r="M1523" s="35" t="b">
        <v>0</v>
      </c>
      <c r="N1523" s="35" t="b">
        <v>0</v>
      </c>
      <c r="O1523" s="35" t="b">
        <v>0</v>
      </c>
      <c r="P1523" s="35" t="b">
        <v>0</v>
      </c>
      <c r="Q1523" s="35" t="b">
        <v>0</v>
      </c>
      <c r="R1523" s="14"/>
      <c r="S1523" s="14"/>
      <c r="T1523" s="14"/>
      <c r="U1523" s="14"/>
      <c r="V1523" s="14"/>
      <c r="W1523" s="14"/>
    </row>
    <row r="1524" ht="31.5" customHeight="1">
      <c r="A1524" s="109" t="s">
        <v>15549</v>
      </c>
      <c r="B1524" s="110" t="s">
        <v>15550</v>
      </c>
      <c r="C1524" s="111" t="s">
        <v>15551</v>
      </c>
      <c r="D1524" s="28" t="s">
        <v>15552</v>
      </c>
      <c r="E1524" s="28" t="str">
        <f>IFERROR(__xludf.DUMMYFUNCTION("GOOGLETRANSLATE(D1524,""zh-CN"",""vi"")"),"Chúng tôi đã đặt ra những mục tiêu mới.")</f>
        <v>Chúng tôi đã đặt ra những mục tiêu mới.</v>
      </c>
      <c r="F1524" s="137"/>
      <c r="G1524" s="36" t="b">
        <f t="shared" si="1"/>
        <v>0</v>
      </c>
      <c r="H1524" s="35" t="b">
        <v>0</v>
      </c>
      <c r="I1524" s="35" t="b">
        <v>0</v>
      </c>
      <c r="J1524" s="35" t="b">
        <v>0</v>
      </c>
      <c r="K1524" s="35" t="b">
        <v>0</v>
      </c>
      <c r="L1524" s="35" t="b">
        <v>0</v>
      </c>
      <c r="M1524" s="35" t="b">
        <v>0</v>
      </c>
      <c r="N1524" s="35" t="b">
        <v>0</v>
      </c>
      <c r="O1524" s="35" t="b">
        <v>0</v>
      </c>
      <c r="P1524" s="35" t="b">
        <v>0</v>
      </c>
      <c r="Q1524" s="35" t="b">
        <v>0</v>
      </c>
      <c r="R1524" s="14"/>
      <c r="S1524" s="14"/>
      <c r="T1524" s="14"/>
      <c r="U1524" s="14"/>
      <c r="V1524" s="14"/>
      <c r="W1524" s="14"/>
    </row>
    <row r="1525" ht="31.5" customHeight="1">
      <c r="A1525" s="109" t="s">
        <v>15553</v>
      </c>
      <c r="B1525" s="110" t="s">
        <v>15554</v>
      </c>
      <c r="C1525" s="111" t="s">
        <v>15555</v>
      </c>
      <c r="D1525" s="28" t="s">
        <v>15556</v>
      </c>
      <c r="E1525" s="28" t="str">
        <f>IFERROR(__xludf.DUMMYFUNCTION("GOOGLETRANSLATE(D1525,""zh-CN"",""vi"")"),"Lời nói của ông ấy rất chính xác.")</f>
        <v>Lời nói của ông ấy rất chính xác.</v>
      </c>
      <c r="F1525" s="137"/>
      <c r="G1525" s="36" t="b">
        <f t="shared" si="1"/>
        <v>0</v>
      </c>
      <c r="H1525" s="35" t="b">
        <v>0</v>
      </c>
      <c r="I1525" s="35" t="b">
        <v>0</v>
      </c>
      <c r="J1525" s="35" t="b">
        <v>0</v>
      </c>
      <c r="K1525" s="35" t="b">
        <v>0</v>
      </c>
      <c r="L1525" s="35" t="b">
        <v>0</v>
      </c>
      <c r="M1525" s="35" t="b">
        <v>0</v>
      </c>
      <c r="N1525" s="35" t="b">
        <v>0</v>
      </c>
      <c r="O1525" s="35" t="b">
        <v>0</v>
      </c>
      <c r="P1525" s="35" t="b">
        <v>0</v>
      </c>
      <c r="Q1525" s="35" t="b">
        <v>0</v>
      </c>
      <c r="R1525" s="14"/>
      <c r="S1525" s="14"/>
      <c r="T1525" s="14"/>
      <c r="U1525" s="14"/>
      <c r="V1525" s="14"/>
      <c r="W1525" s="14"/>
    </row>
    <row r="1526" ht="31.5" customHeight="1">
      <c r="A1526" s="109" t="s">
        <v>15557</v>
      </c>
      <c r="B1526" s="110" t="s">
        <v>15558</v>
      </c>
      <c r="C1526" s="111" t="s">
        <v>15559</v>
      </c>
      <c r="D1526" s="28" t="s">
        <v>15560</v>
      </c>
      <c r="E1526" s="28" t="str">
        <f>IFERROR(__xludf.DUMMYFUNCTION("GOOGLETRANSLATE(D1526,""zh-CN"",""vi"")"),"Tôi tin chắc anh ấy sẽ thành công.")</f>
        <v>Tôi tin chắc anh ấy sẽ thành công.</v>
      </c>
      <c r="F1526" s="137"/>
      <c r="G1526" s="36" t="b">
        <f t="shared" si="1"/>
        <v>0</v>
      </c>
      <c r="H1526" s="35" t="b">
        <v>0</v>
      </c>
      <c r="I1526" s="35" t="b">
        <v>0</v>
      </c>
      <c r="J1526" s="35" t="b">
        <v>0</v>
      </c>
      <c r="K1526" s="35" t="b">
        <v>0</v>
      </c>
      <c r="L1526" s="35" t="b">
        <v>0</v>
      </c>
      <c r="M1526" s="35" t="b">
        <v>0</v>
      </c>
      <c r="N1526" s="35" t="b">
        <v>0</v>
      </c>
      <c r="O1526" s="35" t="b">
        <v>0</v>
      </c>
      <c r="P1526" s="35" t="b">
        <v>0</v>
      </c>
      <c r="Q1526" s="35" t="b">
        <v>0</v>
      </c>
      <c r="R1526" s="14"/>
      <c r="S1526" s="14"/>
      <c r="T1526" s="14"/>
      <c r="U1526" s="14"/>
      <c r="V1526" s="14"/>
      <c r="W1526" s="14"/>
    </row>
    <row r="1527" ht="31.5" customHeight="1">
      <c r="A1527" s="109" t="s">
        <v>15561</v>
      </c>
      <c r="B1527" s="110" t="s">
        <v>15562</v>
      </c>
      <c r="C1527" s="111" t="s">
        <v>15563</v>
      </c>
      <c r="D1527" s="28" t="s">
        <v>15564</v>
      </c>
      <c r="E1527" s="28" t="str">
        <f>IFERROR(__xludf.DUMMYFUNCTION("GOOGLETRANSLATE(D1527,""zh-CN"",""vi"")"),"Công chúng đã bày tỏ sự ủng hộ đối với chính sách này.")</f>
        <v>Công chúng đã bày tỏ sự ủng hộ đối với chính sách này.</v>
      </c>
      <c r="F1527" s="137"/>
      <c r="G1527" s="36" t="b">
        <f t="shared" si="1"/>
        <v>0</v>
      </c>
      <c r="H1527" s="35" t="b">
        <v>0</v>
      </c>
      <c r="I1527" s="35" t="b">
        <v>0</v>
      </c>
      <c r="J1527" s="35" t="b">
        <v>0</v>
      </c>
      <c r="K1527" s="35" t="b">
        <v>0</v>
      </c>
      <c r="L1527" s="35" t="b">
        <v>0</v>
      </c>
      <c r="M1527" s="35" t="b">
        <v>0</v>
      </c>
      <c r="N1527" s="35" t="b">
        <v>0</v>
      </c>
      <c r="O1527" s="35" t="b">
        <v>0</v>
      </c>
      <c r="P1527" s="35" t="b">
        <v>0</v>
      </c>
      <c r="Q1527" s="35" t="b">
        <v>0</v>
      </c>
      <c r="R1527" s="14"/>
      <c r="S1527" s="14"/>
      <c r="T1527" s="14"/>
      <c r="U1527" s="14"/>
      <c r="V1527" s="14"/>
      <c r="W1527" s="14"/>
    </row>
    <row r="1528" ht="31.5" customHeight="1">
      <c r="A1528" s="109" t="s">
        <v>15565</v>
      </c>
      <c r="B1528" s="110" t="s">
        <v>15566</v>
      </c>
      <c r="C1528" s="111" t="s">
        <v>15567</v>
      </c>
      <c r="D1528" s="28" t="s">
        <v>15568</v>
      </c>
      <c r="E1528" s="28" t="str">
        <f>IFERROR(__xludf.DUMMYFUNCTION("GOOGLETRANSLATE(D1528,""zh-CN"",""vi"")"),"Anh ấy đã hình thành những thói quen xấu.")</f>
        <v>Anh ấy đã hình thành những thói quen xấu.</v>
      </c>
      <c r="F1528" s="137"/>
      <c r="G1528" s="36" t="b">
        <f t="shared" si="1"/>
        <v>0</v>
      </c>
      <c r="H1528" s="35" t="b">
        <v>0</v>
      </c>
      <c r="I1528" s="35" t="b">
        <v>0</v>
      </c>
      <c r="J1528" s="35" t="b">
        <v>0</v>
      </c>
      <c r="K1528" s="35" t="b">
        <v>0</v>
      </c>
      <c r="L1528" s="35" t="b">
        <v>0</v>
      </c>
      <c r="M1528" s="35" t="b">
        <v>0</v>
      </c>
      <c r="N1528" s="35" t="b">
        <v>0</v>
      </c>
      <c r="O1528" s="35" t="b">
        <v>0</v>
      </c>
      <c r="P1528" s="35" t="b">
        <v>0</v>
      </c>
      <c r="Q1528" s="35" t="b">
        <v>0</v>
      </c>
      <c r="R1528" s="14"/>
      <c r="S1528" s="14"/>
      <c r="T1528" s="14"/>
      <c r="U1528" s="14"/>
      <c r="V1528" s="14"/>
      <c r="W1528" s="14"/>
    </row>
    <row r="1529" ht="31.5" customHeight="1">
      <c r="A1529" s="109" t="s">
        <v>15569</v>
      </c>
      <c r="B1529" s="110" t="s">
        <v>15570</v>
      </c>
      <c r="C1529" s="111" t="s">
        <v>15571</v>
      </c>
      <c r="D1529" s="28" t="s">
        <v>15572</v>
      </c>
      <c r="E1529" s="28" t="str">
        <f>IFERROR(__xludf.DUMMYFUNCTION("GOOGLETRANSLATE(D1529,""zh-CN"",""vi"")"),"Cuối cùng ông ta đã nhượng bộ.")</f>
        <v>Cuối cùng ông ta đã nhượng bộ.</v>
      </c>
      <c r="F1529" s="137"/>
      <c r="G1529" s="36" t="b">
        <f t="shared" si="1"/>
        <v>0</v>
      </c>
      <c r="H1529" s="35" t="b">
        <v>0</v>
      </c>
      <c r="I1529" s="35" t="b">
        <v>0</v>
      </c>
      <c r="J1529" s="35" t="b">
        <v>0</v>
      </c>
      <c r="K1529" s="35" t="b">
        <v>0</v>
      </c>
      <c r="L1529" s="35" t="b">
        <v>0</v>
      </c>
      <c r="M1529" s="35" t="b">
        <v>0</v>
      </c>
      <c r="N1529" s="35" t="b">
        <v>0</v>
      </c>
      <c r="O1529" s="35" t="b">
        <v>0</v>
      </c>
      <c r="P1529" s="35" t="b">
        <v>0</v>
      </c>
      <c r="Q1529" s="35" t="b">
        <v>0</v>
      </c>
      <c r="R1529" s="14"/>
      <c r="S1529" s="14"/>
      <c r="T1529" s="14"/>
      <c r="U1529" s="14"/>
      <c r="V1529" s="14"/>
      <c r="W1529" s="14"/>
    </row>
    <row r="1530" ht="31.5" customHeight="1">
      <c r="A1530" s="109" t="s">
        <v>15573</v>
      </c>
      <c r="B1530" s="110" t="s">
        <v>15574</v>
      </c>
      <c r="C1530" s="111" t="s">
        <v>15575</v>
      </c>
      <c r="D1530" s="28" t="s">
        <v>15576</v>
      </c>
      <c r="E1530" s="28" t="str">
        <f>IFERROR(__xludf.DUMMYFUNCTION("GOOGLETRANSLATE(D1530,""zh-CN"",""vi"")"),"Xin hãy tha thứ cho lỗi lầm của tôi.")</f>
        <v>Xin hãy tha thứ cho lỗi lầm của tôi.</v>
      </c>
      <c r="F1530" s="137"/>
      <c r="G1530" s="36" t="b">
        <f t="shared" si="1"/>
        <v>0</v>
      </c>
      <c r="H1530" s="35" t="b">
        <v>0</v>
      </c>
      <c r="I1530" s="35" t="b">
        <v>0</v>
      </c>
      <c r="J1530" s="35" t="b">
        <v>0</v>
      </c>
      <c r="K1530" s="35" t="b">
        <v>0</v>
      </c>
      <c r="L1530" s="35" t="b">
        <v>0</v>
      </c>
      <c r="M1530" s="35" t="b">
        <v>0</v>
      </c>
      <c r="N1530" s="35" t="b">
        <v>0</v>
      </c>
      <c r="O1530" s="35" t="b">
        <v>0</v>
      </c>
      <c r="P1530" s="35" t="b">
        <v>0</v>
      </c>
      <c r="Q1530" s="35" t="b">
        <v>0</v>
      </c>
      <c r="R1530" s="14"/>
      <c r="S1530" s="14"/>
      <c r="T1530" s="14"/>
      <c r="U1530" s="14"/>
      <c r="V1530" s="14"/>
      <c r="W1530" s="14"/>
    </row>
    <row r="1531" ht="31.5" customHeight="1">
      <c r="A1531" s="109" t="s">
        <v>15577</v>
      </c>
      <c r="B1531" s="110" t="s">
        <v>15578</v>
      </c>
      <c r="C1531" s="111" t="s">
        <v>15579</v>
      </c>
      <c r="D1531" s="28" t="s">
        <v>15580</v>
      </c>
      <c r="E1531" s="28" t="str">
        <f>IFERROR(__xludf.DUMMYFUNCTION("GOOGLETRANSLATE(D1531,""zh-CN"",""vi"")"),"Tin tức này đã làm đảo lộn trật tự.")</f>
        <v>Tin tức này đã làm đảo lộn trật tự.</v>
      </c>
      <c r="F1531" s="137"/>
      <c r="G1531" s="36" t="b">
        <f t="shared" si="1"/>
        <v>0</v>
      </c>
      <c r="H1531" s="35" t="b">
        <v>0</v>
      </c>
      <c r="I1531" s="35" t="b">
        <v>0</v>
      </c>
      <c r="J1531" s="35" t="b">
        <v>0</v>
      </c>
      <c r="K1531" s="35" t="b">
        <v>0</v>
      </c>
      <c r="L1531" s="35" t="b">
        <v>0</v>
      </c>
      <c r="M1531" s="35" t="b">
        <v>0</v>
      </c>
      <c r="N1531" s="35" t="b">
        <v>0</v>
      </c>
      <c r="O1531" s="35" t="b">
        <v>0</v>
      </c>
      <c r="P1531" s="35" t="b">
        <v>0</v>
      </c>
      <c r="Q1531" s="35" t="b">
        <v>0</v>
      </c>
      <c r="R1531" s="14"/>
      <c r="S1531" s="14"/>
      <c r="T1531" s="14"/>
      <c r="U1531" s="14"/>
      <c r="V1531" s="14"/>
      <c r="W1531" s="14"/>
    </row>
    <row r="1532" ht="31.5" customHeight="1">
      <c r="A1532" s="109" t="s">
        <v>15581</v>
      </c>
      <c r="B1532" s="110" t="s">
        <v>15582</v>
      </c>
      <c r="C1532" s="111" t="s">
        <v>15583</v>
      </c>
      <c r="D1532" s="28" t="s">
        <v>15584</v>
      </c>
      <c r="E1532" s="28" t="str">
        <f>IFERROR(__xludf.DUMMYFUNCTION("GOOGLETRANSLATE(D1532,""zh-CN"",""vi"")"),"Hành động của anh ta đã gây ra rắc rối.")</f>
        <v>Hành động của anh ta đã gây ra rắc rối.</v>
      </c>
      <c r="F1532" s="137"/>
      <c r="G1532" s="36" t="b">
        <f t="shared" si="1"/>
        <v>0</v>
      </c>
      <c r="H1532" s="35" t="b">
        <v>0</v>
      </c>
      <c r="I1532" s="35" t="b">
        <v>0</v>
      </c>
      <c r="J1532" s="35" t="b">
        <v>0</v>
      </c>
      <c r="K1532" s="35" t="b">
        <v>0</v>
      </c>
      <c r="L1532" s="35" t="b">
        <v>0</v>
      </c>
      <c r="M1532" s="35" t="b">
        <v>0</v>
      </c>
      <c r="N1532" s="35" t="b">
        <v>0</v>
      </c>
      <c r="O1532" s="35" t="b">
        <v>0</v>
      </c>
      <c r="P1532" s="35" t="b">
        <v>0</v>
      </c>
      <c r="Q1532" s="35" t="b">
        <v>0</v>
      </c>
      <c r="R1532" s="14"/>
      <c r="S1532" s="14"/>
      <c r="T1532" s="14"/>
      <c r="U1532" s="14"/>
      <c r="V1532" s="14"/>
      <c r="W1532" s="14"/>
    </row>
    <row r="1533" ht="31.5" customHeight="1">
      <c r="A1533" s="109" t="s">
        <v>15585</v>
      </c>
      <c r="B1533" s="110" t="s">
        <v>15586</v>
      </c>
      <c r="C1533" s="111" t="s">
        <v>15587</v>
      </c>
      <c r="D1533" s="28" t="s">
        <v>15588</v>
      </c>
      <c r="E1533" s="28" t="str">
        <f>IFERROR(__xludf.DUMMYFUNCTION("GOOGLETRANSLATE(D1533,""zh-CN"",""vi"")"),"Nghe tin ấy, cô ấy bật khóc.")</f>
        <v>Nghe tin ấy, cô ấy bật khóc.</v>
      </c>
      <c r="F1533" s="137"/>
      <c r="G1533" s="36" t="b">
        <f t="shared" si="1"/>
        <v>0</v>
      </c>
      <c r="H1533" s="35" t="b">
        <v>0</v>
      </c>
      <c r="I1533" s="35" t="b">
        <v>0</v>
      </c>
      <c r="J1533" s="35" t="b">
        <v>0</v>
      </c>
      <c r="K1533" s="35" t="b">
        <v>0</v>
      </c>
      <c r="L1533" s="35" t="b">
        <v>0</v>
      </c>
      <c r="M1533" s="35" t="b">
        <v>0</v>
      </c>
      <c r="N1533" s="35" t="b">
        <v>0</v>
      </c>
      <c r="O1533" s="35" t="b">
        <v>0</v>
      </c>
      <c r="P1533" s="35" t="b">
        <v>0</v>
      </c>
      <c r="Q1533" s="35" t="b">
        <v>0</v>
      </c>
      <c r="R1533" s="14"/>
      <c r="S1533" s="14"/>
      <c r="T1533" s="14"/>
      <c r="U1533" s="14"/>
      <c r="V1533" s="14"/>
      <c r="W1533" s="14"/>
    </row>
    <row r="1534" ht="31.5" customHeight="1">
      <c r="A1534" s="109" t="s">
        <v>15589</v>
      </c>
      <c r="B1534" s="110" t="s">
        <v>15590</v>
      </c>
      <c r="C1534" s="111" t="s">
        <v>15591</v>
      </c>
      <c r="D1534" s="28" t="s">
        <v>15592</v>
      </c>
      <c r="E1534" s="28" t="str">
        <f>IFERROR(__xludf.DUMMYFUNCTION("GOOGLETRANSLATE(D1534,""zh-CN"",""vi"")"),"Chủ đề này rất được ưa chuộng.")</f>
        <v>Chủ đề này rất được ưa chuộng.</v>
      </c>
      <c r="F1534" s="137"/>
      <c r="G1534" s="36" t="b">
        <f t="shared" si="1"/>
        <v>0</v>
      </c>
      <c r="H1534" s="35" t="b">
        <v>0</v>
      </c>
      <c r="I1534" s="35" t="b">
        <v>0</v>
      </c>
      <c r="J1534" s="35" t="b">
        <v>0</v>
      </c>
      <c r="K1534" s="35" t="b">
        <v>0</v>
      </c>
      <c r="L1534" s="35" t="b">
        <v>0</v>
      </c>
      <c r="M1534" s="35" t="b">
        <v>0</v>
      </c>
      <c r="N1534" s="35" t="b">
        <v>0</v>
      </c>
      <c r="O1534" s="35" t="b">
        <v>0</v>
      </c>
      <c r="P1534" s="35" t="b">
        <v>0</v>
      </c>
      <c r="Q1534" s="35" t="b">
        <v>0</v>
      </c>
      <c r="R1534" s="14"/>
      <c r="S1534" s="14"/>
      <c r="T1534" s="14"/>
      <c r="U1534" s="14"/>
      <c r="V1534" s="14"/>
      <c r="W1534" s="14"/>
    </row>
    <row r="1535" ht="31.5" customHeight="1">
      <c r="A1535" s="109" t="s">
        <v>15593</v>
      </c>
      <c r="B1535" s="110" t="s">
        <v>15594</v>
      </c>
      <c r="C1535" s="111" t="s">
        <v>15595</v>
      </c>
      <c r="D1535" s="28" t="s">
        <v>15596</v>
      </c>
      <c r="E1535" s="28" t="str">
        <f>IFERROR(__xludf.DUMMYFUNCTION("GOOGLETRANSLATE(D1535,""zh-CN"",""vi"")"),"Ông ấy là một người tốt bụng.")</f>
        <v>Ông ấy là một người tốt bụng.</v>
      </c>
      <c r="F1535" s="137"/>
      <c r="G1535" s="36" t="b">
        <f t="shared" si="1"/>
        <v>0</v>
      </c>
      <c r="H1535" s="35" t="b">
        <v>0</v>
      </c>
      <c r="I1535" s="35" t="b">
        <v>0</v>
      </c>
      <c r="J1535" s="35" t="b">
        <v>0</v>
      </c>
      <c r="K1535" s="35" t="b">
        <v>0</v>
      </c>
      <c r="L1535" s="35" t="b">
        <v>0</v>
      </c>
      <c r="M1535" s="35" t="b">
        <v>0</v>
      </c>
      <c r="N1535" s="35" t="b">
        <v>0</v>
      </c>
      <c r="O1535" s="35" t="b">
        <v>0</v>
      </c>
      <c r="P1535" s="35" t="b">
        <v>0</v>
      </c>
      <c r="Q1535" s="35" t="b">
        <v>0</v>
      </c>
      <c r="R1535" s="14"/>
      <c r="S1535" s="14"/>
      <c r="T1535" s="14"/>
      <c r="U1535" s="14"/>
      <c r="V1535" s="14"/>
      <c r="W1535" s="14"/>
    </row>
    <row r="1536" ht="31.5" customHeight="1">
      <c r="A1536" s="109" t="s">
        <v>15597</v>
      </c>
      <c r="B1536" s="110" t="s">
        <v>15598</v>
      </c>
      <c r="C1536" s="111" t="s">
        <v>15599</v>
      </c>
      <c r="D1536" s="28" t="s">
        <v>15600</v>
      </c>
      <c r="E1536" s="28" t="str">
        <f>IFERROR(__xludf.DUMMYFUNCTION("GOOGLETRANSLATE(D1536,""zh-CN"",""vi"")"),"Họ chủ trương đối xử nhân đạo với động vật.")</f>
        <v>Họ chủ trương đối xử nhân đạo với động vật.</v>
      </c>
      <c r="F1536" s="137"/>
      <c r="G1536" s="36" t="b">
        <f t="shared" si="1"/>
        <v>0</v>
      </c>
      <c r="H1536" s="35" t="b">
        <v>0</v>
      </c>
      <c r="I1536" s="35" t="b">
        <v>0</v>
      </c>
      <c r="J1536" s="35" t="b">
        <v>0</v>
      </c>
      <c r="K1536" s="35" t="b">
        <v>0</v>
      </c>
      <c r="L1536" s="35" t="b">
        <v>0</v>
      </c>
      <c r="M1536" s="35" t="b">
        <v>0</v>
      </c>
      <c r="N1536" s="35" t="b">
        <v>0</v>
      </c>
      <c r="O1536" s="35" t="b">
        <v>0</v>
      </c>
      <c r="P1536" s="35" t="b">
        <v>0</v>
      </c>
      <c r="Q1536" s="35" t="b">
        <v>0</v>
      </c>
      <c r="R1536" s="14"/>
      <c r="S1536" s="14"/>
      <c r="T1536" s="14"/>
      <c r="U1536" s="14"/>
      <c r="V1536" s="14"/>
      <c r="W1536" s="14"/>
    </row>
    <row r="1537" ht="31.5" customHeight="1">
      <c r="A1537" s="109" t="s">
        <v>15601</v>
      </c>
      <c r="B1537" s="110" t="s">
        <v>15602</v>
      </c>
      <c r="C1537" s="111" t="s">
        <v>15603</v>
      </c>
      <c r="D1537" s="28" t="s">
        <v>15604</v>
      </c>
      <c r="E1537" s="28" t="str">
        <f>IFERROR(__xludf.DUMMYFUNCTION("GOOGLETRANSLATE(D1537,""zh-CN"",""vi"")"),"Nhân cách của chủ và người hầu là ngang nhau.")</f>
        <v>Nhân cách của chủ và người hầu là ngang nhau.</v>
      </c>
      <c r="F1537" s="137"/>
      <c r="G1537" s="36" t="b">
        <f t="shared" si="1"/>
        <v>0</v>
      </c>
      <c r="H1537" s="35" t="b">
        <v>0</v>
      </c>
      <c r="I1537" s="35" t="b">
        <v>0</v>
      </c>
      <c r="J1537" s="35" t="b">
        <v>0</v>
      </c>
      <c r="K1537" s="35" t="b">
        <v>0</v>
      </c>
      <c r="L1537" s="35" t="b">
        <v>0</v>
      </c>
      <c r="M1537" s="35" t="b">
        <v>0</v>
      </c>
      <c r="N1537" s="35" t="b">
        <v>0</v>
      </c>
      <c r="O1537" s="35" t="b">
        <v>0</v>
      </c>
      <c r="P1537" s="35" t="b">
        <v>0</v>
      </c>
      <c r="Q1537" s="35" t="b">
        <v>0</v>
      </c>
      <c r="R1537" s="14"/>
      <c r="S1537" s="14"/>
      <c r="T1537" s="14"/>
      <c r="U1537" s="14"/>
      <c r="V1537" s="14"/>
      <c r="W1537" s="14"/>
    </row>
    <row r="1538" ht="31.5" customHeight="1">
      <c r="A1538" s="109" t="s">
        <v>15605</v>
      </c>
      <c r="B1538" s="110" t="s">
        <v>15606</v>
      </c>
      <c r="C1538" s="111" t="s">
        <v>15607</v>
      </c>
      <c r="D1538" s="28" t="s">
        <v>15608</v>
      </c>
      <c r="E1538" s="28" t="str">
        <f>IFERROR(__xludf.DUMMYFUNCTION("GOOGLETRANSLATE(D1538,""zh-CN"",""vi"")"),"Công nghệ này đòi hỏi vận hành thủ công.")</f>
        <v>Công nghệ này đòi hỏi vận hành thủ công.</v>
      </c>
      <c r="F1538" s="137"/>
      <c r="G1538" s="36" t="b">
        <f t="shared" si="1"/>
        <v>0</v>
      </c>
      <c r="H1538" s="35" t="b">
        <v>0</v>
      </c>
      <c r="I1538" s="35" t="b">
        <v>0</v>
      </c>
      <c r="J1538" s="35" t="b">
        <v>0</v>
      </c>
      <c r="K1538" s="35" t="b">
        <v>0</v>
      </c>
      <c r="L1538" s="35" t="b">
        <v>0</v>
      </c>
      <c r="M1538" s="35" t="b">
        <v>0</v>
      </c>
      <c r="N1538" s="35" t="b">
        <v>0</v>
      </c>
      <c r="O1538" s="35" t="b">
        <v>0</v>
      </c>
      <c r="P1538" s="35" t="b">
        <v>0</v>
      </c>
      <c r="Q1538" s="35" t="b">
        <v>0</v>
      </c>
      <c r="R1538" s="14"/>
      <c r="S1538" s="14"/>
      <c r="T1538" s="14"/>
      <c r="U1538" s="14"/>
      <c r="V1538" s="14"/>
      <c r="W1538" s="14"/>
    </row>
    <row r="1539" ht="31.5" customHeight="1">
      <c r="A1539" s="109" t="s">
        <v>15609</v>
      </c>
      <c r="B1539" s="110" t="s">
        <v>15610</v>
      </c>
      <c r="C1539" s="111" t="s">
        <v>15611</v>
      </c>
      <c r="D1539" s="28" t="s">
        <v>15612</v>
      </c>
      <c r="E1539" s="28" t="str">
        <f>IFERROR(__xludf.DUMMYFUNCTION("GOOGLETRANSLATE(D1539,""zh-CN"",""vi"")"),"Mọi người nói rằng anh ấy rất thông minh.")</f>
        <v>Mọi người nói rằng anh ấy rất thông minh.</v>
      </c>
      <c r="F1539" s="137"/>
      <c r="G1539" s="36" t="b">
        <f t="shared" si="1"/>
        <v>0</v>
      </c>
      <c r="H1539" s="35" t="b">
        <v>0</v>
      </c>
      <c r="I1539" s="35" t="b">
        <v>0</v>
      </c>
      <c r="J1539" s="35" t="b">
        <v>0</v>
      </c>
      <c r="K1539" s="35" t="b">
        <v>0</v>
      </c>
      <c r="L1539" s="35" t="b">
        <v>0</v>
      </c>
      <c r="M1539" s="35" t="b">
        <v>0</v>
      </c>
      <c r="N1539" s="35" t="b">
        <v>0</v>
      </c>
      <c r="O1539" s="35" t="b">
        <v>0</v>
      </c>
      <c r="P1539" s="35" t="b">
        <v>0</v>
      </c>
      <c r="Q1539" s="35" t="b">
        <v>0</v>
      </c>
      <c r="R1539" s="14"/>
      <c r="S1539" s="14"/>
      <c r="T1539" s="14"/>
      <c r="U1539" s="14"/>
      <c r="V1539" s="14"/>
      <c r="W1539" s="14"/>
    </row>
    <row r="1540" ht="31.5" customHeight="1">
      <c r="A1540" s="109" t="s">
        <v>15613</v>
      </c>
      <c r="B1540" s="110" t="s">
        <v>15614</v>
      </c>
      <c r="C1540" s="111" t="s">
        <v>15615</v>
      </c>
      <c r="D1540" s="28" t="s">
        <v>15616</v>
      </c>
      <c r="E1540" s="28" t="str">
        <f>IFERROR(__xludf.DUMMYFUNCTION("GOOGLETRANSLATE(D1540,""zh-CN"",""vi"")"),"Đây chính là thiên đường trên trái đất.")</f>
        <v>Đây chính là thiên đường trên trái đất.</v>
      </c>
      <c r="F1540" s="137"/>
      <c r="G1540" s="36" t="b">
        <f t="shared" si="1"/>
        <v>0</v>
      </c>
      <c r="H1540" s="35" t="b">
        <v>0</v>
      </c>
      <c r="I1540" s="35" t="b">
        <v>0</v>
      </c>
      <c r="J1540" s="35" t="b">
        <v>0</v>
      </c>
      <c r="K1540" s="35" t="b">
        <v>0</v>
      </c>
      <c r="L1540" s="35" t="b">
        <v>0</v>
      </c>
      <c r="M1540" s="35" t="b">
        <v>0</v>
      </c>
      <c r="N1540" s="35" t="b">
        <v>0</v>
      </c>
      <c r="O1540" s="35" t="b">
        <v>0</v>
      </c>
      <c r="P1540" s="35" t="b">
        <v>0</v>
      </c>
      <c r="Q1540" s="35" t="b">
        <v>0</v>
      </c>
      <c r="R1540" s="14"/>
      <c r="S1540" s="14"/>
      <c r="T1540" s="14"/>
      <c r="U1540" s="14"/>
      <c r="V1540" s="14"/>
      <c r="W1540" s="14"/>
    </row>
    <row r="1541" ht="31.5" customHeight="1">
      <c r="A1541" s="109" t="s">
        <v>15617</v>
      </c>
      <c r="B1541" s="110" t="s">
        <v>15618</v>
      </c>
      <c r="C1541" s="111" t="s">
        <v>15619</v>
      </c>
      <c r="D1541" s="28" t="s">
        <v>15620</v>
      </c>
      <c r="E1541" s="28" t="str">
        <f>IFERROR(__xludf.DUMMYFUNCTION("GOOGLETRANSLATE(D1541,""zh-CN"",""vi"")"),"Những người đến từ mọi tầng lớp xã hội đã tập trung tham dự hội thảo, và bầu không khí khá sôi nổi.")</f>
        <v>Những người đến từ mọi tầng lớp xã hội đã tập trung tham dự hội thảo, và bầu không khí khá sôi nổi.</v>
      </c>
      <c r="F1541" s="137"/>
      <c r="G1541" s="36" t="b">
        <f t="shared" si="1"/>
        <v>0</v>
      </c>
      <c r="H1541" s="35" t="b">
        <v>0</v>
      </c>
      <c r="I1541" s="35" t="b">
        <v>0</v>
      </c>
      <c r="J1541" s="35" t="b">
        <v>0</v>
      </c>
      <c r="K1541" s="35" t="b">
        <v>0</v>
      </c>
      <c r="L1541" s="35" t="b">
        <v>0</v>
      </c>
      <c r="M1541" s="35" t="b">
        <v>0</v>
      </c>
      <c r="N1541" s="35" t="b">
        <v>0</v>
      </c>
      <c r="O1541" s="35" t="b">
        <v>0</v>
      </c>
      <c r="P1541" s="35" t="b">
        <v>0</v>
      </c>
      <c r="Q1541" s="35" t="b">
        <v>0</v>
      </c>
      <c r="R1541" s="14"/>
      <c r="S1541" s="14"/>
      <c r="T1541" s="14"/>
      <c r="U1541" s="14"/>
      <c r="V1541" s="14"/>
      <c r="W1541" s="14"/>
    </row>
    <row r="1542" ht="31.5" customHeight="1">
      <c r="A1542" s="109" t="s">
        <v>15621</v>
      </c>
      <c r="B1542" s="110" t="s">
        <v>15622</v>
      </c>
      <c r="C1542" s="111" t="s">
        <v>15623</v>
      </c>
      <c r="D1542" s="28" t="s">
        <v>15624</v>
      </c>
      <c r="E1542" s="28" t="str">
        <f>IFERROR(__xludf.DUMMYFUNCTION("GOOGLETRANSLATE(D1542,""zh-CN"",""vi"")"),"Thành công của ông không phải là ngẫu nhiên, mà là kết quả của nỗ lực con người.")</f>
        <v>Thành công của ông không phải là ngẫu nhiên, mà là kết quả của nỗ lực con người.</v>
      </c>
      <c r="F1542" s="137"/>
      <c r="G1542" s="36" t="b">
        <f t="shared" si="1"/>
        <v>0</v>
      </c>
      <c r="H1542" s="35" t="b">
        <v>0</v>
      </c>
      <c r="I1542" s="35" t="b">
        <v>0</v>
      </c>
      <c r="J1542" s="35" t="b">
        <v>0</v>
      </c>
      <c r="K1542" s="35" t="b">
        <v>0</v>
      </c>
      <c r="L1542" s="35" t="b">
        <v>0</v>
      </c>
      <c r="M1542" s="35" t="b">
        <v>0</v>
      </c>
      <c r="N1542" s="35" t="b">
        <v>0</v>
      </c>
      <c r="O1542" s="35" t="b">
        <v>0</v>
      </c>
      <c r="P1542" s="35" t="b">
        <v>0</v>
      </c>
      <c r="Q1542" s="35" t="b">
        <v>0</v>
      </c>
      <c r="R1542" s="14"/>
      <c r="S1542" s="14"/>
      <c r="T1542" s="14"/>
      <c r="U1542" s="14"/>
      <c r="V1542" s="14"/>
      <c r="W1542" s="14"/>
    </row>
    <row r="1543" ht="31.5" customHeight="1">
      <c r="A1543" s="109" t="s">
        <v>15625</v>
      </c>
      <c r="B1543" s="110" t="s">
        <v>15626</v>
      </c>
      <c r="C1543" s="111" t="s">
        <v>15627</v>
      </c>
      <c r="D1543" s="28" t="s">
        <v>15628</v>
      </c>
      <c r="E1543" s="28" t="str">
        <f>IFERROR(__xludf.DUMMYFUNCTION("GOOGLETRANSLATE(D1543,""zh-CN"",""vi"")"),"Bản chất con người đôi khi rất phức tạp.")</f>
        <v>Bản chất con người đôi khi rất phức tạp.</v>
      </c>
      <c r="F1543" s="137"/>
      <c r="G1543" s="36" t="b">
        <f t="shared" si="1"/>
        <v>0</v>
      </c>
      <c r="H1543" s="35" t="b">
        <v>0</v>
      </c>
      <c r="I1543" s="35" t="b">
        <v>0</v>
      </c>
      <c r="J1543" s="35" t="b">
        <v>0</v>
      </c>
      <c r="K1543" s="35" t="b">
        <v>0</v>
      </c>
      <c r="L1543" s="35" t="b">
        <v>0</v>
      </c>
      <c r="M1543" s="35" t="b">
        <v>0</v>
      </c>
      <c r="N1543" s="35" t="b">
        <v>0</v>
      </c>
      <c r="O1543" s="35" t="b">
        <v>0</v>
      </c>
      <c r="P1543" s="35" t="b">
        <v>0</v>
      </c>
      <c r="Q1543" s="35" t="b">
        <v>0</v>
      </c>
      <c r="R1543" s="14"/>
      <c r="S1543" s="14"/>
      <c r="T1543" s="14"/>
      <c r="U1543" s="14"/>
      <c r="V1543" s="14"/>
      <c r="W1543" s="14"/>
    </row>
    <row r="1544" ht="31.5" customHeight="1">
      <c r="A1544" s="109" t="s">
        <v>15629</v>
      </c>
      <c r="B1544" s="110" t="s">
        <v>15630</v>
      </c>
      <c r="C1544" s="111" t="s">
        <v>15631</v>
      </c>
      <c r="D1544" s="28" t="s">
        <v>15632</v>
      </c>
      <c r="E1544" s="28" t="str">
        <f>IFERROR(__xludf.DUMMYFUNCTION("GOOGLETRANSLATE(D1544,""zh-CN"",""vi"")"),"Những kẻ bắt cóc đã đòi tiền chuộc từ gia đình con tin.")</f>
        <v>Những kẻ bắt cóc đã đòi tiền chuộc từ gia đình con tin.</v>
      </c>
      <c r="F1544" s="137"/>
      <c r="G1544" s="36" t="b">
        <f t="shared" si="1"/>
        <v>0</v>
      </c>
      <c r="H1544" s="35" t="b">
        <v>0</v>
      </c>
      <c r="I1544" s="35" t="b">
        <v>0</v>
      </c>
      <c r="J1544" s="35" t="b">
        <v>0</v>
      </c>
      <c r="K1544" s="35" t="b">
        <v>0</v>
      </c>
      <c r="L1544" s="35" t="b">
        <v>0</v>
      </c>
      <c r="M1544" s="35" t="b">
        <v>0</v>
      </c>
      <c r="N1544" s="35" t="b">
        <v>0</v>
      </c>
      <c r="O1544" s="35" t="b">
        <v>0</v>
      </c>
      <c r="P1544" s="35" t="b">
        <v>0</v>
      </c>
      <c r="Q1544" s="35" t="b">
        <v>0</v>
      </c>
      <c r="R1544" s="14"/>
      <c r="S1544" s="14"/>
      <c r="T1544" s="14"/>
      <c r="U1544" s="14"/>
      <c r="V1544" s="14"/>
      <c r="W1544" s="14"/>
    </row>
    <row r="1545" ht="31.5" customHeight="1">
      <c r="A1545" s="109" t="s">
        <v>15633</v>
      </c>
      <c r="B1545" s="110" t="s">
        <v>15634</v>
      </c>
      <c r="C1545" s="111" t="s">
        <v>15635</v>
      </c>
      <c r="D1545" s="28" t="s">
        <v>15636</v>
      </c>
      <c r="E1545" s="28" t="str">
        <f>IFERROR(__xludf.DUMMYFUNCTION("GOOGLETRANSLATE(D1545,""zh-CN"",""vi"")"),"Bạn phải học cách kiên nhẫn.")</f>
        <v>Bạn phải học cách kiên nhẫn.</v>
      </c>
      <c r="F1545" s="137"/>
      <c r="G1545" s="36" t="b">
        <f t="shared" si="1"/>
        <v>0</v>
      </c>
      <c r="H1545" s="35" t="b">
        <v>0</v>
      </c>
      <c r="I1545" s="35" t="b">
        <v>0</v>
      </c>
      <c r="J1545" s="35" t="b">
        <v>0</v>
      </c>
      <c r="K1545" s="35" t="b">
        <v>0</v>
      </c>
      <c r="L1545" s="35" t="b">
        <v>0</v>
      </c>
      <c r="M1545" s="35" t="b">
        <v>0</v>
      </c>
      <c r="N1545" s="35" t="b">
        <v>0</v>
      </c>
      <c r="O1545" s="35" t="b">
        <v>0</v>
      </c>
      <c r="P1545" s="35" t="b">
        <v>0</v>
      </c>
      <c r="Q1545" s="35" t="b">
        <v>0</v>
      </c>
      <c r="R1545" s="14"/>
      <c r="S1545" s="14"/>
      <c r="T1545" s="14"/>
      <c r="U1545" s="14"/>
      <c r="V1545" s="14"/>
      <c r="W1545" s="14"/>
    </row>
    <row r="1546" ht="31.5" customHeight="1">
      <c r="A1546" s="109" t="s">
        <v>15637</v>
      </c>
      <c r="B1546" s="110" t="s">
        <v>15638</v>
      </c>
      <c r="C1546" s="111" t="s">
        <v>15639</v>
      </c>
      <c r="D1546" s="28" t="s">
        <v>15640</v>
      </c>
      <c r="E1546" s="28" t="str">
        <f>IFERROR(__xludf.DUMMYFUNCTION("GOOGLETRANSLATE(D1546,""zh-CN"",""vi"")"),"Tôi không thể chịu đựng được nỗi đau này.")</f>
        <v>Tôi không thể chịu đựng được nỗi đau này.</v>
      </c>
      <c r="F1546" s="137"/>
      <c r="G1546" s="36" t="b">
        <f t="shared" si="1"/>
        <v>0</v>
      </c>
      <c r="H1546" s="35" t="b">
        <v>0</v>
      </c>
      <c r="I1546" s="35" t="b">
        <v>0</v>
      </c>
      <c r="J1546" s="35" t="b">
        <v>0</v>
      </c>
      <c r="K1546" s="35" t="b">
        <v>0</v>
      </c>
      <c r="L1546" s="35" t="b">
        <v>0</v>
      </c>
      <c r="M1546" s="35" t="b">
        <v>0</v>
      </c>
      <c r="N1546" s="35" t="b">
        <v>0</v>
      </c>
      <c r="O1546" s="35" t="b">
        <v>0</v>
      </c>
      <c r="P1546" s="35" t="b">
        <v>0</v>
      </c>
      <c r="Q1546" s="35" t="b">
        <v>0</v>
      </c>
      <c r="R1546" s="14"/>
      <c r="S1546" s="14"/>
      <c r="T1546" s="14"/>
      <c r="U1546" s="14"/>
      <c r="V1546" s="14"/>
      <c r="W1546" s="14"/>
    </row>
    <row r="1547" ht="31.5" customHeight="1">
      <c r="A1547" s="109" t="s">
        <v>15641</v>
      </c>
      <c r="B1547" s="110" t="s">
        <v>15642</v>
      </c>
      <c r="C1547" s="111" t="s">
        <v>15643</v>
      </c>
      <c r="D1547" s="28" t="s">
        <v>15644</v>
      </c>
      <c r="E1547" s="28" t="str">
        <f>IFERROR(__xludf.DUMMYFUNCTION("GOOGLETRANSLATE(D1547,""zh-CN"",""vi"")"),"Ông tin rằng kế hoạch đó khả thi.")</f>
        <v>Ông tin rằng kế hoạch đó khả thi.</v>
      </c>
      <c r="F1547" s="137"/>
      <c r="G1547" s="36" t="b">
        <f t="shared" si="1"/>
        <v>0</v>
      </c>
      <c r="H1547" s="35" t="b">
        <v>1</v>
      </c>
      <c r="I1547" s="35" t="b">
        <v>0</v>
      </c>
      <c r="J1547" s="35" t="b">
        <v>0</v>
      </c>
      <c r="K1547" s="35" t="b">
        <v>0</v>
      </c>
      <c r="L1547" s="35" t="b">
        <v>0</v>
      </c>
      <c r="M1547" s="35" t="b">
        <v>0</v>
      </c>
      <c r="N1547" s="35" t="b">
        <v>0</v>
      </c>
      <c r="O1547" s="35" t="b">
        <v>0</v>
      </c>
      <c r="P1547" s="35" t="b">
        <v>0</v>
      </c>
      <c r="Q1547" s="35" t="b">
        <v>0</v>
      </c>
      <c r="R1547" s="14"/>
      <c r="S1547" s="14"/>
      <c r="T1547" s="14"/>
      <c r="U1547" s="14"/>
      <c r="V1547" s="14"/>
      <c r="W1547" s="14"/>
    </row>
    <row r="1548" ht="31.5" customHeight="1">
      <c r="A1548" s="109" t="s">
        <v>15645</v>
      </c>
      <c r="B1548" s="110" t="s">
        <v>15646</v>
      </c>
      <c r="C1548" s="111" t="s">
        <v>15647</v>
      </c>
      <c r="D1548" s="28" t="s">
        <v>15648</v>
      </c>
      <c r="E1548" s="28" t="str">
        <f>IFERROR(__xludf.DUMMYFUNCTION("GOOGLETRANSLATE(D1548,""zh-CN"",""vi"")"),"Công trình nghiên cứu của ông đã được công nhận.")</f>
        <v>Công trình nghiên cứu của ông đã được công nhận.</v>
      </c>
      <c r="F1548" s="137"/>
      <c r="G1548" s="36" t="b">
        <f t="shared" si="1"/>
        <v>0</v>
      </c>
      <c r="H1548" s="35" t="b">
        <v>1</v>
      </c>
      <c r="I1548" s="35" t="b">
        <v>0</v>
      </c>
      <c r="J1548" s="35" t="b">
        <v>0</v>
      </c>
      <c r="K1548" s="35" t="b">
        <v>0</v>
      </c>
      <c r="L1548" s="35" t="b">
        <v>0</v>
      </c>
      <c r="M1548" s="35" t="b">
        <v>0</v>
      </c>
      <c r="N1548" s="35" t="b">
        <v>0</v>
      </c>
      <c r="O1548" s="35" t="b">
        <v>0</v>
      </c>
      <c r="P1548" s="35" t="b">
        <v>0</v>
      </c>
      <c r="Q1548" s="35" t="b">
        <v>0</v>
      </c>
      <c r="R1548" s="14"/>
      <c r="S1548" s="14"/>
      <c r="T1548" s="14"/>
      <c r="U1548" s="14"/>
      <c r="V1548" s="14"/>
      <c r="W1548" s="14"/>
    </row>
    <row r="1549" ht="31.5" customHeight="1">
      <c r="A1549" s="109" t="s">
        <v>15649</v>
      </c>
      <c r="B1549" s="110" t="s">
        <v>15650</v>
      </c>
      <c r="C1549" s="111" t="s">
        <v>15651</v>
      </c>
      <c r="D1549" s="28" t="s">
        <v>15652</v>
      </c>
      <c r="E1549" s="28" t="str">
        <f>IFERROR(__xludf.DUMMYFUNCTION("GOOGLETRANSLATE(D1549,""zh-CN"",""vi"")"),"Ông được bổ nhiệm làm giám đốc công ty.")</f>
        <v>Ông được bổ nhiệm làm giám đốc công ty.</v>
      </c>
      <c r="F1549" s="137"/>
      <c r="G1549" s="36" t="b">
        <f t="shared" si="1"/>
        <v>0</v>
      </c>
      <c r="H1549" s="35" t="b">
        <v>1</v>
      </c>
      <c r="I1549" s="35" t="b">
        <v>0</v>
      </c>
      <c r="J1549" s="35" t="b">
        <v>0</v>
      </c>
      <c r="K1549" s="35" t="b">
        <v>0</v>
      </c>
      <c r="L1549" s="35" t="b">
        <v>0</v>
      </c>
      <c r="M1549" s="35" t="b">
        <v>0</v>
      </c>
      <c r="N1549" s="35" t="b">
        <v>0</v>
      </c>
      <c r="O1549" s="35" t="b">
        <v>0</v>
      </c>
      <c r="P1549" s="35" t="b">
        <v>0</v>
      </c>
      <c r="Q1549" s="35" t="b">
        <v>0</v>
      </c>
      <c r="R1549" s="14"/>
      <c r="S1549" s="14"/>
      <c r="T1549" s="14"/>
      <c r="U1549" s="14"/>
      <c r="V1549" s="14"/>
      <c r="W1549" s="14"/>
    </row>
    <row r="1550" ht="31.5" customHeight="1">
      <c r="A1550" s="109" t="s">
        <v>15653</v>
      </c>
      <c r="B1550" s="110" t="s">
        <v>15654</v>
      </c>
      <c r="C1550" s="111" t="s">
        <v>15655</v>
      </c>
      <c r="D1550" s="28" t="s">
        <v>15656</v>
      </c>
      <c r="E1550" s="28" t="str">
        <f>IFERROR(__xludf.DUMMYFUNCTION("GOOGLETRANSLATE(D1550,""zh-CN"",""vi"")"),"Cô ấy hơi bướng bỉnh.")</f>
        <v>Cô ấy hơi bướng bỉnh.</v>
      </c>
      <c r="F1550" s="137"/>
      <c r="G1550" s="36" t="b">
        <f t="shared" si="1"/>
        <v>0</v>
      </c>
      <c r="H1550" s="35" t="b">
        <v>1</v>
      </c>
      <c r="I1550" s="35" t="b">
        <v>0</v>
      </c>
      <c r="J1550" s="35" t="b">
        <v>0</v>
      </c>
      <c r="K1550" s="35" t="b">
        <v>0</v>
      </c>
      <c r="L1550" s="35" t="b">
        <v>0</v>
      </c>
      <c r="M1550" s="35" t="b">
        <v>0</v>
      </c>
      <c r="N1550" s="35" t="b">
        <v>0</v>
      </c>
      <c r="O1550" s="35" t="b">
        <v>0</v>
      </c>
      <c r="P1550" s="35" t="b">
        <v>0</v>
      </c>
      <c r="Q1550" s="35" t="b">
        <v>0</v>
      </c>
      <c r="R1550" s="14"/>
      <c r="S1550" s="14"/>
      <c r="T1550" s="14"/>
      <c r="U1550" s="14"/>
      <c r="V1550" s="14"/>
      <c r="W1550" s="14"/>
    </row>
    <row r="1551" ht="31.5" customHeight="1">
      <c r="A1551" s="109" t="s">
        <v>15657</v>
      </c>
      <c r="B1551" s="110" t="s">
        <v>15658</v>
      </c>
      <c r="C1551" s="111" t="s">
        <v>15659</v>
      </c>
      <c r="D1551" s="28" t="s">
        <v>15660</v>
      </c>
      <c r="E1551" s="28" t="str">
        <f>IFERROR(__xludf.DUMMYFUNCTION("GOOGLETRANSLATE(D1551,""zh-CN"",""vi"")"),"Bạn có thể chọn bất cứ thứ gì bạn thích.")</f>
        <v>Bạn có thể chọn bất cứ thứ gì bạn thích.</v>
      </c>
      <c r="F1551" s="137"/>
      <c r="G1551" s="36" t="b">
        <f t="shared" si="1"/>
        <v>0</v>
      </c>
      <c r="H1551" s="35" t="b">
        <v>1</v>
      </c>
      <c r="I1551" s="35" t="b">
        <v>0</v>
      </c>
      <c r="J1551" s="35" t="b">
        <v>0</v>
      </c>
      <c r="K1551" s="35" t="b">
        <v>0</v>
      </c>
      <c r="L1551" s="35" t="b">
        <v>0</v>
      </c>
      <c r="M1551" s="35" t="b">
        <v>0</v>
      </c>
      <c r="N1551" s="35" t="b">
        <v>0</v>
      </c>
      <c r="O1551" s="35" t="b">
        <v>0</v>
      </c>
      <c r="P1551" s="35" t="b">
        <v>0</v>
      </c>
      <c r="Q1551" s="35" t="b">
        <v>0</v>
      </c>
      <c r="R1551" s="14"/>
      <c r="S1551" s="14"/>
      <c r="T1551" s="14"/>
      <c r="U1551" s="14"/>
      <c r="V1551" s="14"/>
      <c r="W1551" s="14"/>
    </row>
    <row r="1552" ht="31.5" customHeight="1">
      <c r="A1552" s="109" t="s">
        <v>15661</v>
      </c>
      <c r="B1552" s="110" t="s">
        <v>15662</v>
      </c>
      <c r="C1552" s="111" t="s">
        <v>15663</v>
      </c>
      <c r="D1552" s="28" t="s">
        <v>15664</v>
      </c>
      <c r="E1552" s="28" t="str">
        <f>IFERROR(__xludf.DUMMYFUNCTION("GOOGLETRANSLATE(D1552,""zh-CN"",""vi"")"),"Nhiệm vụ của chúng ta rất khó khăn và còn một chặng đường dài phía trước.")</f>
        <v>Nhiệm vụ của chúng ta rất khó khăn và còn một chặng đường dài phía trước.</v>
      </c>
      <c r="F1552" s="137"/>
      <c r="G1552" s="36" t="b">
        <f t="shared" si="1"/>
        <v>0</v>
      </c>
      <c r="H1552" s="35" t="b">
        <v>1</v>
      </c>
      <c r="I1552" s="35" t="b">
        <v>0</v>
      </c>
      <c r="J1552" s="35" t="b">
        <v>0</v>
      </c>
      <c r="K1552" s="35" t="b">
        <v>0</v>
      </c>
      <c r="L1552" s="35" t="b">
        <v>0</v>
      </c>
      <c r="M1552" s="35" t="b">
        <v>0</v>
      </c>
      <c r="N1552" s="35" t="b">
        <v>0</v>
      </c>
      <c r="O1552" s="35" t="b">
        <v>0</v>
      </c>
      <c r="P1552" s="35" t="b">
        <v>0</v>
      </c>
      <c r="Q1552" s="35" t="b">
        <v>0</v>
      </c>
      <c r="R1552" s="14"/>
      <c r="S1552" s="14"/>
      <c r="T1552" s="14"/>
      <c r="U1552" s="14"/>
      <c r="V1552" s="14"/>
      <c r="W1552" s="14"/>
    </row>
    <row r="1553" ht="31.5" customHeight="1">
      <c r="A1553" s="109" t="s">
        <v>15665</v>
      </c>
      <c r="B1553" s="110" t="s">
        <v>15666</v>
      </c>
      <c r="C1553" s="111" t="s">
        <v>15667</v>
      </c>
      <c r="D1553" s="28" t="s">
        <v>15668</v>
      </c>
      <c r="E1553" s="28" t="str">
        <f>IFERROR(__xludf.DUMMYFUNCTION("GOOGLETRANSLATE(D1553,""zh-CN"",""vi"")"),"Anh ấy vẫn chưa thay đổi kế hoạch của mình.")</f>
        <v>Anh ấy vẫn chưa thay đổi kế hoạch của mình.</v>
      </c>
      <c r="F1553" s="137"/>
      <c r="G1553" s="36" t="b">
        <f t="shared" si="1"/>
        <v>0</v>
      </c>
      <c r="H1553" s="35" t="b">
        <v>1</v>
      </c>
      <c r="I1553" s="35" t="b">
        <v>0</v>
      </c>
      <c r="J1553" s="35" t="b">
        <v>0</v>
      </c>
      <c r="K1553" s="35" t="b">
        <v>0</v>
      </c>
      <c r="L1553" s="35" t="b">
        <v>0</v>
      </c>
      <c r="M1553" s="35" t="b">
        <v>0</v>
      </c>
      <c r="N1553" s="35" t="b">
        <v>0</v>
      </c>
      <c r="O1553" s="35" t="b">
        <v>0</v>
      </c>
      <c r="P1553" s="35" t="b">
        <v>0</v>
      </c>
      <c r="Q1553" s="35" t="b">
        <v>0</v>
      </c>
      <c r="R1553" s="14"/>
      <c r="S1553" s="14"/>
      <c r="T1553" s="14"/>
      <c r="U1553" s="14"/>
      <c r="V1553" s="14"/>
      <c r="W1553" s="14"/>
    </row>
    <row r="1554" ht="31.5" customHeight="1">
      <c r="A1554" s="109" t="s">
        <v>15669</v>
      </c>
      <c r="B1554" s="110" t="s">
        <v>15670</v>
      </c>
      <c r="C1554" s="111" t="s">
        <v>15671</v>
      </c>
      <c r="D1554" s="28" t="s">
        <v>15672</v>
      </c>
      <c r="E1554" s="28" t="str">
        <f>IFERROR(__xludf.DUMMYFUNCTION("GOOGLETRANSLATE(D1554,""zh-CN"",""vi"")"),"Công nghệ hiện đại đang phát triển nhanh chóng.")</f>
        <v>Công nghệ hiện đại đang phát triển nhanh chóng.</v>
      </c>
      <c r="F1554" s="137"/>
      <c r="G1554" s="36" t="b">
        <f t="shared" si="1"/>
        <v>0</v>
      </c>
      <c r="H1554" s="35" t="b">
        <v>1</v>
      </c>
      <c r="I1554" s="35" t="b">
        <v>0</v>
      </c>
      <c r="J1554" s="35" t="b">
        <v>0</v>
      </c>
      <c r="K1554" s="35" t="b">
        <v>0</v>
      </c>
      <c r="L1554" s="35" t="b">
        <v>0</v>
      </c>
      <c r="M1554" s="35" t="b">
        <v>0</v>
      </c>
      <c r="N1554" s="35" t="b">
        <v>0</v>
      </c>
      <c r="O1554" s="35" t="b">
        <v>0</v>
      </c>
      <c r="P1554" s="35" t="b">
        <v>0</v>
      </c>
      <c r="Q1554" s="35" t="b">
        <v>0</v>
      </c>
      <c r="R1554" s="14"/>
      <c r="S1554" s="14"/>
      <c r="T1554" s="14"/>
      <c r="U1554" s="14"/>
      <c r="V1554" s="14"/>
      <c r="W1554" s="14"/>
    </row>
    <row r="1555" ht="31.5" customHeight="1">
      <c r="A1555" s="109" t="s">
        <v>15673</v>
      </c>
      <c r="B1555" s="110" t="s">
        <v>15674</v>
      </c>
      <c r="C1555" s="111" t="s">
        <v>15675</v>
      </c>
      <c r="D1555" s="28" t="s">
        <v>15676</v>
      </c>
      <c r="E1555" s="28" t="str">
        <f>IFERROR(__xludf.DUMMYFUNCTION("GOOGLETRANSLATE(D1555,""zh-CN"",""vi"")"),"Trình độ tiếng Anh của anh ấy đang tiến bộ từng ngày.")</f>
        <v>Trình độ tiếng Anh của anh ấy đang tiến bộ từng ngày.</v>
      </c>
      <c r="F1555" s="137"/>
      <c r="G1555" s="36" t="b">
        <f t="shared" si="1"/>
        <v>0</v>
      </c>
      <c r="H1555" s="35" t="b">
        <v>1</v>
      </c>
      <c r="I1555" s="35" t="b">
        <v>0</v>
      </c>
      <c r="J1555" s="35" t="b">
        <v>0</v>
      </c>
      <c r="K1555" s="35" t="b">
        <v>0</v>
      </c>
      <c r="L1555" s="35" t="b">
        <v>0</v>
      </c>
      <c r="M1555" s="35" t="b">
        <v>0</v>
      </c>
      <c r="N1555" s="35" t="b">
        <v>0</v>
      </c>
      <c r="O1555" s="35" t="b">
        <v>0</v>
      </c>
      <c r="P1555" s="35" t="b">
        <v>0</v>
      </c>
      <c r="Q1555" s="35" t="b">
        <v>0</v>
      </c>
      <c r="R1555" s="14"/>
      <c r="S1555" s="14"/>
      <c r="T1555" s="14"/>
      <c r="U1555" s="14"/>
      <c r="V1555" s="14"/>
      <c r="W1555" s="14"/>
    </row>
    <row r="1556" ht="31.5" customHeight="1">
      <c r="A1556" s="109" t="s">
        <v>15677</v>
      </c>
      <c r="B1556" s="110" t="s">
        <v>15678</v>
      </c>
      <c r="C1556" s="111" t="s">
        <v>15679</v>
      </c>
      <c r="D1556" s="28" t="s">
        <v>15680</v>
      </c>
      <c r="E1556" s="28" t="str">
        <f>IFERROR(__xludf.DUMMYFUNCTION("GOOGLETRANSLATE(D1556,""zh-CN"",""vi"")"),"Chất này tan được trong nước.")</f>
        <v>Chất này tan được trong nước.</v>
      </c>
      <c r="F1556" s="137"/>
      <c r="G1556" s="36" t="b">
        <f t="shared" si="1"/>
        <v>0</v>
      </c>
      <c r="H1556" s="35" t="b">
        <v>1</v>
      </c>
      <c r="I1556" s="35" t="b">
        <v>0</v>
      </c>
      <c r="J1556" s="35" t="b">
        <v>0</v>
      </c>
      <c r="K1556" s="35" t="b">
        <v>0</v>
      </c>
      <c r="L1556" s="35" t="b">
        <v>0</v>
      </c>
      <c r="M1556" s="35" t="b">
        <v>0</v>
      </c>
      <c r="N1556" s="35" t="b">
        <v>0</v>
      </c>
      <c r="O1556" s="35" t="b">
        <v>0</v>
      </c>
      <c r="P1556" s="35" t="b">
        <v>0</v>
      </c>
      <c r="Q1556" s="35" t="b">
        <v>0</v>
      </c>
      <c r="R1556" s="14"/>
      <c r="S1556" s="14"/>
      <c r="T1556" s="14"/>
      <c r="U1556" s="14"/>
      <c r="V1556" s="14"/>
      <c r="W1556" s="14"/>
    </row>
    <row r="1557" ht="31.5" customHeight="1">
      <c r="A1557" s="109" t="s">
        <v>15681</v>
      </c>
      <c r="B1557" s="110" t="s">
        <v>15682</v>
      </c>
      <c r="C1557" s="111" t="s">
        <v>15683</v>
      </c>
      <c r="D1557" s="28" t="s">
        <v>15684</v>
      </c>
      <c r="E1557" s="28" t="str">
        <f>IFERROR(__xludf.DUMMYFUNCTION("GOOGLETRANSLATE(D1557,""zh-CN"",""vi"")"),"Cô ấy rất xinh đẹp.")</f>
        <v>Cô ấy rất xinh đẹp.</v>
      </c>
      <c r="F1557" s="137"/>
      <c r="G1557" s="36" t="b">
        <f t="shared" si="1"/>
        <v>0</v>
      </c>
      <c r="H1557" s="35" t="b">
        <v>1</v>
      </c>
      <c r="I1557" s="35" t="b">
        <v>0</v>
      </c>
      <c r="J1557" s="35" t="b">
        <v>0</v>
      </c>
      <c r="K1557" s="35" t="b">
        <v>0</v>
      </c>
      <c r="L1557" s="35" t="b">
        <v>0</v>
      </c>
      <c r="M1557" s="35" t="b">
        <v>0</v>
      </c>
      <c r="N1557" s="35" t="b">
        <v>0</v>
      </c>
      <c r="O1557" s="35" t="b">
        <v>0</v>
      </c>
      <c r="P1557" s="35" t="b">
        <v>0</v>
      </c>
      <c r="Q1557" s="35" t="b">
        <v>0</v>
      </c>
      <c r="R1557" s="14"/>
      <c r="S1557" s="14"/>
      <c r="T1557" s="14"/>
      <c r="U1557" s="14"/>
      <c r="V1557" s="14"/>
      <c r="W1557" s="14"/>
    </row>
    <row r="1558" ht="31.5" customHeight="1">
      <c r="A1558" s="109" t="s">
        <v>15685</v>
      </c>
      <c r="B1558" s="110" t="s">
        <v>15686</v>
      </c>
      <c r="C1558" s="111" t="s">
        <v>15687</v>
      </c>
      <c r="D1558" s="28" t="s">
        <v>15688</v>
      </c>
      <c r="E1558" s="28" t="str">
        <f>IFERROR(__xludf.DUMMYFUNCTION("GOOGLETRANSLATE(D1558,""zh-CN"",""vi"")"),"Phòng này có sức chứa 50 người.")</f>
        <v>Phòng này có sức chứa 50 người.</v>
      </c>
      <c r="F1558" s="137"/>
      <c r="G1558" s="36" t="b">
        <f t="shared" si="1"/>
        <v>0</v>
      </c>
      <c r="H1558" s="35" t="b">
        <v>1</v>
      </c>
      <c r="I1558" s="35" t="b">
        <v>0</v>
      </c>
      <c r="J1558" s="35" t="b">
        <v>0</v>
      </c>
      <c r="K1558" s="35" t="b">
        <v>0</v>
      </c>
      <c r="L1558" s="35" t="b">
        <v>0</v>
      </c>
      <c r="M1558" s="35" t="b">
        <v>0</v>
      </c>
      <c r="N1558" s="35" t="b">
        <v>0</v>
      </c>
      <c r="O1558" s="35" t="b">
        <v>0</v>
      </c>
      <c r="P1558" s="35" t="b">
        <v>0</v>
      </c>
      <c r="Q1558" s="35" t="b">
        <v>0</v>
      </c>
      <c r="R1558" s="14"/>
      <c r="S1558" s="14"/>
      <c r="T1558" s="14"/>
      <c r="U1558" s="14"/>
      <c r="V1558" s="14"/>
      <c r="W1558" s="14"/>
    </row>
    <row r="1559" ht="31.5" customHeight="1">
      <c r="A1559" s="109" t="s">
        <v>15689</v>
      </c>
      <c r="B1559" s="110" t="s">
        <v>15690</v>
      </c>
      <c r="C1559" s="111" t="s">
        <v>15691</v>
      </c>
      <c r="D1559" s="28" t="s">
        <v>15692</v>
      </c>
      <c r="E1559" s="28" t="str">
        <f>IFERROR(__xludf.DUMMYFUNCTION("GOOGLETRANSLATE(D1559,""zh-CN"",""vi"")"),"Vui lòng đổ chất lỏng vào thùng chứa này.")</f>
        <v>Vui lòng đổ chất lỏng vào thùng chứa này.</v>
      </c>
      <c r="F1559" s="137"/>
      <c r="G1559" s="36" t="b">
        <f t="shared" si="1"/>
        <v>0</v>
      </c>
      <c r="H1559" s="35" t="b">
        <v>1</v>
      </c>
      <c r="I1559" s="35" t="b">
        <v>0</v>
      </c>
      <c r="J1559" s="35" t="b">
        <v>0</v>
      </c>
      <c r="K1559" s="35" t="b">
        <v>0</v>
      </c>
      <c r="L1559" s="35" t="b">
        <v>0</v>
      </c>
      <c r="M1559" s="35" t="b">
        <v>0</v>
      </c>
      <c r="N1559" s="35" t="b">
        <v>0</v>
      </c>
      <c r="O1559" s="35" t="b">
        <v>0</v>
      </c>
      <c r="P1559" s="35" t="b">
        <v>0</v>
      </c>
      <c r="Q1559" s="35" t="b">
        <v>0</v>
      </c>
      <c r="R1559" s="14"/>
      <c r="S1559" s="14"/>
      <c r="T1559" s="14"/>
      <c r="U1559" s="14"/>
      <c r="V1559" s="14"/>
      <c r="W1559" s="14"/>
    </row>
    <row r="1560" ht="31.5" customHeight="1">
      <c r="A1560" s="109" t="s">
        <v>15693</v>
      </c>
      <c r="B1560" s="110" t="s">
        <v>15694</v>
      </c>
      <c r="C1560" s="111" t="s">
        <v>15695</v>
      </c>
      <c r="D1560" s="28" t="s">
        <v>15696</v>
      </c>
      <c r="E1560" s="28" t="str">
        <f>IFERROR(__xludf.DUMMYFUNCTION("GOOGLETRANSLATE(D1560,""zh-CN"",""vi"")"),"Mối quan hệ của họ rất hòa thuận.")</f>
        <v>Mối quan hệ của họ rất hòa thuận.</v>
      </c>
      <c r="F1560" s="137"/>
      <c r="G1560" s="36" t="b">
        <f t="shared" si="1"/>
        <v>0</v>
      </c>
      <c r="H1560" s="35" t="b">
        <v>1</v>
      </c>
      <c r="I1560" s="35" t="b">
        <v>0</v>
      </c>
      <c r="J1560" s="35" t="b">
        <v>0</v>
      </c>
      <c r="K1560" s="35" t="b">
        <v>0</v>
      </c>
      <c r="L1560" s="35" t="b">
        <v>0</v>
      </c>
      <c r="M1560" s="35" t="b">
        <v>0</v>
      </c>
      <c r="N1560" s="35" t="b">
        <v>0</v>
      </c>
      <c r="O1560" s="35" t="b">
        <v>0</v>
      </c>
      <c r="P1560" s="35" t="b">
        <v>0</v>
      </c>
      <c r="Q1560" s="35" t="b">
        <v>0</v>
      </c>
      <c r="R1560" s="14"/>
      <c r="S1560" s="14"/>
      <c r="T1560" s="14"/>
      <c r="U1560" s="14"/>
      <c r="V1560" s="14"/>
      <c r="W1560" s="14"/>
    </row>
    <row r="1561" ht="31.5" customHeight="1">
      <c r="A1561" s="109" t="s">
        <v>15697</v>
      </c>
      <c r="B1561" s="110" t="s">
        <v>15698</v>
      </c>
      <c r="C1561" s="111" t="s">
        <v>15699</v>
      </c>
      <c r="D1561" s="28" t="s">
        <v>15700</v>
      </c>
      <c r="E1561" s="28" t="str">
        <f>IFERROR(__xludf.DUMMYFUNCTION("GOOGLETRANSLATE(D1561,""zh-CN"",""vi"")"),"Chúng ta phải học cách chấp nhận những quan điểm khác nhau.")</f>
        <v>Chúng ta phải học cách chấp nhận những quan điểm khác nhau.</v>
      </c>
      <c r="F1561" s="137"/>
      <c r="G1561" s="36" t="b">
        <f t="shared" si="1"/>
        <v>0</v>
      </c>
      <c r="H1561" s="35" t="b">
        <v>1</v>
      </c>
      <c r="I1561" s="35" t="b">
        <v>0</v>
      </c>
      <c r="J1561" s="35" t="b">
        <v>0</v>
      </c>
      <c r="K1561" s="35" t="b">
        <v>0</v>
      </c>
      <c r="L1561" s="35" t="b">
        <v>0</v>
      </c>
      <c r="M1561" s="35" t="b">
        <v>0</v>
      </c>
      <c r="N1561" s="35" t="b">
        <v>0</v>
      </c>
      <c r="O1561" s="35" t="b">
        <v>0</v>
      </c>
      <c r="P1561" s="35" t="b">
        <v>0</v>
      </c>
      <c r="Q1561" s="35" t="b">
        <v>0</v>
      </c>
      <c r="R1561" s="14"/>
      <c r="S1561" s="14"/>
      <c r="T1561" s="14"/>
      <c r="U1561" s="14"/>
      <c r="V1561" s="14"/>
      <c r="W1561" s="14"/>
    </row>
    <row r="1562" ht="31.5" customHeight="1">
      <c r="A1562" s="109" t="s">
        <v>15701</v>
      </c>
      <c r="B1562" s="110" t="s">
        <v>15702</v>
      </c>
      <c r="C1562" s="111" t="s">
        <v>15703</v>
      </c>
      <c r="D1562" s="28" t="s">
        <v>15704</v>
      </c>
      <c r="E1562" s="28" t="str">
        <f>IFERROR(__xludf.DUMMYFUNCTION("GOOGLETRANSLATE(D1562,""zh-CN"",""vi"")"),"Cô nhẹ nhàng dụi mắt.")</f>
        <v>Cô nhẹ nhàng dụi mắt.</v>
      </c>
      <c r="F1562" s="137"/>
      <c r="G1562" s="36" t="b">
        <f t="shared" si="1"/>
        <v>0</v>
      </c>
      <c r="H1562" s="35" t="b">
        <v>1</v>
      </c>
      <c r="I1562" s="35" t="b">
        <v>0</v>
      </c>
      <c r="J1562" s="35" t="b">
        <v>0</v>
      </c>
      <c r="K1562" s="35" t="b">
        <v>0</v>
      </c>
      <c r="L1562" s="35" t="b">
        <v>0</v>
      </c>
      <c r="M1562" s="35" t="b">
        <v>0</v>
      </c>
      <c r="N1562" s="35" t="b">
        <v>0</v>
      </c>
      <c r="O1562" s="35" t="b">
        <v>0</v>
      </c>
      <c r="P1562" s="35" t="b">
        <v>0</v>
      </c>
      <c r="Q1562" s="35" t="b">
        <v>0</v>
      </c>
      <c r="R1562" s="14"/>
      <c r="S1562" s="14"/>
      <c r="T1562" s="14"/>
      <c r="U1562" s="14"/>
      <c r="V1562" s="14"/>
      <c r="W1562" s="14"/>
    </row>
    <row r="1563" ht="31.5" customHeight="1">
      <c r="A1563" s="109" t="s">
        <v>15705</v>
      </c>
      <c r="B1563" s="110" t="s">
        <v>15706</v>
      </c>
      <c r="C1563" s="111" t="s">
        <v>15707</v>
      </c>
      <c r="D1563" s="28" t="s">
        <v>15708</v>
      </c>
      <c r="E1563" s="28" t="str">
        <f>IFERROR(__xludf.DUMMYFUNCTION("GOOGLETRANSLATE(D1563,""zh-CN"",""vi"")"),"Giọng nói của ông ấy rất nhẹ nhàng.")</f>
        <v>Giọng nói của ông ấy rất nhẹ nhàng.</v>
      </c>
      <c r="F1563" s="137"/>
      <c r="G1563" s="36" t="b">
        <f t="shared" si="1"/>
        <v>0</v>
      </c>
      <c r="H1563" s="35" t="b">
        <v>1</v>
      </c>
      <c r="I1563" s="35" t="b">
        <v>0</v>
      </c>
      <c r="J1563" s="35" t="b">
        <v>0</v>
      </c>
      <c r="K1563" s="35" t="b">
        <v>0</v>
      </c>
      <c r="L1563" s="35" t="b">
        <v>0</v>
      </c>
      <c r="M1563" s="35" t="b">
        <v>0</v>
      </c>
      <c r="N1563" s="35" t="b">
        <v>0</v>
      </c>
      <c r="O1563" s="35" t="b">
        <v>0</v>
      </c>
      <c r="P1563" s="35" t="b">
        <v>0</v>
      </c>
      <c r="Q1563" s="35" t="b">
        <v>0</v>
      </c>
      <c r="R1563" s="14"/>
      <c r="S1563" s="14"/>
      <c r="T1563" s="14"/>
      <c r="U1563" s="14"/>
      <c r="V1563" s="14"/>
      <c r="W1563" s="14"/>
    </row>
    <row r="1564" ht="31.5" customHeight="1">
      <c r="A1564" s="109" t="s">
        <v>15709</v>
      </c>
      <c r="B1564" s="110" t="s">
        <v>15710</v>
      </c>
      <c r="C1564" s="111" t="s">
        <v>15711</v>
      </c>
      <c r="D1564" s="28" t="s">
        <v>15712</v>
      </c>
      <c r="E1564" s="28" t="str">
        <f>IFERROR(__xludf.DUMMYFUNCTION("GOOGLETRANSLATE(D1564,""zh-CN"",""vi"")"),"Ai cũng có điểm yếu.")</f>
        <v>Ai cũng có điểm yếu.</v>
      </c>
      <c r="F1564" s="137"/>
      <c r="G1564" s="36" t="b">
        <f t="shared" si="1"/>
        <v>0</v>
      </c>
      <c r="H1564" s="35" t="b">
        <v>1</v>
      </c>
      <c r="I1564" s="35" t="b">
        <v>0</v>
      </c>
      <c r="J1564" s="35" t="b">
        <v>0</v>
      </c>
      <c r="K1564" s="35" t="b">
        <v>0</v>
      </c>
      <c r="L1564" s="35" t="b">
        <v>0</v>
      </c>
      <c r="M1564" s="35" t="b">
        <v>0</v>
      </c>
      <c r="N1564" s="35" t="b">
        <v>0</v>
      </c>
      <c r="O1564" s="35" t="b">
        <v>0</v>
      </c>
      <c r="P1564" s="35" t="b">
        <v>0</v>
      </c>
      <c r="Q1564" s="35" t="b">
        <v>0</v>
      </c>
      <c r="R1564" s="14"/>
      <c r="S1564" s="14"/>
      <c r="T1564" s="14"/>
      <c r="U1564" s="14"/>
      <c r="V1564" s="14"/>
      <c r="W1564" s="14"/>
    </row>
    <row r="1565" ht="31.5" customHeight="1">
      <c r="A1565" s="109" t="s">
        <v>15713</v>
      </c>
      <c r="B1565" s="110" t="s">
        <v>15714</v>
      </c>
      <c r="C1565" s="111" t="s">
        <v>15715</v>
      </c>
      <c r="D1565" s="28" t="s">
        <v>15716</v>
      </c>
      <c r="E1565" s="28" t="str">
        <f>IFERROR(__xludf.DUMMYFUNCTION("GOOGLETRANSLATE(D1565,""zh-CN"",""vi"")"),"Bạn có thể hỏi tôi một vài câu hỏi.")</f>
        <v>Bạn có thể hỏi tôi một vài câu hỏi.</v>
      </c>
      <c r="F1565" s="137"/>
      <c r="G1565" s="36" t="b">
        <f t="shared" si="1"/>
        <v>0</v>
      </c>
      <c r="H1565" s="35" t="b">
        <v>1</v>
      </c>
      <c r="I1565" s="35" t="b">
        <v>0</v>
      </c>
      <c r="J1565" s="35" t="b">
        <v>0</v>
      </c>
      <c r="K1565" s="35" t="b">
        <v>0</v>
      </c>
      <c r="L1565" s="35" t="b">
        <v>0</v>
      </c>
      <c r="M1565" s="35" t="b">
        <v>0</v>
      </c>
      <c r="N1565" s="35" t="b">
        <v>0</v>
      </c>
      <c r="O1565" s="35" t="b">
        <v>0</v>
      </c>
      <c r="P1565" s="35" t="b">
        <v>0</v>
      </c>
      <c r="Q1565" s="35" t="b">
        <v>0</v>
      </c>
      <c r="R1565" s="14"/>
      <c r="S1565" s="14"/>
      <c r="T1565" s="14"/>
      <c r="U1565" s="14"/>
      <c r="V1565" s="14"/>
      <c r="W1565" s="14"/>
    </row>
    <row r="1566" ht="31.5" customHeight="1">
      <c r="A1566" s="109" t="s">
        <v>15717</v>
      </c>
      <c r="B1566" s="110" t="s">
        <v>15718</v>
      </c>
      <c r="C1566" s="111" t="s">
        <v>15719</v>
      </c>
      <c r="D1566" s="28" t="s">
        <v>15720</v>
      </c>
      <c r="E1566" s="28" t="str">
        <f>IFERROR(__xludf.DUMMYFUNCTION("GOOGLETRANSLATE(D1566,""zh-CN"",""vi"")"),"Anh ta đã nói dối.")</f>
        <v>Anh ta đã nói dối.</v>
      </c>
      <c r="F1566" s="137"/>
      <c r="G1566" s="36" t="b">
        <f t="shared" si="1"/>
        <v>0</v>
      </c>
      <c r="H1566" s="35" t="b">
        <v>1</v>
      </c>
      <c r="I1566" s="35" t="b">
        <v>0</v>
      </c>
      <c r="J1566" s="35" t="b">
        <v>0</v>
      </c>
      <c r="K1566" s="35" t="b">
        <v>0</v>
      </c>
      <c r="L1566" s="35" t="b">
        <v>0</v>
      </c>
      <c r="M1566" s="35" t="b">
        <v>0</v>
      </c>
      <c r="N1566" s="35" t="b">
        <v>0</v>
      </c>
      <c r="O1566" s="35" t="b">
        <v>0</v>
      </c>
      <c r="P1566" s="35" t="b">
        <v>0</v>
      </c>
      <c r="Q1566" s="35" t="b">
        <v>0</v>
      </c>
      <c r="R1566" s="14"/>
      <c r="S1566" s="14"/>
      <c r="T1566" s="14"/>
      <c r="U1566" s="14"/>
      <c r="V1566" s="14"/>
      <c r="W1566" s="14"/>
    </row>
    <row r="1567" ht="31.5" customHeight="1">
      <c r="A1567" s="109" t="s">
        <v>15721</v>
      </c>
      <c r="B1567" s="110" t="s">
        <v>15722</v>
      </c>
      <c r="C1567" s="111" t="s">
        <v>15723</v>
      </c>
      <c r="D1567" s="28" t="s">
        <v>15724</v>
      </c>
      <c r="E1567" s="28" t="str">
        <f>IFERROR(__xludf.DUMMYFUNCTION("GOOGLETRANSLATE(D1567,""zh-CN"",""vi"")"),"Má cô ấy đỏ ửng.")</f>
        <v>Má cô ấy đỏ ửng.</v>
      </c>
      <c r="F1567" s="137"/>
      <c r="G1567" s="36" t="b">
        <f t="shared" si="1"/>
        <v>0</v>
      </c>
      <c r="H1567" s="35" t="b">
        <v>1</v>
      </c>
      <c r="I1567" s="35" t="b">
        <v>0</v>
      </c>
      <c r="J1567" s="35" t="b">
        <v>0</v>
      </c>
      <c r="K1567" s="35" t="b">
        <v>0</v>
      </c>
      <c r="L1567" s="35" t="b">
        <v>0</v>
      </c>
      <c r="M1567" s="35" t="b">
        <v>0</v>
      </c>
      <c r="N1567" s="35" t="b">
        <v>0</v>
      </c>
      <c r="O1567" s="35" t="b">
        <v>0</v>
      </c>
      <c r="P1567" s="35" t="b">
        <v>0</v>
      </c>
      <c r="Q1567" s="35" t="b">
        <v>0</v>
      </c>
      <c r="R1567" s="14"/>
      <c r="S1567" s="14"/>
      <c r="T1567" s="14"/>
      <c r="U1567" s="14"/>
      <c r="V1567" s="14"/>
      <c r="W1567" s="14"/>
    </row>
    <row r="1568" ht="31.5" customHeight="1">
      <c r="A1568" s="109" t="s">
        <v>15725</v>
      </c>
      <c r="B1568" s="110" t="s">
        <v>15726</v>
      </c>
      <c r="C1568" s="111" t="s">
        <v>15727</v>
      </c>
      <c r="D1568" s="28" t="s">
        <v>15728</v>
      </c>
      <c r="E1568" s="28" t="str">
        <f>IFERROR(__xludf.DUMMYFUNCTION("GOOGLETRANSLATE(D1568,""zh-CN"",""vi"")"),"Tam giác này có ba góc.")</f>
        <v>Tam giác này có ba góc.</v>
      </c>
      <c r="F1568" s="137"/>
      <c r="G1568" s="36" t="b">
        <f t="shared" si="1"/>
        <v>0</v>
      </c>
      <c r="H1568" s="35" t="b">
        <v>1</v>
      </c>
      <c r="I1568" s="35" t="b">
        <v>0</v>
      </c>
      <c r="J1568" s="35" t="b">
        <v>0</v>
      </c>
      <c r="K1568" s="35" t="b">
        <v>0</v>
      </c>
      <c r="L1568" s="35" t="b">
        <v>0</v>
      </c>
      <c r="M1568" s="35" t="b">
        <v>0</v>
      </c>
      <c r="N1568" s="35" t="b">
        <v>0</v>
      </c>
      <c r="O1568" s="35" t="b">
        <v>0</v>
      </c>
      <c r="P1568" s="35" t="b">
        <v>0</v>
      </c>
      <c r="Q1568" s="35" t="b">
        <v>0</v>
      </c>
      <c r="R1568" s="14"/>
      <c r="S1568" s="14"/>
      <c r="T1568" s="14"/>
      <c r="U1568" s="14"/>
      <c r="V1568" s="14"/>
      <c r="W1568" s="14"/>
    </row>
    <row r="1569" ht="31.5" customHeight="1">
      <c r="A1569" s="109" t="s">
        <v>15729</v>
      </c>
      <c r="B1569" s="110" t="s">
        <v>15730</v>
      </c>
      <c r="C1569" s="111" t="s">
        <v>15731</v>
      </c>
      <c r="D1569" s="28" t="s">
        <v>15732</v>
      </c>
      <c r="E1569" s="28" t="str">
        <f>IFERROR(__xludf.DUMMYFUNCTION("GOOGLETRANSLATE(D1569,""zh-CN"",""vi"")"),"Anh ấy đã viết một bài luận.")</f>
        <v>Anh ấy đã viết một bài luận.</v>
      </c>
      <c r="F1569" s="137"/>
      <c r="G1569" s="36" t="b">
        <f t="shared" si="1"/>
        <v>0</v>
      </c>
      <c r="H1569" s="35" t="b">
        <v>1</v>
      </c>
      <c r="I1569" s="35" t="b">
        <v>0</v>
      </c>
      <c r="J1569" s="35" t="b">
        <v>0</v>
      </c>
      <c r="K1569" s="35" t="b">
        <v>0</v>
      </c>
      <c r="L1569" s="35" t="b">
        <v>0</v>
      </c>
      <c r="M1569" s="35" t="b">
        <v>0</v>
      </c>
      <c r="N1569" s="35" t="b">
        <v>0</v>
      </c>
      <c r="O1569" s="35" t="b">
        <v>0</v>
      </c>
      <c r="P1569" s="35" t="b">
        <v>0</v>
      </c>
      <c r="Q1569" s="35" t="b">
        <v>0</v>
      </c>
      <c r="R1569" s="14"/>
      <c r="S1569" s="14"/>
      <c r="T1569" s="14"/>
      <c r="U1569" s="14"/>
      <c r="V1569" s="14"/>
      <c r="W1569" s="14"/>
    </row>
    <row r="1570" ht="31.5" customHeight="1">
      <c r="A1570" s="109" t="s">
        <v>15733</v>
      </c>
      <c r="B1570" s="110" t="s">
        <v>15734</v>
      </c>
      <c r="C1570" s="111" t="s">
        <v>15735</v>
      </c>
      <c r="D1570" s="28" t="s">
        <v>15736</v>
      </c>
      <c r="E1570" s="28" t="str">
        <f>IFERROR(__xludf.DUMMYFUNCTION("GOOGLETRANSLATE(D1570,""zh-CN"",""vi"")"),"Căn phòng có mùi thơm dễ chịu.")</f>
        <v>Căn phòng có mùi thơm dễ chịu.</v>
      </c>
      <c r="F1570" s="137"/>
      <c r="G1570" s="36" t="b">
        <f t="shared" si="1"/>
        <v>0</v>
      </c>
      <c r="H1570" s="35" t="b">
        <v>1</v>
      </c>
      <c r="I1570" s="35" t="b">
        <v>0</v>
      </c>
      <c r="J1570" s="35" t="b">
        <v>0</v>
      </c>
      <c r="K1570" s="35" t="b">
        <v>0</v>
      </c>
      <c r="L1570" s="35" t="b">
        <v>0</v>
      </c>
      <c r="M1570" s="35" t="b">
        <v>0</v>
      </c>
      <c r="N1570" s="35" t="b">
        <v>0</v>
      </c>
      <c r="O1570" s="35" t="b">
        <v>0</v>
      </c>
      <c r="P1570" s="35" t="b">
        <v>0</v>
      </c>
      <c r="Q1570" s="35" t="b">
        <v>0</v>
      </c>
      <c r="R1570" s="14"/>
      <c r="S1570" s="14"/>
      <c r="T1570" s="14"/>
      <c r="U1570" s="14"/>
      <c r="V1570" s="14"/>
      <c r="W1570" s="14"/>
    </row>
    <row r="1571" ht="31.5" customHeight="1">
      <c r="A1571" s="109" t="s">
        <v>15737</v>
      </c>
      <c r="B1571" s="110" t="s">
        <v>15738</v>
      </c>
      <c r="C1571" s="111" t="s">
        <v>15739</v>
      </c>
      <c r="D1571" s="28" t="s">
        <v>15740</v>
      </c>
      <c r="E1571" s="28" t="str">
        <f>IFERROR(__xludf.DUMMYFUNCTION("GOOGLETRANSLATE(D1571,""zh-CN"",""vi"")"),"Anh ấy đã mất tự tin.")</f>
        <v>Anh ấy đã mất tự tin.</v>
      </c>
      <c r="F1571" s="137"/>
      <c r="G1571" s="36" t="b">
        <f t="shared" si="1"/>
        <v>0</v>
      </c>
      <c r="H1571" s="35" t="b">
        <v>1</v>
      </c>
      <c r="I1571" s="35" t="b">
        <v>0</v>
      </c>
      <c r="J1571" s="35" t="b">
        <v>0</v>
      </c>
      <c r="K1571" s="35" t="b">
        <v>0</v>
      </c>
      <c r="L1571" s="35" t="b">
        <v>0</v>
      </c>
      <c r="M1571" s="35" t="b">
        <v>0</v>
      </c>
      <c r="N1571" s="35" t="b">
        <v>0</v>
      </c>
      <c r="O1571" s="35" t="b">
        <v>0</v>
      </c>
      <c r="P1571" s="35" t="b">
        <v>0</v>
      </c>
      <c r="Q1571" s="35" t="b">
        <v>0</v>
      </c>
      <c r="R1571" s="14"/>
      <c r="S1571" s="14"/>
      <c r="T1571" s="14"/>
      <c r="U1571" s="14"/>
      <c r="V1571" s="14"/>
      <c r="W1571" s="14"/>
    </row>
    <row r="1572" ht="31.5" customHeight="1">
      <c r="A1572" s="109" t="s">
        <v>15741</v>
      </c>
      <c r="B1572" s="110" t="s">
        <v>15742</v>
      </c>
      <c r="C1572" s="111" t="s">
        <v>15743</v>
      </c>
      <c r="D1572" s="28" t="s">
        <v>15744</v>
      </c>
      <c r="E1572" s="28" t="str">
        <f>IFERROR(__xludf.DUMMYFUNCTION("GOOGLETRANSLATE(D1572,""zh-CN"",""vi"")"),"Cô ấy là chị dâu của tôi.")</f>
        <v>Cô ấy là chị dâu của tôi.</v>
      </c>
      <c r="F1572" s="137"/>
      <c r="G1572" s="36" t="b">
        <f t="shared" si="1"/>
        <v>0</v>
      </c>
      <c r="H1572" s="35" t="b">
        <v>1</v>
      </c>
      <c r="I1572" s="35" t="b">
        <v>0</v>
      </c>
      <c r="J1572" s="35" t="b">
        <v>0</v>
      </c>
      <c r="K1572" s="35" t="b">
        <v>0</v>
      </c>
      <c r="L1572" s="35" t="b">
        <v>0</v>
      </c>
      <c r="M1572" s="35" t="b">
        <v>0</v>
      </c>
      <c r="N1572" s="35" t="b">
        <v>0</v>
      </c>
      <c r="O1572" s="35" t="b">
        <v>0</v>
      </c>
      <c r="P1572" s="35" t="b">
        <v>0</v>
      </c>
      <c r="Q1572" s="35" t="b">
        <v>0</v>
      </c>
      <c r="R1572" s="14"/>
      <c r="S1572" s="14"/>
      <c r="T1572" s="14"/>
      <c r="U1572" s="14"/>
      <c r="V1572" s="14"/>
      <c r="W1572" s="14"/>
    </row>
    <row r="1573" ht="31.5" customHeight="1">
      <c r="A1573" s="109" t="s">
        <v>10362</v>
      </c>
      <c r="B1573" s="110" t="s">
        <v>15745</v>
      </c>
      <c r="C1573" s="111" t="s">
        <v>15746</v>
      </c>
      <c r="D1573" s="28" t="s">
        <v>15747</v>
      </c>
      <c r="E1573" s="28" t="str">
        <f>IFERROR(__xludf.DUMMYFUNCTION("GOOGLETRANSLATE(D1573,""zh-CN"",""vi"")"),"Màu sắc trong bức tranh này rất rực rỡ.")</f>
        <v>Màu sắc trong bức tranh này rất rực rỡ.</v>
      </c>
      <c r="F1573" s="137"/>
      <c r="G1573" s="36" t="b">
        <f t="shared" si="1"/>
        <v>0</v>
      </c>
      <c r="H1573" s="35" t="b">
        <v>1</v>
      </c>
      <c r="I1573" s="35" t="b">
        <v>0</v>
      </c>
      <c r="J1573" s="35" t="b">
        <v>0</v>
      </c>
      <c r="K1573" s="35" t="b">
        <v>0</v>
      </c>
      <c r="L1573" s="35" t="b">
        <v>0</v>
      </c>
      <c r="M1573" s="35" t="b">
        <v>0</v>
      </c>
      <c r="N1573" s="35" t="b">
        <v>0</v>
      </c>
      <c r="O1573" s="35" t="b">
        <v>0</v>
      </c>
      <c r="P1573" s="35" t="b">
        <v>0</v>
      </c>
      <c r="Q1573" s="35" t="b">
        <v>0</v>
      </c>
      <c r="R1573" s="14"/>
      <c r="S1573" s="14"/>
      <c r="T1573" s="14"/>
      <c r="U1573" s="14"/>
      <c r="V1573" s="14"/>
      <c r="W1573" s="14"/>
    </row>
    <row r="1574" ht="31.5" customHeight="1">
      <c r="A1574" s="109" t="s">
        <v>15748</v>
      </c>
      <c r="B1574" s="110" t="s">
        <v>15749</v>
      </c>
      <c r="C1574" s="111" t="s">
        <v>15750</v>
      </c>
      <c r="D1574" s="28" t="s">
        <v>15751</v>
      </c>
      <c r="E1574" s="28" t="str">
        <f>IFERROR(__xludf.DUMMYFUNCTION("GOOGLETRANSLATE(D1574,""zh-CN"",""vi"")"),"Cần kiểm tra hệ thống phanh.")</f>
        <v>Cần kiểm tra hệ thống phanh.</v>
      </c>
      <c r="F1574" s="137"/>
      <c r="G1574" s="36" t="b">
        <f t="shared" si="1"/>
        <v>0</v>
      </c>
      <c r="H1574" s="35" t="b">
        <v>1</v>
      </c>
      <c r="I1574" s="35" t="b">
        <v>0</v>
      </c>
      <c r="J1574" s="35" t="b">
        <v>0</v>
      </c>
      <c r="K1574" s="35" t="b">
        <v>0</v>
      </c>
      <c r="L1574" s="35" t="b">
        <v>0</v>
      </c>
      <c r="M1574" s="35" t="b">
        <v>0</v>
      </c>
      <c r="N1574" s="35" t="b">
        <v>0</v>
      </c>
      <c r="O1574" s="35" t="b">
        <v>0</v>
      </c>
      <c r="P1574" s="35" t="b">
        <v>0</v>
      </c>
      <c r="Q1574" s="35" t="b">
        <v>0</v>
      </c>
      <c r="R1574" s="14"/>
      <c r="S1574" s="14"/>
      <c r="T1574" s="14"/>
      <c r="U1574" s="14"/>
      <c r="V1574" s="14"/>
      <c r="W1574" s="14"/>
    </row>
    <row r="1575" ht="31.5" customHeight="1">
      <c r="A1575" s="109" t="s">
        <v>15752</v>
      </c>
      <c r="B1575" s="110" t="s">
        <v>15753</v>
      </c>
      <c r="C1575" s="111" t="s">
        <v>15754</v>
      </c>
      <c r="D1575" s="28" t="s">
        <v>15755</v>
      </c>
      <c r="E1575" s="28" t="str">
        <f>IFERROR(__xludf.DUMMYFUNCTION("GOOGLETRANSLATE(D1575,""zh-CN"",""vi"")"),"Bạn đang làm gì thế?")</f>
        <v>Bạn đang làm gì thế?</v>
      </c>
      <c r="F1575" s="137"/>
      <c r="G1575" s="36" t="b">
        <f t="shared" si="1"/>
        <v>0</v>
      </c>
      <c r="H1575" s="35" t="b">
        <v>1</v>
      </c>
      <c r="I1575" s="35" t="b">
        <v>0</v>
      </c>
      <c r="J1575" s="35" t="b">
        <v>0</v>
      </c>
      <c r="K1575" s="35" t="b">
        <v>0</v>
      </c>
      <c r="L1575" s="35" t="b">
        <v>0</v>
      </c>
      <c r="M1575" s="35" t="b">
        <v>0</v>
      </c>
      <c r="N1575" s="35" t="b">
        <v>0</v>
      </c>
      <c r="O1575" s="35" t="b">
        <v>0</v>
      </c>
      <c r="P1575" s="35" t="b">
        <v>0</v>
      </c>
      <c r="Q1575" s="35" t="b">
        <v>0</v>
      </c>
      <c r="R1575" s="14"/>
      <c r="S1575" s="14"/>
      <c r="T1575" s="14"/>
      <c r="U1575" s="14"/>
      <c r="V1575" s="14"/>
      <c r="W1575" s="14"/>
    </row>
    <row r="1576" ht="31.5" customHeight="1">
      <c r="A1576" s="109" t="s">
        <v>15756</v>
      </c>
      <c r="B1576" s="110" t="s">
        <v>15757</v>
      </c>
      <c r="C1576" s="111" t="s">
        <v>15758</v>
      </c>
      <c r="D1576" s="28" t="s">
        <v>15759</v>
      </c>
      <c r="E1576" s="28" t="str">
        <f>IFERROR(__xludf.DUMMYFUNCTION("GOOGLETRANSLATE(D1576,""zh-CN"",""vi"")"),"Chúng ta cần chọn ra những ứng viên tốt nhất.")</f>
        <v>Chúng ta cần chọn ra những ứng viên tốt nhất.</v>
      </c>
      <c r="F1576" s="137"/>
      <c r="G1576" s="36" t="b">
        <f t="shared" si="1"/>
        <v>0</v>
      </c>
      <c r="H1576" s="35" t="b">
        <v>1</v>
      </c>
      <c r="I1576" s="35" t="b">
        <v>0</v>
      </c>
      <c r="J1576" s="35" t="b">
        <v>0</v>
      </c>
      <c r="K1576" s="35" t="b">
        <v>0</v>
      </c>
      <c r="L1576" s="35" t="b">
        <v>0</v>
      </c>
      <c r="M1576" s="35" t="b">
        <v>0</v>
      </c>
      <c r="N1576" s="35" t="b">
        <v>0</v>
      </c>
      <c r="O1576" s="35" t="b">
        <v>0</v>
      </c>
      <c r="P1576" s="35" t="b">
        <v>0</v>
      </c>
      <c r="Q1576" s="35" t="b">
        <v>0</v>
      </c>
      <c r="R1576" s="14"/>
      <c r="S1576" s="14"/>
      <c r="T1576" s="14"/>
      <c r="U1576" s="14"/>
      <c r="V1576" s="14"/>
      <c r="W1576" s="14"/>
    </row>
    <row r="1577" ht="31.5" customHeight="1">
      <c r="A1577" s="109" t="s">
        <v>15760</v>
      </c>
      <c r="B1577" s="110" t="s">
        <v>15761</v>
      </c>
      <c r="C1577" s="111" t="s">
        <v>15762</v>
      </c>
      <c r="D1577" s="28" t="s">
        <v>15763</v>
      </c>
      <c r="E1577" s="28" t="str">
        <f>IFERROR(__xludf.DUMMYFUNCTION("GOOGLETRANSLATE(D1577,""zh-CN"",""vi"")"),"Dãy núi này thật ngoạn mục.")</f>
        <v>Dãy núi này thật ngoạn mục.</v>
      </c>
      <c r="F1577" s="137"/>
      <c r="G1577" s="36" t="b">
        <f t="shared" si="1"/>
        <v>0</v>
      </c>
      <c r="H1577" s="35" t="b">
        <v>1</v>
      </c>
      <c r="I1577" s="35" t="b">
        <v>0</v>
      </c>
      <c r="J1577" s="35" t="b">
        <v>0</v>
      </c>
      <c r="K1577" s="35" t="b">
        <v>0</v>
      </c>
      <c r="L1577" s="35" t="b">
        <v>0</v>
      </c>
      <c r="M1577" s="35" t="b">
        <v>0</v>
      </c>
      <c r="N1577" s="35" t="b">
        <v>0</v>
      </c>
      <c r="O1577" s="35" t="b">
        <v>0</v>
      </c>
      <c r="P1577" s="35" t="b">
        <v>0</v>
      </c>
      <c r="Q1577" s="35" t="b">
        <v>0</v>
      </c>
      <c r="R1577" s="14"/>
      <c r="S1577" s="14"/>
      <c r="T1577" s="14"/>
      <c r="U1577" s="14"/>
      <c r="V1577" s="14"/>
      <c r="W1577" s="14"/>
    </row>
    <row r="1578" ht="31.5" customHeight="1">
      <c r="A1578" s="109" t="s">
        <v>15764</v>
      </c>
      <c r="B1578" s="110" t="s">
        <v>15765</v>
      </c>
      <c r="C1578" s="111" t="s">
        <v>15766</v>
      </c>
      <c r="D1578" s="28" t="s">
        <v>15767</v>
      </c>
      <c r="E1578" s="28" t="str">
        <f>IFERROR(__xludf.DUMMYFUNCTION("GOOGLETRANSLATE(D1578,""zh-CN"",""vi"")"),"Những vì sao lấp lánh trên bầu trời.")</f>
        <v>Những vì sao lấp lánh trên bầu trời.</v>
      </c>
      <c r="F1578" s="137"/>
      <c r="G1578" s="36" t="b">
        <f t="shared" si="1"/>
        <v>0</v>
      </c>
      <c r="H1578" s="35" t="b">
        <v>1</v>
      </c>
      <c r="I1578" s="35" t="b">
        <v>0</v>
      </c>
      <c r="J1578" s="35" t="b">
        <v>0</v>
      </c>
      <c r="K1578" s="35" t="b">
        <v>0</v>
      </c>
      <c r="L1578" s="35" t="b">
        <v>0</v>
      </c>
      <c r="M1578" s="35" t="b">
        <v>0</v>
      </c>
      <c r="N1578" s="35" t="b">
        <v>0</v>
      </c>
      <c r="O1578" s="35" t="b">
        <v>0</v>
      </c>
      <c r="P1578" s="35" t="b">
        <v>0</v>
      </c>
      <c r="Q1578" s="35" t="b">
        <v>0</v>
      </c>
      <c r="R1578" s="14"/>
      <c r="S1578" s="14"/>
      <c r="T1578" s="14"/>
      <c r="U1578" s="14"/>
      <c r="V1578" s="14"/>
      <c r="W1578" s="14"/>
    </row>
    <row r="1579" ht="31.5" customHeight="1">
      <c r="A1579" s="109" t="s">
        <v>15768</v>
      </c>
      <c r="B1579" s="110" t="s">
        <v>15769</v>
      </c>
      <c r="C1579" s="111" t="s">
        <v>15770</v>
      </c>
      <c r="D1579" s="28" t="s">
        <v>15771</v>
      </c>
      <c r="E1579" s="28" t="str">
        <f>IFERROR(__xludf.DUMMYFUNCTION("GOOGLETRANSLATE(D1579,""zh-CN"",""vi"")"),"Anh ấy rất giỏi hội họa.")</f>
        <v>Anh ấy rất giỏi hội họa.</v>
      </c>
      <c r="F1579" s="137"/>
      <c r="G1579" s="36" t="b">
        <f t="shared" si="1"/>
        <v>0</v>
      </c>
      <c r="H1579" s="35" t="b">
        <v>1</v>
      </c>
      <c r="I1579" s="35" t="b">
        <v>0</v>
      </c>
      <c r="J1579" s="35" t="b">
        <v>0</v>
      </c>
      <c r="K1579" s="35" t="b">
        <v>0</v>
      </c>
      <c r="L1579" s="35" t="b">
        <v>0</v>
      </c>
      <c r="M1579" s="35" t="b">
        <v>0</v>
      </c>
      <c r="N1579" s="35" t="b">
        <v>0</v>
      </c>
      <c r="O1579" s="35" t="b">
        <v>0</v>
      </c>
      <c r="P1579" s="35" t="b">
        <v>0</v>
      </c>
      <c r="Q1579" s="35" t="b">
        <v>0</v>
      </c>
      <c r="R1579" s="14"/>
      <c r="S1579" s="14"/>
      <c r="T1579" s="14"/>
      <c r="U1579" s="14"/>
      <c r="V1579" s="14"/>
      <c r="W1579" s="14"/>
    </row>
    <row r="1580" ht="31.5" customHeight="1">
      <c r="A1580" s="109" t="s">
        <v>15772</v>
      </c>
      <c r="B1580" s="110" t="s">
        <v>15773</v>
      </c>
      <c r="C1580" s="111" t="s">
        <v>15774</v>
      </c>
      <c r="D1580" s="28" t="s">
        <v>15775</v>
      </c>
      <c r="E1580" s="28" t="str">
        <f>IFERROR(__xludf.DUMMYFUNCTION("GOOGLETRANSLATE(D1580,""zh-CN"",""vi"")"),"Không được hành động khi chưa được phép.")</f>
        <v>Không được hành động khi chưa được phép.</v>
      </c>
      <c r="F1580" s="137"/>
      <c r="G1580" s="36" t="b">
        <f t="shared" si="1"/>
        <v>0</v>
      </c>
      <c r="H1580" s="35" t="b">
        <v>1</v>
      </c>
      <c r="I1580" s="35" t="b">
        <v>0</v>
      </c>
      <c r="J1580" s="35" t="b">
        <v>0</v>
      </c>
      <c r="K1580" s="35" t="b">
        <v>0</v>
      </c>
      <c r="L1580" s="35" t="b">
        <v>0</v>
      </c>
      <c r="M1580" s="35" t="b">
        <v>0</v>
      </c>
      <c r="N1580" s="35" t="b">
        <v>0</v>
      </c>
      <c r="O1580" s="35" t="b">
        <v>0</v>
      </c>
      <c r="P1580" s="35" t="b">
        <v>0</v>
      </c>
      <c r="Q1580" s="35" t="b">
        <v>0</v>
      </c>
      <c r="R1580" s="14"/>
      <c r="S1580" s="14"/>
      <c r="T1580" s="14"/>
      <c r="U1580" s="14"/>
      <c r="V1580" s="14"/>
      <c r="W1580" s="14"/>
    </row>
    <row r="1581" ht="31.5" customHeight="1">
      <c r="A1581" s="109" t="s">
        <v>10425</v>
      </c>
      <c r="B1581" s="110" t="s">
        <v>15776</v>
      </c>
      <c r="C1581" s="111" t="s">
        <v>15777</v>
      </c>
      <c r="D1581" s="28" t="s">
        <v>15778</v>
      </c>
      <c r="E1581" s="28" t="str">
        <f>IFERROR(__xludf.DUMMYFUNCTION("GOOGLETRANSLATE(D1581,""zh-CN"",""vi"")"),"Cô ấy mua cho tôi một cái quạt.")</f>
        <v>Cô ấy mua cho tôi một cái quạt.</v>
      </c>
      <c r="F1581" s="137"/>
      <c r="G1581" s="36" t="b">
        <f t="shared" si="1"/>
        <v>0</v>
      </c>
      <c r="H1581" s="35" t="b">
        <v>1</v>
      </c>
      <c r="I1581" s="35" t="b">
        <v>0</v>
      </c>
      <c r="J1581" s="35" t="b">
        <v>0</v>
      </c>
      <c r="K1581" s="35" t="b">
        <v>0</v>
      </c>
      <c r="L1581" s="35" t="b">
        <v>0</v>
      </c>
      <c r="M1581" s="35" t="b">
        <v>0</v>
      </c>
      <c r="N1581" s="35" t="b">
        <v>0</v>
      </c>
      <c r="O1581" s="35" t="b">
        <v>0</v>
      </c>
      <c r="P1581" s="35" t="b">
        <v>0</v>
      </c>
      <c r="Q1581" s="35" t="b">
        <v>0</v>
      </c>
      <c r="R1581" s="14"/>
      <c r="S1581" s="14"/>
      <c r="T1581" s="14"/>
      <c r="U1581" s="14"/>
      <c r="V1581" s="14"/>
      <c r="W1581" s="14"/>
    </row>
    <row r="1582" ht="31.5" customHeight="1">
      <c r="A1582" s="109" t="s">
        <v>15779</v>
      </c>
      <c r="B1582" s="110" t="s">
        <v>15780</v>
      </c>
      <c r="C1582" s="111" t="s">
        <v>15781</v>
      </c>
      <c r="D1582" s="28" t="s">
        <v>15782</v>
      </c>
      <c r="E1582" s="28" t="str">
        <f>IFERROR(__xludf.DUMMYFUNCTION("GOOGLETRANSLATE(D1582,""zh-CN"",""vi"")"),"Thương hiệu này rất nổi tiếng.")</f>
        <v>Thương hiệu này rất nổi tiếng.</v>
      </c>
      <c r="F1582" s="137"/>
      <c r="G1582" s="36" t="b">
        <f t="shared" si="1"/>
        <v>0</v>
      </c>
      <c r="H1582" s="35" t="b">
        <v>1</v>
      </c>
      <c r="I1582" s="35" t="b">
        <v>0</v>
      </c>
      <c r="J1582" s="35" t="b">
        <v>0</v>
      </c>
      <c r="K1582" s="35" t="b">
        <v>0</v>
      </c>
      <c r="L1582" s="35" t="b">
        <v>0</v>
      </c>
      <c r="M1582" s="35" t="b">
        <v>0</v>
      </c>
      <c r="N1582" s="35" t="b">
        <v>0</v>
      </c>
      <c r="O1582" s="35" t="b">
        <v>0</v>
      </c>
      <c r="P1582" s="35" t="b">
        <v>0</v>
      </c>
      <c r="Q1582" s="35" t="b">
        <v>0</v>
      </c>
      <c r="R1582" s="14"/>
      <c r="S1582" s="14"/>
      <c r="T1582" s="14"/>
      <c r="U1582" s="14"/>
      <c r="V1582" s="14"/>
      <c r="W1582" s="14"/>
    </row>
    <row r="1583" ht="31.5" customHeight="1">
      <c r="A1583" s="109" t="s">
        <v>15783</v>
      </c>
      <c r="B1583" s="110" t="s">
        <v>15784</v>
      </c>
      <c r="C1583" s="111" t="s">
        <v>15785</v>
      </c>
      <c r="D1583" s="28" t="s">
        <v>15786</v>
      </c>
      <c r="E1583" s="28" t="str">
        <f>IFERROR(__xludf.DUMMYFUNCTION("GOOGLETRANSLATE(D1583,""zh-CN"",""vi"")"),"Đây thực sự là một vấn đề đau đầu.")</f>
        <v>Đây thực sự là một vấn đề đau đầu.</v>
      </c>
      <c r="F1583" s="137"/>
      <c r="G1583" s="36" t="b">
        <f t="shared" si="1"/>
        <v>0</v>
      </c>
      <c r="H1583" s="35" t="b">
        <v>1</v>
      </c>
      <c r="I1583" s="35" t="b">
        <v>0</v>
      </c>
      <c r="J1583" s="35" t="b">
        <v>0</v>
      </c>
      <c r="K1583" s="35" t="b">
        <v>0</v>
      </c>
      <c r="L1583" s="35" t="b">
        <v>0</v>
      </c>
      <c r="M1583" s="35" t="b">
        <v>0</v>
      </c>
      <c r="N1583" s="35" t="b">
        <v>0</v>
      </c>
      <c r="O1583" s="35" t="b">
        <v>0</v>
      </c>
      <c r="P1583" s="35" t="b">
        <v>0</v>
      </c>
      <c r="Q1583" s="35" t="b">
        <v>0</v>
      </c>
      <c r="R1583" s="14"/>
      <c r="S1583" s="14"/>
      <c r="T1583" s="14"/>
      <c r="U1583" s="14"/>
      <c r="V1583" s="14"/>
      <c r="W1583" s="14"/>
    </row>
    <row r="1584" ht="31.5" customHeight="1">
      <c r="A1584" s="109" t="s">
        <v>15787</v>
      </c>
      <c r="B1584" s="110" t="s">
        <v>15788</v>
      </c>
      <c r="C1584" s="111" t="s">
        <v>15789</v>
      </c>
      <c r="D1584" s="28" t="s">
        <v>15790</v>
      </c>
      <c r="E1584" s="28" t="str">
        <f>IFERROR(__xludf.DUMMYFUNCTION("GOOGLETRANSLATE(D1584,""zh-CN"",""vi"")"),"Bạn cần báo cáo với cấp trên.")</f>
        <v>Bạn cần báo cáo với cấp trên.</v>
      </c>
      <c r="F1584" s="137"/>
      <c r="G1584" s="36" t="b">
        <f t="shared" si="1"/>
        <v>0</v>
      </c>
      <c r="H1584" s="35" t="b">
        <v>1</v>
      </c>
      <c r="I1584" s="35" t="b">
        <v>0</v>
      </c>
      <c r="J1584" s="35" t="b">
        <v>0</v>
      </c>
      <c r="K1584" s="35" t="b">
        <v>0</v>
      </c>
      <c r="L1584" s="35" t="b">
        <v>0</v>
      </c>
      <c r="M1584" s="35" t="b">
        <v>0</v>
      </c>
      <c r="N1584" s="35" t="b">
        <v>0</v>
      </c>
      <c r="O1584" s="35" t="b">
        <v>0</v>
      </c>
      <c r="P1584" s="35" t="b">
        <v>0</v>
      </c>
      <c r="Q1584" s="35" t="b">
        <v>0</v>
      </c>
      <c r="R1584" s="14"/>
      <c r="S1584" s="14"/>
      <c r="T1584" s="14"/>
      <c r="U1584" s="14"/>
      <c r="V1584" s="14"/>
      <c r="W1584" s="14"/>
    </row>
    <row r="1585" ht="31.5" customHeight="1">
      <c r="A1585" s="109" t="s">
        <v>15791</v>
      </c>
      <c r="B1585" s="110" t="s">
        <v>15792</v>
      </c>
      <c r="C1585" s="111" t="s">
        <v>15793</v>
      </c>
      <c r="D1585" s="28" t="s">
        <v>15794</v>
      </c>
      <c r="E1585" s="28" t="str">
        <f>IFERROR(__xludf.DUMMYFUNCTION("GOOGLETRANSLATE(D1585,""zh-CN"",""vi"")"),"Anh ấy có ý chí mạnh mẽ để tự hoàn thiện bản thân.")</f>
        <v>Anh ấy có ý chí mạnh mẽ để tự hoàn thiện bản thân.</v>
      </c>
      <c r="F1585" s="137"/>
      <c r="G1585" s="36" t="b">
        <f t="shared" si="1"/>
        <v>0</v>
      </c>
      <c r="H1585" s="35" t="b">
        <v>1</v>
      </c>
      <c r="I1585" s="35" t="b">
        <v>0</v>
      </c>
      <c r="J1585" s="35" t="b">
        <v>0</v>
      </c>
      <c r="K1585" s="35" t="b">
        <v>0</v>
      </c>
      <c r="L1585" s="35" t="b">
        <v>0</v>
      </c>
      <c r="M1585" s="35" t="b">
        <v>0</v>
      </c>
      <c r="N1585" s="35" t="b">
        <v>0</v>
      </c>
      <c r="O1585" s="35" t="b">
        <v>0</v>
      </c>
      <c r="P1585" s="35" t="b">
        <v>0</v>
      </c>
      <c r="Q1585" s="35" t="b">
        <v>0</v>
      </c>
      <c r="R1585" s="14"/>
      <c r="S1585" s="14"/>
      <c r="T1585" s="14"/>
      <c r="U1585" s="14"/>
      <c r="V1585" s="14"/>
      <c r="W1585" s="14"/>
    </row>
    <row r="1586" ht="31.5" customHeight="1">
      <c r="A1586" s="109" t="s">
        <v>15795</v>
      </c>
      <c r="B1586" s="110" t="s">
        <v>15796</v>
      </c>
      <c r="C1586" s="111" t="s">
        <v>15797</v>
      </c>
      <c r="D1586" s="28" t="s">
        <v>15798</v>
      </c>
      <c r="E1586" s="28" t="str">
        <f>IFERROR(__xludf.DUMMYFUNCTION("GOOGLETRANSLATE(D1586,""zh-CN"",""vi"")"),"Người quản lý mới được bổ nhiệm rất có năng lực.")</f>
        <v>Người quản lý mới được bổ nhiệm rất có năng lực.</v>
      </c>
      <c r="F1586" s="137"/>
      <c r="G1586" s="36" t="b">
        <f t="shared" si="1"/>
        <v>0</v>
      </c>
      <c r="H1586" s="35" t="b">
        <v>1</v>
      </c>
      <c r="I1586" s="35" t="b">
        <v>0</v>
      </c>
      <c r="J1586" s="35" t="b">
        <v>0</v>
      </c>
      <c r="K1586" s="35" t="b">
        <v>0</v>
      </c>
      <c r="L1586" s="35" t="b">
        <v>0</v>
      </c>
      <c r="M1586" s="35" t="b">
        <v>0</v>
      </c>
      <c r="N1586" s="35" t="b">
        <v>0</v>
      </c>
      <c r="O1586" s="35" t="b">
        <v>0</v>
      </c>
      <c r="P1586" s="35" t="b">
        <v>0</v>
      </c>
      <c r="Q1586" s="35" t="b">
        <v>0</v>
      </c>
      <c r="R1586" s="14"/>
      <c r="S1586" s="14"/>
      <c r="T1586" s="14"/>
      <c r="U1586" s="14"/>
      <c r="V1586" s="14"/>
      <c r="W1586" s="14"/>
    </row>
    <row r="1587" ht="31.5" customHeight="1">
      <c r="A1587" s="109" t="s">
        <v>15799</v>
      </c>
      <c r="B1587" s="110" t="s">
        <v>15800</v>
      </c>
      <c r="C1587" s="111" t="s">
        <v>15801</v>
      </c>
      <c r="D1587" s="28" t="s">
        <v>15802</v>
      </c>
      <c r="E1587" s="28" t="str">
        <f>IFERROR(__xludf.DUMMYFUNCTION("GOOGLETRANSLATE(D1587,""zh-CN"",""vi"")"),"Anh ấy nghiện cà phê.")</f>
        <v>Anh ấy nghiện cà phê.</v>
      </c>
      <c r="F1587" s="137"/>
      <c r="G1587" s="36" t="b">
        <f t="shared" si="1"/>
        <v>0</v>
      </c>
      <c r="H1587" s="35" t="b">
        <v>1</v>
      </c>
      <c r="I1587" s="35" t="b">
        <v>0</v>
      </c>
      <c r="J1587" s="35" t="b">
        <v>0</v>
      </c>
      <c r="K1587" s="35" t="b">
        <v>0</v>
      </c>
      <c r="L1587" s="35" t="b">
        <v>0</v>
      </c>
      <c r="M1587" s="35" t="b">
        <v>0</v>
      </c>
      <c r="N1587" s="35" t="b">
        <v>0</v>
      </c>
      <c r="O1587" s="35" t="b">
        <v>0</v>
      </c>
      <c r="P1587" s="35" t="b">
        <v>0</v>
      </c>
      <c r="Q1587" s="35" t="b">
        <v>0</v>
      </c>
      <c r="R1587" s="14"/>
      <c r="S1587" s="14"/>
      <c r="T1587" s="14"/>
      <c r="U1587" s="14"/>
      <c r="V1587" s="14"/>
      <c r="W1587" s="14"/>
    </row>
    <row r="1588" ht="31.5" customHeight="1">
      <c r="A1588" s="109" t="s">
        <v>15803</v>
      </c>
      <c r="B1588" s="110" t="s">
        <v>15804</v>
      </c>
      <c r="C1588" s="111" t="s">
        <v>15805</v>
      </c>
      <c r="D1588" s="28" t="s">
        <v>15806</v>
      </c>
      <c r="E1588" s="28" t="str">
        <f>IFERROR(__xludf.DUMMYFUNCTION("GOOGLETRANSLATE(D1588,""zh-CN"",""vi"")"),"Vùng thượng nguồn của con sông này rất trong.")</f>
        <v>Vùng thượng nguồn của con sông này rất trong.</v>
      </c>
      <c r="F1588" s="137"/>
      <c r="G1588" s="36" t="b">
        <f t="shared" si="1"/>
        <v>0</v>
      </c>
      <c r="H1588" s="35" t="b">
        <v>1</v>
      </c>
      <c r="I1588" s="35" t="b">
        <v>0</v>
      </c>
      <c r="J1588" s="35" t="b">
        <v>0</v>
      </c>
      <c r="K1588" s="35" t="b">
        <v>0</v>
      </c>
      <c r="L1588" s="35" t="b">
        <v>0</v>
      </c>
      <c r="M1588" s="35" t="b">
        <v>0</v>
      </c>
      <c r="N1588" s="35" t="b">
        <v>0</v>
      </c>
      <c r="O1588" s="35" t="b">
        <v>0</v>
      </c>
      <c r="P1588" s="35" t="b">
        <v>0</v>
      </c>
      <c r="Q1588" s="35" t="b">
        <v>0</v>
      </c>
      <c r="R1588" s="14"/>
      <c r="S1588" s="14"/>
      <c r="T1588" s="14"/>
      <c r="U1588" s="14"/>
      <c r="V1588" s="14"/>
      <c r="W1588" s="14"/>
    </row>
    <row r="1589" ht="31.5" customHeight="1">
      <c r="A1589" s="109" t="s">
        <v>15807</v>
      </c>
      <c r="B1589" s="110" t="s">
        <v>15808</v>
      </c>
      <c r="C1589" s="111" t="s">
        <v>15809</v>
      </c>
      <c r="D1589" s="28" t="s">
        <v>15810</v>
      </c>
      <c r="E1589" s="28" t="str">
        <f>IFERROR(__xludf.DUMMYFUNCTION("GOOGLETRANSLATE(D1589,""zh-CN"",""vi"")"),"Có một con chim trên ngọn cây.")</f>
        <v>Có một con chim trên ngọn cây.</v>
      </c>
      <c r="F1589" s="137"/>
      <c r="G1589" s="36" t="b">
        <f t="shared" si="1"/>
        <v>0</v>
      </c>
      <c r="H1589" s="35" t="b">
        <v>1</v>
      </c>
      <c r="I1589" s="35" t="b">
        <v>0</v>
      </c>
      <c r="J1589" s="35" t="b">
        <v>0</v>
      </c>
      <c r="K1589" s="35" t="b">
        <v>0</v>
      </c>
      <c r="L1589" s="35" t="b">
        <v>0</v>
      </c>
      <c r="M1589" s="35" t="b">
        <v>0</v>
      </c>
      <c r="N1589" s="35" t="b">
        <v>0</v>
      </c>
      <c r="O1589" s="35" t="b">
        <v>0</v>
      </c>
      <c r="P1589" s="35" t="b">
        <v>0</v>
      </c>
      <c r="Q1589" s="35" t="b">
        <v>0</v>
      </c>
      <c r="R1589" s="14"/>
      <c r="S1589" s="14"/>
      <c r="T1589" s="14"/>
      <c r="U1589" s="14"/>
      <c r="V1589" s="14"/>
      <c r="W1589" s="14"/>
    </row>
    <row r="1590" ht="31.5" customHeight="1">
      <c r="A1590" s="109" t="s">
        <v>15811</v>
      </c>
      <c r="B1590" s="110" t="s">
        <v>15808</v>
      </c>
      <c r="C1590" s="111" t="s">
        <v>15812</v>
      </c>
      <c r="D1590" s="28" t="s">
        <v>15813</v>
      </c>
      <c r="E1590" s="28" t="str">
        <f>IFERROR(__xludf.DUMMYFUNCTION("GOOGLETRANSLATE(D1590,""zh-CN"",""vi"")"),"Hãy chuyển lá thư này cho anh ấy.")</f>
        <v>Hãy chuyển lá thư này cho anh ấy.</v>
      </c>
      <c r="F1590" s="137"/>
      <c r="G1590" s="36" t="b">
        <f t="shared" si="1"/>
        <v>0</v>
      </c>
      <c r="H1590" s="35" t="b">
        <v>1</v>
      </c>
      <c r="I1590" s="35" t="b">
        <v>0</v>
      </c>
      <c r="J1590" s="35" t="b">
        <v>0</v>
      </c>
      <c r="K1590" s="35" t="b">
        <v>0</v>
      </c>
      <c r="L1590" s="35" t="b">
        <v>0</v>
      </c>
      <c r="M1590" s="35" t="b">
        <v>0</v>
      </c>
      <c r="N1590" s="35" t="b">
        <v>0</v>
      </c>
      <c r="O1590" s="35" t="b">
        <v>0</v>
      </c>
      <c r="P1590" s="35" t="b">
        <v>0</v>
      </c>
      <c r="Q1590" s="35" t="b">
        <v>0</v>
      </c>
      <c r="R1590" s="14"/>
      <c r="S1590" s="14"/>
      <c r="T1590" s="14"/>
      <c r="U1590" s="14"/>
      <c r="V1590" s="14"/>
      <c r="W1590" s="14"/>
    </row>
    <row r="1591" ht="31.5" customHeight="1">
      <c r="A1591" s="109" t="s">
        <v>15814</v>
      </c>
      <c r="B1591" s="110" t="s">
        <v>15815</v>
      </c>
      <c r="C1591" s="111" t="s">
        <v>15816</v>
      </c>
      <c r="D1591" s="28" t="s">
        <v>15817</v>
      </c>
      <c r="E1591" s="28" t="str">
        <f>IFERROR(__xludf.DUMMYFUNCTION("GOOGLETRANSLATE(D1591,""zh-CN"",""vi"")"),"Tiếng còi vang lên, và trận đấu bắt đầu.")</f>
        <v>Tiếng còi vang lên, và trận đấu bắt đầu.</v>
      </c>
      <c r="F1591" s="137"/>
      <c r="G1591" s="36" t="b">
        <f t="shared" si="1"/>
        <v>0</v>
      </c>
      <c r="H1591" s="35" t="b">
        <v>1</v>
      </c>
      <c r="I1591" s="35" t="b">
        <v>0</v>
      </c>
      <c r="J1591" s="35" t="b">
        <v>0</v>
      </c>
      <c r="K1591" s="35" t="b">
        <v>0</v>
      </c>
      <c r="L1591" s="35" t="b">
        <v>0</v>
      </c>
      <c r="M1591" s="35" t="b">
        <v>0</v>
      </c>
      <c r="N1591" s="35" t="b">
        <v>0</v>
      </c>
      <c r="O1591" s="35" t="b">
        <v>0</v>
      </c>
      <c r="P1591" s="35" t="b">
        <v>0</v>
      </c>
      <c r="Q1591" s="35" t="b">
        <v>0</v>
      </c>
      <c r="R1591" s="14"/>
      <c r="S1591" s="14"/>
      <c r="T1591" s="14"/>
      <c r="U1591" s="14"/>
      <c r="V1591" s="14"/>
      <c r="W1591" s="14"/>
    </row>
    <row r="1592" ht="31.5" customHeight="1">
      <c r="A1592" s="109" t="s">
        <v>15818</v>
      </c>
      <c r="B1592" s="110" t="s">
        <v>15819</v>
      </c>
      <c r="C1592" s="111" t="s">
        <v>15820</v>
      </c>
      <c r="D1592" s="28" t="s">
        <v>15821</v>
      </c>
      <c r="E1592" s="28" t="str">
        <f>IFERROR(__xludf.DUMMYFUNCTION("GOOGLETRANSLATE(D1592,""zh-CN"",""vi"")"),"Cô ấy thích hàng hiệu cao cấp.")</f>
        <v>Cô ấy thích hàng hiệu cao cấp.</v>
      </c>
      <c r="F1592" s="137"/>
      <c r="G1592" s="36" t="b">
        <f t="shared" si="1"/>
        <v>0</v>
      </c>
      <c r="H1592" s="35" t="b">
        <v>1</v>
      </c>
      <c r="I1592" s="35" t="b">
        <v>0</v>
      </c>
      <c r="J1592" s="35" t="b">
        <v>0</v>
      </c>
      <c r="K1592" s="35" t="b">
        <v>0</v>
      </c>
      <c r="L1592" s="35" t="b">
        <v>0</v>
      </c>
      <c r="M1592" s="35" t="b">
        <v>0</v>
      </c>
      <c r="N1592" s="35" t="b">
        <v>0</v>
      </c>
      <c r="O1592" s="35" t="b">
        <v>0</v>
      </c>
      <c r="P1592" s="35" t="b">
        <v>0</v>
      </c>
      <c r="Q1592" s="35" t="b">
        <v>0</v>
      </c>
      <c r="R1592" s="14"/>
      <c r="S1592" s="14"/>
      <c r="T1592" s="14"/>
      <c r="U1592" s="14"/>
      <c r="V1592" s="14"/>
      <c r="W1592" s="14"/>
    </row>
    <row r="1593" ht="31.5" customHeight="1">
      <c r="A1593" s="109" t="s">
        <v>15822</v>
      </c>
      <c r="B1593" s="110" t="s">
        <v>15823</v>
      </c>
      <c r="C1593" s="111" t="s">
        <v>15824</v>
      </c>
      <c r="D1593" s="28" t="s">
        <v>15825</v>
      </c>
      <c r="E1593" s="28" t="str">
        <f>IFERROR(__xludf.DUMMYFUNCTION("GOOGLETRANSLATE(D1593,""zh-CN"",""vi"")"),"Vụ việc này liên quan đến nhiều người.")</f>
        <v>Vụ việc này liên quan đến nhiều người.</v>
      </c>
      <c r="F1593" s="137"/>
      <c r="G1593" s="36" t="b">
        <f t="shared" si="1"/>
        <v>0</v>
      </c>
      <c r="H1593" s="35" t="b">
        <v>1</v>
      </c>
      <c r="I1593" s="35" t="b">
        <v>0</v>
      </c>
      <c r="J1593" s="35" t="b">
        <v>0</v>
      </c>
      <c r="K1593" s="35" t="b">
        <v>0</v>
      </c>
      <c r="L1593" s="35" t="b">
        <v>0</v>
      </c>
      <c r="M1593" s="35" t="b">
        <v>0</v>
      </c>
      <c r="N1593" s="35" t="b">
        <v>0</v>
      </c>
      <c r="O1593" s="35" t="b">
        <v>0</v>
      </c>
      <c r="P1593" s="35" t="b">
        <v>0</v>
      </c>
      <c r="Q1593" s="35" t="b">
        <v>0</v>
      </c>
      <c r="R1593" s="14"/>
      <c r="S1593" s="14"/>
      <c r="T1593" s="14"/>
      <c r="U1593" s="14"/>
      <c r="V1593" s="14"/>
      <c r="W1593" s="14"/>
    </row>
    <row r="1594" ht="31.5" customHeight="1">
      <c r="A1594" s="109" t="s">
        <v>15826</v>
      </c>
      <c r="B1594" s="110" t="s">
        <v>15827</v>
      </c>
      <c r="C1594" s="111" t="s">
        <v>15828</v>
      </c>
      <c r="D1594" s="28" t="s">
        <v>15829</v>
      </c>
      <c r="E1594" s="28" t="str">
        <f>IFERROR(__xludf.DUMMYFUNCTION("GOOGLETRANSLATE(D1594,""zh-CN"",""vi"")"),"Chúng tôi đã quyết định bắt đầu một dự án mới.")</f>
        <v>Chúng tôi đã quyết định bắt đầu một dự án mới.</v>
      </c>
      <c r="F1594" s="137"/>
      <c r="G1594" s="36" t="b">
        <f t="shared" si="1"/>
        <v>0</v>
      </c>
      <c r="H1594" s="35" t="b">
        <v>1</v>
      </c>
      <c r="I1594" s="35" t="b">
        <v>0</v>
      </c>
      <c r="J1594" s="35" t="b">
        <v>0</v>
      </c>
      <c r="K1594" s="35" t="b">
        <v>0</v>
      </c>
      <c r="L1594" s="35" t="b">
        <v>0</v>
      </c>
      <c r="M1594" s="35" t="b">
        <v>0</v>
      </c>
      <c r="N1594" s="35" t="b">
        <v>0</v>
      </c>
      <c r="O1594" s="35" t="b">
        <v>0</v>
      </c>
      <c r="P1594" s="35" t="b">
        <v>0</v>
      </c>
      <c r="Q1594" s="35" t="b">
        <v>0</v>
      </c>
      <c r="R1594" s="14"/>
      <c r="S1594" s="14"/>
      <c r="T1594" s="14"/>
      <c r="U1594" s="14"/>
      <c r="V1594" s="14"/>
      <c r="W1594" s="14"/>
    </row>
    <row r="1595" ht="31.5" customHeight="1">
      <c r="A1595" s="109" t="s">
        <v>15830</v>
      </c>
      <c r="B1595" s="110" t="s">
        <v>15831</v>
      </c>
      <c r="C1595" s="111" t="s">
        <v>15832</v>
      </c>
      <c r="D1595" s="28" t="s">
        <v>15833</v>
      </c>
      <c r="E1595" s="28" t="str">
        <f>IFERROR(__xludf.DUMMYFUNCTION("GOOGLETRANSLATE(D1595,""zh-CN"",""vi"")"),"Khu dân cư này rất an toàn.")</f>
        <v>Khu dân cư này rất an toàn.</v>
      </c>
      <c r="F1595" s="137"/>
      <c r="G1595" s="36" t="b">
        <f t="shared" si="1"/>
        <v>0</v>
      </c>
      <c r="H1595" s="35" t="b">
        <v>1</v>
      </c>
      <c r="I1595" s="35" t="b">
        <v>0</v>
      </c>
      <c r="J1595" s="35" t="b">
        <v>0</v>
      </c>
      <c r="K1595" s="35" t="b">
        <v>0</v>
      </c>
      <c r="L1595" s="35" t="b">
        <v>0</v>
      </c>
      <c r="M1595" s="35" t="b">
        <v>0</v>
      </c>
      <c r="N1595" s="35" t="b">
        <v>0</v>
      </c>
      <c r="O1595" s="35" t="b">
        <v>0</v>
      </c>
      <c r="P1595" s="35" t="b">
        <v>0</v>
      </c>
      <c r="Q1595" s="35" t="b">
        <v>0</v>
      </c>
      <c r="R1595" s="14"/>
      <c r="S1595" s="14"/>
      <c r="T1595" s="14"/>
      <c r="U1595" s="14"/>
      <c r="V1595" s="14"/>
      <c r="W1595" s="14"/>
    </row>
    <row r="1596" ht="31.5" customHeight="1">
      <c r="A1596" s="109" t="s">
        <v>15834</v>
      </c>
      <c r="B1596" s="110" t="s">
        <v>15835</v>
      </c>
      <c r="C1596" s="111" t="s">
        <v>15836</v>
      </c>
      <c r="D1596" s="28" t="s">
        <v>15837</v>
      </c>
      <c r="E1596" s="28" t="str">
        <f>IFERROR(__xludf.DUMMYFUNCTION("GOOGLETRANSLATE(D1596,""zh-CN"",""vi"")"),"Việc bổ sung đủ chất dinh dưỡng rất quan trọng đối với sức khỏe.")</f>
        <v>Việc bổ sung đủ chất dinh dưỡng rất quan trọng đối với sức khỏe.</v>
      </c>
      <c r="F1596" s="137"/>
      <c r="G1596" s="36" t="b">
        <f t="shared" si="1"/>
        <v>0</v>
      </c>
      <c r="H1596" s="35" t="b">
        <v>1</v>
      </c>
      <c r="I1596" s="35" t="b">
        <v>0</v>
      </c>
      <c r="J1596" s="35" t="b">
        <v>0</v>
      </c>
      <c r="K1596" s="35" t="b">
        <v>0</v>
      </c>
      <c r="L1596" s="35" t="b">
        <v>0</v>
      </c>
      <c r="M1596" s="35" t="b">
        <v>0</v>
      </c>
      <c r="N1596" s="35" t="b">
        <v>0</v>
      </c>
      <c r="O1596" s="35" t="b">
        <v>0</v>
      </c>
      <c r="P1596" s="35" t="b">
        <v>0</v>
      </c>
      <c r="Q1596" s="35" t="b">
        <v>0</v>
      </c>
      <c r="R1596" s="14"/>
      <c r="S1596" s="14"/>
      <c r="T1596" s="14"/>
      <c r="U1596" s="14"/>
      <c r="V1596" s="14"/>
      <c r="W1596" s="14"/>
    </row>
    <row r="1597" ht="31.5" customHeight="1">
      <c r="A1597" s="109" t="s">
        <v>15838</v>
      </c>
      <c r="B1597" s="110" t="s">
        <v>15839</v>
      </c>
      <c r="C1597" s="111" t="s">
        <v>15840</v>
      </c>
      <c r="D1597" s="28" t="s">
        <v>15841</v>
      </c>
      <c r="E1597" s="28" t="str">
        <f>IFERROR(__xludf.DUMMYFUNCTION("GOOGLETRANSLATE(D1597,""zh-CN"",""vi"")"),"Nước có nhiệt độ là 0 độ C.")</f>
        <v>Nước có nhiệt độ là 0 độ C.</v>
      </c>
      <c r="F1597" s="137"/>
      <c r="G1597" s="36" t="b">
        <f t="shared" si="1"/>
        <v>0</v>
      </c>
      <c r="H1597" s="35" t="b">
        <v>1</v>
      </c>
      <c r="I1597" s="35" t="b">
        <v>0</v>
      </c>
      <c r="J1597" s="35" t="b">
        <v>0</v>
      </c>
      <c r="K1597" s="35" t="b">
        <v>0</v>
      </c>
      <c r="L1597" s="35" t="b">
        <v>0</v>
      </c>
      <c r="M1597" s="35" t="b">
        <v>0</v>
      </c>
      <c r="N1597" s="35" t="b">
        <v>0</v>
      </c>
      <c r="O1597" s="35" t="b">
        <v>0</v>
      </c>
      <c r="P1597" s="35" t="b">
        <v>0</v>
      </c>
      <c r="Q1597" s="35" t="b">
        <v>0</v>
      </c>
      <c r="R1597" s="14"/>
      <c r="S1597" s="14"/>
      <c r="T1597" s="14"/>
      <c r="U1597" s="14"/>
      <c r="V1597" s="14"/>
      <c r="W1597" s="14"/>
    </row>
    <row r="1598" ht="31.5" customHeight="1">
      <c r="A1598" s="109" t="s">
        <v>15842</v>
      </c>
      <c r="B1598" s="110" t="s">
        <v>15843</v>
      </c>
      <c r="C1598" s="111" t="s">
        <v>15844</v>
      </c>
      <c r="D1598" s="28" t="s">
        <v>15845</v>
      </c>
      <c r="E1598" s="28" t="str">
        <f>IFERROR(__xludf.DUMMYFUNCTION("GOOGLETRANSLATE(D1598,""zh-CN"",""vi"")"),"Chúng ta cần hình dung về những phát triển trong tương lai.")</f>
        <v>Chúng ta cần hình dung về những phát triển trong tương lai.</v>
      </c>
      <c r="F1598" s="137"/>
      <c r="G1598" s="36" t="b">
        <f t="shared" si="1"/>
        <v>0</v>
      </c>
      <c r="H1598" s="35" t="b">
        <v>1</v>
      </c>
      <c r="I1598" s="35" t="b">
        <v>0</v>
      </c>
      <c r="J1598" s="35" t="b">
        <v>0</v>
      </c>
      <c r="K1598" s="35" t="b">
        <v>0</v>
      </c>
      <c r="L1598" s="35" t="b">
        <v>0</v>
      </c>
      <c r="M1598" s="35" t="b">
        <v>0</v>
      </c>
      <c r="N1598" s="35" t="b">
        <v>0</v>
      </c>
      <c r="O1598" s="35" t="b">
        <v>0</v>
      </c>
      <c r="P1598" s="35" t="b">
        <v>0</v>
      </c>
      <c r="Q1598" s="35" t="b">
        <v>0</v>
      </c>
      <c r="R1598" s="14"/>
      <c r="S1598" s="14"/>
      <c r="T1598" s="14"/>
      <c r="U1598" s="14"/>
      <c r="V1598" s="14"/>
      <c r="W1598" s="14"/>
    </row>
    <row r="1599" ht="31.5" customHeight="1">
      <c r="A1599" s="109" t="s">
        <v>15846</v>
      </c>
      <c r="B1599" s="110" t="s">
        <v>15847</v>
      </c>
      <c r="C1599" s="111" t="s">
        <v>15848</v>
      </c>
      <c r="D1599" s="28" t="s">
        <v>15849</v>
      </c>
      <c r="E1599" s="28" t="str">
        <f>IFERROR(__xludf.DUMMYFUNCTION("GOOGLETRANSLATE(D1599,""zh-CN"",""vi"")"),"Thiết bị này rất hiện đại.")</f>
        <v>Thiết bị này rất hiện đại.</v>
      </c>
      <c r="F1599" s="137"/>
      <c r="G1599" s="36" t="b">
        <f t="shared" si="1"/>
        <v>0</v>
      </c>
      <c r="H1599" s="35" t="b">
        <v>1</v>
      </c>
      <c r="I1599" s="35" t="b">
        <v>0</v>
      </c>
      <c r="J1599" s="35" t="b">
        <v>0</v>
      </c>
      <c r="K1599" s="35" t="b">
        <v>0</v>
      </c>
      <c r="L1599" s="35" t="b">
        <v>0</v>
      </c>
      <c r="M1599" s="35" t="b">
        <v>0</v>
      </c>
      <c r="N1599" s="35" t="b">
        <v>0</v>
      </c>
      <c r="O1599" s="35" t="b">
        <v>0</v>
      </c>
      <c r="P1599" s="35" t="b">
        <v>0</v>
      </c>
      <c r="Q1599" s="35" t="b">
        <v>0</v>
      </c>
      <c r="R1599" s="14"/>
      <c r="S1599" s="14"/>
      <c r="T1599" s="14"/>
      <c r="U1599" s="14"/>
      <c r="V1599" s="14"/>
      <c r="W1599" s="14"/>
    </row>
    <row r="1600" ht="31.5" customHeight="1">
      <c r="A1600" s="109" t="s">
        <v>15850</v>
      </c>
      <c r="B1600" s="110" t="s">
        <v>15851</v>
      </c>
      <c r="C1600" s="111" t="s">
        <v>15852</v>
      </c>
      <c r="D1600" s="28" t="s">
        <v>15853</v>
      </c>
      <c r="E1600" s="28" t="str">
        <f>IFERROR(__xludf.DUMMYFUNCTION("GOOGLETRANSLATE(D1600,""zh-CN"",""vi"")"),"Đây là một câu hỏi rất sâu sắc.")</f>
        <v>Đây là một câu hỏi rất sâu sắc.</v>
      </c>
      <c r="F1600" s="137"/>
      <c r="G1600" s="36" t="b">
        <f t="shared" si="1"/>
        <v>0</v>
      </c>
      <c r="H1600" s="35" t="b">
        <v>1</v>
      </c>
      <c r="I1600" s="35" t="b">
        <v>0</v>
      </c>
      <c r="J1600" s="35" t="b">
        <v>0</v>
      </c>
      <c r="K1600" s="35" t="b">
        <v>0</v>
      </c>
      <c r="L1600" s="35" t="b">
        <v>0</v>
      </c>
      <c r="M1600" s="35" t="b">
        <v>0</v>
      </c>
      <c r="N1600" s="35" t="b">
        <v>0</v>
      </c>
      <c r="O1600" s="35" t="b">
        <v>0</v>
      </c>
      <c r="P1600" s="35" t="b">
        <v>0</v>
      </c>
      <c r="Q1600" s="35" t="b">
        <v>0</v>
      </c>
      <c r="R1600" s="14"/>
      <c r="S1600" s="14"/>
      <c r="T1600" s="14"/>
      <c r="U1600" s="14"/>
      <c r="V1600" s="14"/>
      <c r="W1600" s="14"/>
    </row>
    <row r="1601" ht="31.5" customHeight="1">
      <c r="A1601" s="109" t="s">
        <v>15854</v>
      </c>
      <c r="B1601" s="110" t="s">
        <v>15855</v>
      </c>
      <c r="C1601" s="111" t="s">
        <v>15856</v>
      </c>
      <c r="D1601" s="28" t="s">
        <v>15857</v>
      </c>
      <c r="E1601" s="28" t="str">
        <f>IFERROR(__xludf.DUMMYFUNCTION("GOOGLETRANSLATE(D1601,""zh-CN"",""vi"")"),"Chúng ta cần kê khai thuế thu nhập cá nhân.")</f>
        <v>Chúng ta cần kê khai thuế thu nhập cá nhân.</v>
      </c>
      <c r="F1601" s="137"/>
      <c r="G1601" s="36" t="b">
        <f t="shared" si="1"/>
        <v>0</v>
      </c>
      <c r="H1601" s="35" t="b">
        <v>1</v>
      </c>
      <c r="I1601" s="35" t="b">
        <v>0</v>
      </c>
      <c r="J1601" s="35" t="b">
        <v>0</v>
      </c>
      <c r="K1601" s="35" t="b">
        <v>0</v>
      </c>
      <c r="L1601" s="35" t="b">
        <v>0</v>
      </c>
      <c r="M1601" s="35" t="b">
        <v>0</v>
      </c>
      <c r="N1601" s="35" t="b">
        <v>0</v>
      </c>
      <c r="O1601" s="35" t="b">
        <v>0</v>
      </c>
      <c r="P1601" s="35" t="b">
        <v>0</v>
      </c>
      <c r="Q1601" s="35" t="b">
        <v>0</v>
      </c>
      <c r="R1601" s="14"/>
      <c r="S1601" s="14"/>
      <c r="T1601" s="14"/>
      <c r="U1601" s="14"/>
      <c r="V1601" s="14"/>
      <c r="W1601" s="14"/>
    </row>
    <row r="1602" ht="31.5" customHeight="1">
      <c r="A1602" s="109" t="s">
        <v>15858</v>
      </c>
      <c r="B1602" s="110" t="s">
        <v>15859</v>
      </c>
      <c r="C1602" s="111" t="s">
        <v>15860</v>
      </c>
      <c r="D1602" s="28" t="s">
        <v>15861</v>
      </c>
      <c r="E1602" s="28" t="str">
        <f>IFERROR(__xludf.DUMMYFUNCTION("GOOGLETRANSLATE(D1602,""zh-CN"",""vi"")"),"Giọng anh ấy trầm ấm.")</f>
        <v>Giọng anh ấy trầm ấm.</v>
      </c>
      <c r="F1602" s="137"/>
      <c r="G1602" s="36" t="b">
        <f t="shared" si="1"/>
        <v>0</v>
      </c>
      <c r="H1602" s="35" t="b">
        <v>1</v>
      </c>
      <c r="I1602" s="35" t="b">
        <v>0</v>
      </c>
      <c r="J1602" s="35" t="b">
        <v>0</v>
      </c>
      <c r="K1602" s="35" t="b">
        <v>0</v>
      </c>
      <c r="L1602" s="35" t="b">
        <v>0</v>
      </c>
      <c r="M1602" s="35" t="b">
        <v>0</v>
      </c>
      <c r="N1602" s="35" t="b">
        <v>0</v>
      </c>
      <c r="O1602" s="35" t="b">
        <v>0</v>
      </c>
      <c r="P1602" s="35" t="b">
        <v>0</v>
      </c>
      <c r="Q1602" s="35" t="b">
        <v>0</v>
      </c>
      <c r="R1602" s="14"/>
      <c r="S1602" s="14"/>
      <c r="T1602" s="14"/>
      <c r="U1602" s="14"/>
      <c r="V1602" s="14"/>
      <c r="W1602" s="14"/>
    </row>
    <row r="1603" ht="31.5" customHeight="1">
      <c r="A1603" s="109" t="s">
        <v>15862</v>
      </c>
      <c r="B1603" s="110" t="s">
        <v>15863</v>
      </c>
      <c r="C1603" s="111" t="s">
        <v>15864</v>
      </c>
      <c r="D1603" s="28" t="s">
        <v>15865</v>
      </c>
      <c r="E1603" s="28" t="str">
        <f>IFERROR(__xludf.DUMMYFUNCTION("GOOGLETRANSLATE(D1603,""zh-CN"",""vi"")"),"Họ có một tình bạn sâu sắc và bền chặt.")</f>
        <v>Họ có một tình bạn sâu sắc và bền chặt.</v>
      </c>
      <c r="F1603" s="137"/>
      <c r="G1603" s="36" t="b">
        <f t="shared" si="1"/>
        <v>0</v>
      </c>
      <c r="H1603" s="35" t="b">
        <v>1</v>
      </c>
      <c r="I1603" s="35" t="b">
        <v>0</v>
      </c>
      <c r="J1603" s="35" t="b">
        <v>0</v>
      </c>
      <c r="K1603" s="35" t="b">
        <v>0</v>
      </c>
      <c r="L1603" s="35" t="b">
        <v>0</v>
      </c>
      <c r="M1603" s="35" t="b">
        <v>0</v>
      </c>
      <c r="N1603" s="35" t="b">
        <v>0</v>
      </c>
      <c r="O1603" s="35" t="b">
        <v>0</v>
      </c>
      <c r="P1603" s="35" t="b">
        <v>0</v>
      </c>
      <c r="Q1603" s="35" t="b">
        <v>0</v>
      </c>
      <c r="R1603" s="14"/>
      <c r="S1603" s="14"/>
      <c r="T1603" s="14"/>
      <c r="U1603" s="14"/>
      <c r="V1603" s="14"/>
      <c r="W1603" s="14"/>
    </row>
    <row r="1604" ht="31.5" customHeight="1">
      <c r="A1604" s="109" t="s">
        <v>15866</v>
      </c>
      <c r="B1604" s="110" t="s">
        <v>15867</v>
      </c>
      <c r="C1604" s="111" t="s">
        <v>15868</v>
      </c>
      <c r="D1604" s="28" t="s">
        <v>15869</v>
      </c>
      <c r="E1604" s="28" t="str">
        <f>IFERROR(__xludf.DUMMYFUNCTION("GOOGLETRANSLATE(D1604,""zh-CN"",""vi"")"),"Ông ấy là một người lịch thiệp.")</f>
        <v>Ông ấy là một người lịch thiệp.</v>
      </c>
      <c r="F1604" s="137"/>
      <c r="G1604" s="36" t="b">
        <f t="shared" si="1"/>
        <v>0</v>
      </c>
      <c r="H1604" s="35" t="b">
        <v>1</v>
      </c>
      <c r="I1604" s="35" t="b">
        <v>0</v>
      </c>
      <c r="J1604" s="35" t="b">
        <v>0</v>
      </c>
      <c r="K1604" s="35" t="b">
        <v>0</v>
      </c>
      <c r="L1604" s="35" t="b">
        <v>0</v>
      </c>
      <c r="M1604" s="35" t="b">
        <v>0</v>
      </c>
      <c r="N1604" s="35" t="b">
        <v>0</v>
      </c>
      <c r="O1604" s="35" t="b">
        <v>0</v>
      </c>
      <c r="P1604" s="35" t="b">
        <v>0</v>
      </c>
      <c r="Q1604" s="35" t="b">
        <v>0</v>
      </c>
      <c r="R1604" s="14"/>
      <c r="S1604" s="14"/>
      <c r="T1604" s="14"/>
      <c r="U1604" s="14"/>
      <c r="V1604" s="14"/>
      <c r="W1604" s="14"/>
    </row>
    <row r="1605" ht="31.5" customHeight="1">
      <c r="A1605" s="109" t="s">
        <v>15870</v>
      </c>
      <c r="B1605" s="110" t="s">
        <v>15871</v>
      </c>
      <c r="C1605" s="111" t="s">
        <v>15872</v>
      </c>
      <c r="D1605" s="28" t="s">
        <v>15873</v>
      </c>
      <c r="E1605" s="28" t="str">
        <f>IFERROR(__xludf.DUMMYFUNCTION("GOOGLETRANSLATE(D1605,""zh-CN"",""vi"")"),"Anh ta rên rỉ trên giường.")</f>
        <v>Anh ta rên rỉ trên giường.</v>
      </c>
      <c r="F1605" s="137"/>
      <c r="G1605" s="36" t="b">
        <f t="shared" si="1"/>
        <v>0</v>
      </c>
      <c r="H1605" s="35" t="b">
        <v>1</v>
      </c>
      <c r="I1605" s="35" t="b">
        <v>0</v>
      </c>
      <c r="J1605" s="35" t="b">
        <v>0</v>
      </c>
      <c r="K1605" s="35" t="b">
        <v>0</v>
      </c>
      <c r="L1605" s="35" t="b">
        <v>0</v>
      </c>
      <c r="M1605" s="35" t="b">
        <v>0</v>
      </c>
      <c r="N1605" s="35" t="b">
        <v>0</v>
      </c>
      <c r="O1605" s="35" t="b">
        <v>0</v>
      </c>
      <c r="P1605" s="35" t="b">
        <v>0</v>
      </c>
      <c r="Q1605" s="35" t="b">
        <v>0</v>
      </c>
      <c r="R1605" s="14"/>
      <c r="S1605" s="14"/>
      <c r="T1605" s="14"/>
      <c r="U1605" s="14"/>
      <c r="V1605" s="14"/>
      <c r="W1605" s="14"/>
    </row>
    <row r="1606" ht="31.5" customHeight="1">
      <c r="A1606" s="109" t="s">
        <v>15874</v>
      </c>
      <c r="B1606" s="110" t="s">
        <v>15875</v>
      </c>
      <c r="C1606" s="111" t="s">
        <v>15127</v>
      </c>
      <c r="D1606" s="28" t="s">
        <v>15876</v>
      </c>
      <c r="E1606" s="28" t="str">
        <f>IFERROR(__xludf.DUMMYFUNCTION("GOOGLETRANSLATE(D1606,""zh-CN"",""vi"")"),"Nơi này thực sự tuyệt vời.")</f>
        <v>Nơi này thực sự tuyệt vời.</v>
      </c>
      <c r="F1606" s="137"/>
      <c r="G1606" s="36" t="b">
        <f t="shared" si="1"/>
        <v>0</v>
      </c>
      <c r="H1606" s="35" t="b">
        <v>1</v>
      </c>
      <c r="I1606" s="35" t="b">
        <v>0</v>
      </c>
      <c r="J1606" s="35" t="b">
        <v>0</v>
      </c>
      <c r="K1606" s="35" t="b">
        <v>0</v>
      </c>
      <c r="L1606" s="35" t="b">
        <v>0</v>
      </c>
      <c r="M1606" s="35" t="b">
        <v>0</v>
      </c>
      <c r="N1606" s="35" t="b">
        <v>0</v>
      </c>
      <c r="O1606" s="35" t="b">
        <v>0</v>
      </c>
      <c r="P1606" s="35" t="b">
        <v>0</v>
      </c>
      <c r="Q1606" s="35" t="b">
        <v>0</v>
      </c>
      <c r="R1606" s="14"/>
      <c r="S1606" s="14"/>
      <c r="T1606" s="14"/>
      <c r="U1606" s="14"/>
      <c r="V1606" s="14"/>
      <c r="W1606" s="14"/>
    </row>
    <row r="1607" ht="31.5" customHeight="1">
      <c r="A1607" s="109" t="s">
        <v>15877</v>
      </c>
      <c r="B1607" s="110" t="s">
        <v>15878</v>
      </c>
      <c r="C1607" s="111" t="s">
        <v>15879</v>
      </c>
      <c r="D1607" s="28" t="s">
        <v>15880</v>
      </c>
      <c r="E1607" s="28" t="str">
        <f>IFERROR(__xludf.DUMMYFUNCTION("GOOGLETRANSLATE(D1607,""zh-CN"",""vi"")"),"Trông hắn rất tự mãn.")</f>
        <v>Trông hắn rất tự mãn.</v>
      </c>
      <c r="F1607" s="137"/>
      <c r="G1607" s="36" t="b">
        <f t="shared" si="1"/>
        <v>0</v>
      </c>
      <c r="H1607" s="35" t="b">
        <v>1</v>
      </c>
      <c r="I1607" s="35" t="b">
        <v>0</v>
      </c>
      <c r="J1607" s="35" t="b">
        <v>0</v>
      </c>
      <c r="K1607" s="35" t="b">
        <v>0</v>
      </c>
      <c r="L1607" s="35" t="b">
        <v>0</v>
      </c>
      <c r="M1607" s="35" t="b">
        <v>0</v>
      </c>
      <c r="N1607" s="35" t="b">
        <v>0</v>
      </c>
      <c r="O1607" s="35" t="b">
        <v>0</v>
      </c>
      <c r="P1607" s="35" t="b">
        <v>0</v>
      </c>
      <c r="Q1607" s="35" t="b">
        <v>0</v>
      </c>
      <c r="R1607" s="14"/>
      <c r="S1607" s="14"/>
      <c r="T1607" s="14"/>
      <c r="U1607" s="14"/>
      <c r="V1607" s="14"/>
      <c r="W1607" s="14"/>
    </row>
    <row r="1608" ht="31.5" customHeight="1">
      <c r="A1608" s="109" t="s">
        <v>15881</v>
      </c>
      <c r="B1608" s="110" t="s">
        <v>15882</v>
      </c>
      <c r="C1608" s="111" t="s">
        <v>15883</v>
      </c>
      <c r="D1608" s="28" t="s">
        <v>15884</v>
      </c>
      <c r="E1608" s="28" t="str">
        <f>IFERROR(__xludf.DUMMYFUNCTION("GOOGLETRANSLATE(D1608,""zh-CN"",""vi"")"),"Vẻ mặt cô ấy rất bình tĩnh.")</f>
        <v>Vẻ mặt cô ấy rất bình tĩnh.</v>
      </c>
      <c r="F1608" s="137"/>
      <c r="G1608" s="36" t="b">
        <f t="shared" si="1"/>
        <v>0</v>
      </c>
      <c r="H1608" s="35" t="b">
        <v>1</v>
      </c>
      <c r="I1608" s="35" t="b">
        <v>0</v>
      </c>
      <c r="J1608" s="35" t="b">
        <v>0</v>
      </c>
      <c r="K1608" s="35" t="b">
        <v>0</v>
      </c>
      <c r="L1608" s="35" t="b">
        <v>0</v>
      </c>
      <c r="M1608" s="35" t="b">
        <v>0</v>
      </c>
      <c r="N1608" s="35" t="b">
        <v>0</v>
      </c>
      <c r="O1608" s="35" t="b">
        <v>0</v>
      </c>
      <c r="P1608" s="35" t="b">
        <v>0</v>
      </c>
      <c r="Q1608" s="35" t="b">
        <v>0</v>
      </c>
      <c r="R1608" s="14"/>
      <c r="S1608" s="14"/>
      <c r="T1608" s="14"/>
      <c r="U1608" s="14"/>
      <c r="V1608" s="14"/>
      <c r="W1608" s="14"/>
    </row>
    <row r="1609" ht="31.5" customHeight="1">
      <c r="A1609" s="109" t="s">
        <v>15885</v>
      </c>
      <c r="B1609" s="110" t="s">
        <v>15886</v>
      </c>
      <c r="C1609" s="111" t="s">
        <v>15222</v>
      </c>
      <c r="D1609" s="28" t="s">
        <v>15887</v>
      </c>
      <c r="E1609" s="28" t="str">
        <f>IFERROR(__xludf.DUMMYFUNCTION("GOOGLETRANSLATE(D1609,""zh-CN"",""vi"")"),"Vẻ mặt anh ta rất nghiêm nghị.")</f>
        <v>Vẻ mặt anh ta rất nghiêm nghị.</v>
      </c>
      <c r="F1609" s="137"/>
      <c r="G1609" s="36" t="b">
        <f t="shared" si="1"/>
        <v>0</v>
      </c>
      <c r="H1609" s="35" t="b">
        <v>1</v>
      </c>
      <c r="I1609" s="35" t="b">
        <v>0</v>
      </c>
      <c r="J1609" s="35" t="b">
        <v>0</v>
      </c>
      <c r="K1609" s="35" t="b">
        <v>0</v>
      </c>
      <c r="L1609" s="35" t="b">
        <v>0</v>
      </c>
      <c r="M1609" s="35" t="b">
        <v>0</v>
      </c>
      <c r="N1609" s="35" t="b">
        <v>0</v>
      </c>
      <c r="O1609" s="35" t="b">
        <v>0</v>
      </c>
      <c r="P1609" s="35" t="b">
        <v>0</v>
      </c>
      <c r="Q1609" s="35" t="b">
        <v>0</v>
      </c>
      <c r="R1609" s="14"/>
      <c r="S1609" s="14"/>
      <c r="T1609" s="14"/>
      <c r="U1609" s="14"/>
      <c r="V1609" s="14"/>
      <c r="W1609" s="14"/>
    </row>
    <row r="1610" ht="31.5" customHeight="1">
      <c r="A1610" s="109" t="s">
        <v>15888</v>
      </c>
      <c r="B1610" s="110" t="s">
        <v>15889</v>
      </c>
      <c r="C1610" s="111" t="s">
        <v>15890</v>
      </c>
      <c r="D1610" s="28" t="s">
        <v>15891</v>
      </c>
      <c r="E1610" s="28" t="str">
        <f>IFERROR(__xludf.DUMMYFUNCTION("GOOGLETRANSLATE(D1610,""zh-CN"",""vi"")"),"Đây là một nhiệm vụ thiêng liêng.")</f>
        <v>Đây là một nhiệm vụ thiêng liêng.</v>
      </c>
      <c r="F1610" s="137"/>
      <c r="G1610" s="36" t="b">
        <f t="shared" si="1"/>
        <v>0</v>
      </c>
      <c r="H1610" s="35" t="b">
        <v>1</v>
      </c>
      <c r="I1610" s="35" t="b">
        <v>0</v>
      </c>
      <c r="J1610" s="35" t="b">
        <v>0</v>
      </c>
      <c r="K1610" s="35" t="b">
        <v>0</v>
      </c>
      <c r="L1610" s="35" t="b">
        <v>0</v>
      </c>
      <c r="M1610" s="35" t="b">
        <v>0</v>
      </c>
      <c r="N1610" s="35" t="b">
        <v>0</v>
      </c>
      <c r="O1610" s="35" t="b">
        <v>0</v>
      </c>
      <c r="P1610" s="35" t="b">
        <v>0</v>
      </c>
      <c r="Q1610" s="35" t="b">
        <v>0</v>
      </c>
      <c r="R1610" s="14"/>
      <c r="S1610" s="14"/>
      <c r="T1610" s="14"/>
      <c r="U1610" s="14"/>
      <c r="V1610" s="14"/>
      <c r="W1610" s="14"/>
    </row>
    <row r="1611" ht="31.5" customHeight="1">
      <c r="A1611" s="109" t="s">
        <v>15892</v>
      </c>
      <c r="B1611" s="110" t="s">
        <v>15893</v>
      </c>
      <c r="C1611" s="111" t="s">
        <v>15894</v>
      </c>
      <c r="D1611" s="28" t="s">
        <v>15895</v>
      </c>
      <c r="E1611" s="28" t="str">
        <f>IFERROR(__xludf.DUMMYFUNCTION("GOOGLETRANSLATE(D1611,""zh-CN"",""vi"")"),"Ông vẫn giữ được sự bình tĩnh và điềm đạm.")</f>
        <v>Ông vẫn giữ được sự bình tĩnh và điềm đạm.</v>
      </c>
      <c r="F1611" s="137"/>
      <c r="G1611" s="36" t="b">
        <f t="shared" si="1"/>
        <v>0</v>
      </c>
      <c r="H1611" s="35" t="b">
        <v>1</v>
      </c>
      <c r="I1611" s="35" t="b">
        <v>0</v>
      </c>
      <c r="J1611" s="35" t="b">
        <v>0</v>
      </c>
      <c r="K1611" s="35" t="b">
        <v>0</v>
      </c>
      <c r="L1611" s="35" t="b">
        <v>0</v>
      </c>
      <c r="M1611" s="35" t="b">
        <v>0</v>
      </c>
      <c r="N1611" s="35" t="b">
        <v>0</v>
      </c>
      <c r="O1611" s="35" t="b">
        <v>0</v>
      </c>
      <c r="P1611" s="35" t="b">
        <v>0</v>
      </c>
      <c r="Q1611" s="35" t="b">
        <v>0</v>
      </c>
      <c r="R1611" s="14"/>
      <c r="S1611" s="14"/>
      <c r="T1611" s="14"/>
      <c r="U1611" s="14"/>
      <c r="V1611" s="14"/>
      <c r="W1611" s="14"/>
    </row>
    <row r="1612" ht="31.5" customHeight="1">
      <c r="A1612" s="109" t="s">
        <v>15896</v>
      </c>
      <c r="B1612" s="110" t="s">
        <v>15897</v>
      </c>
      <c r="C1612" s="111" t="s">
        <v>15898</v>
      </c>
      <c r="D1612" s="28" t="s">
        <v>15899</v>
      </c>
      <c r="E1612" s="28" t="str">
        <f>IFERROR(__xludf.DUMMYFUNCTION("GOOGLETRANSLATE(D1612,""zh-CN"",""vi"")"),"Những câu chuyện về người bất tử rất thú vị.")</f>
        <v>Những câu chuyện về người bất tử rất thú vị.</v>
      </c>
      <c r="F1612" s="137"/>
      <c r="G1612" s="36" t="b">
        <f t="shared" si="1"/>
        <v>0</v>
      </c>
      <c r="H1612" s="35" t="b">
        <v>1</v>
      </c>
      <c r="I1612" s="35" t="b">
        <v>0</v>
      </c>
      <c r="J1612" s="35" t="b">
        <v>0</v>
      </c>
      <c r="K1612" s="35" t="b">
        <v>0</v>
      </c>
      <c r="L1612" s="35" t="b">
        <v>0</v>
      </c>
      <c r="M1612" s="35" t="b">
        <v>0</v>
      </c>
      <c r="N1612" s="35" t="b">
        <v>0</v>
      </c>
      <c r="O1612" s="35" t="b">
        <v>0</v>
      </c>
      <c r="P1612" s="35" t="b">
        <v>0</v>
      </c>
      <c r="Q1612" s="35" t="b">
        <v>0</v>
      </c>
      <c r="R1612" s="14"/>
      <c r="S1612" s="14"/>
      <c r="T1612" s="14"/>
      <c r="U1612" s="14"/>
      <c r="V1612" s="14"/>
      <c r="W1612" s="14"/>
    </row>
    <row r="1613" ht="31.5" customHeight="1">
      <c r="A1613" s="109" t="s">
        <v>15900</v>
      </c>
      <c r="B1613" s="110" t="s">
        <v>15901</v>
      </c>
      <c r="C1613" s="111" t="s">
        <v>15902</v>
      </c>
      <c r="D1613" s="28" t="s">
        <v>15903</v>
      </c>
      <c r="E1613" s="28" t="str">
        <f>IFERROR(__xludf.DUMMYFUNCTION("GOOGLETRANSLATE(D1613,""zh-CN"",""vi"")"),"Chúng ta cần xem xét lại những tài liệu này.")</f>
        <v>Chúng ta cần xem xét lại những tài liệu này.</v>
      </c>
      <c r="F1613" s="137"/>
      <c r="G1613" s="36" t="b">
        <f t="shared" si="1"/>
        <v>0</v>
      </c>
      <c r="H1613" s="35" t="b">
        <v>1</v>
      </c>
      <c r="I1613" s="35" t="b">
        <v>0</v>
      </c>
      <c r="J1613" s="35" t="b">
        <v>0</v>
      </c>
      <c r="K1613" s="35" t="b">
        <v>0</v>
      </c>
      <c r="L1613" s="35" t="b">
        <v>0</v>
      </c>
      <c r="M1613" s="35" t="b">
        <v>0</v>
      </c>
      <c r="N1613" s="35" t="b">
        <v>0</v>
      </c>
      <c r="O1613" s="35" t="b">
        <v>0</v>
      </c>
      <c r="P1613" s="35" t="b">
        <v>0</v>
      </c>
      <c r="Q1613" s="35" t="b">
        <v>0</v>
      </c>
      <c r="R1613" s="14"/>
      <c r="S1613" s="14"/>
      <c r="T1613" s="14"/>
      <c r="U1613" s="14"/>
      <c r="V1613" s="14"/>
      <c r="W1613" s="14"/>
    </row>
    <row r="1614" ht="31.5" customHeight="1">
      <c r="A1614" s="109" t="s">
        <v>15904</v>
      </c>
      <c r="B1614" s="110" t="s">
        <v>15905</v>
      </c>
      <c r="C1614" s="111" t="s">
        <v>15906</v>
      </c>
      <c r="D1614" s="28" t="s">
        <v>15907</v>
      </c>
      <c r="E1614" s="28" t="str">
        <f>IFERROR(__xludf.DUMMYFUNCTION("GOOGLETRANSLATE(D1614,""zh-CN"",""vi"")"),"Tòa án bắt đầu xét xử vụ án.")</f>
        <v>Tòa án bắt đầu xét xử vụ án.</v>
      </c>
      <c r="F1614" s="137"/>
      <c r="G1614" s="36" t="b">
        <f t="shared" si="1"/>
        <v>0</v>
      </c>
      <c r="H1614" s="35" t="b">
        <v>1</v>
      </c>
      <c r="I1614" s="35" t="b">
        <v>0</v>
      </c>
      <c r="J1614" s="35" t="b">
        <v>0</v>
      </c>
      <c r="K1614" s="35" t="b">
        <v>0</v>
      </c>
      <c r="L1614" s="35" t="b">
        <v>0</v>
      </c>
      <c r="M1614" s="35" t="b">
        <v>0</v>
      </c>
      <c r="N1614" s="35" t="b">
        <v>0</v>
      </c>
      <c r="O1614" s="35" t="b">
        <v>0</v>
      </c>
      <c r="P1614" s="35" t="b">
        <v>0</v>
      </c>
      <c r="Q1614" s="35" t="b">
        <v>0</v>
      </c>
      <c r="R1614" s="14"/>
      <c r="S1614" s="14"/>
      <c r="T1614" s="14"/>
      <c r="U1614" s="14"/>
      <c r="V1614" s="14"/>
      <c r="W1614" s="14"/>
    </row>
    <row r="1615" ht="31.5" customHeight="1">
      <c r="A1615" s="109" t="s">
        <v>15908</v>
      </c>
      <c r="B1615" s="110" t="s">
        <v>15909</v>
      </c>
      <c r="C1615" s="111" t="s">
        <v>15910</v>
      </c>
      <c r="D1615" s="28" t="s">
        <v>15911</v>
      </c>
      <c r="E1615" s="28" t="str">
        <f>IFERROR(__xludf.DUMMYFUNCTION("GOOGLETRANSLATE(D1615,""zh-CN"",""vi"")"),"Cô ấy có một quan điểm độc đáo về thẩm mỹ.")</f>
        <v>Cô ấy có một quan điểm độc đáo về thẩm mỹ.</v>
      </c>
      <c r="F1615" s="137"/>
      <c r="G1615" s="36" t="b">
        <f t="shared" si="1"/>
        <v>0</v>
      </c>
      <c r="H1615" s="35" t="b">
        <v>1</v>
      </c>
      <c r="I1615" s="35" t="b">
        <v>0</v>
      </c>
      <c r="J1615" s="35" t="b">
        <v>0</v>
      </c>
      <c r="K1615" s="35" t="b">
        <v>0</v>
      </c>
      <c r="L1615" s="35" t="b">
        <v>0</v>
      </c>
      <c r="M1615" s="35" t="b">
        <v>0</v>
      </c>
      <c r="N1615" s="35" t="b">
        <v>0</v>
      </c>
      <c r="O1615" s="35" t="b">
        <v>0</v>
      </c>
      <c r="P1615" s="35" t="b">
        <v>0</v>
      </c>
      <c r="Q1615" s="35" t="b">
        <v>0</v>
      </c>
      <c r="R1615" s="14"/>
      <c r="S1615" s="14"/>
      <c r="T1615" s="14"/>
      <c r="U1615" s="14"/>
      <c r="V1615" s="14"/>
      <c r="W1615" s="14"/>
    </row>
    <row r="1616" ht="31.5" customHeight="1">
      <c r="A1616" s="109" t="s">
        <v>15912</v>
      </c>
      <c r="B1616" s="110" t="s">
        <v>15913</v>
      </c>
      <c r="C1616" s="111" t="s">
        <v>15914</v>
      </c>
      <c r="D1616" s="28" t="s">
        <v>15915</v>
      </c>
      <c r="E1616" s="28" t="str">
        <f>IFERROR(__xludf.DUMMYFUNCTION("GOOGLETRANSLATE(D1616,""zh-CN"",""vi"")"),"Họ có một thẩm phán và hai thẩm phán.")</f>
        <v>Họ có một thẩm phán và hai thẩm phán.</v>
      </c>
      <c r="F1616" s="137"/>
      <c r="G1616" s="36" t="b">
        <f t="shared" si="1"/>
        <v>0</v>
      </c>
      <c r="H1616" s="35" t="b">
        <v>1</v>
      </c>
      <c r="I1616" s="35" t="b">
        <v>0</v>
      </c>
      <c r="J1616" s="35" t="b">
        <v>0</v>
      </c>
      <c r="K1616" s="35" t="b">
        <v>0</v>
      </c>
      <c r="L1616" s="35" t="b">
        <v>0</v>
      </c>
      <c r="M1616" s="35" t="b">
        <v>0</v>
      </c>
      <c r="N1616" s="35" t="b">
        <v>0</v>
      </c>
      <c r="O1616" s="35" t="b">
        <v>0</v>
      </c>
      <c r="P1616" s="35" t="b">
        <v>0</v>
      </c>
      <c r="Q1616" s="35" t="b">
        <v>0</v>
      </c>
      <c r="R1616" s="14"/>
      <c r="S1616" s="14"/>
      <c r="T1616" s="14"/>
      <c r="U1616" s="14"/>
      <c r="V1616" s="14"/>
      <c r="W1616" s="14"/>
    </row>
    <row r="1617" ht="31.5" customHeight="1">
      <c r="A1617" s="109" t="s">
        <v>15916</v>
      </c>
      <c r="B1617" s="110" t="s">
        <v>15917</v>
      </c>
      <c r="C1617" s="111" t="s">
        <v>15918</v>
      </c>
      <c r="D1617" s="28" t="s">
        <v>15919</v>
      </c>
      <c r="E1617" s="28" t="str">
        <f>IFERROR(__xludf.DUMMYFUNCTION("GOOGLETRANSLATE(D1617,""zh-CN"",""vi"")"),"Thông tin này đã lan truyền khắp mọi nơi.")</f>
        <v>Thông tin này đã lan truyền khắp mọi nơi.</v>
      </c>
      <c r="F1617" s="137"/>
      <c r="G1617" s="36" t="b">
        <f t="shared" si="1"/>
        <v>0</v>
      </c>
      <c r="H1617" s="35" t="b">
        <v>1</v>
      </c>
      <c r="I1617" s="35" t="b">
        <v>0</v>
      </c>
      <c r="J1617" s="35" t="b">
        <v>0</v>
      </c>
      <c r="K1617" s="35" t="b">
        <v>0</v>
      </c>
      <c r="L1617" s="35" t="b">
        <v>0</v>
      </c>
      <c r="M1617" s="35" t="b">
        <v>0</v>
      </c>
      <c r="N1617" s="35" t="b">
        <v>0</v>
      </c>
      <c r="O1617" s="35" t="b">
        <v>0</v>
      </c>
      <c r="P1617" s="35" t="b">
        <v>0</v>
      </c>
      <c r="Q1617" s="35" t="b">
        <v>0</v>
      </c>
      <c r="R1617" s="14"/>
      <c r="S1617" s="14"/>
      <c r="T1617" s="14"/>
      <c r="U1617" s="14"/>
      <c r="V1617" s="14"/>
      <c r="W1617" s="14"/>
    </row>
    <row r="1618" ht="31.5" customHeight="1">
      <c r="A1618" s="109" t="s">
        <v>15920</v>
      </c>
      <c r="B1618" s="110" t="s">
        <v>15921</v>
      </c>
      <c r="C1618" s="111" t="s">
        <v>15922</v>
      </c>
      <c r="D1618" s="28" t="s">
        <v>15923</v>
      </c>
      <c r="E1618" s="28" t="str">
        <f>IFERROR(__xludf.DUMMYFUNCTION("GOOGLETRANSLATE(D1618,""zh-CN"",""vi"")"),"Chúng ta cần cân nhắc điều này một cách cẩn thận.")</f>
        <v>Chúng ta cần cân nhắc điều này một cách cẩn thận.</v>
      </c>
      <c r="F1618" s="137"/>
      <c r="G1618" s="36" t="b">
        <f t="shared" si="1"/>
        <v>0</v>
      </c>
      <c r="H1618" s="35" t="b">
        <v>1</v>
      </c>
      <c r="I1618" s="35" t="b">
        <v>0</v>
      </c>
      <c r="J1618" s="35" t="b">
        <v>0</v>
      </c>
      <c r="K1618" s="35" t="b">
        <v>0</v>
      </c>
      <c r="L1618" s="35" t="b">
        <v>0</v>
      </c>
      <c r="M1618" s="35" t="b">
        <v>0</v>
      </c>
      <c r="N1618" s="35" t="b">
        <v>0</v>
      </c>
      <c r="O1618" s="35" t="b">
        <v>0</v>
      </c>
      <c r="P1618" s="35" t="b">
        <v>0</v>
      </c>
      <c r="Q1618" s="35" t="b">
        <v>0</v>
      </c>
      <c r="R1618" s="14"/>
      <c r="S1618" s="14"/>
      <c r="T1618" s="14"/>
      <c r="U1618" s="14"/>
      <c r="V1618" s="14"/>
      <c r="W1618" s="14"/>
    </row>
    <row r="1619" ht="31.5" customHeight="1">
      <c r="A1619" s="109" t="s">
        <v>15924</v>
      </c>
      <c r="B1619" s="110" t="s">
        <v>15925</v>
      </c>
      <c r="C1619" s="111" t="s">
        <v>15926</v>
      </c>
      <c r="D1619" s="28" t="s">
        <v>15927</v>
      </c>
      <c r="E1619" s="28" t="str">
        <f>IFERROR(__xludf.DUMMYFUNCTION("GOOGLETRANSLATE(D1619,""zh-CN"",""vi"")"),"Trang trại này có rất nhiều gia súc.")</f>
        <v>Trang trại này có rất nhiều gia súc.</v>
      </c>
      <c r="F1619" s="137"/>
      <c r="G1619" s="36" t="b">
        <f t="shared" si="1"/>
        <v>0</v>
      </c>
      <c r="H1619" s="35" t="b">
        <v>1</v>
      </c>
      <c r="I1619" s="35" t="b">
        <v>0</v>
      </c>
      <c r="J1619" s="35" t="b">
        <v>0</v>
      </c>
      <c r="K1619" s="35" t="b">
        <v>0</v>
      </c>
      <c r="L1619" s="35" t="b">
        <v>0</v>
      </c>
      <c r="M1619" s="35" t="b">
        <v>0</v>
      </c>
      <c r="N1619" s="35" t="b">
        <v>0</v>
      </c>
      <c r="O1619" s="35" t="b">
        <v>0</v>
      </c>
      <c r="P1619" s="35" t="b">
        <v>0</v>
      </c>
      <c r="Q1619" s="35" t="b">
        <v>0</v>
      </c>
      <c r="R1619" s="14"/>
      <c r="S1619" s="14"/>
      <c r="T1619" s="14"/>
      <c r="U1619" s="14"/>
      <c r="V1619" s="14"/>
      <c r="W1619" s="14"/>
    </row>
    <row r="1620" ht="31.5" customHeight="1">
      <c r="A1620" s="109" t="s">
        <v>15928</v>
      </c>
      <c r="B1620" s="110" t="s">
        <v>15929</v>
      </c>
      <c r="C1620" s="111" t="s">
        <v>15930</v>
      </c>
      <c r="D1620" s="28" t="s">
        <v>15931</v>
      </c>
      <c r="E1620" s="28" t="str">
        <f>IFERROR(__xludf.DUMMYFUNCTION("GOOGLETRANSLATE(D1620,""zh-CN"",""vi"")"),"Động vật gặp rất nhiều khó khăn để sinh tồn trong tự nhiên.")</f>
        <v>Động vật gặp rất nhiều khó khăn để sinh tồn trong tự nhiên.</v>
      </c>
      <c r="F1620" s="137"/>
      <c r="G1620" s="36" t="b">
        <f t="shared" si="1"/>
        <v>0</v>
      </c>
      <c r="H1620" s="35" t="b">
        <v>1</v>
      </c>
      <c r="I1620" s="35" t="b">
        <v>0</v>
      </c>
      <c r="J1620" s="35" t="b">
        <v>0</v>
      </c>
      <c r="K1620" s="35" t="b">
        <v>0</v>
      </c>
      <c r="L1620" s="35" t="b">
        <v>0</v>
      </c>
      <c r="M1620" s="35" t="b">
        <v>0</v>
      </c>
      <c r="N1620" s="35" t="b">
        <v>0</v>
      </c>
      <c r="O1620" s="35" t="b">
        <v>0</v>
      </c>
      <c r="P1620" s="35" t="b">
        <v>0</v>
      </c>
      <c r="Q1620" s="35" t="b">
        <v>0</v>
      </c>
      <c r="R1620" s="14"/>
      <c r="S1620" s="14"/>
      <c r="T1620" s="14"/>
      <c r="U1620" s="14"/>
      <c r="V1620" s="14"/>
      <c r="W1620" s="14"/>
    </row>
    <row r="1621" ht="31.5" customHeight="1">
      <c r="A1621" s="109" t="s">
        <v>15932</v>
      </c>
      <c r="B1621" s="110" t="s">
        <v>15933</v>
      </c>
      <c r="C1621" s="111" t="s">
        <v>15934</v>
      </c>
      <c r="D1621" s="28" t="s">
        <v>15935</v>
      </c>
      <c r="E1621" s="28" t="str">
        <f>IFERROR(__xludf.DUMMYFUNCTION("GOOGLETRANSLATE(D1621,""zh-CN"",""vi"")"),"Mùa xuân mang đến sự sống mới.")</f>
        <v>Mùa xuân mang đến sự sống mới.</v>
      </c>
      <c r="F1621" s="137"/>
      <c r="G1621" s="36" t="b">
        <f t="shared" si="1"/>
        <v>0</v>
      </c>
      <c r="H1621" s="35" t="b">
        <v>1</v>
      </c>
      <c r="I1621" s="35" t="b">
        <v>0</v>
      </c>
      <c r="J1621" s="35" t="b">
        <v>0</v>
      </c>
      <c r="K1621" s="35" t="b">
        <v>0</v>
      </c>
      <c r="L1621" s="35" t="b">
        <v>0</v>
      </c>
      <c r="M1621" s="35" t="b">
        <v>0</v>
      </c>
      <c r="N1621" s="35" t="b">
        <v>0</v>
      </c>
      <c r="O1621" s="35" t="b">
        <v>0</v>
      </c>
      <c r="P1621" s="35" t="b">
        <v>0</v>
      </c>
      <c r="Q1621" s="35" t="b">
        <v>0</v>
      </c>
      <c r="R1621" s="14"/>
      <c r="S1621" s="14"/>
      <c r="T1621" s="14"/>
      <c r="U1621" s="14"/>
      <c r="V1621" s="14"/>
      <c r="W1621" s="14"/>
    </row>
    <row r="1622" ht="31.5" customHeight="1">
      <c r="A1622" s="109" t="s">
        <v>15936</v>
      </c>
      <c r="B1622" s="110" t="s">
        <v>15937</v>
      </c>
      <c r="C1622" s="111" t="s">
        <v>15938</v>
      </c>
      <c r="D1622" s="28" t="s">
        <v>15939</v>
      </c>
      <c r="E1622" s="28" t="str">
        <f>IFERROR(__xludf.DUMMYFUNCTION("GOOGLETRANSLATE(D1622,""zh-CN"",""vi"")"),"Sức khỏe thể chất rất quan trọng.")</f>
        <v>Sức khỏe thể chất rất quan trọng.</v>
      </c>
      <c r="F1622" s="137"/>
      <c r="G1622" s="36" t="b">
        <f t="shared" si="1"/>
        <v>0</v>
      </c>
      <c r="H1622" s="35" t="b">
        <v>1</v>
      </c>
      <c r="I1622" s="35" t="b">
        <v>0</v>
      </c>
      <c r="J1622" s="35" t="b">
        <v>0</v>
      </c>
      <c r="K1622" s="35" t="b">
        <v>0</v>
      </c>
      <c r="L1622" s="35" t="b">
        <v>0</v>
      </c>
      <c r="M1622" s="35" t="b">
        <v>0</v>
      </c>
      <c r="N1622" s="35" t="b">
        <v>0</v>
      </c>
      <c r="O1622" s="35" t="b">
        <v>0</v>
      </c>
      <c r="P1622" s="35" t="b">
        <v>0</v>
      </c>
      <c r="Q1622" s="35" t="b">
        <v>0</v>
      </c>
      <c r="R1622" s="14"/>
      <c r="S1622" s="14"/>
      <c r="T1622" s="14"/>
      <c r="U1622" s="14"/>
      <c r="V1622" s="14"/>
      <c r="W1622" s="14"/>
    </row>
    <row r="1623" ht="31.5" customHeight="1">
      <c r="A1623" s="109" t="s">
        <v>15940</v>
      </c>
      <c r="B1623" s="110" t="s">
        <v>15941</v>
      </c>
      <c r="C1623" s="111" t="s">
        <v>15942</v>
      </c>
      <c r="D1623" s="28" t="s">
        <v>15943</v>
      </c>
      <c r="E1623" s="28" t="str">
        <f>IFERROR(__xludf.DUMMYFUNCTION("GOOGLETRANSLATE(D1623,""zh-CN"",""vi"")"),"Công ty đã đưa ra một thông cáo quan trọng.")</f>
        <v>Công ty đã đưa ra một thông cáo quan trọng.</v>
      </c>
      <c r="F1623" s="137"/>
      <c r="G1623" s="36" t="b">
        <f t="shared" si="1"/>
        <v>0</v>
      </c>
      <c r="H1623" s="35" t="b">
        <v>1</v>
      </c>
      <c r="I1623" s="35" t="b">
        <v>0</v>
      </c>
      <c r="J1623" s="35" t="b">
        <v>0</v>
      </c>
      <c r="K1623" s="35" t="b">
        <v>0</v>
      </c>
      <c r="L1623" s="35" t="b">
        <v>0</v>
      </c>
      <c r="M1623" s="35" t="b">
        <v>0</v>
      </c>
      <c r="N1623" s="35" t="b">
        <v>0</v>
      </c>
      <c r="O1623" s="35" t="b">
        <v>0</v>
      </c>
      <c r="P1623" s="35" t="b">
        <v>0</v>
      </c>
      <c r="Q1623" s="35" t="b">
        <v>0</v>
      </c>
      <c r="R1623" s="14"/>
      <c r="S1623" s="14"/>
      <c r="T1623" s="14"/>
      <c r="U1623" s="14"/>
      <c r="V1623" s="14"/>
      <c r="W1623" s="14"/>
    </row>
    <row r="1624" ht="31.5" customHeight="1">
      <c r="A1624" s="109" t="s">
        <v>15944</v>
      </c>
      <c r="B1624" s="110" t="s">
        <v>15945</v>
      </c>
      <c r="C1624" s="111" t="s">
        <v>15946</v>
      </c>
      <c r="D1624" s="28" t="s">
        <v>15947</v>
      </c>
      <c r="E1624" s="28" t="str">
        <f>IFERROR(__xludf.DUMMYFUNCTION("GOOGLETRANSLATE(D1624,""zh-CN"",""vi"")"),"Tầm ảnh hưởng của ông ấy đang ngày càng lớn mạnh.")</f>
        <v>Tầm ảnh hưởng của ông ấy đang ngày càng lớn mạnh.</v>
      </c>
      <c r="F1624" s="137"/>
      <c r="G1624" s="36" t="b">
        <f t="shared" si="1"/>
        <v>0</v>
      </c>
      <c r="H1624" s="35" t="b">
        <v>1</v>
      </c>
      <c r="I1624" s="35" t="b">
        <v>0</v>
      </c>
      <c r="J1624" s="35" t="b">
        <v>0</v>
      </c>
      <c r="K1624" s="35" t="b">
        <v>0</v>
      </c>
      <c r="L1624" s="35" t="b">
        <v>0</v>
      </c>
      <c r="M1624" s="35" t="b">
        <v>0</v>
      </c>
      <c r="N1624" s="35" t="b">
        <v>0</v>
      </c>
      <c r="O1624" s="35" t="b">
        <v>0</v>
      </c>
      <c r="P1624" s="35" t="b">
        <v>0</v>
      </c>
      <c r="Q1624" s="35" t="b">
        <v>0</v>
      </c>
      <c r="R1624" s="14"/>
      <c r="S1624" s="14"/>
      <c r="T1624" s="14"/>
      <c r="U1624" s="14"/>
      <c r="V1624" s="14"/>
      <c r="W1624" s="14"/>
    </row>
    <row r="1625" ht="31.5" customHeight="1">
      <c r="A1625" s="109" t="s">
        <v>15948</v>
      </c>
      <c r="B1625" s="110" t="s">
        <v>15949</v>
      </c>
      <c r="C1625" s="111" t="s">
        <v>15950</v>
      </c>
      <c r="D1625" s="28" t="s">
        <v>15951</v>
      </c>
      <c r="E1625" s="28" t="str">
        <f>IFERROR(__xludf.DUMMYFUNCTION("GOOGLETRANSLATE(D1625,""zh-CN"",""vi"")"),"Anh ấy cảm thấy không quen thuộc với môi trường mới.")</f>
        <v>Anh ấy cảm thấy không quen thuộc với môi trường mới.</v>
      </c>
      <c r="F1625" s="137"/>
      <c r="G1625" s="36" t="b">
        <f t="shared" si="1"/>
        <v>0</v>
      </c>
      <c r="H1625" s="35" t="b">
        <v>1</v>
      </c>
      <c r="I1625" s="35" t="b">
        <v>0</v>
      </c>
      <c r="J1625" s="35" t="b">
        <v>0</v>
      </c>
      <c r="K1625" s="35" t="b">
        <v>0</v>
      </c>
      <c r="L1625" s="35" t="b">
        <v>0</v>
      </c>
      <c r="M1625" s="35" t="b">
        <v>0</v>
      </c>
      <c r="N1625" s="35" t="b">
        <v>0</v>
      </c>
      <c r="O1625" s="35" t="b">
        <v>0</v>
      </c>
      <c r="P1625" s="35" t="b">
        <v>0</v>
      </c>
      <c r="Q1625" s="35" t="b">
        <v>0</v>
      </c>
      <c r="R1625" s="14"/>
      <c r="S1625" s="14"/>
      <c r="T1625" s="14"/>
      <c r="U1625" s="14"/>
      <c r="V1625" s="14"/>
      <c r="W1625" s="14"/>
    </row>
    <row r="1626" ht="31.5" customHeight="1">
      <c r="A1626" s="109" t="s">
        <v>15952</v>
      </c>
      <c r="B1626" s="110" t="s">
        <v>15953</v>
      </c>
      <c r="C1626" s="111" t="s">
        <v>15954</v>
      </c>
      <c r="D1626" s="28" t="s">
        <v>15955</v>
      </c>
      <c r="E1626" s="28" t="str">
        <f>IFERROR(__xludf.DUMMYFUNCTION("GOOGLETRANSLATE(D1626,""zh-CN"",""vi"")"),"Bảo vệ môi trường sinh thái là vô cùng quan trọng.")</f>
        <v>Bảo vệ môi trường sinh thái là vô cùng quan trọng.</v>
      </c>
      <c r="F1626" s="137"/>
      <c r="G1626" s="36" t="b">
        <f t="shared" si="1"/>
        <v>0</v>
      </c>
      <c r="H1626" s="35" t="b">
        <v>1</v>
      </c>
      <c r="I1626" s="35" t="b">
        <v>0</v>
      </c>
      <c r="J1626" s="35" t="b">
        <v>0</v>
      </c>
      <c r="K1626" s="35" t="b">
        <v>0</v>
      </c>
      <c r="L1626" s="35" t="b">
        <v>0</v>
      </c>
      <c r="M1626" s="35" t="b">
        <v>0</v>
      </c>
      <c r="N1626" s="35" t="b">
        <v>0</v>
      </c>
      <c r="O1626" s="35" t="b">
        <v>0</v>
      </c>
      <c r="P1626" s="35" t="b">
        <v>0</v>
      </c>
      <c r="Q1626" s="35" t="b">
        <v>0</v>
      </c>
      <c r="R1626" s="14"/>
      <c r="S1626" s="14"/>
      <c r="T1626" s="14"/>
      <c r="U1626" s="14"/>
      <c r="V1626" s="14"/>
      <c r="W1626" s="14"/>
    </row>
    <row r="1627" ht="31.5" customHeight="1">
      <c r="A1627" s="109" t="s">
        <v>15956</v>
      </c>
      <c r="B1627" s="110" t="s">
        <v>15957</v>
      </c>
      <c r="C1627" s="111" t="s">
        <v>15958</v>
      </c>
      <c r="D1627" s="28" t="s">
        <v>15959</v>
      </c>
      <c r="E1627" s="28" t="str">
        <f>IFERROR(__xludf.DUMMYFUNCTION("GOOGLETRANSLATE(D1627,""zh-CN"",""vi"")"),"Đa dạng sinh học rất quan trọng đối với sự cân bằng sinh thái.")</f>
        <v>Đa dạng sinh học rất quan trọng đối với sự cân bằng sinh thái.</v>
      </c>
      <c r="F1627" s="137"/>
      <c r="G1627" s="36" t="b">
        <f t="shared" si="1"/>
        <v>0</v>
      </c>
      <c r="H1627" s="35" t="b">
        <v>1</v>
      </c>
      <c r="I1627" s="35" t="b">
        <v>0</v>
      </c>
      <c r="J1627" s="35" t="b">
        <v>0</v>
      </c>
      <c r="K1627" s="35" t="b">
        <v>0</v>
      </c>
      <c r="L1627" s="35" t="b">
        <v>0</v>
      </c>
      <c r="M1627" s="35" t="b">
        <v>0</v>
      </c>
      <c r="N1627" s="35" t="b">
        <v>0</v>
      </c>
      <c r="O1627" s="35" t="b">
        <v>0</v>
      </c>
      <c r="P1627" s="35" t="b">
        <v>0</v>
      </c>
      <c r="Q1627" s="35" t="b">
        <v>0</v>
      </c>
      <c r="R1627" s="14"/>
      <c r="S1627" s="14"/>
      <c r="T1627" s="14"/>
      <c r="U1627" s="14"/>
      <c r="V1627" s="14"/>
      <c r="W1627" s="14"/>
    </row>
    <row r="1628" ht="31.5" customHeight="1">
      <c r="A1628" s="109" t="s">
        <v>15960</v>
      </c>
      <c r="B1628" s="110" t="s">
        <v>15961</v>
      </c>
      <c r="C1628" s="111" t="s">
        <v>15962</v>
      </c>
      <c r="D1628" s="28" t="s">
        <v>15963</v>
      </c>
      <c r="E1628" s="28" t="str">
        <f>IFERROR(__xludf.DUMMYFUNCTION("GOOGLETRANSLATE(D1628,""zh-CN"",""vi"")"),"Luật đã có hiệu lực.")</f>
        <v>Luật đã có hiệu lực.</v>
      </c>
      <c r="F1628" s="137"/>
      <c r="G1628" s="36" t="b">
        <f t="shared" si="1"/>
        <v>0</v>
      </c>
      <c r="H1628" s="35" t="b">
        <v>1</v>
      </c>
      <c r="I1628" s="35" t="b">
        <v>0</v>
      </c>
      <c r="J1628" s="35" t="b">
        <v>0</v>
      </c>
      <c r="K1628" s="35" t="b">
        <v>0</v>
      </c>
      <c r="L1628" s="35" t="b">
        <v>0</v>
      </c>
      <c r="M1628" s="35" t="b">
        <v>0</v>
      </c>
      <c r="N1628" s="35" t="b">
        <v>0</v>
      </c>
      <c r="O1628" s="35" t="b">
        <v>0</v>
      </c>
      <c r="P1628" s="35" t="b">
        <v>0</v>
      </c>
      <c r="Q1628" s="35" t="b">
        <v>0</v>
      </c>
      <c r="R1628" s="14"/>
      <c r="S1628" s="14"/>
      <c r="T1628" s="14"/>
      <c r="U1628" s="14"/>
      <c r="V1628" s="14"/>
      <c r="W1628" s="14"/>
    </row>
    <row r="1629" ht="31.5" customHeight="1">
      <c r="A1629" s="109" t="s">
        <v>15964</v>
      </c>
      <c r="B1629" s="110" t="s">
        <v>15965</v>
      </c>
      <c r="C1629" s="111" t="s">
        <v>15966</v>
      </c>
      <c r="D1629" s="28" t="s">
        <v>15967</v>
      </c>
      <c r="E1629" s="28" t="str">
        <f>IFERROR(__xludf.DUMMYFUNCTION("GOOGLETRANSLATE(D1629,""zh-CN"",""vi"")"),"Sắt sẽ bị gỉ trong môi trường ẩm ướt.")</f>
        <v>Sắt sẽ bị gỉ trong môi trường ẩm ướt.</v>
      </c>
      <c r="F1629" s="137"/>
      <c r="G1629" s="36" t="b">
        <f t="shared" si="1"/>
        <v>0</v>
      </c>
      <c r="H1629" s="35" t="b">
        <v>1</v>
      </c>
      <c r="I1629" s="35" t="b">
        <v>0</v>
      </c>
      <c r="J1629" s="35" t="b">
        <v>0</v>
      </c>
      <c r="K1629" s="35" t="b">
        <v>0</v>
      </c>
      <c r="L1629" s="35" t="b">
        <v>0</v>
      </c>
      <c r="M1629" s="35" t="b">
        <v>0</v>
      </c>
      <c r="N1629" s="35" t="b">
        <v>0</v>
      </c>
      <c r="O1629" s="35" t="b">
        <v>0</v>
      </c>
      <c r="P1629" s="35" t="b">
        <v>0</v>
      </c>
      <c r="Q1629" s="35" t="b">
        <v>0</v>
      </c>
      <c r="R1629" s="14"/>
      <c r="S1629" s="14"/>
      <c r="T1629" s="14"/>
      <c r="U1629" s="14"/>
      <c r="V1629" s="14"/>
      <c r="W1629" s="14"/>
    </row>
    <row r="1630" ht="31.5" customHeight="1">
      <c r="A1630" s="109" t="s">
        <v>15968</v>
      </c>
      <c r="B1630" s="110" t="s">
        <v>15969</v>
      </c>
      <c r="C1630" s="111" t="s">
        <v>15970</v>
      </c>
      <c r="D1630" s="28" t="s">
        <v>15971</v>
      </c>
      <c r="E1630" s="28" t="str">
        <f>IFERROR(__xludf.DUMMYFUNCTION("GOOGLETRANSLATE(D1630,""zh-CN"",""vi"")"),"Chính sách kế hoạch hóa gia đình rất phổ biến ở Trung Quốc.")</f>
        <v>Chính sách kế hoạch hóa gia đình rất phổ biến ở Trung Quốc.</v>
      </c>
      <c r="F1630" s="137"/>
      <c r="G1630" s="36" t="b">
        <f t="shared" si="1"/>
        <v>0</v>
      </c>
      <c r="H1630" s="35" t="b">
        <v>1</v>
      </c>
      <c r="I1630" s="35" t="b">
        <v>0</v>
      </c>
      <c r="J1630" s="35" t="b">
        <v>0</v>
      </c>
      <c r="K1630" s="35" t="b">
        <v>0</v>
      </c>
      <c r="L1630" s="35" t="b">
        <v>0</v>
      </c>
      <c r="M1630" s="35" t="b">
        <v>0</v>
      </c>
      <c r="N1630" s="35" t="b">
        <v>0</v>
      </c>
      <c r="O1630" s="35" t="b">
        <v>0</v>
      </c>
      <c r="P1630" s="35" t="b">
        <v>0</v>
      </c>
      <c r="Q1630" s="35" t="b">
        <v>0</v>
      </c>
      <c r="R1630" s="14"/>
      <c r="S1630" s="14"/>
      <c r="T1630" s="14"/>
      <c r="U1630" s="14"/>
      <c r="V1630" s="14"/>
      <c r="W1630" s="14"/>
    </row>
    <row r="1631" ht="31.5" customHeight="1">
      <c r="A1631" s="109" t="s">
        <v>15972</v>
      </c>
      <c r="B1631" s="110" t="s">
        <v>15969</v>
      </c>
      <c r="C1631" s="111" t="s">
        <v>15973</v>
      </c>
      <c r="D1631" s="28" t="s">
        <v>15974</v>
      </c>
      <c r="E1631" s="28" t="str">
        <f>IFERROR(__xludf.DUMMYFUNCTION("GOOGLETRANSLATE(D1631,""zh-CN"",""vi"")"),"Ông ấy có danh tiếng rất cao trên phạm vi quốc tế.")</f>
        <v>Ông ấy có danh tiếng rất cao trên phạm vi quốc tế.</v>
      </c>
      <c r="F1631" s="137"/>
      <c r="G1631" s="36" t="b">
        <f t="shared" si="1"/>
        <v>0</v>
      </c>
      <c r="H1631" s="35" t="b">
        <v>1</v>
      </c>
      <c r="I1631" s="35" t="b">
        <v>0</v>
      </c>
      <c r="J1631" s="35" t="b">
        <v>0</v>
      </c>
      <c r="K1631" s="35" t="b">
        <v>0</v>
      </c>
      <c r="L1631" s="35" t="b">
        <v>0</v>
      </c>
      <c r="M1631" s="35" t="b">
        <v>0</v>
      </c>
      <c r="N1631" s="35" t="b">
        <v>0</v>
      </c>
      <c r="O1631" s="35" t="b">
        <v>0</v>
      </c>
      <c r="P1631" s="35" t="b">
        <v>0</v>
      </c>
      <c r="Q1631" s="35" t="b">
        <v>0</v>
      </c>
      <c r="R1631" s="14"/>
      <c r="S1631" s="14"/>
      <c r="T1631" s="14"/>
      <c r="U1631" s="14"/>
      <c r="V1631" s="14"/>
      <c r="W1631" s="14"/>
    </row>
    <row r="1632" ht="31.5" customHeight="1">
      <c r="A1632" s="109" t="s">
        <v>15975</v>
      </c>
      <c r="B1632" s="110" t="s">
        <v>15976</v>
      </c>
      <c r="C1632" s="111" t="s">
        <v>15977</v>
      </c>
      <c r="D1632" s="28" t="s">
        <v>15978</v>
      </c>
      <c r="E1632" s="28" t="str">
        <f>IFERROR(__xludf.DUMMYFUNCTION("GOOGLETRANSLATE(D1632,""zh-CN"",""vi"")"),"Thủ phủ tỉnh thường là trung tâm chính trị của tỉnh.")</f>
        <v>Thủ phủ tỉnh thường là trung tâm chính trị của tỉnh.</v>
      </c>
      <c r="F1632" s="137"/>
      <c r="G1632" s="36" t="b">
        <f t="shared" si="1"/>
        <v>0</v>
      </c>
      <c r="H1632" s="35" t="b">
        <v>1</v>
      </c>
      <c r="I1632" s="35" t="b">
        <v>0</v>
      </c>
      <c r="J1632" s="35" t="b">
        <v>0</v>
      </c>
      <c r="K1632" s="35" t="b">
        <v>0</v>
      </c>
      <c r="L1632" s="35" t="b">
        <v>0</v>
      </c>
      <c r="M1632" s="35" t="b">
        <v>0</v>
      </c>
      <c r="N1632" s="35" t="b">
        <v>0</v>
      </c>
      <c r="O1632" s="35" t="b">
        <v>0</v>
      </c>
      <c r="P1632" s="35" t="b">
        <v>0</v>
      </c>
      <c r="Q1632" s="35" t="b">
        <v>0</v>
      </c>
      <c r="R1632" s="14"/>
      <c r="S1632" s="14"/>
      <c r="T1632" s="14"/>
      <c r="U1632" s="14"/>
      <c r="V1632" s="14"/>
      <c r="W1632" s="14"/>
    </row>
    <row r="1633" ht="31.5" customHeight="1">
      <c r="A1633" s="109" t="s">
        <v>15979</v>
      </c>
      <c r="B1633" s="110" t="s">
        <v>15980</v>
      </c>
      <c r="C1633" s="111" t="s">
        <v>15981</v>
      </c>
      <c r="D1633" s="28" t="s">
        <v>15982</v>
      </c>
      <c r="E1633" s="28" t="str">
        <f>IFERROR(__xludf.DUMMYFUNCTION("GOOGLETRANSLATE(D1633,""zh-CN"",""vi"")"),"Khu vực này nổi tiếng với sản xuất trái cây.")</f>
        <v>Khu vực này nổi tiếng với sản xuất trái cây.</v>
      </c>
      <c r="F1633" s="137"/>
      <c r="G1633" s="36" t="b">
        <f t="shared" si="1"/>
        <v>0</v>
      </c>
      <c r="H1633" s="35" t="b">
        <v>1</v>
      </c>
      <c r="I1633" s="35" t="b">
        <v>0</v>
      </c>
      <c r="J1633" s="35" t="b">
        <v>0</v>
      </c>
      <c r="K1633" s="35" t="b">
        <v>0</v>
      </c>
      <c r="L1633" s="35" t="b">
        <v>0</v>
      </c>
      <c r="M1633" s="35" t="b">
        <v>0</v>
      </c>
      <c r="N1633" s="35" t="b">
        <v>0</v>
      </c>
      <c r="O1633" s="35" t="b">
        <v>0</v>
      </c>
      <c r="P1633" s="35" t="b">
        <v>0</v>
      </c>
      <c r="Q1633" s="35" t="b">
        <v>0</v>
      </c>
      <c r="R1633" s="14"/>
      <c r="S1633" s="14"/>
      <c r="T1633" s="14"/>
      <c r="U1633" s="14"/>
      <c r="V1633" s="14"/>
      <c r="W1633" s="14"/>
    </row>
    <row r="1634" ht="31.5" customHeight="1">
      <c r="A1634" s="109" t="s">
        <v>15983</v>
      </c>
      <c r="B1634" s="110" t="s">
        <v>15984</v>
      </c>
      <c r="C1634" s="111" t="s">
        <v>15985</v>
      </c>
      <c r="D1634" s="28" t="s">
        <v>15986</v>
      </c>
      <c r="E1634" s="28" t="str">
        <f>IFERROR(__xludf.DUMMYFUNCTION("GOOGLETRANSLATE(D1634,""zh-CN"",""vi"")"),"Kết quả trận đấu phụ thuộc vào ai thắng và ai thua.")</f>
        <v>Kết quả trận đấu phụ thuộc vào ai thắng và ai thua.</v>
      </c>
      <c r="F1634" s="137"/>
      <c r="G1634" s="36" t="b">
        <f t="shared" si="1"/>
        <v>0</v>
      </c>
      <c r="H1634" s="35" t="b">
        <v>1</v>
      </c>
      <c r="I1634" s="35" t="b">
        <v>0</v>
      </c>
      <c r="J1634" s="35" t="b">
        <v>0</v>
      </c>
      <c r="K1634" s="35" t="b">
        <v>0</v>
      </c>
      <c r="L1634" s="35" t="b">
        <v>0</v>
      </c>
      <c r="M1634" s="35" t="b">
        <v>0</v>
      </c>
      <c r="N1634" s="35" t="b">
        <v>0</v>
      </c>
      <c r="O1634" s="35" t="b">
        <v>0</v>
      </c>
      <c r="P1634" s="35" t="b">
        <v>0</v>
      </c>
      <c r="Q1634" s="35" t="b">
        <v>0</v>
      </c>
      <c r="R1634" s="14"/>
      <c r="S1634" s="14"/>
      <c r="T1634" s="14"/>
      <c r="U1634" s="14"/>
      <c r="V1634" s="14"/>
      <c r="W1634" s="14"/>
    </row>
    <row r="1635" ht="31.5" customHeight="1">
      <c r="A1635" s="109" t="s">
        <v>15987</v>
      </c>
      <c r="B1635" s="110" t="s">
        <v>15988</v>
      </c>
      <c r="C1635" s="111" t="s">
        <v>15989</v>
      </c>
      <c r="D1635" s="28" t="s">
        <v>15990</v>
      </c>
      <c r="E1635" s="28" t="str">
        <f>IFERROR(__xludf.DUMMYFUNCTION("GOOGLETRANSLATE(D1635,""zh-CN"",""vi"")"),"Mùa xuân đến, hoa nở rộ.")</f>
        <v>Mùa xuân đến, hoa nở rộ.</v>
      </c>
      <c r="F1635" s="137"/>
      <c r="G1635" s="36" t="b">
        <f t="shared" si="1"/>
        <v>0</v>
      </c>
      <c r="H1635" s="35" t="b">
        <v>1</v>
      </c>
      <c r="I1635" s="35" t="b">
        <v>0</v>
      </c>
      <c r="J1635" s="35" t="b">
        <v>0</v>
      </c>
      <c r="K1635" s="35" t="b">
        <v>0</v>
      </c>
      <c r="L1635" s="35" t="b">
        <v>0</v>
      </c>
      <c r="M1635" s="35" t="b">
        <v>0</v>
      </c>
      <c r="N1635" s="35" t="b">
        <v>0</v>
      </c>
      <c r="O1635" s="35" t="b">
        <v>0</v>
      </c>
      <c r="P1635" s="35" t="b">
        <v>0</v>
      </c>
      <c r="Q1635" s="35" t="b">
        <v>0</v>
      </c>
      <c r="R1635" s="14"/>
      <c r="S1635" s="14"/>
      <c r="T1635" s="14"/>
      <c r="U1635" s="14"/>
      <c r="V1635" s="14"/>
      <c r="W1635" s="14"/>
    </row>
    <row r="1636" ht="31.5" customHeight="1">
      <c r="A1636" s="109" t="s">
        <v>15991</v>
      </c>
      <c r="B1636" s="110" t="s">
        <v>15992</v>
      </c>
      <c r="C1636" s="111" t="s">
        <v>15993</v>
      </c>
      <c r="D1636" s="28" t="s">
        <v>15994</v>
      </c>
      <c r="E1636" s="28" t="str">
        <f>IFERROR(__xludf.DUMMYFUNCTION("GOOGLETRANSLATE(D1636,""zh-CN"",""vi"")"),"Ông ấy đã chào đón chúng tôi rất nồng nhiệt.")</f>
        <v>Ông ấy đã chào đón chúng tôi rất nồng nhiệt.</v>
      </c>
      <c r="F1636" s="137"/>
      <c r="G1636" s="36" t="b">
        <f t="shared" si="1"/>
        <v>0</v>
      </c>
      <c r="H1636" s="35" t="b">
        <v>1</v>
      </c>
      <c r="I1636" s="35" t="b">
        <v>0</v>
      </c>
      <c r="J1636" s="35" t="b">
        <v>0</v>
      </c>
      <c r="K1636" s="35" t="b">
        <v>0</v>
      </c>
      <c r="L1636" s="35" t="b">
        <v>0</v>
      </c>
      <c r="M1636" s="35" t="b">
        <v>0</v>
      </c>
      <c r="N1636" s="35" t="b">
        <v>0</v>
      </c>
      <c r="O1636" s="35" t="b">
        <v>0</v>
      </c>
      <c r="P1636" s="35" t="b">
        <v>0</v>
      </c>
      <c r="Q1636" s="35" t="b">
        <v>0</v>
      </c>
      <c r="R1636" s="14"/>
      <c r="S1636" s="14"/>
      <c r="T1636" s="14"/>
      <c r="U1636" s="14"/>
      <c r="V1636" s="14"/>
      <c r="W1636" s="14"/>
    </row>
    <row r="1637" ht="31.5" customHeight="1">
      <c r="A1637" s="109" t="s">
        <v>15995</v>
      </c>
      <c r="B1637" s="110" t="s">
        <v>15996</v>
      </c>
      <c r="C1637" s="111" t="s">
        <v>15997</v>
      </c>
      <c r="D1637" s="28" t="s">
        <v>15998</v>
      </c>
      <c r="E1637" s="28" t="str">
        <f>IFERROR(__xludf.DUMMYFUNCTION("GOOGLETRANSLATE(D1637,""zh-CN"",""vi"")"),"Phong cách này rất phổ biến ở địa phương.")</f>
        <v>Phong cách này rất phổ biến ở địa phương.</v>
      </c>
      <c r="F1637" s="137"/>
      <c r="G1637" s="36" t="b">
        <f t="shared" si="1"/>
        <v>0</v>
      </c>
      <c r="H1637" s="35" t="b">
        <v>1</v>
      </c>
      <c r="I1637" s="35" t="b">
        <v>0</v>
      </c>
      <c r="J1637" s="35" t="b">
        <v>0</v>
      </c>
      <c r="K1637" s="35" t="b">
        <v>0</v>
      </c>
      <c r="L1637" s="35" t="b">
        <v>0</v>
      </c>
      <c r="M1637" s="35" t="b">
        <v>0</v>
      </c>
      <c r="N1637" s="35" t="b">
        <v>0</v>
      </c>
      <c r="O1637" s="35" t="b">
        <v>0</v>
      </c>
      <c r="P1637" s="35" t="b">
        <v>0</v>
      </c>
      <c r="Q1637" s="35" t="b">
        <v>0</v>
      </c>
      <c r="R1637" s="14"/>
      <c r="S1637" s="14"/>
      <c r="T1637" s="14"/>
      <c r="U1637" s="14"/>
      <c r="V1637" s="14"/>
      <c r="W1637" s="14"/>
    </row>
    <row r="1638" ht="31.5" customHeight="1">
      <c r="A1638" s="109" t="s">
        <v>15999</v>
      </c>
      <c r="B1638" s="110" t="s">
        <v>16000</v>
      </c>
      <c r="C1638" s="111" t="s">
        <v>16001</v>
      </c>
      <c r="D1638" s="28" t="s">
        <v>16002</v>
      </c>
      <c r="E1638" s="28" t="str">
        <f>IFERROR(__xludf.DUMMYFUNCTION("GOOGLETRANSLATE(D1638,""zh-CN"",""vi"")"),"Anh ấy đang theo học tại một trường cao đẳng sư phạm.")</f>
        <v>Anh ấy đang theo học tại một trường cao đẳng sư phạm.</v>
      </c>
      <c r="F1638" s="137"/>
      <c r="G1638" s="36" t="b">
        <f t="shared" si="1"/>
        <v>0</v>
      </c>
      <c r="H1638" s="35" t="b">
        <v>1</v>
      </c>
      <c r="I1638" s="35" t="b">
        <v>0</v>
      </c>
      <c r="J1638" s="35" t="b">
        <v>0</v>
      </c>
      <c r="K1638" s="35" t="b">
        <v>0</v>
      </c>
      <c r="L1638" s="35" t="b">
        <v>0</v>
      </c>
      <c r="M1638" s="35" t="b">
        <v>0</v>
      </c>
      <c r="N1638" s="35" t="b">
        <v>0</v>
      </c>
      <c r="O1638" s="35" t="b">
        <v>0</v>
      </c>
      <c r="P1638" s="35" t="b">
        <v>0</v>
      </c>
      <c r="Q1638" s="35" t="b">
        <v>0</v>
      </c>
      <c r="R1638" s="14"/>
      <c r="S1638" s="14"/>
      <c r="T1638" s="14"/>
      <c r="U1638" s="14"/>
      <c r="V1638" s="14"/>
      <c r="W1638" s="14"/>
    </row>
    <row r="1639" ht="31.5" customHeight="1">
      <c r="A1639" s="109" t="s">
        <v>16003</v>
      </c>
      <c r="B1639" s="110" t="s">
        <v>16004</v>
      </c>
      <c r="C1639" s="111" t="s">
        <v>16005</v>
      </c>
      <c r="D1639" s="28" t="s">
        <v>16006</v>
      </c>
      <c r="E1639" s="28" t="str">
        <f>IFERROR(__xludf.DUMMYFUNCTION("GOOGLETRANSLATE(D1639,""zh-CN"",""vi"")"),"Chúng ta phải gây áp lực.")</f>
        <v>Chúng ta phải gây áp lực.</v>
      </c>
      <c r="F1639" s="137"/>
      <c r="G1639" s="36" t="b">
        <f t="shared" si="1"/>
        <v>0</v>
      </c>
      <c r="H1639" s="35" t="b">
        <v>1</v>
      </c>
      <c r="I1639" s="35" t="b">
        <v>0</v>
      </c>
      <c r="J1639" s="35" t="b">
        <v>0</v>
      </c>
      <c r="K1639" s="35" t="b">
        <v>0</v>
      </c>
      <c r="L1639" s="35" t="b">
        <v>0</v>
      </c>
      <c r="M1639" s="35" t="b">
        <v>0</v>
      </c>
      <c r="N1639" s="35" t="b">
        <v>0</v>
      </c>
      <c r="O1639" s="35" t="b">
        <v>0</v>
      </c>
      <c r="P1639" s="35" t="b">
        <v>0</v>
      </c>
      <c r="Q1639" s="35" t="b">
        <v>0</v>
      </c>
      <c r="R1639" s="14"/>
      <c r="S1639" s="14"/>
      <c r="T1639" s="14"/>
      <c r="U1639" s="14"/>
      <c r="V1639" s="14"/>
      <c r="W1639" s="14"/>
    </row>
    <row r="1640" ht="31.5" customHeight="1">
      <c r="A1640" s="109" t="s">
        <v>16007</v>
      </c>
      <c r="B1640" s="110" t="s">
        <v>16008</v>
      </c>
      <c r="C1640" s="111" t="s">
        <v>16009</v>
      </c>
      <c r="D1640" s="28" t="s">
        <v>16010</v>
      </c>
      <c r="E1640" s="28" t="str">
        <f>IFERROR(__xludf.DUMMYFUNCTION("GOOGLETRANSLATE(D1640,""zh-CN"",""vi"")"),"Họ đã tìm thấy thi thể.")</f>
        <v>Họ đã tìm thấy thi thể.</v>
      </c>
      <c r="F1640" s="137"/>
      <c r="G1640" s="36" t="b">
        <f t="shared" si="1"/>
        <v>0</v>
      </c>
      <c r="H1640" s="35" t="b">
        <v>1</v>
      </c>
      <c r="I1640" s="35" t="b">
        <v>0</v>
      </c>
      <c r="J1640" s="35" t="b">
        <v>0</v>
      </c>
      <c r="K1640" s="35" t="b">
        <v>0</v>
      </c>
      <c r="L1640" s="35" t="b">
        <v>0</v>
      </c>
      <c r="M1640" s="35" t="b">
        <v>0</v>
      </c>
      <c r="N1640" s="35" t="b">
        <v>0</v>
      </c>
      <c r="O1640" s="35" t="b">
        <v>0</v>
      </c>
      <c r="P1640" s="35" t="b">
        <v>0</v>
      </c>
      <c r="Q1640" s="35" t="b">
        <v>0</v>
      </c>
      <c r="R1640" s="14"/>
      <c r="S1640" s="14"/>
      <c r="T1640" s="14"/>
      <c r="U1640" s="14"/>
      <c r="V1640" s="14"/>
      <c r="W1640" s="14"/>
    </row>
    <row r="1641" ht="31.5" customHeight="1">
      <c r="A1641" s="109" t="s">
        <v>16011</v>
      </c>
      <c r="B1641" s="110" t="s">
        <v>16012</v>
      </c>
      <c r="C1641" s="111" t="s">
        <v>16013</v>
      </c>
      <c r="D1641" s="28" t="s">
        <v>16014</v>
      </c>
      <c r="E1641" s="28" t="str">
        <f>IFERROR(__xludf.DUMMYFUNCTION("GOOGLETRANSLATE(D1641,""zh-CN"",""vi"")"),"Ông ấy đã mắc một số lỗi trong bài phát biểu của mình.")</f>
        <v>Ông ấy đã mắc một số lỗi trong bài phát biểu của mình.</v>
      </c>
      <c r="F1641" s="137"/>
      <c r="G1641" s="36" t="b">
        <f t="shared" si="1"/>
        <v>0</v>
      </c>
      <c r="H1641" s="35" t="b">
        <v>1</v>
      </c>
      <c r="I1641" s="35" t="b">
        <v>0</v>
      </c>
      <c r="J1641" s="35" t="b">
        <v>0</v>
      </c>
      <c r="K1641" s="35" t="b">
        <v>0</v>
      </c>
      <c r="L1641" s="35" t="b">
        <v>0</v>
      </c>
      <c r="M1641" s="35" t="b">
        <v>0</v>
      </c>
      <c r="N1641" s="35" t="b">
        <v>0</v>
      </c>
      <c r="O1641" s="35" t="b">
        <v>0</v>
      </c>
      <c r="P1641" s="35" t="b">
        <v>0</v>
      </c>
      <c r="Q1641" s="35" t="b">
        <v>0</v>
      </c>
      <c r="R1641" s="14"/>
      <c r="S1641" s="14"/>
      <c r="T1641" s="14"/>
      <c r="U1641" s="14"/>
      <c r="V1641" s="14"/>
      <c r="W1641" s="14"/>
    </row>
    <row r="1642" ht="31.5" customHeight="1">
      <c r="A1642" s="109" t="s">
        <v>16015</v>
      </c>
      <c r="B1642" s="110" t="s">
        <v>16016</v>
      </c>
      <c r="C1642" s="111" t="s">
        <v>16017</v>
      </c>
      <c r="D1642" s="28" t="s">
        <v>16018</v>
      </c>
      <c r="E1642" s="28" t="str">
        <f>IFERROR(__xludf.DUMMYFUNCTION("GOOGLETRANSLATE(D1642,""zh-CN"",""vi"")"),"Cô ấy đã thể hiện hết sức mạnh của mình trong trận đấu.")</f>
        <v>Cô ấy đã thể hiện hết sức mạnh của mình trong trận đấu.</v>
      </c>
      <c r="F1642" s="137"/>
      <c r="G1642" s="36" t="b">
        <f t="shared" si="1"/>
        <v>0</v>
      </c>
      <c r="H1642" s="35" t="b">
        <v>1</v>
      </c>
      <c r="I1642" s="35" t="b">
        <v>0</v>
      </c>
      <c r="J1642" s="35" t="b">
        <v>0</v>
      </c>
      <c r="K1642" s="35" t="b">
        <v>0</v>
      </c>
      <c r="L1642" s="35" t="b">
        <v>0</v>
      </c>
      <c r="M1642" s="35" t="b">
        <v>0</v>
      </c>
      <c r="N1642" s="35" t="b">
        <v>0</v>
      </c>
      <c r="O1642" s="35" t="b">
        <v>0</v>
      </c>
      <c r="P1642" s="35" t="b">
        <v>0</v>
      </c>
      <c r="Q1642" s="35" t="b">
        <v>0</v>
      </c>
      <c r="R1642" s="14"/>
      <c r="S1642" s="14"/>
      <c r="T1642" s="14"/>
      <c r="U1642" s="14"/>
      <c r="V1642" s="14"/>
      <c r="W1642" s="14"/>
    </row>
    <row r="1643" ht="31.5" customHeight="1">
      <c r="A1643" s="109" t="s">
        <v>10664</v>
      </c>
      <c r="B1643" s="110" t="s">
        <v>16019</v>
      </c>
      <c r="C1643" s="111" t="s">
        <v>16020</v>
      </c>
      <c r="D1643" s="28" t="s">
        <v>16021</v>
      </c>
      <c r="E1643" s="28" t="str">
        <f>IFERROR(__xludf.DUMMYFUNCTION("GOOGLETRANSLATE(D1643,""zh-CN"",""vi"")"),"Trong sở thú có một con sư tử.")</f>
        <v>Trong sở thú có một con sư tử.</v>
      </c>
      <c r="F1643" s="137"/>
      <c r="G1643" s="36" t="b">
        <f t="shared" si="1"/>
        <v>0</v>
      </c>
      <c r="H1643" s="35" t="b">
        <v>1</v>
      </c>
      <c r="I1643" s="35" t="b">
        <v>0</v>
      </c>
      <c r="J1643" s="35" t="b">
        <v>0</v>
      </c>
      <c r="K1643" s="35" t="b">
        <v>0</v>
      </c>
      <c r="L1643" s="35" t="b">
        <v>0</v>
      </c>
      <c r="M1643" s="35" t="b">
        <v>0</v>
      </c>
      <c r="N1643" s="35" t="b">
        <v>0</v>
      </c>
      <c r="O1643" s="35" t="b">
        <v>0</v>
      </c>
      <c r="P1643" s="35" t="b">
        <v>0</v>
      </c>
      <c r="Q1643" s="35" t="b">
        <v>0</v>
      </c>
      <c r="R1643" s="14"/>
      <c r="S1643" s="14"/>
      <c r="T1643" s="14"/>
      <c r="U1643" s="14"/>
      <c r="V1643" s="14"/>
      <c r="W1643" s="14"/>
    </row>
    <row r="1644" ht="31.5" customHeight="1">
      <c r="A1644" s="109" t="s">
        <v>16022</v>
      </c>
      <c r="B1644" s="110" t="s">
        <v>16023</v>
      </c>
      <c r="C1644" s="111" t="s">
        <v>16024</v>
      </c>
      <c r="D1644" s="28" t="s">
        <v>16025</v>
      </c>
      <c r="E1644" s="28" t="str">
        <f>IFERROR(__xludf.DUMMYFUNCTION("GOOGLETRANSLATE(D1644,""zh-CN"",""vi"")"),"Anh ấy đã mất tích ba ngày nay.")</f>
        <v>Anh ấy đã mất tích ba ngày nay.</v>
      </c>
      <c r="F1644" s="137"/>
      <c r="G1644" s="36" t="b">
        <f t="shared" si="1"/>
        <v>0</v>
      </c>
      <c r="H1644" s="35" t="b">
        <v>1</v>
      </c>
      <c r="I1644" s="35" t="b">
        <v>0</v>
      </c>
      <c r="J1644" s="35" t="b">
        <v>0</v>
      </c>
      <c r="K1644" s="35" t="b">
        <v>0</v>
      </c>
      <c r="L1644" s="35" t="b">
        <v>0</v>
      </c>
      <c r="M1644" s="35" t="b">
        <v>0</v>
      </c>
      <c r="N1644" s="35" t="b">
        <v>0</v>
      </c>
      <c r="O1644" s="35" t="b">
        <v>0</v>
      </c>
      <c r="P1644" s="35" t="b">
        <v>0</v>
      </c>
      <c r="Q1644" s="35" t="b">
        <v>0</v>
      </c>
      <c r="R1644" s="14"/>
      <c r="S1644" s="14"/>
      <c r="T1644" s="14"/>
      <c r="U1644" s="14"/>
      <c r="V1644" s="14"/>
      <c r="W1644" s="14"/>
    </row>
    <row r="1645" ht="31.5" customHeight="1">
      <c r="A1645" s="109" t="s">
        <v>16026</v>
      </c>
      <c r="B1645" s="110" t="s">
        <v>1418</v>
      </c>
      <c r="C1645" s="111" t="s">
        <v>16027</v>
      </c>
      <c r="D1645" s="28" t="s">
        <v>16028</v>
      </c>
      <c r="E1645" s="28" t="str">
        <f>IFERROR(__xludf.DUMMYFUNCTION("GOOGLETRANSLATE(D1645,""zh-CN"",""vi"")"),"Anh ta tìm thấy một chiếc ví.")</f>
        <v>Anh ta tìm thấy một chiếc ví.</v>
      </c>
      <c r="F1645" s="137"/>
      <c r="G1645" s="36" t="b">
        <f t="shared" si="1"/>
        <v>0</v>
      </c>
      <c r="H1645" s="35" t="b">
        <v>1</v>
      </c>
      <c r="I1645" s="35" t="b">
        <v>0</v>
      </c>
      <c r="J1645" s="35" t="b">
        <v>0</v>
      </c>
      <c r="K1645" s="35" t="b">
        <v>0</v>
      </c>
      <c r="L1645" s="35" t="b">
        <v>0</v>
      </c>
      <c r="M1645" s="35" t="b">
        <v>0</v>
      </c>
      <c r="N1645" s="35" t="b">
        <v>0</v>
      </c>
      <c r="O1645" s="35" t="b">
        <v>0</v>
      </c>
      <c r="P1645" s="35" t="b">
        <v>0</v>
      </c>
      <c r="Q1645" s="35" t="b">
        <v>0</v>
      </c>
      <c r="R1645" s="14"/>
      <c r="S1645" s="14"/>
      <c r="T1645" s="14"/>
      <c r="U1645" s="14"/>
      <c r="V1645" s="14"/>
      <c r="W1645" s="14"/>
    </row>
    <row r="1646" ht="31.5" customHeight="1">
      <c r="A1646" s="109" t="s">
        <v>16029</v>
      </c>
      <c r="B1646" s="110" t="s">
        <v>16030</v>
      </c>
      <c r="C1646" s="111" t="s">
        <v>16031</v>
      </c>
      <c r="D1646" s="28" t="s">
        <v>16032</v>
      </c>
      <c r="E1646" s="28" t="str">
        <f>IFERROR(__xludf.DUMMYFUNCTION("GOOGLETRANSLATE(D1646,""zh-CN"",""vi"")"),"Loài hoa này rất dễ nhận biết.")</f>
        <v>Loài hoa này rất dễ nhận biết.</v>
      </c>
      <c r="F1646" s="137"/>
      <c r="G1646" s="36" t="b">
        <f t="shared" si="1"/>
        <v>0</v>
      </c>
      <c r="H1646" s="35" t="b">
        <v>1</v>
      </c>
      <c r="I1646" s="35" t="b">
        <v>0</v>
      </c>
      <c r="J1646" s="35" t="b">
        <v>0</v>
      </c>
      <c r="K1646" s="35" t="b">
        <v>0</v>
      </c>
      <c r="L1646" s="35" t="b">
        <v>0</v>
      </c>
      <c r="M1646" s="35" t="b">
        <v>0</v>
      </c>
      <c r="N1646" s="35" t="b">
        <v>0</v>
      </c>
      <c r="O1646" s="35" t="b">
        <v>0</v>
      </c>
      <c r="P1646" s="35" t="b">
        <v>0</v>
      </c>
      <c r="Q1646" s="35" t="b">
        <v>0</v>
      </c>
      <c r="R1646" s="14"/>
      <c r="S1646" s="14"/>
      <c r="T1646" s="14"/>
      <c r="U1646" s="14"/>
      <c r="V1646" s="14"/>
      <c r="W1646" s="14"/>
    </row>
    <row r="1647" ht="31.5" customHeight="1">
      <c r="A1647" s="109" t="s">
        <v>10685</v>
      </c>
      <c r="B1647" s="110" t="s">
        <v>16033</v>
      </c>
      <c r="C1647" s="111" t="s">
        <v>16034</v>
      </c>
      <c r="D1647" s="28" t="s">
        <v>16035</v>
      </c>
      <c r="E1647" s="28" t="str">
        <f>IFERROR(__xludf.DUMMYFUNCTION("GOOGLETRANSLATE(D1647,""zh-CN"",""vi"")"),"Anh ấy cảm thấy rất mệt mỏi do lệch múi giờ.")</f>
        <v>Anh ấy cảm thấy rất mệt mỏi do lệch múi giờ.</v>
      </c>
      <c r="F1647" s="137"/>
      <c r="G1647" s="36" t="b">
        <f t="shared" si="1"/>
        <v>0</v>
      </c>
      <c r="H1647" s="35" t="b">
        <v>1</v>
      </c>
      <c r="I1647" s="35" t="b">
        <v>0</v>
      </c>
      <c r="J1647" s="35" t="b">
        <v>0</v>
      </c>
      <c r="K1647" s="35" t="b">
        <v>0</v>
      </c>
      <c r="L1647" s="35" t="b">
        <v>0</v>
      </c>
      <c r="M1647" s="35" t="b">
        <v>0</v>
      </c>
      <c r="N1647" s="35" t="b">
        <v>0</v>
      </c>
      <c r="O1647" s="35" t="b">
        <v>0</v>
      </c>
      <c r="P1647" s="35" t="b">
        <v>0</v>
      </c>
      <c r="Q1647" s="35" t="b">
        <v>0</v>
      </c>
      <c r="R1647" s="14"/>
      <c r="S1647" s="14"/>
      <c r="T1647" s="14"/>
      <c r="U1647" s="14"/>
      <c r="V1647" s="14"/>
      <c r="W1647" s="14"/>
    </row>
    <row r="1648" ht="31.5" customHeight="1">
      <c r="A1648" s="109" t="s">
        <v>16036</v>
      </c>
      <c r="B1648" s="110" t="s">
        <v>16037</v>
      </c>
      <c r="C1648" s="111" t="s">
        <v>16038</v>
      </c>
      <c r="D1648" s="28" t="s">
        <v>16039</v>
      </c>
      <c r="E1648" s="28" t="str">
        <f>IFERROR(__xludf.DUMMYFUNCTION("GOOGLETRANSLATE(D1648,""zh-CN"",""vi"")"),"Cô ấy thường xuyên đến phòng tập thể dục để tập luyện.")</f>
        <v>Cô ấy thường xuyên đến phòng tập thể dục để tập luyện.</v>
      </c>
      <c r="F1648" s="137"/>
      <c r="G1648" s="36" t="b">
        <f t="shared" si="1"/>
        <v>0</v>
      </c>
      <c r="H1648" s="35" t="b">
        <v>1</v>
      </c>
      <c r="I1648" s="35" t="b">
        <v>0</v>
      </c>
      <c r="J1648" s="35" t="b">
        <v>0</v>
      </c>
      <c r="K1648" s="35" t="b">
        <v>0</v>
      </c>
      <c r="L1648" s="35" t="b">
        <v>0</v>
      </c>
      <c r="M1648" s="35" t="b">
        <v>0</v>
      </c>
      <c r="N1648" s="35" t="b">
        <v>0</v>
      </c>
      <c r="O1648" s="35" t="b">
        <v>0</v>
      </c>
      <c r="P1648" s="35" t="b">
        <v>0</v>
      </c>
      <c r="Q1648" s="35" t="b">
        <v>0</v>
      </c>
      <c r="R1648" s="14"/>
      <c r="S1648" s="14"/>
      <c r="T1648" s="14"/>
      <c r="U1648" s="14"/>
      <c r="V1648" s="14"/>
      <c r="W1648" s="14"/>
    </row>
    <row r="1649" ht="31.5" customHeight="1">
      <c r="A1649" s="109" t="s">
        <v>16040</v>
      </c>
      <c r="B1649" s="110" t="s">
        <v>16041</v>
      </c>
      <c r="C1649" s="111" t="s">
        <v>16042</v>
      </c>
      <c r="D1649" s="28" t="s">
        <v>16043</v>
      </c>
      <c r="E1649" s="28" t="str">
        <f>IFERROR(__xludf.DUMMYFUNCTION("GOOGLETRANSLATE(D1649,""zh-CN"",""vi"")"),"Anh ấy làm việc lúc có lúc nghỉ ngơi.")</f>
        <v>Anh ấy làm việc lúc có lúc nghỉ ngơi.</v>
      </c>
      <c r="F1649" s="137"/>
      <c r="G1649" s="36" t="b">
        <f t="shared" si="1"/>
        <v>0</v>
      </c>
      <c r="H1649" s="35" t="b">
        <v>1</v>
      </c>
      <c r="I1649" s="35" t="b">
        <v>0</v>
      </c>
      <c r="J1649" s="35" t="b">
        <v>0</v>
      </c>
      <c r="K1649" s="35" t="b">
        <v>0</v>
      </c>
      <c r="L1649" s="35" t="b">
        <v>0</v>
      </c>
      <c r="M1649" s="35" t="b">
        <v>0</v>
      </c>
      <c r="N1649" s="35" t="b">
        <v>0</v>
      </c>
      <c r="O1649" s="35" t="b">
        <v>0</v>
      </c>
      <c r="P1649" s="35" t="b">
        <v>0</v>
      </c>
      <c r="Q1649" s="35" t="b">
        <v>0</v>
      </c>
      <c r="R1649" s="14"/>
      <c r="S1649" s="14"/>
      <c r="T1649" s="14"/>
      <c r="U1649" s="14"/>
      <c r="V1649" s="14"/>
      <c r="W1649" s="14"/>
    </row>
    <row r="1650" ht="31.5" customHeight="1">
      <c r="A1650" s="109" t="s">
        <v>16044</v>
      </c>
      <c r="B1650" s="110" t="s">
        <v>16045</v>
      </c>
      <c r="C1650" s="111" t="s">
        <v>16046</v>
      </c>
      <c r="D1650" s="28" t="s">
        <v>16047</v>
      </c>
      <c r="E1650" s="28" t="str">
        <f>IFERROR(__xludf.DUMMYFUNCTION("GOOGLETRANSLATE(D1650,""zh-CN"",""vi"")"),"Thời gian trôi nhanh quá, và chúng ta đã tốt nghiệp rồi.")</f>
        <v>Thời gian trôi nhanh quá, và chúng ta đã tốt nghiệp rồi.</v>
      </c>
      <c r="F1650" s="137"/>
      <c r="G1650" s="36" t="b">
        <f t="shared" si="1"/>
        <v>0</v>
      </c>
      <c r="H1650" s="35" t="b">
        <v>1</v>
      </c>
      <c r="I1650" s="35" t="b">
        <v>0</v>
      </c>
      <c r="J1650" s="35" t="b">
        <v>0</v>
      </c>
      <c r="K1650" s="35" t="b">
        <v>0</v>
      </c>
      <c r="L1650" s="35" t="b">
        <v>0</v>
      </c>
      <c r="M1650" s="35" t="b">
        <v>0</v>
      </c>
      <c r="N1650" s="35" t="b">
        <v>0</v>
      </c>
      <c r="O1650" s="35" t="b">
        <v>0</v>
      </c>
      <c r="P1650" s="35" t="b">
        <v>0</v>
      </c>
      <c r="Q1650" s="35" t="b">
        <v>0</v>
      </c>
      <c r="R1650" s="14"/>
      <c r="S1650" s="14"/>
      <c r="T1650" s="14"/>
      <c r="U1650" s="14"/>
      <c r="V1650" s="14"/>
      <c r="W1650" s="14"/>
    </row>
    <row r="1651" ht="31.5" customHeight="1">
      <c r="A1651" s="109" t="s">
        <v>16048</v>
      </c>
      <c r="B1651" s="110" t="s">
        <v>16049</v>
      </c>
      <c r="C1651" s="111" t="s">
        <v>16050</v>
      </c>
      <c r="D1651" s="28" t="s">
        <v>16051</v>
      </c>
      <c r="E1651" s="28" t="str">
        <f>IFERROR(__xludf.DUMMYFUNCTION("GOOGLETRANSLATE(D1651,""zh-CN"",""vi"")"),"Nhà hàng này cung cấp các bữa trưa với giá cả phải chăng.")</f>
        <v>Nhà hàng này cung cấp các bữa trưa với giá cả phải chăng.</v>
      </c>
      <c r="F1651" s="137"/>
      <c r="G1651" s="36" t="b">
        <f t="shared" si="1"/>
        <v>0</v>
      </c>
      <c r="H1651" s="35" t="b">
        <v>1</v>
      </c>
      <c r="I1651" s="35" t="b">
        <v>0</v>
      </c>
      <c r="J1651" s="35" t="b">
        <v>0</v>
      </c>
      <c r="K1651" s="35" t="b">
        <v>0</v>
      </c>
      <c r="L1651" s="35" t="b">
        <v>0</v>
      </c>
      <c r="M1651" s="35" t="b">
        <v>0</v>
      </c>
      <c r="N1651" s="35" t="b">
        <v>0</v>
      </c>
      <c r="O1651" s="35" t="b">
        <v>0</v>
      </c>
      <c r="P1651" s="35" t="b">
        <v>0</v>
      </c>
      <c r="Q1651" s="35" t="b">
        <v>0</v>
      </c>
      <c r="R1651" s="14"/>
      <c r="S1651" s="14"/>
      <c r="T1651" s="14"/>
      <c r="U1651" s="14"/>
      <c r="V1651" s="14"/>
      <c r="W1651" s="14"/>
    </row>
    <row r="1652" ht="31.5" customHeight="1">
      <c r="A1652" s="109" t="s">
        <v>16052</v>
      </c>
      <c r="B1652" s="110" t="s">
        <v>16053</v>
      </c>
      <c r="C1652" s="111" t="s">
        <v>16054</v>
      </c>
      <c r="D1652" s="28" t="s">
        <v>16055</v>
      </c>
      <c r="E1652" s="28" t="str">
        <f>IFERROR(__xludf.DUMMYFUNCTION("GOOGLETRANSLATE(D1652,""zh-CN"",""vi"")"),"Đây là thời điểm then chốt.")</f>
        <v>Đây là thời điểm then chốt.</v>
      </c>
      <c r="F1652" s="137"/>
      <c r="G1652" s="36" t="b">
        <f t="shared" si="1"/>
        <v>0</v>
      </c>
      <c r="H1652" s="35" t="b">
        <v>0</v>
      </c>
      <c r="I1652" s="35" t="b">
        <v>0</v>
      </c>
      <c r="J1652" s="35" t="b">
        <v>0</v>
      </c>
      <c r="K1652" s="35" t="b">
        <v>0</v>
      </c>
      <c r="L1652" s="35" t="b">
        <v>0</v>
      </c>
      <c r="M1652" s="35" t="b">
        <v>0</v>
      </c>
      <c r="N1652" s="35" t="b">
        <v>0</v>
      </c>
      <c r="O1652" s="35" t="b">
        <v>0</v>
      </c>
      <c r="P1652" s="35" t="b">
        <v>0</v>
      </c>
      <c r="Q1652" s="35" t="b">
        <v>0</v>
      </c>
      <c r="R1652" s="14"/>
      <c r="S1652" s="14"/>
      <c r="T1652" s="14"/>
      <c r="U1652" s="14"/>
      <c r="V1652" s="14"/>
      <c r="W1652" s="14"/>
    </row>
    <row r="1653" ht="31.5" customHeight="1">
      <c r="A1653" s="109" t="s">
        <v>16056</v>
      </c>
      <c r="B1653" s="110" t="s">
        <v>16057</v>
      </c>
      <c r="C1653" s="111" t="s">
        <v>16058</v>
      </c>
      <c r="D1653" s="28" t="s">
        <v>16059</v>
      </c>
      <c r="E1653" s="28" t="str">
        <f>IFERROR(__xludf.DUMMYFUNCTION("GOOGLETRANSLATE(D1653,""zh-CN"",""vi"")"),"Không nên đánh giá thấp sức mạnh của anh ấy.")</f>
        <v>Không nên đánh giá thấp sức mạnh của anh ấy.</v>
      </c>
      <c r="F1653" s="137"/>
      <c r="G1653" s="36" t="b">
        <f t="shared" si="1"/>
        <v>0</v>
      </c>
      <c r="H1653" s="35" t="b">
        <v>0</v>
      </c>
      <c r="I1653" s="35" t="b">
        <v>0</v>
      </c>
      <c r="J1653" s="35" t="b">
        <v>0</v>
      </c>
      <c r="K1653" s="35" t="b">
        <v>0</v>
      </c>
      <c r="L1653" s="35" t="b">
        <v>0</v>
      </c>
      <c r="M1653" s="35" t="b">
        <v>0</v>
      </c>
      <c r="N1653" s="35" t="b">
        <v>0</v>
      </c>
      <c r="O1653" s="35" t="b">
        <v>0</v>
      </c>
      <c r="P1653" s="35" t="b">
        <v>0</v>
      </c>
      <c r="Q1653" s="35" t="b">
        <v>0</v>
      </c>
      <c r="R1653" s="14"/>
      <c r="S1653" s="14"/>
      <c r="T1653" s="14"/>
      <c r="U1653" s="14"/>
      <c r="V1653" s="14"/>
      <c r="W1653" s="14"/>
    </row>
    <row r="1654" ht="31.5" customHeight="1">
      <c r="A1654" s="109" t="s">
        <v>16060</v>
      </c>
      <c r="B1654" s="110" t="s">
        <v>16061</v>
      </c>
      <c r="C1654" s="111" t="s">
        <v>16062</v>
      </c>
      <c r="D1654" s="28" t="s">
        <v>16063</v>
      </c>
      <c r="E1654" s="28" t="str">
        <f>IFERROR(__xludf.DUMMYFUNCTION("GOOGLETRANSLATE(D1654,""zh-CN"",""vi"")"),"Chính phủ có kế hoạch triển khai các chính sách mới.")</f>
        <v>Chính phủ có kế hoạch triển khai các chính sách mới.</v>
      </c>
      <c r="F1654" s="137"/>
      <c r="G1654" s="36" t="b">
        <f t="shared" si="1"/>
        <v>0</v>
      </c>
      <c r="H1654" s="35" t="b">
        <v>0</v>
      </c>
      <c r="I1654" s="35" t="b">
        <v>0</v>
      </c>
      <c r="J1654" s="35" t="b">
        <v>0</v>
      </c>
      <c r="K1654" s="35" t="b">
        <v>0</v>
      </c>
      <c r="L1654" s="35" t="b">
        <v>0</v>
      </c>
      <c r="M1654" s="35" t="b">
        <v>0</v>
      </c>
      <c r="N1654" s="35" t="b">
        <v>0</v>
      </c>
      <c r="O1654" s="35" t="b">
        <v>0</v>
      </c>
      <c r="P1654" s="35" t="b">
        <v>0</v>
      </c>
      <c r="Q1654" s="35" t="b">
        <v>0</v>
      </c>
      <c r="R1654" s="14"/>
      <c r="S1654" s="14"/>
      <c r="T1654" s="14"/>
      <c r="U1654" s="14"/>
      <c r="V1654" s="14"/>
      <c r="W1654" s="14"/>
    </row>
    <row r="1655" ht="31.5" customHeight="1">
      <c r="A1655" s="109" t="s">
        <v>16064</v>
      </c>
      <c r="B1655" s="110" t="s">
        <v>16065</v>
      </c>
      <c r="C1655" s="111" t="s">
        <v>16066</v>
      </c>
      <c r="D1655" s="28" t="s">
        <v>16067</v>
      </c>
      <c r="E1655" s="28" t="str">
        <f>IFERROR(__xludf.DUMMYFUNCTION("GOOGLETRANSLATE(D1655,""zh-CN"",""vi"")"),"Tôi thích đọc các bài báo về các sự kiện hiện tại.")</f>
        <v>Tôi thích đọc các bài báo về các sự kiện hiện tại.</v>
      </c>
      <c r="F1655" s="137"/>
      <c r="G1655" s="36" t="b">
        <f t="shared" si="1"/>
        <v>0</v>
      </c>
      <c r="H1655" s="35" t="b">
        <v>0</v>
      </c>
      <c r="I1655" s="35" t="b">
        <v>0</v>
      </c>
      <c r="J1655" s="35" t="b">
        <v>0</v>
      </c>
      <c r="K1655" s="35" t="b">
        <v>0</v>
      </c>
      <c r="L1655" s="35" t="b">
        <v>0</v>
      </c>
      <c r="M1655" s="35" t="b">
        <v>0</v>
      </c>
      <c r="N1655" s="35" t="b">
        <v>0</v>
      </c>
      <c r="O1655" s="35" t="b">
        <v>0</v>
      </c>
      <c r="P1655" s="35" t="b">
        <v>0</v>
      </c>
      <c r="Q1655" s="35" t="b">
        <v>0</v>
      </c>
      <c r="R1655" s="14"/>
      <c r="S1655" s="14"/>
      <c r="T1655" s="14"/>
      <c r="U1655" s="14"/>
      <c r="V1655" s="14"/>
      <c r="W1655" s="14"/>
    </row>
    <row r="1656" ht="31.5" customHeight="1">
      <c r="A1656" s="109" t="s">
        <v>16068</v>
      </c>
      <c r="B1656" s="110" t="s">
        <v>16069</v>
      </c>
      <c r="C1656" s="111" t="s">
        <v>16070</v>
      </c>
      <c r="D1656" s="28" t="s">
        <v>16071</v>
      </c>
      <c r="E1656" s="28" t="str">
        <f>IFERROR(__xludf.DUMMYFUNCTION("GOOGLETRANSLATE(D1656,""zh-CN"",""vi"")"),"Chúng ta cần nhìn nhận vấn đề một cách thực tế.")</f>
        <v>Chúng ta cần nhìn nhận vấn đề một cách thực tế.</v>
      </c>
      <c r="F1656" s="137"/>
      <c r="G1656" s="36" t="b">
        <f t="shared" si="1"/>
        <v>0</v>
      </c>
      <c r="H1656" s="35" t="b">
        <v>0</v>
      </c>
      <c r="I1656" s="35" t="b">
        <v>0</v>
      </c>
      <c r="J1656" s="35" t="b">
        <v>0</v>
      </c>
      <c r="K1656" s="35" t="b">
        <v>0</v>
      </c>
      <c r="L1656" s="35" t="b">
        <v>0</v>
      </c>
      <c r="M1656" s="35" t="b">
        <v>0</v>
      </c>
      <c r="N1656" s="35" t="b">
        <v>0</v>
      </c>
      <c r="O1656" s="35" t="b">
        <v>0</v>
      </c>
      <c r="P1656" s="35" t="b">
        <v>0</v>
      </c>
      <c r="Q1656" s="35" t="b">
        <v>0</v>
      </c>
      <c r="R1656" s="14"/>
      <c r="S1656" s="14"/>
      <c r="T1656" s="14"/>
      <c r="U1656" s="14"/>
      <c r="V1656" s="14"/>
      <c r="W1656" s="14"/>
    </row>
    <row r="1657" ht="31.5" customHeight="1">
      <c r="A1657" s="109" t="s">
        <v>16072</v>
      </c>
      <c r="B1657" s="110" t="s">
        <v>16073</v>
      </c>
      <c r="C1657" s="111" t="s">
        <v>16074</v>
      </c>
      <c r="D1657" s="28" t="s">
        <v>16075</v>
      </c>
      <c r="E1657" s="28" t="str">
        <f>IFERROR(__xludf.DUMMYFUNCTION("GOOGLETRANSLATE(D1657,""zh-CN"",""vi"")"),"Dầu mỏ là một nguồn năng lượng quan trọng.")</f>
        <v>Dầu mỏ là một nguồn năng lượng quan trọng.</v>
      </c>
      <c r="F1657" s="137"/>
      <c r="G1657" s="36" t="b">
        <f t="shared" si="1"/>
        <v>0</v>
      </c>
      <c r="H1657" s="35" t="b">
        <v>0</v>
      </c>
      <c r="I1657" s="35" t="b">
        <v>0</v>
      </c>
      <c r="J1657" s="35" t="b">
        <v>0</v>
      </c>
      <c r="K1657" s="35" t="b">
        <v>0</v>
      </c>
      <c r="L1657" s="35" t="b">
        <v>0</v>
      </c>
      <c r="M1657" s="35" t="b">
        <v>0</v>
      </c>
      <c r="N1657" s="35" t="b">
        <v>0</v>
      </c>
      <c r="O1657" s="35" t="b">
        <v>0</v>
      </c>
      <c r="P1657" s="35" t="b">
        <v>0</v>
      </c>
      <c r="Q1657" s="35" t="b">
        <v>0</v>
      </c>
      <c r="R1657" s="14"/>
      <c r="S1657" s="14"/>
      <c r="T1657" s="14"/>
      <c r="U1657" s="14"/>
      <c r="V1657" s="14"/>
      <c r="W1657" s="14"/>
    </row>
    <row r="1658" ht="31.5" customHeight="1">
      <c r="A1658" s="109" t="s">
        <v>16076</v>
      </c>
      <c r="B1658" s="110" t="s">
        <v>16077</v>
      </c>
      <c r="C1658" s="111" t="s">
        <v>16078</v>
      </c>
      <c r="D1658" s="28" t="s">
        <v>16079</v>
      </c>
      <c r="E1658" s="28" t="str">
        <f>IFERROR(__xludf.DUMMYFUNCTION("GOOGLETRANSLATE(D1658,""zh-CN"",""vi"")"),"Chúng ta cần hiểu bản chất của sự vật.")</f>
        <v>Chúng ta cần hiểu bản chất của sự vật.</v>
      </c>
      <c r="F1658" s="137"/>
      <c r="G1658" s="36" t="b">
        <f t="shared" si="1"/>
        <v>0</v>
      </c>
      <c r="H1658" s="35" t="b">
        <v>0</v>
      </c>
      <c r="I1658" s="35" t="b">
        <v>0</v>
      </c>
      <c r="J1658" s="35" t="b">
        <v>0</v>
      </c>
      <c r="K1658" s="35" t="b">
        <v>0</v>
      </c>
      <c r="L1658" s="35" t="b">
        <v>0</v>
      </c>
      <c r="M1658" s="35" t="b">
        <v>0</v>
      </c>
      <c r="N1658" s="35" t="b">
        <v>0</v>
      </c>
      <c r="O1658" s="35" t="b">
        <v>0</v>
      </c>
      <c r="P1658" s="35" t="b">
        <v>0</v>
      </c>
      <c r="Q1658" s="35" t="b">
        <v>0</v>
      </c>
      <c r="R1658" s="14"/>
      <c r="S1658" s="14"/>
      <c r="T1658" s="14"/>
      <c r="U1658" s="14"/>
      <c r="V1658" s="14"/>
      <c r="W1658" s="14"/>
    </row>
    <row r="1659" ht="31.5" customHeight="1">
      <c r="A1659" s="109" t="s">
        <v>16080</v>
      </c>
      <c r="B1659" s="110" t="s">
        <v>16081</v>
      </c>
      <c r="C1659" s="111" t="s">
        <v>16082</v>
      </c>
      <c r="D1659" s="28" t="s">
        <v>16083</v>
      </c>
      <c r="E1659" s="28" t="str">
        <f>IFERROR(__xludf.DUMMYFUNCTION("GOOGLETRANSLATE(D1659,""zh-CN"",""vi"")"),"Cô ấy thích mặc quần áo thời trang.")</f>
        <v>Cô ấy thích mặc quần áo thời trang.</v>
      </c>
      <c r="F1659" s="137"/>
      <c r="G1659" s="36" t="b">
        <f t="shared" si="1"/>
        <v>0</v>
      </c>
      <c r="H1659" s="35" t="b">
        <v>0</v>
      </c>
      <c r="I1659" s="35" t="b">
        <v>0</v>
      </c>
      <c r="J1659" s="35" t="b">
        <v>0</v>
      </c>
      <c r="K1659" s="35" t="b">
        <v>0</v>
      </c>
      <c r="L1659" s="35" t="b">
        <v>0</v>
      </c>
      <c r="M1659" s="35" t="b">
        <v>0</v>
      </c>
      <c r="N1659" s="35" t="b">
        <v>0</v>
      </c>
      <c r="O1659" s="35" t="b">
        <v>0</v>
      </c>
      <c r="P1659" s="35" t="b">
        <v>0</v>
      </c>
      <c r="Q1659" s="35" t="b">
        <v>0</v>
      </c>
      <c r="R1659" s="14"/>
      <c r="S1659" s="14"/>
      <c r="T1659" s="14"/>
      <c r="U1659" s="14"/>
      <c r="V1659" s="14"/>
      <c r="W1659" s="14"/>
    </row>
    <row r="1660" ht="31.5" customHeight="1">
      <c r="A1660" s="109" t="s">
        <v>16084</v>
      </c>
      <c r="B1660" s="110" t="s">
        <v>16085</v>
      </c>
      <c r="C1660" s="111" t="s">
        <v>16086</v>
      </c>
      <c r="D1660" s="28" t="s">
        <v>16087</v>
      </c>
      <c r="E1660" s="28" t="str">
        <f>IFERROR(__xludf.DUMMYFUNCTION("GOOGLETRANSLATE(D1660,""zh-CN"",""vi"")"),"Lời giải thích của ông ấy rất thuyết phục.")</f>
        <v>Lời giải thích của ông ấy rất thuyết phục.</v>
      </c>
      <c r="F1660" s="137"/>
      <c r="G1660" s="36" t="b">
        <f t="shared" si="1"/>
        <v>0</v>
      </c>
      <c r="H1660" s="35" t="b">
        <v>0</v>
      </c>
      <c r="I1660" s="35" t="b">
        <v>0</v>
      </c>
      <c r="J1660" s="35" t="b">
        <v>0</v>
      </c>
      <c r="K1660" s="35" t="b">
        <v>0</v>
      </c>
      <c r="L1660" s="35" t="b">
        <v>0</v>
      </c>
      <c r="M1660" s="35" t="b">
        <v>0</v>
      </c>
      <c r="N1660" s="35" t="b">
        <v>0</v>
      </c>
      <c r="O1660" s="35" t="b">
        <v>0</v>
      </c>
      <c r="P1660" s="35" t="b">
        <v>0</v>
      </c>
      <c r="Q1660" s="35" t="b">
        <v>0</v>
      </c>
      <c r="R1660" s="14"/>
      <c r="S1660" s="14"/>
      <c r="T1660" s="14"/>
      <c r="U1660" s="14"/>
      <c r="V1660" s="14"/>
      <c r="W1660" s="14"/>
    </row>
    <row r="1661" ht="31.5" customHeight="1">
      <c r="A1661" s="109" t="s">
        <v>16088</v>
      </c>
      <c r="B1661" s="110" t="s">
        <v>16089</v>
      </c>
      <c r="C1661" s="111" t="s">
        <v>16090</v>
      </c>
      <c r="D1661" s="28" t="s">
        <v>16091</v>
      </c>
      <c r="E1661" s="28" t="str">
        <f>IFERROR(__xludf.DUMMYFUNCTION("GOOGLETRANSLATE(D1661,""zh-CN"",""vi"")"),"Sứ mệnh của chúng tôi là bảo vệ môi trường.")</f>
        <v>Sứ mệnh của chúng tôi là bảo vệ môi trường.</v>
      </c>
      <c r="F1661" s="137"/>
      <c r="G1661" s="36" t="b">
        <f t="shared" si="1"/>
        <v>0</v>
      </c>
      <c r="H1661" s="35" t="b">
        <v>0</v>
      </c>
      <c r="I1661" s="35" t="b">
        <v>0</v>
      </c>
      <c r="J1661" s="35" t="b">
        <v>0</v>
      </c>
      <c r="K1661" s="35" t="b">
        <v>0</v>
      </c>
      <c r="L1661" s="35" t="b">
        <v>0</v>
      </c>
      <c r="M1661" s="35" t="b">
        <v>0</v>
      </c>
      <c r="N1661" s="35" t="b">
        <v>0</v>
      </c>
      <c r="O1661" s="35" t="b">
        <v>0</v>
      </c>
      <c r="P1661" s="35" t="b">
        <v>0</v>
      </c>
      <c r="Q1661" s="35" t="b">
        <v>0</v>
      </c>
      <c r="R1661" s="14"/>
      <c r="S1661" s="14"/>
      <c r="T1661" s="14"/>
      <c r="U1661" s="14"/>
      <c r="V1661" s="14"/>
      <c r="W1661" s="14"/>
    </row>
    <row r="1662" ht="31.5" customHeight="1">
      <c r="A1662" s="109" t="s">
        <v>16092</v>
      </c>
      <c r="B1662" s="110" t="s">
        <v>16093</v>
      </c>
      <c r="C1662" s="111" t="s">
        <v>16094</v>
      </c>
      <c r="D1662" s="28" t="s">
        <v>16095</v>
      </c>
      <c r="E1662" s="28" t="str">
        <f>IFERROR(__xludf.DUMMYFUNCTION("GOOGLETRANSLATE(D1662,""zh-CN"",""vi"")"),"Anh ấy chắc chắn sẽ thành công.")</f>
        <v>Anh ấy chắc chắn sẽ thành công.</v>
      </c>
      <c r="F1662" s="137"/>
      <c r="G1662" s="36" t="b">
        <f t="shared" si="1"/>
        <v>0</v>
      </c>
      <c r="H1662" s="35" t="b">
        <v>0</v>
      </c>
      <c r="I1662" s="35" t="b">
        <v>0</v>
      </c>
      <c r="J1662" s="35" t="b">
        <v>0</v>
      </c>
      <c r="K1662" s="35" t="b">
        <v>0</v>
      </c>
      <c r="L1662" s="35" t="b">
        <v>0</v>
      </c>
      <c r="M1662" s="35" t="b">
        <v>0</v>
      </c>
      <c r="N1662" s="35" t="b">
        <v>0</v>
      </c>
      <c r="O1662" s="35" t="b">
        <v>0</v>
      </c>
      <c r="P1662" s="35" t="b">
        <v>0</v>
      </c>
      <c r="Q1662" s="35" t="b">
        <v>0</v>
      </c>
      <c r="R1662" s="14"/>
      <c r="S1662" s="14"/>
      <c r="T1662" s="14"/>
      <c r="U1662" s="14"/>
      <c r="V1662" s="14"/>
      <c r="W1662" s="14"/>
    </row>
    <row r="1663" ht="31.5" customHeight="1">
      <c r="A1663" s="109" t="s">
        <v>16096</v>
      </c>
      <c r="B1663" s="110" t="s">
        <v>16097</v>
      </c>
      <c r="C1663" s="111" t="s">
        <v>16098</v>
      </c>
      <c r="D1663" s="28" t="s">
        <v>16099</v>
      </c>
      <c r="E1663" s="28" t="str">
        <f>IFERROR(__xludf.DUMMYFUNCTION("GOOGLETRANSLATE(D1663,""zh-CN"",""vi"")"),"Truyền thống này đã được lưu truyền qua nhiều thế hệ.")</f>
        <v>Truyền thống này đã được lưu truyền qua nhiều thế hệ.</v>
      </c>
      <c r="F1663" s="137"/>
      <c r="G1663" s="36" t="b">
        <f t="shared" si="1"/>
        <v>0</v>
      </c>
      <c r="H1663" s="35" t="b">
        <v>0</v>
      </c>
      <c r="I1663" s="35" t="b">
        <v>0</v>
      </c>
      <c r="J1663" s="35" t="b">
        <v>0</v>
      </c>
      <c r="K1663" s="35" t="b">
        <v>0</v>
      </c>
      <c r="L1663" s="35" t="b">
        <v>0</v>
      </c>
      <c r="M1663" s="35" t="b">
        <v>0</v>
      </c>
      <c r="N1663" s="35" t="b">
        <v>0</v>
      </c>
      <c r="O1663" s="35" t="b">
        <v>0</v>
      </c>
      <c r="P1663" s="35" t="b">
        <v>0</v>
      </c>
      <c r="Q1663" s="35" t="b">
        <v>0</v>
      </c>
      <c r="R1663" s="14"/>
      <c r="S1663" s="14"/>
      <c r="T1663" s="14"/>
      <c r="U1663" s="14"/>
      <c r="V1663" s="14"/>
      <c r="W1663" s="14"/>
    </row>
    <row r="1664" ht="31.5" customHeight="1">
      <c r="A1664" s="109" t="s">
        <v>16100</v>
      </c>
      <c r="B1664" s="110" t="s">
        <v>16101</v>
      </c>
      <c r="C1664" s="111" t="s">
        <v>16102</v>
      </c>
      <c r="D1664" s="28" t="s">
        <v>16103</v>
      </c>
      <c r="E1664" s="28" t="str">
        <f>IFERROR(__xludf.DUMMYFUNCTION("GOOGLETRANSLATE(D1664,""zh-CN"",""vi"")"),"Giáo viên đã hướng dẫn cách giải bài toán này.")</f>
        <v>Giáo viên đã hướng dẫn cách giải bài toán này.</v>
      </c>
      <c r="F1664" s="137"/>
      <c r="G1664" s="36" t="b">
        <f t="shared" si="1"/>
        <v>0</v>
      </c>
      <c r="H1664" s="35" t="b">
        <v>0</v>
      </c>
      <c r="I1664" s="35" t="b">
        <v>0</v>
      </c>
      <c r="J1664" s="35" t="b">
        <v>0</v>
      </c>
      <c r="K1664" s="35" t="b">
        <v>0</v>
      </c>
      <c r="L1664" s="35" t="b">
        <v>0</v>
      </c>
      <c r="M1664" s="35" t="b">
        <v>0</v>
      </c>
      <c r="N1664" s="35" t="b">
        <v>0</v>
      </c>
      <c r="O1664" s="35" t="b">
        <v>0</v>
      </c>
      <c r="P1664" s="35" t="b">
        <v>0</v>
      </c>
      <c r="Q1664" s="35" t="b">
        <v>0</v>
      </c>
      <c r="R1664" s="14"/>
      <c r="S1664" s="14"/>
      <c r="T1664" s="14"/>
      <c r="U1664" s="14"/>
      <c r="V1664" s="14"/>
      <c r="W1664" s="14"/>
    </row>
    <row r="1665" ht="31.5" customHeight="1">
      <c r="A1665" s="109" t="s">
        <v>16104</v>
      </c>
      <c r="B1665" s="110" t="s">
        <v>16105</v>
      </c>
      <c r="C1665" s="111" t="s">
        <v>16106</v>
      </c>
      <c r="D1665" s="28" t="s">
        <v>16107</v>
      </c>
      <c r="E1665" s="28" t="str">
        <f>IFERROR(__xludf.DUMMYFUNCTION("GOOGLETRANSLATE(D1665,""zh-CN"",""vi"")"),"Ông ta đã được thả.")</f>
        <v>Ông ta đã được thả.</v>
      </c>
      <c r="F1665" s="137"/>
      <c r="G1665" s="36" t="b">
        <f t="shared" si="1"/>
        <v>0</v>
      </c>
      <c r="H1665" s="35" t="b">
        <v>0</v>
      </c>
      <c r="I1665" s="35" t="b">
        <v>0</v>
      </c>
      <c r="J1665" s="35" t="b">
        <v>0</v>
      </c>
      <c r="K1665" s="35" t="b">
        <v>0</v>
      </c>
      <c r="L1665" s="35" t="b">
        <v>0</v>
      </c>
      <c r="M1665" s="35" t="b">
        <v>0</v>
      </c>
      <c r="N1665" s="35" t="b">
        <v>0</v>
      </c>
      <c r="O1665" s="35" t="b">
        <v>0</v>
      </c>
      <c r="P1665" s="35" t="b">
        <v>0</v>
      </c>
      <c r="Q1665" s="35" t="b">
        <v>0</v>
      </c>
      <c r="R1665" s="14"/>
      <c r="S1665" s="14"/>
      <c r="T1665" s="14"/>
      <c r="U1665" s="14"/>
      <c r="V1665" s="14"/>
      <c r="W1665" s="14"/>
    </row>
    <row r="1666" ht="31.5" customHeight="1">
      <c r="A1666" s="109" t="s">
        <v>16108</v>
      </c>
      <c r="B1666" s="110" t="s">
        <v>16109</v>
      </c>
      <c r="C1666" s="111" t="s">
        <v>16110</v>
      </c>
      <c r="D1666" s="28" t="s">
        <v>16111</v>
      </c>
      <c r="E1666" s="28" t="str">
        <f>IFERROR(__xludf.DUMMYFUNCTION("GOOGLETRANSLATE(D1666,""zh-CN"",""vi"")"),"Chúng ta cần phân biệt đúng và sai.")</f>
        <v>Chúng ta cần phân biệt đúng và sai.</v>
      </c>
      <c r="F1666" s="137"/>
      <c r="G1666" s="36" t="b">
        <f t="shared" si="1"/>
        <v>0</v>
      </c>
      <c r="H1666" s="35" t="b">
        <v>0</v>
      </c>
      <c r="I1666" s="35" t="b">
        <v>0</v>
      </c>
      <c r="J1666" s="35" t="b">
        <v>0</v>
      </c>
      <c r="K1666" s="35" t="b">
        <v>0</v>
      </c>
      <c r="L1666" s="35" t="b">
        <v>0</v>
      </c>
      <c r="M1666" s="35" t="b">
        <v>0</v>
      </c>
      <c r="N1666" s="35" t="b">
        <v>0</v>
      </c>
      <c r="O1666" s="35" t="b">
        <v>0</v>
      </c>
      <c r="P1666" s="35" t="b">
        <v>0</v>
      </c>
      <c r="Q1666" s="35" t="b">
        <v>0</v>
      </c>
      <c r="R1666" s="14"/>
      <c r="S1666" s="14"/>
      <c r="T1666" s="14"/>
      <c r="U1666" s="14"/>
      <c r="V1666" s="14"/>
      <c r="W1666" s="14"/>
    </row>
    <row r="1667" ht="31.5" customHeight="1">
      <c r="A1667" s="109" t="s">
        <v>16112</v>
      </c>
      <c r="B1667" s="110" t="s">
        <v>16113</v>
      </c>
      <c r="C1667" s="111" t="s">
        <v>16114</v>
      </c>
      <c r="D1667" s="28" t="s">
        <v>16115</v>
      </c>
      <c r="E1667" s="28" t="str">
        <f>IFERROR(__xludf.DUMMYFUNCTION("GOOGLETRANSLATE(D1667,""zh-CN"",""vi"")"),"Giao thông đã bị phong tỏa sau vụ tai nạn.")</f>
        <v>Giao thông đã bị phong tỏa sau vụ tai nạn.</v>
      </c>
      <c r="F1667" s="137"/>
      <c r="G1667" s="36" t="b">
        <f t="shared" si="1"/>
        <v>0</v>
      </c>
      <c r="H1667" s="35" t="b">
        <v>0</v>
      </c>
      <c r="I1667" s="35" t="b">
        <v>0</v>
      </c>
      <c r="J1667" s="35" t="b">
        <v>0</v>
      </c>
      <c r="K1667" s="35" t="b">
        <v>0</v>
      </c>
      <c r="L1667" s="35" t="b">
        <v>0</v>
      </c>
      <c r="M1667" s="35" t="b">
        <v>0</v>
      </c>
      <c r="N1667" s="35" t="b">
        <v>0</v>
      </c>
      <c r="O1667" s="35" t="b">
        <v>0</v>
      </c>
      <c r="P1667" s="35" t="b">
        <v>0</v>
      </c>
      <c r="Q1667" s="35" t="b">
        <v>0</v>
      </c>
      <c r="R1667" s="14"/>
      <c r="S1667" s="14"/>
      <c r="T1667" s="14"/>
      <c r="U1667" s="14"/>
      <c r="V1667" s="14"/>
      <c r="W1667" s="14"/>
    </row>
    <row r="1668" ht="31.5" customHeight="1">
      <c r="A1668" s="109" t="s">
        <v>16116</v>
      </c>
      <c r="B1668" s="110" t="s">
        <v>16117</v>
      </c>
      <c r="C1668" s="111" t="s">
        <v>16118</v>
      </c>
      <c r="D1668" s="28" t="s">
        <v>16119</v>
      </c>
      <c r="E1668" s="28" t="str">
        <f>IFERROR(__xludf.DUMMYFUNCTION("GOOGLETRANSLATE(D1668,""zh-CN"",""vi"")"),"Câu chuyện của anh ấy đã truyền cảm hứng cho rất nhiều người.")</f>
        <v>Câu chuyện của anh ấy đã truyền cảm hứng cho rất nhiều người.</v>
      </c>
      <c r="F1668" s="137"/>
      <c r="G1668" s="36" t="b">
        <f t="shared" si="1"/>
        <v>0</v>
      </c>
      <c r="H1668" s="35" t="b">
        <v>0</v>
      </c>
      <c r="I1668" s="35" t="b">
        <v>0</v>
      </c>
      <c r="J1668" s="35" t="b">
        <v>0</v>
      </c>
      <c r="K1668" s="35" t="b">
        <v>0</v>
      </c>
      <c r="L1668" s="35" t="b">
        <v>0</v>
      </c>
      <c r="M1668" s="35" t="b">
        <v>0</v>
      </c>
      <c r="N1668" s="35" t="b">
        <v>0</v>
      </c>
      <c r="O1668" s="35" t="b">
        <v>0</v>
      </c>
      <c r="P1668" s="35" t="b">
        <v>0</v>
      </c>
      <c r="Q1668" s="35" t="b">
        <v>0</v>
      </c>
      <c r="R1668" s="14"/>
      <c r="S1668" s="14"/>
      <c r="T1668" s="14"/>
      <c r="U1668" s="14"/>
      <c r="V1668" s="14"/>
      <c r="W1668" s="14"/>
    </row>
    <row r="1669" ht="31.5" customHeight="1">
      <c r="A1669" s="109" t="s">
        <v>16120</v>
      </c>
      <c r="B1669" s="110" t="s">
        <v>16121</v>
      </c>
      <c r="C1669" s="111" t="s">
        <v>16122</v>
      </c>
      <c r="D1669" s="28" t="s">
        <v>16123</v>
      </c>
      <c r="E1669" s="28" t="str">
        <f>IFERROR(__xludf.DUMMYFUNCTION("GOOGLETRANSLATE(D1669,""zh-CN"",""vi"")"),"Vụ việc này đã thu hút sự chú ý rộng rãi.")</f>
        <v>Vụ việc này đã thu hút sự chú ý rộng rãi.</v>
      </c>
      <c r="F1669" s="137"/>
      <c r="G1669" s="36" t="b">
        <f t="shared" si="1"/>
        <v>0</v>
      </c>
      <c r="H1669" s="35" t="b">
        <v>0</v>
      </c>
      <c r="I1669" s="35" t="b">
        <v>0</v>
      </c>
      <c r="J1669" s="35" t="b">
        <v>0</v>
      </c>
      <c r="K1669" s="35" t="b">
        <v>0</v>
      </c>
      <c r="L1669" s="35" t="b">
        <v>0</v>
      </c>
      <c r="M1669" s="35" t="b">
        <v>0</v>
      </c>
      <c r="N1669" s="35" t="b">
        <v>0</v>
      </c>
      <c r="O1669" s="35" t="b">
        <v>0</v>
      </c>
      <c r="P1669" s="35" t="b">
        <v>0</v>
      </c>
      <c r="Q1669" s="35" t="b">
        <v>0</v>
      </c>
      <c r="R1669" s="14"/>
      <c r="S1669" s="14"/>
      <c r="T1669" s="14"/>
      <c r="U1669" s="14"/>
      <c r="V1669" s="14"/>
      <c r="W1669" s="14"/>
    </row>
    <row r="1670" ht="31.5" customHeight="1">
      <c r="A1670" s="109" t="s">
        <v>16124</v>
      </c>
      <c r="B1670" s="110" t="s">
        <v>16125</v>
      </c>
      <c r="C1670" s="111" t="s">
        <v>16126</v>
      </c>
      <c r="D1670" s="28" t="s">
        <v>16127</v>
      </c>
      <c r="E1670" s="28" t="str">
        <f>IFERROR(__xludf.DUMMYFUNCTION("GOOGLETRANSLATE(D1670,""zh-CN"",""vi"")"),"Mỗi người đều có một thế giới quan khác nhau.")</f>
        <v>Mỗi người đều có một thế giới quan khác nhau.</v>
      </c>
      <c r="F1670" s="137"/>
      <c r="G1670" s="36" t="b">
        <f t="shared" si="1"/>
        <v>0</v>
      </c>
      <c r="H1670" s="35" t="b">
        <v>0</v>
      </c>
      <c r="I1670" s="35" t="b">
        <v>0</v>
      </c>
      <c r="J1670" s="35" t="b">
        <v>0</v>
      </c>
      <c r="K1670" s="35" t="b">
        <v>0</v>
      </c>
      <c r="L1670" s="35" t="b">
        <v>0</v>
      </c>
      <c r="M1670" s="35" t="b">
        <v>0</v>
      </c>
      <c r="N1670" s="35" t="b">
        <v>0</v>
      </c>
      <c r="O1670" s="35" t="b">
        <v>0</v>
      </c>
      <c r="P1670" s="35" t="b">
        <v>0</v>
      </c>
      <c r="Q1670" s="35" t="b">
        <v>0</v>
      </c>
      <c r="R1670" s="14"/>
      <c r="S1670" s="14"/>
      <c r="T1670" s="14"/>
      <c r="U1670" s="14"/>
      <c r="V1670" s="14"/>
      <c r="W1670" s="14"/>
    </row>
    <row r="1671" ht="31.5" customHeight="1">
      <c r="A1671" s="109" t="s">
        <v>16128</v>
      </c>
      <c r="B1671" s="110" t="s">
        <v>16129</v>
      </c>
      <c r="C1671" s="111" t="s">
        <v>16130</v>
      </c>
      <c r="D1671" s="28" t="s">
        <v>16131</v>
      </c>
      <c r="E1671" s="28" t="str">
        <f>IFERROR(__xludf.DUMMYFUNCTION("GOOGLETRANSLATE(D1671,""zh-CN"",""vi"")"),"Thị lực của anh ấy rất tốt.")</f>
        <v>Thị lực của anh ấy rất tốt.</v>
      </c>
      <c r="F1671" s="137"/>
      <c r="G1671" s="36" t="b">
        <f t="shared" si="1"/>
        <v>0</v>
      </c>
      <c r="H1671" s="35" t="b">
        <v>0</v>
      </c>
      <c r="I1671" s="35" t="b">
        <v>0</v>
      </c>
      <c r="J1671" s="35" t="b">
        <v>0</v>
      </c>
      <c r="K1671" s="35" t="b">
        <v>0</v>
      </c>
      <c r="L1671" s="35" t="b">
        <v>0</v>
      </c>
      <c r="M1671" s="35" t="b">
        <v>0</v>
      </c>
      <c r="N1671" s="35" t="b">
        <v>0</v>
      </c>
      <c r="O1671" s="35" t="b">
        <v>0</v>
      </c>
      <c r="P1671" s="35" t="b">
        <v>0</v>
      </c>
      <c r="Q1671" s="35" t="b">
        <v>0</v>
      </c>
      <c r="R1671" s="14"/>
      <c r="S1671" s="14"/>
      <c r="T1671" s="14"/>
      <c r="U1671" s="14"/>
      <c r="V1671" s="14"/>
      <c r="W1671" s="14"/>
    </row>
    <row r="1672" ht="31.5" customHeight="1">
      <c r="A1672" s="109" t="s">
        <v>16132</v>
      </c>
      <c r="B1672" s="110" t="s">
        <v>16129</v>
      </c>
      <c r="C1672" s="111" t="s">
        <v>16133</v>
      </c>
      <c r="D1672" s="28" t="s">
        <v>16134</v>
      </c>
      <c r="E1672" s="28" t="str">
        <f>IFERROR(__xludf.DUMMYFUNCTION("GOOGLETRANSLATE(D1672,""zh-CN"",""vi"")"),"Tầm ảnh hưởng của ông ấy lan rộng khắp cả nước.")</f>
        <v>Tầm ảnh hưởng của ông ấy lan rộng khắp cả nước.</v>
      </c>
      <c r="F1672" s="137"/>
      <c r="G1672" s="36" t="b">
        <f t="shared" si="1"/>
        <v>0</v>
      </c>
      <c r="H1672" s="35" t="b">
        <v>0</v>
      </c>
      <c r="I1672" s="35" t="b">
        <v>0</v>
      </c>
      <c r="J1672" s="35" t="b">
        <v>0</v>
      </c>
      <c r="K1672" s="35" t="b">
        <v>0</v>
      </c>
      <c r="L1672" s="35" t="b">
        <v>0</v>
      </c>
      <c r="M1672" s="35" t="b">
        <v>0</v>
      </c>
      <c r="N1672" s="35" t="b">
        <v>0</v>
      </c>
      <c r="O1672" s="35" t="b">
        <v>0</v>
      </c>
      <c r="P1672" s="35" t="b">
        <v>0</v>
      </c>
      <c r="Q1672" s="35" t="b">
        <v>0</v>
      </c>
      <c r="R1672" s="14"/>
      <c r="S1672" s="14"/>
      <c r="T1672" s="14"/>
      <c r="U1672" s="14"/>
      <c r="V1672" s="14"/>
      <c r="W1672" s="14"/>
    </row>
    <row r="1673" ht="31.5" customHeight="1">
      <c r="A1673" s="109" t="s">
        <v>16135</v>
      </c>
      <c r="B1673" s="110" t="s">
        <v>16136</v>
      </c>
      <c r="C1673" s="111" t="s">
        <v>16137</v>
      </c>
      <c r="D1673" s="28" t="s">
        <v>16138</v>
      </c>
      <c r="E1673" s="28" t="str">
        <f>IFERROR(__xludf.DUMMYFUNCTION("GOOGLETRANSLATE(D1673,""zh-CN"",""vi"")"),"Sự ra đi của ông ấy đã khiến mọi người vô cùng đau buồn.")</f>
        <v>Sự ra đi của ông ấy đã khiến mọi người vô cùng đau buồn.</v>
      </c>
      <c r="F1673" s="137"/>
      <c r="G1673" s="36" t="b">
        <f t="shared" si="1"/>
        <v>0</v>
      </c>
      <c r="H1673" s="35" t="b">
        <v>0</v>
      </c>
      <c r="I1673" s="35" t="b">
        <v>0</v>
      </c>
      <c r="J1673" s="35" t="b">
        <v>0</v>
      </c>
      <c r="K1673" s="35" t="b">
        <v>0</v>
      </c>
      <c r="L1673" s="35" t="b">
        <v>0</v>
      </c>
      <c r="M1673" s="35" t="b">
        <v>0</v>
      </c>
      <c r="N1673" s="35" t="b">
        <v>0</v>
      </c>
      <c r="O1673" s="35" t="b">
        <v>0</v>
      </c>
      <c r="P1673" s="35" t="b">
        <v>0</v>
      </c>
      <c r="Q1673" s="35" t="b">
        <v>0</v>
      </c>
      <c r="R1673" s="14"/>
      <c r="S1673" s="14"/>
      <c r="T1673" s="14"/>
      <c r="U1673" s="14"/>
      <c r="V1673" s="14"/>
      <c r="W1673" s="14"/>
    </row>
    <row r="1674" ht="31.5" customHeight="1">
      <c r="A1674" s="109" t="s">
        <v>16139</v>
      </c>
      <c r="B1674" s="110" t="s">
        <v>16140</v>
      </c>
      <c r="C1674" s="111" t="s">
        <v>16141</v>
      </c>
      <c r="D1674" s="28" t="s">
        <v>16142</v>
      </c>
      <c r="E1674" s="28" t="str">
        <f>IFERROR(__xludf.DUMMYFUNCTION("GOOGLETRANSLATE(D1674,""zh-CN"",""vi"")"),"Chúng ta cần chú ý đến diễn biến của mọi việc.")</f>
        <v>Chúng ta cần chú ý đến diễn biến của mọi việc.</v>
      </c>
      <c r="F1674" s="137"/>
      <c r="G1674" s="36" t="b">
        <f t="shared" si="1"/>
        <v>0</v>
      </c>
      <c r="H1674" s="35" t="b">
        <v>0</v>
      </c>
      <c r="I1674" s="35" t="b">
        <v>0</v>
      </c>
      <c r="J1674" s="35" t="b">
        <v>0</v>
      </c>
      <c r="K1674" s="35" t="b">
        <v>0</v>
      </c>
      <c r="L1674" s="35" t="b">
        <v>0</v>
      </c>
      <c r="M1674" s="35" t="b">
        <v>0</v>
      </c>
      <c r="N1674" s="35" t="b">
        <v>0</v>
      </c>
      <c r="O1674" s="35" t="b">
        <v>0</v>
      </c>
      <c r="P1674" s="35" t="b">
        <v>0</v>
      </c>
      <c r="Q1674" s="35" t="b">
        <v>0</v>
      </c>
      <c r="R1674" s="14"/>
      <c r="S1674" s="14"/>
      <c r="T1674" s="14"/>
      <c r="U1674" s="14"/>
      <c r="V1674" s="14"/>
      <c r="W1674" s="14"/>
    </row>
    <row r="1675" ht="31.5" customHeight="1">
      <c r="A1675" s="109" t="s">
        <v>16143</v>
      </c>
      <c r="B1675" s="110" t="s">
        <v>16144</v>
      </c>
      <c r="C1675" s="111" t="s">
        <v>16145</v>
      </c>
      <c r="D1675" s="28" t="s">
        <v>16146</v>
      </c>
      <c r="E1675" s="28" t="str">
        <f>IFERROR(__xludf.DUMMYFUNCTION("GOOGLETRANSLATE(D1675,""zh-CN"",""vi"")"),"Anh ấy đã cố gắng giải quyết vấn đề này.")</f>
        <v>Anh ấy đã cố gắng giải quyết vấn đề này.</v>
      </c>
      <c r="F1675" s="137"/>
      <c r="G1675" s="36" t="b">
        <f t="shared" si="1"/>
        <v>0</v>
      </c>
      <c r="H1675" s="35" t="b">
        <v>0</v>
      </c>
      <c r="I1675" s="35" t="b">
        <v>0</v>
      </c>
      <c r="J1675" s="35" t="b">
        <v>0</v>
      </c>
      <c r="K1675" s="35" t="b">
        <v>0</v>
      </c>
      <c r="L1675" s="35" t="b">
        <v>0</v>
      </c>
      <c r="M1675" s="35" t="b">
        <v>0</v>
      </c>
      <c r="N1675" s="35" t="b">
        <v>0</v>
      </c>
      <c r="O1675" s="35" t="b">
        <v>0</v>
      </c>
      <c r="P1675" s="35" t="b">
        <v>0</v>
      </c>
      <c r="Q1675" s="35" t="b">
        <v>0</v>
      </c>
      <c r="R1675" s="14"/>
      <c r="S1675" s="14"/>
      <c r="T1675" s="14"/>
      <c r="U1675" s="14"/>
      <c r="V1675" s="14"/>
      <c r="W1675" s="14"/>
    </row>
    <row r="1676" ht="31.5" customHeight="1">
      <c r="A1676" s="109" t="s">
        <v>16147</v>
      </c>
      <c r="B1676" s="110" t="s">
        <v>16148</v>
      </c>
      <c r="C1676" s="111" t="s">
        <v>16149</v>
      </c>
      <c r="D1676" s="28" t="s">
        <v>16150</v>
      </c>
      <c r="E1676" s="28" t="str">
        <f>IFERROR(__xludf.DUMMYFUNCTION("GOOGLETRANSLATE(D1676,""zh-CN"",""vi"")"),"Họ đang biểu tình và phản đối.")</f>
        <v>Họ đang biểu tình và phản đối.</v>
      </c>
      <c r="F1676" s="137"/>
      <c r="G1676" s="36" t="b">
        <f t="shared" si="1"/>
        <v>0</v>
      </c>
      <c r="H1676" s="35" t="b">
        <v>0</v>
      </c>
      <c r="I1676" s="35" t="b">
        <v>0</v>
      </c>
      <c r="J1676" s="35" t="b">
        <v>0</v>
      </c>
      <c r="K1676" s="35" t="b">
        <v>0</v>
      </c>
      <c r="L1676" s="35" t="b">
        <v>0</v>
      </c>
      <c r="M1676" s="35" t="b">
        <v>0</v>
      </c>
      <c r="N1676" s="35" t="b">
        <v>0</v>
      </c>
      <c r="O1676" s="35" t="b">
        <v>0</v>
      </c>
      <c r="P1676" s="35" t="b">
        <v>0</v>
      </c>
      <c r="Q1676" s="35" t="b">
        <v>0</v>
      </c>
      <c r="R1676" s="14"/>
      <c r="S1676" s="14"/>
      <c r="T1676" s="14"/>
      <c r="U1676" s="14"/>
      <c r="V1676" s="14"/>
      <c r="W1676" s="14"/>
    </row>
    <row r="1677" ht="31.5" customHeight="1">
      <c r="A1677" s="109" t="s">
        <v>16151</v>
      </c>
      <c r="B1677" s="110" t="s">
        <v>16152</v>
      </c>
      <c r="C1677" s="111" t="s">
        <v>16153</v>
      </c>
      <c r="D1677" s="28" t="s">
        <v>16154</v>
      </c>
      <c r="E1677" s="28" t="str">
        <f>IFERROR(__xludf.DUMMYFUNCTION("GOOGLETRANSLATE(D1677,""zh-CN"",""vi"")"),"Ông ấy chịu trách nhiệm quản lý các công việc hàng ngày.")</f>
        <v>Ông ấy chịu trách nhiệm quản lý các công việc hàng ngày.</v>
      </c>
      <c r="F1677" s="137"/>
      <c r="G1677" s="36" t="b">
        <f t="shared" si="1"/>
        <v>0</v>
      </c>
      <c r="H1677" s="35" t="b">
        <v>0</v>
      </c>
      <c r="I1677" s="35" t="b">
        <v>0</v>
      </c>
      <c r="J1677" s="35" t="b">
        <v>0</v>
      </c>
      <c r="K1677" s="35" t="b">
        <v>0</v>
      </c>
      <c r="L1677" s="35" t="b">
        <v>0</v>
      </c>
      <c r="M1677" s="35" t="b">
        <v>0</v>
      </c>
      <c r="N1677" s="35" t="b">
        <v>0</v>
      </c>
      <c r="O1677" s="35" t="b">
        <v>0</v>
      </c>
      <c r="P1677" s="35" t="b">
        <v>0</v>
      </c>
      <c r="Q1677" s="35" t="b">
        <v>0</v>
      </c>
      <c r="R1677" s="14"/>
      <c r="S1677" s="14"/>
      <c r="T1677" s="14"/>
      <c r="U1677" s="14"/>
      <c r="V1677" s="14"/>
      <c r="W1677" s="14"/>
    </row>
    <row r="1678" ht="31.5" customHeight="1">
      <c r="A1678" s="109" t="s">
        <v>16155</v>
      </c>
      <c r="B1678" s="110" t="s">
        <v>16156</v>
      </c>
      <c r="C1678" s="111" t="s">
        <v>16157</v>
      </c>
      <c r="D1678" s="28" t="s">
        <v>16158</v>
      </c>
      <c r="E1678" s="28" t="str">
        <f>IFERROR(__xludf.DUMMYFUNCTION("GOOGLETRANSLATE(D1678,""zh-CN"",""vi"")"),"Ánh mắt anh ta dán chặt vào màn hình.")</f>
        <v>Ánh mắt anh ta dán chặt vào màn hình.</v>
      </c>
      <c r="F1678" s="137"/>
      <c r="G1678" s="36" t="b">
        <f t="shared" si="1"/>
        <v>0</v>
      </c>
      <c r="H1678" s="35" t="b">
        <v>0</v>
      </c>
      <c r="I1678" s="35" t="b">
        <v>0</v>
      </c>
      <c r="J1678" s="35" t="b">
        <v>0</v>
      </c>
      <c r="K1678" s="35" t="b">
        <v>0</v>
      </c>
      <c r="L1678" s="35" t="b">
        <v>0</v>
      </c>
      <c r="M1678" s="35" t="b">
        <v>0</v>
      </c>
      <c r="N1678" s="35" t="b">
        <v>0</v>
      </c>
      <c r="O1678" s="35" t="b">
        <v>0</v>
      </c>
      <c r="P1678" s="35" t="b">
        <v>0</v>
      </c>
      <c r="Q1678" s="35" t="b">
        <v>0</v>
      </c>
      <c r="R1678" s="14"/>
      <c r="S1678" s="14"/>
      <c r="T1678" s="14"/>
      <c r="U1678" s="14"/>
      <c r="V1678" s="14"/>
      <c r="W1678" s="14"/>
    </row>
    <row r="1679" ht="31.5" customHeight="1">
      <c r="A1679" s="109" t="s">
        <v>16159</v>
      </c>
      <c r="B1679" s="110" t="s">
        <v>16160</v>
      </c>
      <c r="C1679" s="111" t="s">
        <v>16161</v>
      </c>
      <c r="D1679" s="28" t="s">
        <v>16162</v>
      </c>
      <c r="E1679" s="28" t="str">
        <f>IFERROR(__xludf.DUMMYFUNCTION("GOOGLETRANSLATE(D1679,""zh-CN"",""vi"")"),"Vui lòng điền đầy đủ các mục này.")</f>
        <v>Vui lòng điền đầy đủ các mục này.</v>
      </c>
      <c r="F1679" s="137"/>
      <c r="G1679" s="36" t="b">
        <f t="shared" si="1"/>
        <v>0</v>
      </c>
      <c r="H1679" s="35" t="b">
        <v>0</v>
      </c>
      <c r="I1679" s="35" t="b">
        <v>0</v>
      </c>
      <c r="J1679" s="35" t="b">
        <v>0</v>
      </c>
      <c r="K1679" s="35" t="b">
        <v>0</v>
      </c>
      <c r="L1679" s="35" t="b">
        <v>0</v>
      </c>
      <c r="M1679" s="35" t="b">
        <v>0</v>
      </c>
      <c r="N1679" s="35" t="b">
        <v>0</v>
      </c>
      <c r="O1679" s="35" t="b">
        <v>0</v>
      </c>
      <c r="P1679" s="35" t="b">
        <v>0</v>
      </c>
      <c r="Q1679" s="35" t="b">
        <v>0</v>
      </c>
      <c r="R1679" s="14"/>
      <c r="S1679" s="14"/>
      <c r="T1679" s="14"/>
      <c r="U1679" s="14"/>
      <c r="V1679" s="14"/>
      <c r="W1679" s="14"/>
    </row>
    <row r="1680" ht="31.5" customHeight="1">
      <c r="A1680" s="109" t="s">
        <v>16163</v>
      </c>
      <c r="B1680" s="110" t="s">
        <v>16164</v>
      </c>
      <c r="C1680" s="111" t="s">
        <v>16165</v>
      </c>
      <c r="D1680" s="28" t="s">
        <v>16166</v>
      </c>
      <c r="E1680" s="28" t="str">
        <f>IFERROR(__xludf.DUMMYFUNCTION("GOOGLETRANSLATE(D1680,""zh-CN"",""vi"")"),"Loại thuốc mới này hiện đang được thử nghiệm lâm sàng.")</f>
        <v>Loại thuốc mới này hiện đang được thử nghiệm lâm sàng.</v>
      </c>
      <c r="F1680" s="137"/>
      <c r="G1680" s="36" t="b">
        <f t="shared" si="1"/>
        <v>0</v>
      </c>
      <c r="H1680" s="35" t="b">
        <v>0</v>
      </c>
      <c r="I1680" s="35" t="b">
        <v>0</v>
      </c>
      <c r="J1680" s="35" t="b">
        <v>0</v>
      </c>
      <c r="K1680" s="35" t="b">
        <v>0</v>
      </c>
      <c r="L1680" s="35" t="b">
        <v>0</v>
      </c>
      <c r="M1680" s="35" t="b">
        <v>0</v>
      </c>
      <c r="N1680" s="35" t="b">
        <v>0</v>
      </c>
      <c r="O1680" s="35" t="b">
        <v>0</v>
      </c>
      <c r="P1680" s="35" t="b">
        <v>0</v>
      </c>
      <c r="Q1680" s="35" t="b">
        <v>0</v>
      </c>
      <c r="R1680" s="14"/>
      <c r="S1680" s="14"/>
      <c r="T1680" s="14"/>
      <c r="U1680" s="14"/>
      <c r="V1680" s="14"/>
      <c r="W1680" s="14"/>
    </row>
    <row r="1681" ht="31.5" customHeight="1">
      <c r="A1681" s="109" t="s">
        <v>16167</v>
      </c>
      <c r="B1681" s="110" t="s">
        <v>16168</v>
      </c>
      <c r="C1681" s="111" t="s">
        <v>16157</v>
      </c>
      <c r="D1681" s="28" t="s">
        <v>16169</v>
      </c>
      <c r="E1681" s="28" t="str">
        <f>IFERROR(__xludf.DUMMYFUNCTION("GOOGLETRANSLATE(D1681,""zh-CN"",""vi"")"),"Ông ấy có tầm nhìn rộng.")</f>
        <v>Ông ấy có tầm nhìn rộng.</v>
      </c>
      <c r="F1681" s="137"/>
      <c r="G1681" s="36" t="b">
        <f t="shared" si="1"/>
        <v>0</v>
      </c>
      <c r="H1681" s="35" t="b">
        <v>0</v>
      </c>
      <c r="I1681" s="35" t="b">
        <v>0</v>
      </c>
      <c r="J1681" s="35" t="b">
        <v>0</v>
      </c>
      <c r="K1681" s="35" t="b">
        <v>0</v>
      </c>
      <c r="L1681" s="35" t="b">
        <v>0</v>
      </c>
      <c r="M1681" s="35" t="b">
        <v>0</v>
      </c>
      <c r="N1681" s="35" t="b">
        <v>0</v>
      </c>
      <c r="O1681" s="35" t="b">
        <v>0</v>
      </c>
      <c r="P1681" s="35" t="b">
        <v>0</v>
      </c>
      <c r="Q1681" s="35" t="b">
        <v>0</v>
      </c>
      <c r="R1681" s="14"/>
      <c r="S1681" s="14"/>
      <c r="T1681" s="14"/>
      <c r="U1681" s="14"/>
      <c r="V1681" s="14"/>
      <c r="W1681" s="14"/>
    </row>
    <row r="1682" ht="31.5" customHeight="1">
      <c r="A1682" s="109" t="s">
        <v>16170</v>
      </c>
      <c r="B1682" s="110" t="s">
        <v>16171</v>
      </c>
      <c r="C1682" s="111" t="s">
        <v>16172</v>
      </c>
      <c r="D1682" s="28" t="s">
        <v>16173</v>
      </c>
      <c r="E1682" s="28" t="str">
        <f>IFERROR(__xludf.DUMMYFUNCTION("GOOGLETRANSLATE(D1682,""zh-CN"",""vi"")"),"Ông đã đạt được thành công trong sự nghiệp của mình.")</f>
        <v>Ông đã đạt được thành công trong sự nghiệp của mình.</v>
      </c>
      <c r="F1682" s="137"/>
      <c r="G1682" s="36" t="b">
        <f t="shared" si="1"/>
        <v>0</v>
      </c>
      <c r="H1682" s="35" t="b">
        <v>0</v>
      </c>
      <c r="I1682" s="35" t="b">
        <v>0</v>
      </c>
      <c r="J1682" s="35" t="b">
        <v>0</v>
      </c>
      <c r="K1682" s="35" t="b">
        <v>0</v>
      </c>
      <c r="L1682" s="35" t="b">
        <v>0</v>
      </c>
      <c r="M1682" s="35" t="b">
        <v>0</v>
      </c>
      <c r="N1682" s="35" t="b">
        <v>0</v>
      </c>
      <c r="O1682" s="35" t="b">
        <v>0</v>
      </c>
      <c r="P1682" s="35" t="b">
        <v>0</v>
      </c>
      <c r="Q1682" s="35" t="b">
        <v>0</v>
      </c>
      <c r="R1682" s="14"/>
      <c r="S1682" s="14"/>
      <c r="T1682" s="14"/>
      <c r="U1682" s="14"/>
      <c r="V1682" s="14"/>
      <c r="W1682" s="14"/>
    </row>
    <row r="1683" ht="31.5" customHeight="1">
      <c r="A1683" s="109" t="s">
        <v>16174</v>
      </c>
      <c r="B1683" s="110" t="s">
        <v>16175</v>
      </c>
      <c r="C1683" s="111" t="s">
        <v>16176</v>
      </c>
      <c r="D1683" s="28" t="s">
        <v>16177</v>
      </c>
      <c r="E1683" s="28" t="str">
        <f>IFERROR(__xludf.DUMMYFUNCTION("GOOGLETRANSLATE(D1683,""zh-CN"",""vi"")"),"Khí hậu ở đây rất dễ chịu.")</f>
        <v>Khí hậu ở đây rất dễ chịu.</v>
      </c>
      <c r="F1683" s="137"/>
      <c r="G1683" s="36" t="b">
        <f t="shared" si="1"/>
        <v>0</v>
      </c>
      <c r="H1683" s="35" t="b">
        <v>0</v>
      </c>
      <c r="I1683" s="35" t="b">
        <v>0</v>
      </c>
      <c r="J1683" s="35" t="b">
        <v>0</v>
      </c>
      <c r="K1683" s="35" t="b">
        <v>0</v>
      </c>
      <c r="L1683" s="35" t="b">
        <v>0</v>
      </c>
      <c r="M1683" s="35" t="b">
        <v>0</v>
      </c>
      <c r="N1683" s="35" t="b">
        <v>0</v>
      </c>
      <c r="O1683" s="35" t="b">
        <v>0</v>
      </c>
      <c r="P1683" s="35" t="b">
        <v>0</v>
      </c>
      <c r="Q1683" s="35" t="b">
        <v>0</v>
      </c>
      <c r="R1683" s="14"/>
      <c r="S1683" s="14"/>
      <c r="T1683" s="14"/>
      <c r="U1683" s="14"/>
      <c r="V1683" s="14"/>
      <c r="W1683" s="14"/>
    </row>
    <row r="1684" ht="31.5" customHeight="1">
      <c r="A1684" s="109" t="s">
        <v>16178</v>
      </c>
      <c r="B1684" s="110" t="s">
        <v>16179</v>
      </c>
      <c r="C1684" s="111" t="s">
        <v>16180</v>
      </c>
      <c r="D1684" s="28" t="s">
        <v>16181</v>
      </c>
      <c r="E1684" s="28" t="str">
        <f>IFERROR(__xludf.DUMMYFUNCTION("GOOGLETRANSLATE(D1684,""zh-CN"",""vi"")"),"Anh ấy ra hiệu cho tôi tiếp tục.")</f>
        <v>Anh ấy ra hiệu cho tôi tiếp tục.</v>
      </c>
      <c r="F1684" s="137"/>
      <c r="G1684" s="36" t="b">
        <f t="shared" si="1"/>
        <v>0</v>
      </c>
      <c r="H1684" s="35" t="b">
        <v>0</v>
      </c>
      <c r="I1684" s="35" t="b">
        <v>0</v>
      </c>
      <c r="J1684" s="35" t="b">
        <v>0</v>
      </c>
      <c r="K1684" s="35" t="b">
        <v>0</v>
      </c>
      <c r="L1684" s="35" t="b">
        <v>0</v>
      </c>
      <c r="M1684" s="35" t="b">
        <v>0</v>
      </c>
      <c r="N1684" s="35" t="b">
        <v>0</v>
      </c>
      <c r="O1684" s="35" t="b">
        <v>0</v>
      </c>
      <c r="P1684" s="35" t="b">
        <v>0</v>
      </c>
      <c r="Q1684" s="35" t="b">
        <v>0</v>
      </c>
      <c r="R1684" s="14"/>
      <c r="S1684" s="14"/>
      <c r="T1684" s="14"/>
      <c r="U1684" s="14"/>
      <c r="V1684" s="14"/>
      <c r="W1684" s="14"/>
    </row>
    <row r="1685" ht="31.5" customHeight="1">
      <c r="A1685" s="109" t="s">
        <v>16182</v>
      </c>
      <c r="B1685" s="110" t="s">
        <v>16183</v>
      </c>
      <c r="C1685" s="111" t="s">
        <v>16184</v>
      </c>
      <c r="D1685" s="28" t="s">
        <v>16185</v>
      </c>
      <c r="E1685" s="28" t="str">
        <f>IFERROR(__xludf.DUMMYFUNCTION("GOOGLETRANSLATE(D1685,""zh-CN"",""vi"")"),"Cô ấy thích sưu tầm đồ cổ.")</f>
        <v>Cô ấy thích sưu tầm đồ cổ.</v>
      </c>
      <c r="F1685" s="137"/>
      <c r="G1685" s="36" t="b">
        <f t="shared" si="1"/>
        <v>0</v>
      </c>
      <c r="H1685" s="35" t="b">
        <v>0</v>
      </c>
      <c r="I1685" s="35" t="b">
        <v>0</v>
      </c>
      <c r="J1685" s="35" t="b">
        <v>0</v>
      </c>
      <c r="K1685" s="35" t="b">
        <v>0</v>
      </c>
      <c r="L1685" s="35" t="b">
        <v>0</v>
      </c>
      <c r="M1685" s="35" t="b">
        <v>0</v>
      </c>
      <c r="N1685" s="35" t="b">
        <v>0</v>
      </c>
      <c r="O1685" s="35" t="b">
        <v>0</v>
      </c>
      <c r="P1685" s="35" t="b">
        <v>0</v>
      </c>
      <c r="Q1685" s="35" t="b">
        <v>0</v>
      </c>
      <c r="R1685" s="14"/>
      <c r="S1685" s="14"/>
      <c r="T1685" s="14"/>
      <c r="U1685" s="14"/>
      <c r="V1685" s="14"/>
      <c r="W1685" s="14"/>
    </row>
    <row r="1686" ht="31.5" customHeight="1">
      <c r="A1686" s="109" t="s">
        <v>16186</v>
      </c>
      <c r="B1686" s="110" t="s">
        <v>16187</v>
      </c>
      <c r="C1686" s="111" t="s">
        <v>16188</v>
      </c>
      <c r="D1686" s="28" t="s">
        <v>16189</v>
      </c>
      <c r="E1686" s="28" t="str">
        <f>IFERROR(__xludf.DUMMYFUNCTION("GOOGLETRANSLATE(D1686,""zh-CN"",""vi"")"),"Chúng ta cần cắt giảm chi tiêu.")</f>
        <v>Chúng ta cần cắt giảm chi tiêu.</v>
      </c>
      <c r="F1686" s="137"/>
      <c r="G1686" s="36" t="b">
        <f t="shared" si="1"/>
        <v>0</v>
      </c>
      <c r="H1686" s="35" t="b">
        <v>0</v>
      </c>
      <c r="I1686" s="35" t="b">
        <v>0</v>
      </c>
      <c r="J1686" s="35" t="b">
        <v>0</v>
      </c>
      <c r="K1686" s="35" t="b">
        <v>0</v>
      </c>
      <c r="L1686" s="35" t="b">
        <v>0</v>
      </c>
      <c r="M1686" s="35" t="b">
        <v>0</v>
      </c>
      <c r="N1686" s="35" t="b">
        <v>0</v>
      </c>
      <c r="O1686" s="35" t="b">
        <v>0</v>
      </c>
      <c r="P1686" s="35" t="b">
        <v>0</v>
      </c>
      <c r="Q1686" s="35" t="b">
        <v>0</v>
      </c>
      <c r="R1686" s="14"/>
      <c r="S1686" s="14"/>
      <c r="T1686" s="14"/>
      <c r="U1686" s="14"/>
      <c r="V1686" s="14"/>
      <c r="W1686" s="14"/>
    </row>
    <row r="1687" ht="31.5" customHeight="1">
      <c r="A1687" s="109" t="s">
        <v>16190</v>
      </c>
      <c r="B1687" s="110" t="s">
        <v>16191</v>
      </c>
      <c r="C1687" s="111" t="s">
        <v>16192</v>
      </c>
      <c r="D1687" s="28" t="s">
        <v>16193</v>
      </c>
      <c r="E1687" s="28" t="str">
        <f>IFERROR(__xludf.DUMMYFUNCTION("GOOGLETRANSLATE(D1687,""zh-CN"",""vi"")"),"Dự án mới này có lợi nhuận rất cao.")</f>
        <v>Dự án mới này có lợi nhuận rất cao.</v>
      </c>
      <c r="F1687" s="137"/>
      <c r="G1687" s="36" t="b">
        <f t="shared" si="1"/>
        <v>0</v>
      </c>
      <c r="H1687" s="35" t="b">
        <v>0</v>
      </c>
      <c r="I1687" s="35" t="b">
        <v>0</v>
      </c>
      <c r="J1687" s="35" t="b">
        <v>0</v>
      </c>
      <c r="K1687" s="35" t="b">
        <v>0</v>
      </c>
      <c r="L1687" s="35" t="b">
        <v>0</v>
      </c>
      <c r="M1687" s="35" t="b">
        <v>0</v>
      </c>
      <c r="N1687" s="35" t="b">
        <v>0</v>
      </c>
      <c r="O1687" s="35" t="b">
        <v>0</v>
      </c>
      <c r="P1687" s="35" t="b">
        <v>0</v>
      </c>
      <c r="Q1687" s="35" t="b">
        <v>0</v>
      </c>
      <c r="R1687" s="14"/>
      <c r="S1687" s="14"/>
      <c r="T1687" s="14"/>
      <c r="U1687" s="14"/>
      <c r="V1687" s="14"/>
      <c r="W1687" s="14"/>
    </row>
    <row r="1688" ht="31.5" customHeight="1">
      <c r="A1688" s="109" t="s">
        <v>16194</v>
      </c>
      <c r="B1688" s="110" t="s">
        <v>16195</v>
      </c>
      <c r="C1688" s="111" t="s">
        <v>16196</v>
      </c>
      <c r="D1688" s="28" t="s">
        <v>16197</v>
      </c>
      <c r="E1688" s="28" t="str">
        <f>IFERROR(__xludf.DUMMYFUNCTION("GOOGLETRANSLATE(D1688,""zh-CN"",""vi"")"),"Anh ấy thích nghe đài.")</f>
        <v>Anh ấy thích nghe đài.</v>
      </c>
      <c r="F1688" s="137"/>
      <c r="G1688" s="36" t="b">
        <f t="shared" si="1"/>
        <v>0</v>
      </c>
      <c r="H1688" s="35" t="b">
        <v>0</v>
      </c>
      <c r="I1688" s="35" t="b">
        <v>0</v>
      </c>
      <c r="J1688" s="35" t="b">
        <v>0</v>
      </c>
      <c r="K1688" s="35" t="b">
        <v>0</v>
      </c>
      <c r="L1688" s="35" t="b">
        <v>0</v>
      </c>
      <c r="M1688" s="35" t="b">
        <v>0</v>
      </c>
      <c r="N1688" s="35" t="b">
        <v>0</v>
      </c>
      <c r="O1688" s="35" t="b">
        <v>0</v>
      </c>
      <c r="P1688" s="35" t="b">
        <v>0</v>
      </c>
      <c r="Q1688" s="35" t="b">
        <v>0</v>
      </c>
      <c r="R1688" s="14"/>
      <c r="S1688" s="14"/>
      <c r="T1688" s="14"/>
      <c r="U1688" s="14"/>
      <c r="V1688" s="14"/>
      <c r="W1688" s="14"/>
    </row>
    <row r="1689" ht="31.5" customHeight="1">
      <c r="A1689" s="109" t="s">
        <v>16198</v>
      </c>
      <c r="B1689" s="110" t="s">
        <v>16199</v>
      </c>
      <c r="C1689" s="111" t="s">
        <v>16200</v>
      </c>
      <c r="D1689" s="28" t="s">
        <v>16201</v>
      </c>
      <c r="E1689" s="28" t="str">
        <f>IFERROR(__xludf.DUMMYFUNCTION("GOOGLETRANSLATE(D1689,""zh-CN"",""vi"")"),"Kỹ thuật của anh ấy rất điêu luyện.")</f>
        <v>Kỹ thuật của anh ấy rất điêu luyện.</v>
      </c>
      <c r="F1689" s="137"/>
      <c r="G1689" s="36" t="b">
        <f t="shared" si="1"/>
        <v>0</v>
      </c>
      <c r="H1689" s="35" t="b">
        <v>0</v>
      </c>
      <c r="I1689" s="35" t="b">
        <v>0</v>
      </c>
      <c r="J1689" s="35" t="b">
        <v>0</v>
      </c>
      <c r="K1689" s="35" t="b">
        <v>0</v>
      </c>
      <c r="L1689" s="35" t="b">
        <v>0</v>
      </c>
      <c r="M1689" s="35" t="b">
        <v>0</v>
      </c>
      <c r="N1689" s="35" t="b">
        <v>0</v>
      </c>
      <c r="O1689" s="35" t="b">
        <v>0</v>
      </c>
      <c r="P1689" s="35" t="b">
        <v>0</v>
      </c>
      <c r="Q1689" s="35" t="b">
        <v>0</v>
      </c>
      <c r="R1689" s="14"/>
      <c r="S1689" s="14"/>
      <c r="T1689" s="14"/>
      <c r="U1689" s="14"/>
      <c r="V1689" s="14"/>
      <c r="W1689" s="14"/>
    </row>
    <row r="1690" ht="31.5" customHeight="1">
      <c r="A1690" s="109" t="s">
        <v>16202</v>
      </c>
      <c r="B1690" s="110" t="s">
        <v>16203</v>
      </c>
      <c r="C1690" s="111" t="s">
        <v>16204</v>
      </c>
      <c r="D1690" s="28" t="s">
        <v>16205</v>
      </c>
      <c r="E1690" s="28" t="str">
        <f>IFERROR(__xludf.DUMMYFUNCTION("GOOGLETRANSLATE(D1690,""zh-CN"",""vi"")"),"Cô ấy túc trực bên giường bệnh của đứa trẻ.")</f>
        <v>Cô ấy túc trực bên giường bệnh của đứa trẻ.</v>
      </c>
      <c r="F1690" s="137"/>
      <c r="G1690" s="36" t="b">
        <f t="shared" si="1"/>
        <v>0</v>
      </c>
      <c r="H1690" s="35" t="b">
        <v>0</v>
      </c>
      <c r="I1690" s="35" t="b">
        <v>0</v>
      </c>
      <c r="J1690" s="35" t="b">
        <v>0</v>
      </c>
      <c r="K1690" s="35" t="b">
        <v>0</v>
      </c>
      <c r="L1690" s="35" t="b">
        <v>0</v>
      </c>
      <c r="M1690" s="35" t="b">
        <v>0</v>
      </c>
      <c r="N1690" s="35" t="b">
        <v>0</v>
      </c>
      <c r="O1690" s="35" t="b">
        <v>0</v>
      </c>
      <c r="P1690" s="35" t="b">
        <v>0</v>
      </c>
      <c r="Q1690" s="35" t="b">
        <v>0</v>
      </c>
      <c r="R1690" s="14"/>
      <c r="S1690" s="14"/>
      <c r="T1690" s="14"/>
      <c r="U1690" s="14"/>
      <c r="V1690" s="14"/>
      <c r="W1690" s="14"/>
    </row>
    <row r="1691" ht="31.5" customHeight="1">
      <c r="A1691" s="109" t="s">
        <v>16206</v>
      </c>
      <c r="B1691" s="110" t="s">
        <v>16207</v>
      </c>
      <c r="C1691" s="111" t="s">
        <v>16208</v>
      </c>
      <c r="D1691" s="28" t="s">
        <v>16209</v>
      </c>
      <c r="E1691" s="28" t="str">
        <f>IFERROR(__xludf.DUMMYFUNCTION("GOOGLETRANSLATE(D1691,""zh-CN"",""vi"")"),"Ông ấy ra hiệu đồng ý.")</f>
        <v>Ông ấy ra hiệu đồng ý.</v>
      </c>
      <c r="F1691" s="137"/>
      <c r="G1691" s="36" t="b">
        <f t="shared" si="1"/>
        <v>0</v>
      </c>
      <c r="H1691" s="35" t="b">
        <v>0</v>
      </c>
      <c r="I1691" s="35" t="b">
        <v>0</v>
      </c>
      <c r="J1691" s="35" t="b">
        <v>0</v>
      </c>
      <c r="K1691" s="35" t="b">
        <v>0</v>
      </c>
      <c r="L1691" s="35" t="b">
        <v>0</v>
      </c>
      <c r="M1691" s="35" t="b">
        <v>0</v>
      </c>
      <c r="N1691" s="35" t="b">
        <v>0</v>
      </c>
      <c r="O1691" s="35" t="b">
        <v>0</v>
      </c>
      <c r="P1691" s="35" t="b">
        <v>0</v>
      </c>
      <c r="Q1691" s="35" t="b">
        <v>0</v>
      </c>
      <c r="R1691" s="14"/>
      <c r="S1691" s="14"/>
      <c r="T1691" s="14"/>
      <c r="U1691" s="14"/>
      <c r="V1691" s="14"/>
      <c r="W1691" s="14"/>
    </row>
    <row r="1692" ht="31.5" customHeight="1">
      <c r="A1692" s="109" t="s">
        <v>16210</v>
      </c>
      <c r="B1692" s="110" t="s">
        <v>16211</v>
      </c>
      <c r="C1692" s="111" t="s">
        <v>16212</v>
      </c>
      <c r="D1692" s="28" t="s">
        <v>16213</v>
      </c>
      <c r="E1692" s="28" t="str">
        <f>IFERROR(__xludf.DUMMYFUNCTION("GOOGLETRANSLATE(D1692,""zh-CN"",""vi"")"),"Đây là ưu tiên hàng đầu.")</f>
        <v>Đây là ưu tiên hàng đầu.</v>
      </c>
      <c r="F1692" s="137"/>
      <c r="G1692" s="36" t="b">
        <f t="shared" si="1"/>
        <v>0</v>
      </c>
      <c r="H1692" s="35" t="b">
        <v>0</v>
      </c>
      <c r="I1692" s="35" t="b">
        <v>0</v>
      </c>
      <c r="J1692" s="35" t="b">
        <v>0</v>
      </c>
      <c r="K1692" s="35" t="b">
        <v>0</v>
      </c>
      <c r="L1692" s="35" t="b">
        <v>0</v>
      </c>
      <c r="M1692" s="35" t="b">
        <v>0</v>
      </c>
      <c r="N1692" s="35" t="b">
        <v>0</v>
      </c>
      <c r="O1692" s="35" t="b">
        <v>0</v>
      </c>
      <c r="P1692" s="35" t="b">
        <v>0</v>
      </c>
      <c r="Q1692" s="35" t="b">
        <v>0</v>
      </c>
      <c r="R1692" s="14"/>
      <c r="S1692" s="14"/>
      <c r="T1692" s="14"/>
      <c r="U1692" s="14"/>
      <c r="V1692" s="14"/>
      <c r="W1692" s="14"/>
    </row>
    <row r="1693" ht="31.5" customHeight="1">
      <c r="A1693" s="109" t="s">
        <v>16214</v>
      </c>
      <c r="B1693" s="110" t="s">
        <v>16215</v>
      </c>
      <c r="C1693" s="111" t="s">
        <v>16216</v>
      </c>
      <c r="D1693" s="28" t="s">
        <v>16217</v>
      </c>
      <c r="E1693" s="28" t="str">
        <f>IFERROR(__xludf.DUMMYFUNCTION("GOOGLETRANSLATE(D1693,""zh-CN"",""vi"")"),"Tay nghề của cô ấy rất xuất sắc.")</f>
        <v>Tay nghề của cô ấy rất xuất sắc.</v>
      </c>
      <c r="F1693" s="137"/>
      <c r="G1693" s="36" t="b">
        <f t="shared" si="1"/>
        <v>0</v>
      </c>
      <c r="H1693" s="35" t="b">
        <v>0</v>
      </c>
      <c r="I1693" s="35" t="b">
        <v>0</v>
      </c>
      <c r="J1693" s="35" t="b">
        <v>0</v>
      </c>
      <c r="K1693" s="35" t="b">
        <v>0</v>
      </c>
      <c r="L1693" s="35" t="b">
        <v>0</v>
      </c>
      <c r="M1693" s="35" t="b">
        <v>0</v>
      </c>
      <c r="N1693" s="35" t="b">
        <v>0</v>
      </c>
      <c r="O1693" s="35" t="b">
        <v>0</v>
      </c>
      <c r="P1693" s="35" t="b">
        <v>0</v>
      </c>
      <c r="Q1693" s="35" t="b">
        <v>0</v>
      </c>
      <c r="R1693" s="14"/>
      <c r="S1693" s="14"/>
      <c r="T1693" s="14"/>
      <c r="U1693" s="14"/>
      <c r="V1693" s="14"/>
      <c r="W1693" s="14"/>
    </row>
    <row r="1694" ht="31.5" customHeight="1">
      <c r="A1694" s="109" t="s">
        <v>16218</v>
      </c>
      <c r="B1694" s="110" t="s">
        <v>16219</v>
      </c>
      <c r="C1694" s="111" t="s">
        <v>16220</v>
      </c>
      <c r="D1694" s="28" t="s">
        <v>16221</v>
      </c>
      <c r="E1694" s="28" t="str">
        <f>IFERROR(__xludf.DUMMYFUNCTION("GOOGLETRANSLATE(D1694,""zh-CN"",""vi"")"),"Cô ấy đã được trao Giải thưởng Cống hiến Xuất sắc.")</f>
        <v>Cô ấy đã được trao Giải thưởng Cống hiến Xuất sắc.</v>
      </c>
      <c r="F1694" s="137"/>
      <c r="G1694" s="36" t="b">
        <f t="shared" si="1"/>
        <v>0</v>
      </c>
      <c r="H1694" s="35" t="b">
        <v>0</v>
      </c>
      <c r="I1694" s="35" t="b">
        <v>0</v>
      </c>
      <c r="J1694" s="35" t="b">
        <v>0</v>
      </c>
      <c r="K1694" s="35" t="b">
        <v>0</v>
      </c>
      <c r="L1694" s="35" t="b">
        <v>0</v>
      </c>
      <c r="M1694" s="35" t="b">
        <v>0</v>
      </c>
      <c r="N1694" s="35" t="b">
        <v>0</v>
      </c>
      <c r="O1694" s="35" t="b">
        <v>0</v>
      </c>
      <c r="P1694" s="35" t="b">
        <v>0</v>
      </c>
      <c r="Q1694" s="35" t="b">
        <v>0</v>
      </c>
      <c r="R1694" s="14"/>
      <c r="S1694" s="14"/>
      <c r="T1694" s="14"/>
      <c r="U1694" s="14"/>
      <c r="V1694" s="14"/>
      <c r="W1694" s="14"/>
    </row>
    <row r="1695" ht="31.5" customHeight="1">
      <c r="A1695" s="109" t="s">
        <v>16222</v>
      </c>
      <c r="B1695" s="110" t="s">
        <v>16223</v>
      </c>
      <c r="C1695" s="111" t="s">
        <v>16224</v>
      </c>
      <c r="D1695" s="28" t="s">
        <v>16225</v>
      </c>
      <c r="E1695" s="28" t="str">
        <f>IFERROR(__xludf.DUMMYFUNCTION("GOOGLETRANSLATE(D1695,""zh-CN"",""vi"")"),"Ông ta phải chịu hậu quả vì hành vi biển thủ của mình.")</f>
        <v>Ông ta phải chịu hậu quả vì hành vi biển thủ của mình.</v>
      </c>
      <c r="F1695" s="137"/>
      <c r="G1695" s="36" t="b">
        <f t="shared" si="1"/>
        <v>0</v>
      </c>
      <c r="H1695" s="35" t="b">
        <v>0</v>
      </c>
      <c r="I1695" s="35" t="b">
        <v>0</v>
      </c>
      <c r="J1695" s="35" t="b">
        <v>0</v>
      </c>
      <c r="K1695" s="35" t="b">
        <v>0</v>
      </c>
      <c r="L1695" s="35" t="b">
        <v>0</v>
      </c>
      <c r="M1695" s="35" t="b">
        <v>0</v>
      </c>
      <c r="N1695" s="35" t="b">
        <v>0</v>
      </c>
      <c r="O1695" s="35" t="b">
        <v>0</v>
      </c>
      <c r="P1695" s="35" t="b">
        <v>0</v>
      </c>
      <c r="Q1695" s="35" t="b">
        <v>0</v>
      </c>
      <c r="R1695" s="14"/>
      <c r="S1695" s="14"/>
      <c r="T1695" s="14"/>
      <c r="U1695" s="14"/>
      <c r="V1695" s="14"/>
      <c r="W1695" s="14"/>
    </row>
    <row r="1696" ht="31.5" customHeight="1">
      <c r="A1696" s="109" t="s">
        <v>16226</v>
      </c>
      <c r="B1696" s="110" t="s">
        <v>16227</v>
      </c>
      <c r="C1696" s="111" t="s">
        <v>16228</v>
      </c>
      <c r="D1696" s="28" t="s">
        <v>16229</v>
      </c>
      <c r="E1696" s="28" t="str">
        <f>IFERROR(__xludf.DUMMYFUNCTION("GOOGLETRANSLATE(D1696,""zh-CN"",""vi"")"),"Chuyến đi này rất thú vị.")</f>
        <v>Chuyến đi này rất thú vị.</v>
      </c>
      <c r="F1696" s="137"/>
      <c r="G1696" s="36" t="b">
        <f t="shared" si="1"/>
        <v>0</v>
      </c>
      <c r="H1696" s="35" t="b">
        <v>1</v>
      </c>
      <c r="I1696" s="35" t="b">
        <v>0</v>
      </c>
      <c r="J1696" s="35" t="b">
        <v>0</v>
      </c>
      <c r="K1696" s="35" t="b">
        <v>0</v>
      </c>
      <c r="L1696" s="35" t="b">
        <v>0</v>
      </c>
      <c r="M1696" s="35" t="b">
        <v>0</v>
      </c>
      <c r="N1696" s="35" t="b">
        <v>0</v>
      </c>
      <c r="O1696" s="35" t="b">
        <v>0</v>
      </c>
      <c r="P1696" s="35" t="b">
        <v>0</v>
      </c>
      <c r="Q1696" s="35" t="b">
        <v>0</v>
      </c>
      <c r="R1696" s="14"/>
      <c r="S1696" s="14"/>
      <c r="T1696" s="14"/>
      <c r="U1696" s="14"/>
      <c r="V1696" s="14"/>
      <c r="W1696" s="14"/>
    </row>
    <row r="1697" ht="31.5" customHeight="1">
      <c r="A1697" s="109" t="s">
        <v>16230</v>
      </c>
      <c r="B1697" s="110" t="s">
        <v>16231</v>
      </c>
      <c r="C1697" s="111" t="s">
        <v>16232</v>
      </c>
      <c r="D1697" s="28" t="s">
        <v>16233</v>
      </c>
      <c r="E1697" s="28" t="str">
        <f>IFERROR(__xludf.DUMMYFUNCTION("GOOGLETRANSLATE(D1697,""zh-CN"",""vi"")"),"Chữ viết của anh ấy rất xuất sắc.")</f>
        <v>Chữ viết của anh ấy rất xuất sắc.</v>
      </c>
      <c r="F1697" s="137"/>
      <c r="G1697" s="36" t="b">
        <f t="shared" si="1"/>
        <v>0</v>
      </c>
      <c r="H1697" s="35" t="b">
        <v>1</v>
      </c>
      <c r="I1697" s="35" t="b">
        <v>0</v>
      </c>
      <c r="J1697" s="35" t="b">
        <v>0</v>
      </c>
      <c r="K1697" s="35" t="b">
        <v>0</v>
      </c>
      <c r="L1697" s="35" t="b">
        <v>0</v>
      </c>
      <c r="M1697" s="35" t="b">
        <v>0</v>
      </c>
      <c r="N1697" s="35" t="b">
        <v>0</v>
      </c>
      <c r="O1697" s="35" t="b">
        <v>0</v>
      </c>
      <c r="P1697" s="35" t="b">
        <v>0</v>
      </c>
      <c r="Q1697" s="35" t="b">
        <v>0</v>
      </c>
      <c r="R1697" s="14"/>
      <c r="S1697" s="14"/>
      <c r="T1697" s="14"/>
      <c r="U1697" s="14"/>
      <c r="V1697" s="14"/>
      <c r="W1697" s="14"/>
    </row>
    <row r="1698" ht="31.5" customHeight="1">
      <c r="A1698" s="109" t="s">
        <v>16234</v>
      </c>
      <c r="B1698" s="110" t="s">
        <v>16235</v>
      </c>
      <c r="C1698" s="111" t="s">
        <v>16236</v>
      </c>
      <c r="D1698" s="28" t="s">
        <v>16237</v>
      </c>
      <c r="E1698" s="28" t="str">
        <f>IFERROR(__xludf.DUMMYFUNCTION("GOOGLETRANSLATE(D1698,""zh-CN"",""vi"")"),"Do sơ suất, anh ta đã quên mất cuộc họp quan trọng.")</f>
        <v>Do sơ suất, anh ta đã quên mất cuộc họp quan trọng.</v>
      </c>
      <c r="F1698" s="137"/>
      <c r="G1698" s="36" t="b">
        <f t="shared" si="1"/>
        <v>0</v>
      </c>
      <c r="H1698" s="35" t="b">
        <v>1</v>
      </c>
      <c r="I1698" s="35" t="b">
        <v>0</v>
      </c>
      <c r="J1698" s="35" t="b">
        <v>0</v>
      </c>
      <c r="K1698" s="35" t="b">
        <v>0</v>
      </c>
      <c r="L1698" s="35" t="b">
        <v>0</v>
      </c>
      <c r="M1698" s="35" t="b">
        <v>0</v>
      </c>
      <c r="N1698" s="35" t="b">
        <v>0</v>
      </c>
      <c r="O1698" s="35" t="b">
        <v>0</v>
      </c>
      <c r="P1698" s="35" t="b">
        <v>0</v>
      </c>
      <c r="Q1698" s="35" t="b">
        <v>0</v>
      </c>
      <c r="R1698" s="14"/>
      <c r="S1698" s="14"/>
      <c r="T1698" s="14"/>
      <c r="U1698" s="14"/>
      <c r="V1698" s="14"/>
      <c r="W1698" s="14"/>
    </row>
    <row r="1699" ht="31.5" customHeight="1">
      <c r="A1699" s="109" t="s">
        <v>16238</v>
      </c>
      <c r="B1699" s="110" t="s">
        <v>16239</v>
      </c>
      <c r="C1699" s="111" t="s">
        <v>16240</v>
      </c>
      <c r="D1699" s="28" t="s">
        <v>16241</v>
      </c>
      <c r="E1699" s="28" t="str">
        <f>IFERROR(__xludf.DUMMYFUNCTION("GOOGLETRANSLATE(D1699,""zh-CN"",""vi"")"),"Tôi rất thích đọc đủ loại sách.")</f>
        <v>Tôi rất thích đọc đủ loại sách.</v>
      </c>
      <c r="F1699" s="137"/>
      <c r="G1699" s="36" t="b">
        <f t="shared" si="1"/>
        <v>0</v>
      </c>
      <c r="H1699" s="35" t="b">
        <v>1</v>
      </c>
      <c r="I1699" s="35" t="b">
        <v>0</v>
      </c>
      <c r="J1699" s="35" t="b">
        <v>0</v>
      </c>
      <c r="K1699" s="35" t="b">
        <v>0</v>
      </c>
      <c r="L1699" s="35" t="b">
        <v>0</v>
      </c>
      <c r="M1699" s="35" t="b">
        <v>0</v>
      </c>
      <c r="N1699" s="35" t="b">
        <v>0</v>
      </c>
      <c r="O1699" s="35" t="b">
        <v>0</v>
      </c>
      <c r="P1699" s="35" t="b">
        <v>0</v>
      </c>
      <c r="Q1699" s="35" t="b">
        <v>0</v>
      </c>
      <c r="R1699" s="14"/>
      <c r="S1699" s="14"/>
      <c r="T1699" s="14"/>
      <c r="U1699" s="14"/>
      <c r="V1699" s="14"/>
      <c r="W1699" s="14"/>
    </row>
    <row r="1700" ht="31.5" customHeight="1">
      <c r="A1700" s="109" t="s">
        <v>16242</v>
      </c>
      <c r="B1700" s="110" t="s">
        <v>16243</v>
      </c>
      <c r="C1700" s="111" t="s">
        <v>16244</v>
      </c>
      <c r="D1700" s="28" t="s">
        <v>16245</v>
      </c>
      <c r="E1700" s="28" t="str">
        <f>IFERROR(__xludf.DUMMYFUNCTION("GOOGLETRANSLATE(D1700,""zh-CN"",""vi"")"),"Thư ký công ty đã ghi chép lại nội dung cuộc họp.")</f>
        <v>Thư ký công ty đã ghi chép lại nội dung cuộc họp.</v>
      </c>
      <c r="F1700" s="137"/>
      <c r="G1700" s="36" t="b">
        <f t="shared" si="1"/>
        <v>0</v>
      </c>
      <c r="H1700" s="35" t="b">
        <v>1</v>
      </c>
      <c r="I1700" s="35" t="b">
        <v>0</v>
      </c>
      <c r="J1700" s="35" t="b">
        <v>0</v>
      </c>
      <c r="K1700" s="35" t="b">
        <v>0</v>
      </c>
      <c r="L1700" s="35" t="b">
        <v>0</v>
      </c>
      <c r="M1700" s="35" t="b">
        <v>0</v>
      </c>
      <c r="N1700" s="35" t="b">
        <v>0</v>
      </c>
      <c r="O1700" s="35" t="b">
        <v>0</v>
      </c>
      <c r="P1700" s="35" t="b">
        <v>0</v>
      </c>
      <c r="Q1700" s="35" t="b">
        <v>0</v>
      </c>
      <c r="R1700" s="14"/>
      <c r="S1700" s="14"/>
      <c r="T1700" s="14"/>
      <c r="U1700" s="14"/>
      <c r="V1700" s="14"/>
      <c r="W1700" s="14"/>
    </row>
    <row r="1701" ht="31.5" customHeight="1">
      <c r="A1701" s="109" t="s">
        <v>16246</v>
      </c>
      <c r="B1701" s="110" t="s">
        <v>16247</v>
      </c>
      <c r="C1701" s="111" t="s">
        <v>16248</v>
      </c>
      <c r="D1701" s="28" t="s">
        <v>16249</v>
      </c>
      <c r="E1701" s="28" t="str">
        <f>IFERROR(__xludf.DUMMYFUNCTION("GOOGLETRANSLATE(D1701,""zh-CN"",""vi"")"),"Vui lòng nộp báo cáo bằng văn bản.")</f>
        <v>Vui lòng nộp báo cáo bằng văn bản.</v>
      </c>
      <c r="F1701" s="137"/>
      <c r="G1701" s="36" t="b">
        <f t="shared" si="1"/>
        <v>0</v>
      </c>
      <c r="H1701" s="35" t="b">
        <v>1</v>
      </c>
      <c r="I1701" s="35" t="b">
        <v>0</v>
      </c>
      <c r="J1701" s="35" t="b">
        <v>0</v>
      </c>
      <c r="K1701" s="35" t="b">
        <v>0</v>
      </c>
      <c r="L1701" s="35" t="b">
        <v>0</v>
      </c>
      <c r="M1701" s="35" t="b">
        <v>0</v>
      </c>
      <c r="N1701" s="35" t="b">
        <v>0</v>
      </c>
      <c r="O1701" s="35" t="b">
        <v>0</v>
      </c>
      <c r="P1701" s="35" t="b">
        <v>0</v>
      </c>
      <c r="Q1701" s="35" t="b">
        <v>0</v>
      </c>
      <c r="R1701" s="14"/>
      <c r="S1701" s="14"/>
      <c r="T1701" s="14"/>
      <c r="U1701" s="14"/>
      <c r="V1701" s="14"/>
      <c r="W1701" s="14"/>
    </row>
    <row r="1702" ht="31.5" customHeight="1">
      <c r="A1702" s="109" t="s">
        <v>10982</v>
      </c>
      <c r="B1702" s="110" t="s">
        <v>10983</v>
      </c>
      <c r="C1702" s="111" t="s">
        <v>16250</v>
      </c>
      <c r="D1702" s="28" t="s">
        <v>16251</v>
      </c>
      <c r="E1702" s="28" t="str">
        <f>IFERROR(__xludf.DUMMYFUNCTION("GOOGLETRANSLATE(D1702,""zh-CN"",""vi"")"),"Đếm từ mười lăm đến ba mươi.")</f>
        <v>Đếm từ mười lăm đến ba mươi.</v>
      </c>
      <c r="F1702" s="137"/>
      <c r="G1702" s="36" t="b">
        <f t="shared" si="1"/>
        <v>0</v>
      </c>
      <c r="H1702" s="35" t="b">
        <v>1</v>
      </c>
      <c r="I1702" s="35" t="b">
        <v>0</v>
      </c>
      <c r="J1702" s="35" t="b">
        <v>0</v>
      </c>
      <c r="K1702" s="35" t="b">
        <v>0</v>
      </c>
      <c r="L1702" s="35" t="b">
        <v>0</v>
      </c>
      <c r="M1702" s="35" t="b">
        <v>0</v>
      </c>
      <c r="N1702" s="35" t="b">
        <v>0</v>
      </c>
      <c r="O1702" s="35" t="b">
        <v>0</v>
      </c>
      <c r="P1702" s="35" t="b">
        <v>0</v>
      </c>
      <c r="Q1702" s="35" t="b">
        <v>0</v>
      </c>
      <c r="R1702" s="14"/>
      <c r="S1702" s="14"/>
      <c r="T1702" s="14"/>
      <c r="U1702" s="14"/>
      <c r="V1702" s="14"/>
      <c r="W1702" s="14"/>
    </row>
    <row r="1703" ht="31.5" customHeight="1">
      <c r="A1703" s="109" t="s">
        <v>16252</v>
      </c>
      <c r="B1703" s="110" t="s">
        <v>2806</v>
      </c>
      <c r="C1703" s="111" t="s">
        <v>16253</v>
      </c>
      <c r="D1703" s="28" t="s">
        <v>16254</v>
      </c>
      <c r="E1703" s="28" t="str">
        <f>IFERROR(__xludf.DUMMYFUNCTION("GOOGLETRANSLATE(D1703,""zh-CN"",""vi"")"),"Anh ấy treo một bức tranh dọc lên tường.")</f>
        <v>Anh ấy treo một bức tranh dọc lên tường.</v>
      </c>
      <c r="F1703" s="137"/>
      <c r="G1703" s="36" t="b">
        <f t="shared" si="1"/>
        <v>0</v>
      </c>
      <c r="H1703" s="35" t="b">
        <v>1</v>
      </c>
      <c r="I1703" s="35" t="b">
        <v>0</v>
      </c>
      <c r="J1703" s="35" t="b">
        <v>0</v>
      </c>
      <c r="K1703" s="35" t="b">
        <v>0</v>
      </c>
      <c r="L1703" s="35" t="b">
        <v>0</v>
      </c>
      <c r="M1703" s="35" t="b">
        <v>0</v>
      </c>
      <c r="N1703" s="35" t="b">
        <v>0</v>
      </c>
      <c r="O1703" s="35" t="b">
        <v>0</v>
      </c>
      <c r="P1703" s="35" t="b">
        <v>0</v>
      </c>
      <c r="Q1703" s="35" t="b">
        <v>0</v>
      </c>
      <c r="R1703" s="14"/>
      <c r="S1703" s="14"/>
      <c r="T1703" s="14"/>
      <c r="U1703" s="14"/>
      <c r="V1703" s="14"/>
      <c r="W1703" s="14"/>
    </row>
    <row r="1704" ht="31.5" customHeight="1">
      <c r="A1704" s="109" t="s">
        <v>16255</v>
      </c>
      <c r="B1704" s="110" t="s">
        <v>2806</v>
      </c>
      <c r="C1704" s="111" t="s">
        <v>16256</v>
      </c>
      <c r="D1704" s="28" t="s">
        <v>16257</v>
      </c>
      <c r="E1704" s="28" t="str">
        <f>IFERROR(__xludf.DUMMYFUNCTION("GOOGLETRANSLATE(D1704,""zh-CN"",""vi"")"),"Cô ấy tặng mẹ một bó hoa.")</f>
        <v>Cô ấy tặng mẹ một bó hoa.</v>
      </c>
      <c r="F1704" s="137"/>
      <c r="G1704" s="36" t="b">
        <f t="shared" si="1"/>
        <v>0</v>
      </c>
      <c r="H1704" s="35" t="b">
        <v>1</v>
      </c>
      <c r="I1704" s="35" t="b">
        <v>0</v>
      </c>
      <c r="J1704" s="35" t="b">
        <v>0</v>
      </c>
      <c r="K1704" s="35" t="b">
        <v>0</v>
      </c>
      <c r="L1704" s="35" t="b">
        <v>0</v>
      </c>
      <c r="M1704" s="35" t="b">
        <v>0</v>
      </c>
      <c r="N1704" s="35" t="b">
        <v>0</v>
      </c>
      <c r="O1704" s="35" t="b">
        <v>0</v>
      </c>
      <c r="P1704" s="35" t="b">
        <v>0</v>
      </c>
      <c r="Q1704" s="35" t="b">
        <v>0</v>
      </c>
      <c r="R1704" s="14"/>
      <c r="S1704" s="14"/>
      <c r="T1704" s="14"/>
      <c r="U1704" s="14"/>
      <c r="V1704" s="14"/>
      <c r="W1704" s="14"/>
    </row>
    <row r="1705" ht="31.5" customHeight="1">
      <c r="A1705" s="109" t="s">
        <v>16258</v>
      </c>
      <c r="B1705" s="110" t="s">
        <v>16259</v>
      </c>
      <c r="C1705" s="111" t="s">
        <v>16260</v>
      </c>
      <c r="D1705" s="28" t="s">
        <v>16261</v>
      </c>
      <c r="E1705" s="28" t="str">
        <f>IFERROR(__xludf.DUMMYFUNCTION("GOOGLETRANSLATE(D1705,""zh-CN"",""vi"")"),"Dự án này cần một nguồn kinh phí lớn.")</f>
        <v>Dự án này cần một nguồn kinh phí lớn.</v>
      </c>
      <c r="F1705" s="137"/>
      <c r="G1705" s="36" t="b">
        <f t="shared" si="1"/>
        <v>0</v>
      </c>
      <c r="H1705" s="35" t="b">
        <v>1</v>
      </c>
      <c r="I1705" s="35" t="b">
        <v>0</v>
      </c>
      <c r="J1705" s="35" t="b">
        <v>0</v>
      </c>
      <c r="K1705" s="35" t="b">
        <v>0</v>
      </c>
      <c r="L1705" s="35" t="b">
        <v>0</v>
      </c>
      <c r="M1705" s="35" t="b">
        <v>0</v>
      </c>
      <c r="N1705" s="35" t="b">
        <v>0</v>
      </c>
      <c r="O1705" s="35" t="b">
        <v>0</v>
      </c>
      <c r="P1705" s="35" t="b">
        <v>0</v>
      </c>
      <c r="Q1705" s="35" t="b">
        <v>0</v>
      </c>
      <c r="R1705" s="14"/>
      <c r="S1705" s="14"/>
      <c r="T1705" s="14"/>
      <c r="U1705" s="14"/>
      <c r="V1705" s="14"/>
      <c r="W1705" s="14"/>
    </row>
    <row r="1706" ht="31.5" customHeight="1">
      <c r="A1706" s="109" t="s">
        <v>16262</v>
      </c>
      <c r="B1706" s="110" t="s">
        <v>16263</v>
      </c>
      <c r="C1706" s="111" t="s">
        <v>16264</v>
      </c>
      <c r="D1706" s="28" t="s">
        <v>16265</v>
      </c>
      <c r="E1706" s="28" t="str">
        <f>IFERROR(__xludf.DUMMYFUNCTION("GOOGLETRANSLATE(D1706,""zh-CN"",""vi"")"),"Những quan niệm truyền thống đã hạn chế tư duy của ông.")</f>
        <v>Những quan niệm truyền thống đã hạn chế tư duy của ông.</v>
      </c>
      <c r="F1706" s="137"/>
      <c r="G1706" s="36" t="b">
        <f t="shared" si="1"/>
        <v>0</v>
      </c>
      <c r="H1706" s="35" t="b">
        <v>1</v>
      </c>
      <c r="I1706" s="35" t="b">
        <v>0</v>
      </c>
      <c r="J1706" s="35" t="b">
        <v>0</v>
      </c>
      <c r="K1706" s="35" t="b">
        <v>0</v>
      </c>
      <c r="L1706" s="35" t="b">
        <v>0</v>
      </c>
      <c r="M1706" s="35" t="b">
        <v>0</v>
      </c>
      <c r="N1706" s="35" t="b">
        <v>0</v>
      </c>
      <c r="O1706" s="35" t="b">
        <v>0</v>
      </c>
      <c r="P1706" s="35" t="b">
        <v>0</v>
      </c>
      <c r="Q1706" s="35" t="b">
        <v>0</v>
      </c>
      <c r="R1706" s="14"/>
      <c r="S1706" s="14"/>
      <c r="T1706" s="14"/>
      <c r="U1706" s="14"/>
      <c r="V1706" s="14"/>
      <c r="W1706" s="14"/>
    </row>
    <row r="1707" ht="31.5" customHeight="1">
      <c r="A1707" s="109" t="s">
        <v>16266</v>
      </c>
      <c r="B1707" s="110" t="s">
        <v>16267</v>
      </c>
      <c r="C1707" s="111" t="s">
        <v>16268</v>
      </c>
      <c r="D1707" s="28" t="s">
        <v>16269</v>
      </c>
      <c r="E1707" s="28" t="str">
        <f>IFERROR(__xludf.DUMMYFUNCTION("GOOGLETRANSLATE(D1707,""zh-CN"",""vi"")"),"Chúng ta cần thiết lập những giá trị đúng đắn.")</f>
        <v>Chúng ta cần thiết lập những giá trị đúng đắn.</v>
      </c>
      <c r="F1707" s="137"/>
      <c r="G1707" s="36" t="b">
        <f t="shared" si="1"/>
        <v>0</v>
      </c>
      <c r="H1707" s="35" t="b">
        <v>1</v>
      </c>
      <c r="I1707" s="35" t="b">
        <v>0</v>
      </c>
      <c r="J1707" s="35" t="b">
        <v>0</v>
      </c>
      <c r="K1707" s="35" t="b">
        <v>0</v>
      </c>
      <c r="L1707" s="35" t="b">
        <v>0</v>
      </c>
      <c r="M1707" s="35" t="b">
        <v>0</v>
      </c>
      <c r="N1707" s="35" t="b">
        <v>0</v>
      </c>
      <c r="O1707" s="35" t="b">
        <v>0</v>
      </c>
      <c r="P1707" s="35" t="b">
        <v>0</v>
      </c>
      <c r="Q1707" s="35" t="b">
        <v>0</v>
      </c>
      <c r="R1707" s="14"/>
      <c r="S1707" s="14"/>
      <c r="T1707" s="14"/>
      <c r="U1707" s="14"/>
      <c r="V1707" s="14"/>
      <c r="W1707" s="14"/>
    </row>
    <row r="1708" ht="31.5" customHeight="1">
      <c r="A1708" s="109" t="s">
        <v>16270</v>
      </c>
      <c r="B1708" s="110" t="s">
        <v>16271</v>
      </c>
      <c r="C1708" s="111" t="s">
        <v>16260</v>
      </c>
      <c r="D1708" s="28" t="s">
        <v>16272</v>
      </c>
      <c r="E1708" s="28" t="str">
        <f>IFERROR(__xludf.DUMMYFUNCTION("GOOGLETRANSLATE(D1708,""zh-CN"",""vi"")"),"Bài viết này khá dài.")</f>
        <v>Bài viết này khá dài.</v>
      </c>
      <c r="F1708" s="137"/>
      <c r="G1708" s="36" t="b">
        <f t="shared" si="1"/>
        <v>0</v>
      </c>
      <c r="H1708" s="35" t="b">
        <v>1</v>
      </c>
      <c r="I1708" s="35" t="b">
        <v>0</v>
      </c>
      <c r="J1708" s="35" t="b">
        <v>0</v>
      </c>
      <c r="K1708" s="35" t="b">
        <v>0</v>
      </c>
      <c r="L1708" s="35" t="b">
        <v>0</v>
      </c>
      <c r="M1708" s="35" t="b">
        <v>0</v>
      </c>
      <c r="N1708" s="35" t="b">
        <v>0</v>
      </c>
      <c r="O1708" s="35" t="b">
        <v>0</v>
      </c>
      <c r="P1708" s="35" t="b">
        <v>0</v>
      </c>
      <c r="Q1708" s="35" t="b">
        <v>0</v>
      </c>
      <c r="R1708" s="14"/>
      <c r="S1708" s="14"/>
      <c r="T1708" s="14"/>
      <c r="U1708" s="14"/>
      <c r="V1708" s="14"/>
      <c r="W1708" s="14"/>
    </row>
    <row r="1709" ht="31.5" customHeight="1">
      <c r="A1709" s="109" t="s">
        <v>16273</v>
      </c>
      <c r="B1709" s="110" t="s">
        <v>16274</v>
      </c>
      <c r="C1709" s="111" t="s">
        <v>16275</v>
      </c>
      <c r="D1709" s="28" t="s">
        <v>16276</v>
      </c>
      <c r="E1709" s="28" t="str">
        <f>IFERROR(__xludf.DUMMYFUNCTION("GOOGLETRANSLATE(D1709,""zh-CN"",""vi"")"),"Trẻ em rất thích chơi đồ chơi.")</f>
        <v>Trẻ em rất thích chơi đồ chơi.</v>
      </c>
      <c r="F1709" s="137"/>
      <c r="G1709" s="36" t="b">
        <f t="shared" si="1"/>
        <v>0</v>
      </c>
      <c r="H1709" s="35" t="b">
        <v>1</v>
      </c>
      <c r="I1709" s="35" t="b">
        <v>0</v>
      </c>
      <c r="J1709" s="35" t="b">
        <v>0</v>
      </c>
      <c r="K1709" s="35" t="b">
        <v>0</v>
      </c>
      <c r="L1709" s="35" t="b">
        <v>0</v>
      </c>
      <c r="M1709" s="35" t="b">
        <v>0</v>
      </c>
      <c r="N1709" s="35" t="b">
        <v>0</v>
      </c>
      <c r="O1709" s="35" t="b">
        <v>0</v>
      </c>
      <c r="P1709" s="35" t="b">
        <v>0</v>
      </c>
      <c r="Q1709" s="35" t="b">
        <v>0</v>
      </c>
      <c r="R1709" s="14"/>
      <c r="S1709" s="14"/>
      <c r="T1709" s="14"/>
      <c r="U1709" s="14"/>
      <c r="V1709" s="14"/>
      <c r="W1709" s="14"/>
    </row>
    <row r="1710" ht="31.5" customHeight="1">
      <c r="A1710" s="109" t="s">
        <v>16277</v>
      </c>
      <c r="B1710" s="110" t="s">
        <v>16278</v>
      </c>
      <c r="C1710" s="111" t="s">
        <v>16279</v>
      </c>
      <c r="D1710" s="28" t="s">
        <v>16280</v>
      </c>
      <c r="E1710" s="28" t="str">
        <f>IFERROR(__xludf.DUMMYFUNCTION("GOOGLETRANSLATE(D1710,""zh-CN"",""vi"")"),"Ông cảm thấy cơ thể mình bắt đầu già đi.")</f>
        <v>Ông cảm thấy cơ thể mình bắt đầu già đi.</v>
      </c>
      <c r="F1710" s="137"/>
      <c r="G1710" s="36" t="b">
        <f t="shared" si="1"/>
        <v>0</v>
      </c>
      <c r="H1710" s="35" t="b">
        <v>1</v>
      </c>
      <c r="I1710" s="35" t="b">
        <v>0</v>
      </c>
      <c r="J1710" s="35" t="b">
        <v>0</v>
      </c>
      <c r="K1710" s="35" t="b">
        <v>0</v>
      </c>
      <c r="L1710" s="35" t="b">
        <v>0</v>
      </c>
      <c r="M1710" s="35" t="b">
        <v>0</v>
      </c>
      <c r="N1710" s="35" t="b">
        <v>0</v>
      </c>
      <c r="O1710" s="35" t="b">
        <v>0</v>
      </c>
      <c r="P1710" s="35" t="b">
        <v>0</v>
      </c>
      <c r="Q1710" s="35" t="b">
        <v>0</v>
      </c>
      <c r="R1710" s="14"/>
      <c r="S1710" s="14"/>
      <c r="T1710" s="14"/>
      <c r="U1710" s="14"/>
      <c r="V1710" s="14"/>
      <c r="W1710" s="14"/>
    </row>
    <row r="1711" ht="31.5" customHeight="1">
      <c r="A1711" s="109" t="s">
        <v>16281</v>
      </c>
      <c r="B1711" s="110" t="s">
        <v>16282</v>
      </c>
      <c r="C1711" s="111" t="s">
        <v>16283</v>
      </c>
      <c r="D1711" s="28" t="s">
        <v>16284</v>
      </c>
      <c r="E1711" s="28" t="str">
        <f>IFERROR(__xludf.DUMMYFUNCTION("GOOGLETRANSLATE(D1711,""zh-CN"",""vi"")"),"Suy thoái kinh tế đã ảnh hưởng đến nhiều doanh nghiệp.")</f>
        <v>Suy thoái kinh tế đã ảnh hưởng đến nhiều doanh nghiệp.</v>
      </c>
      <c r="F1711" s="137"/>
      <c r="G1711" s="36" t="b">
        <f t="shared" si="1"/>
        <v>0</v>
      </c>
      <c r="H1711" s="35" t="b">
        <v>1</v>
      </c>
      <c r="I1711" s="35" t="b">
        <v>0</v>
      </c>
      <c r="J1711" s="35" t="b">
        <v>0</v>
      </c>
      <c r="K1711" s="35" t="b">
        <v>0</v>
      </c>
      <c r="L1711" s="35" t="b">
        <v>0</v>
      </c>
      <c r="M1711" s="35" t="b">
        <v>0</v>
      </c>
      <c r="N1711" s="35" t="b">
        <v>0</v>
      </c>
      <c r="O1711" s="35" t="b">
        <v>0</v>
      </c>
      <c r="P1711" s="35" t="b">
        <v>0</v>
      </c>
      <c r="Q1711" s="35" t="b">
        <v>0</v>
      </c>
      <c r="R1711" s="14"/>
      <c r="S1711" s="14"/>
      <c r="T1711" s="14"/>
      <c r="U1711" s="14"/>
      <c r="V1711" s="14"/>
      <c r="W1711" s="14"/>
    </row>
    <row r="1712" ht="31.5" customHeight="1">
      <c r="A1712" s="109" t="s">
        <v>16285</v>
      </c>
      <c r="B1712" s="110" t="s">
        <v>16286</v>
      </c>
      <c r="C1712" s="111" t="s">
        <v>16287</v>
      </c>
      <c r="D1712" s="28" t="s">
        <v>16288</v>
      </c>
      <c r="E1712" s="28" t="str">
        <f>IFERROR(__xludf.DUMMYFUNCTION("GOOGLETRANSLATE(D1712,""zh-CN"",""vi"")"),"Ông đã dẫn dắt đội của mình hoàn thành nhiệm vụ.")</f>
        <v>Ông đã dẫn dắt đội của mình hoàn thành nhiệm vụ.</v>
      </c>
      <c r="F1712" s="137"/>
      <c r="G1712" s="36" t="b">
        <f t="shared" si="1"/>
        <v>0</v>
      </c>
      <c r="H1712" s="35" t="b">
        <v>1</v>
      </c>
      <c r="I1712" s="35" t="b">
        <v>0</v>
      </c>
      <c r="J1712" s="35" t="b">
        <v>0</v>
      </c>
      <c r="K1712" s="35" t="b">
        <v>0</v>
      </c>
      <c r="L1712" s="35" t="b">
        <v>0</v>
      </c>
      <c r="M1712" s="35" t="b">
        <v>0</v>
      </c>
      <c r="N1712" s="35" t="b">
        <v>0</v>
      </c>
      <c r="O1712" s="35" t="b">
        <v>0</v>
      </c>
      <c r="P1712" s="35" t="b">
        <v>0</v>
      </c>
      <c r="Q1712" s="35" t="b">
        <v>0</v>
      </c>
      <c r="R1712" s="14"/>
      <c r="S1712" s="14"/>
      <c r="T1712" s="14"/>
      <c r="U1712" s="14"/>
      <c r="V1712" s="14"/>
      <c r="W1712" s="14"/>
    </row>
    <row r="1713" ht="31.5" customHeight="1">
      <c r="A1713" s="109" t="s">
        <v>16289</v>
      </c>
      <c r="B1713" s="110" t="s">
        <v>16290</v>
      </c>
      <c r="C1713" s="111" t="s">
        <v>16291</v>
      </c>
      <c r="D1713" s="28" t="s">
        <v>16292</v>
      </c>
      <c r="E1713" s="28" t="str">
        <f>IFERROR(__xludf.DUMMYFUNCTION("GOOGLETRANSLATE(D1713,""zh-CN"",""vi"")"),"Tối nay chúng ta đi ăn lẩu nhé.")</f>
        <v>Tối nay chúng ta đi ăn lẩu nhé.</v>
      </c>
      <c r="F1713" s="137"/>
      <c r="G1713" s="36" t="b">
        <f t="shared" si="1"/>
        <v>0</v>
      </c>
      <c r="H1713" s="35" t="b">
        <v>1</v>
      </c>
      <c r="I1713" s="35" t="b">
        <v>0</v>
      </c>
      <c r="J1713" s="35" t="b">
        <v>0</v>
      </c>
      <c r="K1713" s="35" t="b">
        <v>0</v>
      </c>
      <c r="L1713" s="35" t="b">
        <v>0</v>
      </c>
      <c r="M1713" s="35" t="b">
        <v>0</v>
      </c>
      <c r="N1713" s="35" t="b">
        <v>0</v>
      </c>
      <c r="O1713" s="35" t="b">
        <v>0</v>
      </c>
      <c r="P1713" s="35" t="b">
        <v>0</v>
      </c>
      <c r="Q1713" s="35" t="b">
        <v>0</v>
      </c>
      <c r="R1713" s="14"/>
      <c r="S1713" s="14"/>
      <c r="T1713" s="14"/>
      <c r="U1713" s="14"/>
      <c r="V1713" s="14"/>
      <c r="W1713" s="14"/>
    </row>
    <row r="1714" ht="31.5" customHeight="1">
      <c r="A1714" s="109" t="s">
        <v>16293</v>
      </c>
      <c r="B1714" s="110" t="s">
        <v>16294</v>
      </c>
      <c r="C1714" s="111" t="s">
        <v>16295</v>
      </c>
      <c r="D1714" s="28" t="s">
        <v>16296</v>
      </c>
      <c r="E1714" s="28" t="str">
        <f>IFERROR(__xludf.DUMMYFUNCTION("GOOGLETRANSLATE(D1714,""zh-CN"",""vi"")"),"Họ là anh em sinh đôi.")</f>
        <v>Họ là anh em sinh đôi.</v>
      </c>
      <c r="F1714" s="137"/>
      <c r="G1714" s="36" t="b">
        <f t="shared" si="1"/>
        <v>0</v>
      </c>
      <c r="H1714" s="35" t="b">
        <v>1</v>
      </c>
      <c r="I1714" s="35" t="b">
        <v>0</v>
      </c>
      <c r="J1714" s="35" t="b">
        <v>0</v>
      </c>
      <c r="K1714" s="35" t="b">
        <v>0</v>
      </c>
      <c r="L1714" s="35" t="b">
        <v>0</v>
      </c>
      <c r="M1714" s="35" t="b">
        <v>0</v>
      </c>
      <c r="N1714" s="35" t="b">
        <v>0</v>
      </c>
      <c r="O1714" s="35" t="b">
        <v>0</v>
      </c>
      <c r="P1714" s="35" t="b">
        <v>0</v>
      </c>
      <c r="Q1714" s="35" t="b">
        <v>0</v>
      </c>
      <c r="R1714" s="14"/>
      <c r="S1714" s="14"/>
      <c r="T1714" s="14"/>
      <c r="U1714" s="14"/>
      <c r="V1714" s="14"/>
      <c r="W1714" s="14"/>
    </row>
    <row r="1715" ht="31.5" customHeight="1">
      <c r="A1715" s="109" t="s">
        <v>16297</v>
      </c>
      <c r="B1715" s="110" t="s">
        <v>16298</v>
      </c>
      <c r="C1715" s="111" t="s">
        <v>16299</v>
      </c>
      <c r="D1715" s="28" t="s">
        <v>16300</v>
      </c>
      <c r="E1715" s="28" t="str">
        <f>IFERROR(__xludf.DUMMYFUNCTION("GOOGLETRANSLATE(D1715,""zh-CN"",""vi"")"),"Cô ấy có tính cách rất thẳng thắn.")</f>
        <v>Cô ấy có tính cách rất thẳng thắn.</v>
      </c>
      <c r="F1715" s="137"/>
      <c r="G1715" s="36" t="b">
        <f t="shared" si="1"/>
        <v>0</v>
      </c>
      <c r="H1715" s="35" t="b">
        <v>1</v>
      </c>
      <c r="I1715" s="35" t="b">
        <v>0</v>
      </c>
      <c r="J1715" s="35" t="b">
        <v>0</v>
      </c>
      <c r="K1715" s="35" t="b">
        <v>0</v>
      </c>
      <c r="L1715" s="35" t="b">
        <v>0</v>
      </c>
      <c r="M1715" s="35" t="b">
        <v>0</v>
      </c>
      <c r="N1715" s="35" t="b">
        <v>0</v>
      </c>
      <c r="O1715" s="35" t="b">
        <v>0</v>
      </c>
      <c r="P1715" s="35" t="b">
        <v>0</v>
      </c>
      <c r="Q1715" s="35" t="b">
        <v>0</v>
      </c>
      <c r="R1715" s="14"/>
      <c r="S1715" s="14"/>
      <c r="T1715" s="14"/>
      <c r="U1715" s="14"/>
      <c r="V1715" s="14"/>
      <c r="W1715" s="14"/>
    </row>
    <row r="1716" ht="31.5" customHeight="1">
      <c r="A1716" s="109" t="s">
        <v>16301</v>
      </c>
      <c r="B1716" s="110" t="s">
        <v>16302</v>
      </c>
      <c r="C1716" s="111" t="s">
        <v>16303</v>
      </c>
      <c r="D1716" s="28" t="s">
        <v>16304</v>
      </c>
      <c r="E1716" s="28" t="str">
        <f>IFERROR(__xludf.DUMMYFUNCTION("GOOGLETRANSLATE(D1716,""zh-CN"",""vi"")"),"Các dự án thủy lợi ở khu vực này rất tiên tiến.")</f>
        <v>Các dự án thủy lợi ở khu vực này rất tiên tiến.</v>
      </c>
      <c r="F1716" s="137"/>
      <c r="G1716" s="36" t="b">
        <f t="shared" si="1"/>
        <v>0</v>
      </c>
      <c r="H1716" s="35" t="b">
        <v>1</v>
      </c>
      <c r="I1716" s="35" t="b">
        <v>0</v>
      </c>
      <c r="J1716" s="35" t="b">
        <v>0</v>
      </c>
      <c r="K1716" s="35" t="b">
        <v>0</v>
      </c>
      <c r="L1716" s="35" t="b">
        <v>0</v>
      </c>
      <c r="M1716" s="35" t="b">
        <v>0</v>
      </c>
      <c r="N1716" s="35" t="b">
        <v>0</v>
      </c>
      <c r="O1716" s="35" t="b">
        <v>0</v>
      </c>
      <c r="P1716" s="35" t="b">
        <v>0</v>
      </c>
      <c r="Q1716" s="35" t="b">
        <v>0</v>
      </c>
      <c r="R1716" s="14"/>
      <c r="S1716" s="14"/>
      <c r="T1716" s="14"/>
      <c r="U1716" s="14"/>
      <c r="V1716" s="14"/>
      <c r="W1716" s="14"/>
    </row>
    <row r="1717" ht="31.5" customHeight="1">
      <c r="A1717" s="109" t="s">
        <v>16305</v>
      </c>
      <c r="B1717" s="110" t="s">
        <v>16306</v>
      </c>
      <c r="C1717" s="111" t="s">
        <v>16307</v>
      </c>
      <c r="D1717" s="28" t="s">
        <v>16308</v>
      </c>
      <c r="E1717" s="28" t="str">
        <f>IFERROR(__xludf.DUMMYFUNCTION("GOOGLETRANSLATE(D1717,""zh-CN"",""vi"")"),"Hãy vặn chặt vòi nước.")</f>
        <v>Hãy vặn chặt vòi nước.</v>
      </c>
      <c r="F1717" s="137"/>
      <c r="G1717" s="36" t="b">
        <f t="shared" si="1"/>
        <v>0</v>
      </c>
      <c r="H1717" s="35" t="b">
        <v>1</v>
      </c>
      <c r="I1717" s="35" t="b">
        <v>0</v>
      </c>
      <c r="J1717" s="35" t="b">
        <v>0</v>
      </c>
      <c r="K1717" s="35" t="b">
        <v>0</v>
      </c>
      <c r="L1717" s="35" t="b">
        <v>0</v>
      </c>
      <c r="M1717" s="35" t="b">
        <v>0</v>
      </c>
      <c r="N1717" s="35" t="b">
        <v>0</v>
      </c>
      <c r="O1717" s="35" t="b">
        <v>0</v>
      </c>
      <c r="P1717" s="35" t="b">
        <v>0</v>
      </c>
      <c r="Q1717" s="35" t="b">
        <v>0</v>
      </c>
      <c r="R1717" s="14"/>
      <c r="S1717" s="14"/>
      <c r="T1717" s="14"/>
      <c r="U1717" s="14"/>
      <c r="V1717" s="14"/>
      <c r="W1717" s="14"/>
    </row>
    <row r="1718" ht="31.5" customHeight="1">
      <c r="A1718" s="109" t="s">
        <v>16309</v>
      </c>
      <c r="B1718" s="110" t="s">
        <v>16310</v>
      </c>
      <c r="C1718" s="111" t="s">
        <v>16311</v>
      </c>
      <c r="D1718" s="28" t="s">
        <v>16312</v>
      </c>
      <c r="E1718" s="28" t="str">
        <f>IFERROR(__xludf.DUMMYFUNCTION("GOOGLETRANSLATE(D1718,""zh-CN"",""vi"")"),"Họ xây cây cầu bằng xi măng.")</f>
        <v>Họ xây cây cầu bằng xi măng.</v>
      </c>
      <c r="F1718" s="137"/>
      <c r="G1718" s="36" t="b">
        <f t="shared" si="1"/>
        <v>0</v>
      </c>
      <c r="H1718" s="35" t="b">
        <v>1</v>
      </c>
      <c r="I1718" s="35" t="b">
        <v>0</v>
      </c>
      <c r="J1718" s="35" t="b">
        <v>0</v>
      </c>
      <c r="K1718" s="35" t="b">
        <v>0</v>
      </c>
      <c r="L1718" s="35" t="b">
        <v>0</v>
      </c>
      <c r="M1718" s="35" t="b">
        <v>0</v>
      </c>
      <c r="N1718" s="35" t="b">
        <v>0</v>
      </c>
      <c r="O1718" s="35" t="b">
        <v>0</v>
      </c>
      <c r="P1718" s="35" t="b">
        <v>0</v>
      </c>
      <c r="Q1718" s="35" t="b">
        <v>0</v>
      </c>
      <c r="R1718" s="14"/>
      <c r="S1718" s="14"/>
      <c r="T1718" s="14"/>
      <c r="U1718" s="14"/>
      <c r="V1718" s="14"/>
      <c r="W1718" s="14"/>
    </row>
    <row r="1719" ht="31.5" customHeight="1">
      <c r="A1719" s="109" t="s">
        <v>16313</v>
      </c>
      <c r="B1719" s="110" t="s">
        <v>16314</v>
      </c>
      <c r="C1719" s="111" t="s">
        <v>16315</v>
      </c>
      <c r="D1719" s="28" t="s">
        <v>16316</v>
      </c>
      <c r="E1719" s="28" t="str">
        <f>IFERROR(__xludf.DUMMYFUNCTION("GOOGLETRANSLATE(D1719,""zh-CN"",""vi"")"),"Hệ thống tư pháp cần được cải cách.")</f>
        <v>Hệ thống tư pháp cần được cải cách.</v>
      </c>
      <c r="F1719" s="137"/>
      <c r="G1719" s="36" t="b">
        <f t="shared" si="1"/>
        <v>0</v>
      </c>
      <c r="H1719" s="35" t="b">
        <v>1</v>
      </c>
      <c r="I1719" s="35" t="b">
        <v>0</v>
      </c>
      <c r="J1719" s="35" t="b">
        <v>0</v>
      </c>
      <c r="K1719" s="35" t="b">
        <v>0</v>
      </c>
      <c r="L1719" s="35" t="b">
        <v>0</v>
      </c>
      <c r="M1719" s="35" t="b">
        <v>0</v>
      </c>
      <c r="N1719" s="35" t="b">
        <v>0</v>
      </c>
      <c r="O1719" s="35" t="b">
        <v>0</v>
      </c>
      <c r="P1719" s="35" t="b">
        <v>0</v>
      </c>
      <c r="Q1719" s="35" t="b">
        <v>0</v>
      </c>
      <c r="R1719" s="14"/>
      <c r="S1719" s="14"/>
      <c r="T1719" s="14"/>
      <c r="U1719" s="14"/>
      <c r="V1719" s="14"/>
      <c r="W1719" s="14"/>
    </row>
    <row r="1720" ht="31.5" customHeight="1">
      <c r="A1720" s="109" t="s">
        <v>16317</v>
      </c>
      <c r="B1720" s="110" t="s">
        <v>16318</v>
      </c>
      <c r="C1720" s="111" t="s">
        <v>16319</v>
      </c>
      <c r="D1720" s="28" t="s">
        <v>16320</v>
      </c>
      <c r="E1720" s="28" t="str">
        <f>IFERROR(__xludf.DUMMYFUNCTION("GOOGLETRANSLATE(D1720,""zh-CN"",""vi"")"),"Ông ta là tổng tư lệnh quân đội.")</f>
        <v>Ông ta là tổng tư lệnh quân đội.</v>
      </c>
      <c r="F1720" s="137"/>
      <c r="G1720" s="36" t="b">
        <f t="shared" si="1"/>
        <v>0</v>
      </c>
      <c r="H1720" s="35" t="b">
        <v>1</v>
      </c>
      <c r="I1720" s="35" t="b">
        <v>0</v>
      </c>
      <c r="J1720" s="35" t="b">
        <v>0</v>
      </c>
      <c r="K1720" s="35" t="b">
        <v>0</v>
      </c>
      <c r="L1720" s="35" t="b">
        <v>0</v>
      </c>
      <c r="M1720" s="35" t="b">
        <v>0</v>
      </c>
      <c r="N1720" s="35" t="b">
        <v>0</v>
      </c>
      <c r="O1720" s="35" t="b">
        <v>0</v>
      </c>
      <c r="P1720" s="35" t="b">
        <v>0</v>
      </c>
      <c r="Q1720" s="35" t="b">
        <v>0</v>
      </c>
      <c r="R1720" s="14"/>
      <c r="S1720" s="14"/>
      <c r="T1720" s="14"/>
      <c r="U1720" s="14"/>
      <c r="V1720" s="14"/>
      <c r="W1720" s="14"/>
    </row>
    <row r="1721" ht="31.5" customHeight="1">
      <c r="A1721" s="109" t="s">
        <v>16321</v>
      </c>
      <c r="B1721" s="110" t="s">
        <v>16322</v>
      </c>
      <c r="C1721" s="111" t="s">
        <v>16323</v>
      </c>
      <c r="D1721" s="28" t="s">
        <v>16324</v>
      </c>
      <c r="E1721" s="28" t="str">
        <f>IFERROR(__xludf.DUMMYFUNCTION("GOOGLETRANSLATE(D1721,""zh-CN"",""vi"")"),"Cô ấy nhớ gia đình mình mỗi đêm.")</f>
        <v>Cô ấy nhớ gia đình mình mỗi đêm.</v>
      </c>
      <c r="F1721" s="137"/>
      <c r="G1721" s="36" t="b">
        <f t="shared" si="1"/>
        <v>0</v>
      </c>
      <c r="H1721" s="35" t="b">
        <v>1</v>
      </c>
      <c r="I1721" s="35" t="b">
        <v>0</v>
      </c>
      <c r="J1721" s="35" t="b">
        <v>0</v>
      </c>
      <c r="K1721" s="35" t="b">
        <v>0</v>
      </c>
      <c r="L1721" s="35" t="b">
        <v>0</v>
      </c>
      <c r="M1721" s="35" t="b">
        <v>0</v>
      </c>
      <c r="N1721" s="35" t="b">
        <v>0</v>
      </c>
      <c r="O1721" s="35" t="b">
        <v>0</v>
      </c>
      <c r="P1721" s="35" t="b">
        <v>0</v>
      </c>
      <c r="Q1721" s="35" t="b">
        <v>0</v>
      </c>
      <c r="R1721" s="14"/>
      <c r="S1721" s="14"/>
      <c r="T1721" s="14"/>
      <c r="U1721" s="14"/>
      <c r="V1721" s="14"/>
      <c r="W1721" s="14"/>
    </row>
    <row r="1722" ht="31.5" customHeight="1">
      <c r="A1722" s="109" t="s">
        <v>16325</v>
      </c>
      <c r="B1722" s="110" t="s">
        <v>16326</v>
      </c>
      <c r="C1722" s="111" t="s">
        <v>16327</v>
      </c>
      <c r="D1722" s="28" t="s">
        <v>16328</v>
      </c>
      <c r="E1722" s="28" t="str">
        <f>IFERROR(__xludf.DUMMYFUNCTION("GOOGLETRANSLATE(D1722,""zh-CN"",""vi"")"),"Anh ấy đang suy nghĩ về cách giải quyết vấn đề này.")</f>
        <v>Anh ấy đang suy nghĩ về cách giải quyết vấn đề này.</v>
      </c>
      <c r="F1722" s="137"/>
      <c r="G1722" s="36" t="b">
        <f t="shared" si="1"/>
        <v>0</v>
      </c>
      <c r="H1722" s="35" t="b">
        <v>1</v>
      </c>
      <c r="I1722" s="35" t="b">
        <v>0</v>
      </c>
      <c r="J1722" s="35" t="b">
        <v>0</v>
      </c>
      <c r="K1722" s="35" t="b">
        <v>0</v>
      </c>
      <c r="L1722" s="35" t="b">
        <v>0</v>
      </c>
      <c r="M1722" s="35" t="b">
        <v>0</v>
      </c>
      <c r="N1722" s="35" t="b">
        <v>0</v>
      </c>
      <c r="O1722" s="35" t="b">
        <v>0</v>
      </c>
      <c r="P1722" s="35" t="b">
        <v>0</v>
      </c>
      <c r="Q1722" s="35" t="b">
        <v>0</v>
      </c>
      <c r="R1722" s="14"/>
      <c r="S1722" s="14"/>
      <c r="T1722" s="14"/>
      <c r="U1722" s="14"/>
      <c r="V1722" s="14"/>
      <c r="W1722" s="14"/>
    </row>
    <row r="1723" ht="31.5" customHeight="1">
      <c r="A1723" s="109" t="s">
        <v>16329</v>
      </c>
      <c r="B1723" s="110" t="s">
        <v>16330</v>
      </c>
      <c r="C1723" s="111" t="s">
        <v>16331</v>
      </c>
      <c r="D1723" s="28" t="s">
        <v>16332</v>
      </c>
      <c r="E1723" s="28" t="str">
        <f>IFERROR(__xludf.DUMMYFUNCTION("GOOGLETRANSLATE(D1723,""zh-CN"",""vi"")"),"Cách suy nghĩ của anh ấy rất độc đáo.")</f>
        <v>Cách suy nghĩ của anh ấy rất độc đáo.</v>
      </c>
      <c r="F1723" s="137"/>
      <c r="G1723" s="36" t="b">
        <f t="shared" si="1"/>
        <v>0</v>
      </c>
      <c r="H1723" s="35" t="b">
        <v>1</v>
      </c>
      <c r="I1723" s="35" t="b">
        <v>0</v>
      </c>
      <c r="J1723" s="35" t="b">
        <v>0</v>
      </c>
      <c r="K1723" s="35" t="b">
        <v>0</v>
      </c>
      <c r="L1723" s="35" t="b">
        <v>0</v>
      </c>
      <c r="M1723" s="35" t="b">
        <v>0</v>
      </c>
      <c r="N1723" s="35" t="b">
        <v>0</v>
      </c>
      <c r="O1723" s="35" t="b">
        <v>0</v>
      </c>
      <c r="P1723" s="35" t="b">
        <v>0</v>
      </c>
      <c r="Q1723" s="35" t="b">
        <v>0</v>
      </c>
      <c r="R1723" s="14"/>
      <c r="S1723" s="14"/>
      <c r="T1723" s="14"/>
      <c r="U1723" s="14"/>
      <c r="V1723" s="14"/>
      <c r="W1723" s="14"/>
    </row>
    <row r="1724" ht="31.5" customHeight="1">
      <c r="A1724" s="109" t="s">
        <v>16333</v>
      </c>
      <c r="B1724" s="110" t="s">
        <v>16334</v>
      </c>
      <c r="C1724" s="111" t="s">
        <v>16335</v>
      </c>
      <c r="D1724" s="28" t="s">
        <v>16336</v>
      </c>
      <c r="E1724" s="28" t="str">
        <f>IFERROR(__xludf.DUMMYFUNCTION("GOOGLETRANSLATE(D1724,""zh-CN"",""vi"")"),"Ông ấy là một quý ông lịch lãm.")</f>
        <v>Ông ấy là một quý ông lịch lãm.</v>
      </c>
      <c r="F1724" s="137"/>
      <c r="G1724" s="36" t="b">
        <f t="shared" si="1"/>
        <v>0</v>
      </c>
      <c r="H1724" s="35" t="b">
        <v>1</v>
      </c>
      <c r="I1724" s="35" t="b">
        <v>0</v>
      </c>
      <c r="J1724" s="35" t="b">
        <v>0</v>
      </c>
      <c r="K1724" s="35" t="b">
        <v>0</v>
      </c>
      <c r="L1724" s="35" t="b">
        <v>0</v>
      </c>
      <c r="M1724" s="35" t="b">
        <v>0</v>
      </c>
      <c r="N1724" s="35" t="b">
        <v>0</v>
      </c>
      <c r="O1724" s="35" t="b">
        <v>0</v>
      </c>
      <c r="P1724" s="35" t="b">
        <v>0</v>
      </c>
      <c r="Q1724" s="35" t="b">
        <v>0</v>
      </c>
      <c r="R1724" s="14"/>
      <c r="S1724" s="14"/>
      <c r="T1724" s="14"/>
      <c r="U1724" s="14"/>
      <c r="V1724" s="14"/>
      <c r="W1724" s="14"/>
    </row>
    <row r="1725" ht="31.5" customHeight="1">
      <c r="A1725" s="109" t="s">
        <v>16337</v>
      </c>
      <c r="B1725" s="110" t="s">
        <v>16338</v>
      </c>
      <c r="C1725" s="111" t="s">
        <v>16339</v>
      </c>
      <c r="D1725" s="28" t="s">
        <v>16340</v>
      </c>
      <c r="E1725" s="28" t="str">
        <f>IFERROR(__xludf.DUMMYFUNCTION("GOOGLETRANSLATE(D1725,""zh-CN"",""vi"")"),"Tâm trí cô ấy hoàn toàn rối bời.")</f>
        <v>Tâm trí cô ấy hoàn toàn rối bời.</v>
      </c>
      <c r="F1725" s="137"/>
      <c r="G1725" s="36" t="b">
        <f t="shared" si="1"/>
        <v>0</v>
      </c>
      <c r="H1725" s="35" t="b">
        <v>1</v>
      </c>
      <c r="I1725" s="35" t="b">
        <v>0</v>
      </c>
      <c r="J1725" s="35" t="b">
        <v>0</v>
      </c>
      <c r="K1725" s="35" t="b">
        <v>0</v>
      </c>
      <c r="L1725" s="35" t="b">
        <v>0</v>
      </c>
      <c r="M1725" s="35" t="b">
        <v>0</v>
      </c>
      <c r="N1725" s="35" t="b">
        <v>0</v>
      </c>
      <c r="O1725" s="35" t="b">
        <v>0</v>
      </c>
      <c r="P1725" s="35" t="b">
        <v>0</v>
      </c>
      <c r="Q1725" s="35" t="b">
        <v>0</v>
      </c>
      <c r="R1725" s="14"/>
      <c r="S1725" s="14"/>
      <c r="T1725" s="14"/>
      <c r="U1725" s="14"/>
      <c r="V1725" s="14"/>
      <c r="W1725" s="14"/>
    </row>
    <row r="1726" ht="31.5" customHeight="1">
      <c r="A1726" s="109" t="s">
        <v>16341</v>
      </c>
      <c r="B1726" s="110" t="s">
        <v>16342</v>
      </c>
      <c r="C1726" s="111" t="s">
        <v>16343</v>
      </c>
      <c r="D1726" s="28" t="s">
        <v>16344</v>
      </c>
      <c r="E1726" s="28" t="str">
        <f>IFERROR(__xludf.DUMMYFUNCTION("GOOGLETRANSLATE(D1726,""zh-CN"",""vi"")"),"Ông ta đã rời bỏ vị trí làm việc mà không được phép.")</f>
        <v>Ông ta đã rời bỏ vị trí làm việc mà không được phép.</v>
      </c>
      <c r="F1726" s="137"/>
      <c r="G1726" s="36" t="b">
        <f t="shared" si="1"/>
        <v>0</v>
      </c>
      <c r="H1726" s="35" t="b">
        <v>1</v>
      </c>
      <c r="I1726" s="35" t="b">
        <v>0</v>
      </c>
      <c r="J1726" s="35" t="b">
        <v>0</v>
      </c>
      <c r="K1726" s="35" t="b">
        <v>0</v>
      </c>
      <c r="L1726" s="35" t="b">
        <v>0</v>
      </c>
      <c r="M1726" s="35" t="b">
        <v>0</v>
      </c>
      <c r="N1726" s="35" t="b">
        <v>0</v>
      </c>
      <c r="O1726" s="35" t="b">
        <v>0</v>
      </c>
      <c r="P1726" s="35" t="b">
        <v>0</v>
      </c>
      <c r="Q1726" s="35" t="b">
        <v>0</v>
      </c>
      <c r="R1726" s="14"/>
      <c r="S1726" s="14"/>
      <c r="T1726" s="14"/>
      <c r="U1726" s="14"/>
      <c r="V1726" s="14"/>
      <c r="W1726" s="14"/>
    </row>
    <row r="1727" ht="31.5" customHeight="1">
      <c r="A1727" s="109" t="s">
        <v>16345</v>
      </c>
      <c r="B1727" s="110" t="s">
        <v>16346</v>
      </c>
      <c r="C1727" s="111" t="s">
        <v>16347</v>
      </c>
      <c r="D1727" s="28" t="s">
        <v>16348</v>
      </c>
      <c r="E1727" s="28" t="str">
        <f>IFERROR(__xludf.DUMMYFUNCTION("GOOGLETRANSLATE(D1727,""zh-CN"",""vi"")"),"Vụ tai nạn đã khiến hai người thiệt mạng.")</f>
        <v>Vụ tai nạn đã khiến hai người thiệt mạng.</v>
      </c>
      <c r="F1727" s="137"/>
      <c r="G1727" s="36" t="b">
        <f t="shared" si="1"/>
        <v>0</v>
      </c>
      <c r="H1727" s="35" t="b">
        <v>1</v>
      </c>
      <c r="I1727" s="35" t="b">
        <v>0</v>
      </c>
      <c r="J1727" s="35" t="b">
        <v>0</v>
      </c>
      <c r="K1727" s="35" t="b">
        <v>0</v>
      </c>
      <c r="L1727" s="35" t="b">
        <v>0</v>
      </c>
      <c r="M1727" s="35" t="b">
        <v>0</v>
      </c>
      <c r="N1727" s="35" t="b">
        <v>0</v>
      </c>
      <c r="O1727" s="35" t="b">
        <v>0</v>
      </c>
      <c r="P1727" s="35" t="b">
        <v>0</v>
      </c>
      <c r="Q1727" s="35" t="b">
        <v>0</v>
      </c>
      <c r="R1727" s="14"/>
      <c r="S1727" s="14"/>
      <c r="T1727" s="14"/>
      <c r="U1727" s="14"/>
      <c r="V1727" s="14"/>
      <c r="W1727" s="14"/>
    </row>
    <row r="1728" ht="31.5" customHeight="1">
      <c r="A1728" s="109" t="s">
        <v>16349</v>
      </c>
      <c r="B1728" s="110" t="s">
        <v>16350</v>
      </c>
      <c r="C1728" s="111" t="s">
        <v>16351</v>
      </c>
      <c r="D1728" s="28" t="s">
        <v>16352</v>
      </c>
      <c r="E1728" s="28" t="str">
        <f>IFERROR(__xludf.DUMMYFUNCTION("GOOGLETRANSLATE(D1728,""zh-CN"",""vi"")"),"Hành vi của anh ta rất liều lĩnh.")</f>
        <v>Hành vi của anh ta rất liều lĩnh.</v>
      </c>
      <c r="F1728" s="137"/>
      <c r="G1728" s="36" t="b">
        <f t="shared" si="1"/>
        <v>0</v>
      </c>
      <c r="H1728" s="35" t="b">
        <v>1</v>
      </c>
      <c r="I1728" s="35" t="b">
        <v>0</v>
      </c>
      <c r="J1728" s="35" t="b">
        <v>0</v>
      </c>
      <c r="K1728" s="35" t="b">
        <v>0</v>
      </c>
      <c r="L1728" s="35" t="b">
        <v>0</v>
      </c>
      <c r="M1728" s="35" t="b">
        <v>0</v>
      </c>
      <c r="N1728" s="35" t="b">
        <v>0</v>
      </c>
      <c r="O1728" s="35" t="b">
        <v>0</v>
      </c>
      <c r="P1728" s="35" t="b">
        <v>0</v>
      </c>
      <c r="Q1728" s="35" t="b">
        <v>0</v>
      </c>
      <c r="R1728" s="14"/>
      <c r="S1728" s="14"/>
      <c r="T1728" s="14"/>
      <c r="U1728" s="14"/>
      <c r="V1728" s="14"/>
      <c r="W1728" s="14"/>
    </row>
    <row r="1729" ht="31.5" customHeight="1">
      <c r="A1729" s="109" t="s">
        <v>16353</v>
      </c>
      <c r="B1729" s="110" t="s">
        <v>16354</v>
      </c>
      <c r="C1729" s="111" t="s">
        <v>16355</v>
      </c>
      <c r="D1729" s="28" t="s">
        <v>16356</v>
      </c>
      <c r="E1729" s="28" t="str">
        <f>IFERROR(__xludf.DUMMYFUNCTION("GOOGLETRANSLATE(D1729,""zh-CN"",""vi"")"),"Cô ấy thích nuôi các loài động vật nhỏ.")</f>
        <v>Cô ấy thích nuôi các loài động vật nhỏ.</v>
      </c>
      <c r="F1729" s="137"/>
      <c r="G1729" s="36" t="b">
        <f t="shared" si="1"/>
        <v>0</v>
      </c>
      <c r="H1729" s="35" t="b">
        <v>1</v>
      </c>
      <c r="I1729" s="35" t="b">
        <v>0</v>
      </c>
      <c r="J1729" s="35" t="b">
        <v>0</v>
      </c>
      <c r="K1729" s="35" t="b">
        <v>0</v>
      </c>
      <c r="L1729" s="35" t="b">
        <v>0</v>
      </c>
      <c r="M1729" s="35" t="b">
        <v>0</v>
      </c>
      <c r="N1729" s="35" t="b">
        <v>0</v>
      </c>
      <c r="O1729" s="35" t="b">
        <v>0</v>
      </c>
      <c r="P1729" s="35" t="b">
        <v>0</v>
      </c>
      <c r="Q1729" s="35" t="b">
        <v>0</v>
      </c>
      <c r="R1729" s="14"/>
      <c r="S1729" s="14"/>
      <c r="T1729" s="14"/>
      <c r="U1729" s="14"/>
      <c r="V1729" s="14"/>
      <c r="W1729" s="14"/>
    </row>
    <row r="1730" ht="31.5" customHeight="1">
      <c r="A1730" s="109" t="s">
        <v>16357</v>
      </c>
      <c r="B1730" s="110" t="s">
        <v>16358</v>
      </c>
      <c r="C1730" s="111" t="s">
        <v>16359</v>
      </c>
      <c r="D1730" s="28" t="s">
        <v>16360</v>
      </c>
      <c r="E1730" s="28" t="str">
        <f>IFERROR(__xludf.DUMMYFUNCTION("GOOGLETRANSLATE(D1730,""zh-CN"",""vi"")"),"Các chi của anh ấy rất linh hoạt.")</f>
        <v>Các chi của anh ấy rất linh hoạt.</v>
      </c>
      <c r="F1730" s="137"/>
      <c r="G1730" s="36" t="b">
        <f t="shared" si="1"/>
        <v>0</v>
      </c>
      <c r="H1730" s="35" t="b">
        <v>1</v>
      </c>
      <c r="I1730" s="35" t="b">
        <v>0</v>
      </c>
      <c r="J1730" s="35" t="b">
        <v>0</v>
      </c>
      <c r="K1730" s="35" t="b">
        <v>0</v>
      </c>
      <c r="L1730" s="35" t="b">
        <v>0</v>
      </c>
      <c r="M1730" s="35" t="b">
        <v>0</v>
      </c>
      <c r="N1730" s="35" t="b">
        <v>0</v>
      </c>
      <c r="O1730" s="35" t="b">
        <v>0</v>
      </c>
      <c r="P1730" s="35" t="b">
        <v>0</v>
      </c>
      <c r="Q1730" s="35" t="b">
        <v>0</v>
      </c>
      <c r="R1730" s="14"/>
      <c r="S1730" s="14"/>
      <c r="T1730" s="14"/>
      <c r="U1730" s="14"/>
      <c r="V1730" s="14"/>
      <c r="W1730" s="14"/>
    </row>
    <row r="1731" ht="31.5" customHeight="1">
      <c r="A1731" s="109" t="s">
        <v>16361</v>
      </c>
      <c r="B1731" s="110" t="s">
        <v>16362</v>
      </c>
      <c r="C1731" s="111" t="s">
        <v>16363</v>
      </c>
      <c r="D1731" s="28" t="s">
        <v>16364</v>
      </c>
      <c r="E1731" s="28" t="str">
        <f>IFERROR(__xludf.DUMMYFUNCTION("GOOGLETRANSLATE(D1731,""zh-CN"",""vi"")"),"Anh ta nhún vai, thể hiện sự bất lực của mình.")</f>
        <v>Anh ta nhún vai, thể hiện sự bất lực của mình.</v>
      </c>
      <c r="F1731" s="137"/>
      <c r="G1731" s="36" t="b">
        <f t="shared" si="1"/>
        <v>0</v>
      </c>
      <c r="H1731" s="35" t="b">
        <v>1</v>
      </c>
      <c r="I1731" s="35" t="b">
        <v>0</v>
      </c>
      <c r="J1731" s="35" t="b">
        <v>0</v>
      </c>
      <c r="K1731" s="35" t="b">
        <v>0</v>
      </c>
      <c r="L1731" s="35" t="b">
        <v>0</v>
      </c>
      <c r="M1731" s="35" t="b">
        <v>0</v>
      </c>
      <c r="N1731" s="35" t="b">
        <v>0</v>
      </c>
      <c r="O1731" s="35" t="b">
        <v>0</v>
      </c>
      <c r="P1731" s="35" t="b">
        <v>0</v>
      </c>
      <c r="Q1731" s="35" t="b">
        <v>0</v>
      </c>
      <c r="R1731" s="14"/>
      <c r="S1731" s="14"/>
      <c r="T1731" s="14"/>
      <c r="U1731" s="14"/>
      <c r="V1731" s="14"/>
      <c r="W1731" s="14"/>
    </row>
    <row r="1732" ht="31.5" customHeight="1">
      <c r="A1732" s="109" t="s">
        <v>16365</v>
      </c>
      <c r="B1732" s="110" t="s">
        <v>16366</v>
      </c>
      <c r="C1732" s="111" t="s">
        <v>16367</v>
      </c>
      <c r="D1732" s="28" t="s">
        <v>16368</v>
      </c>
      <c r="E1732" s="28" t="str">
        <f>IFERROR(__xludf.DUMMYFUNCTION("GOOGLETRANSLATE(D1732,""zh-CN"",""vi"")"),"Một số tàu lớn đang neo đậu tại cảng.")</f>
        <v>Một số tàu lớn đang neo đậu tại cảng.</v>
      </c>
      <c r="F1732" s="137"/>
      <c r="G1732" s="36" t="b">
        <f t="shared" si="1"/>
        <v>0</v>
      </c>
      <c r="H1732" s="35" t="b">
        <v>1</v>
      </c>
      <c r="I1732" s="35" t="b">
        <v>0</v>
      </c>
      <c r="J1732" s="35" t="b">
        <v>0</v>
      </c>
      <c r="K1732" s="35" t="b">
        <v>0</v>
      </c>
      <c r="L1732" s="35" t="b">
        <v>0</v>
      </c>
      <c r="M1732" s="35" t="b">
        <v>0</v>
      </c>
      <c r="N1732" s="35" t="b">
        <v>0</v>
      </c>
      <c r="O1732" s="35" t="b">
        <v>0</v>
      </c>
      <c r="P1732" s="35" t="b">
        <v>0</v>
      </c>
      <c r="Q1732" s="35" t="b">
        <v>0</v>
      </c>
      <c r="R1732" s="14"/>
      <c r="S1732" s="14"/>
      <c r="T1732" s="14"/>
      <c r="U1732" s="14"/>
      <c r="V1732" s="14"/>
      <c r="W1732" s="14"/>
    </row>
    <row r="1733" ht="31.5" customHeight="1">
      <c r="A1733" s="109" t="s">
        <v>11100</v>
      </c>
      <c r="B1733" s="110" t="s">
        <v>16369</v>
      </c>
      <c r="C1733" s="111" t="s">
        <v>16370</v>
      </c>
      <c r="D1733" s="28" t="s">
        <v>11104</v>
      </c>
      <c r="E1733" s="28" t="str">
        <f>IFERROR(__xludf.DUMMYFUNCTION("GOOGLETRANSLATE(D1733,""zh-CN"",""vi"")"),"Chúng ta cần tìm kiếm thêm thông tin.")</f>
        <v>Chúng ta cần tìm kiếm thêm thông tin.</v>
      </c>
      <c r="F1733" s="137"/>
      <c r="G1733" s="36" t="b">
        <f t="shared" si="1"/>
        <v>0</v>
      </c>
      <c r="H1733" s="35" t="b">
        <v>1</v>
      </c>
      <c r="I1733" s="35" t="b">
        <v>0</v>
      </c>
      <c r="J1733" s="35" t="b">
        <v>0</v>
      </c>
      <c r="K1733" s="35" t="b">
        <v>0</v>
      </c>
      <c r="L1733" s="35" t="b">
        <v>0</v>
      </c>
      <c r="M1733" s="35" t="b">
        <v>0</v>
      </c>
      <c r="N1733" s="35" t="b">
        <v>0</v>
      </c>
      <c r="O1733" s="35" t="b">
        <v>0</v>
      </c>
      <c r="P1733" s="35" t="b">
        <v>0</v>
      </c>
      <c r="Q1733" s="35" t="b">
        <v>0</v>
      </c>
      <c r="R1733" s="14"/>
      <c r="S1733" s="14"/>
      <c r="T1733" s="14"/>
      <c r="U1733" s="14"/>
      <c r="V1733" s="14"/>
      <c r="W1733" s="14"/>
    </row>
    <row r="1734" ht="31.5" customHeight="1">
      <c r="A1734" s="109" t="s">
        <v>16371</v>
      </c>
      <c r="B1734" s="110" t="s">
        <v>16372</v>
      </c>
      <c r="C1734" s="111" t="s">
        <v>16373</v>
      </c>
      <c r="D1734" s="28" t="s">
        <v>16374</v>
      </c>
      <c r="E1734" s="28" t="str">
        <f>IFERROR(__xludf.DUMMYFUNCTION("GOOGLETRANSLATE(D1734,""zh-CN"",""vi"")"),"Bệnh nhân đã tỉnh lại.")</f>
        <v>Bệnh nhân đã tỉnh lại.</v>
      </c>
      <c r="F1734" s="137"/>
      <c r="G1734" s="36" t="b">
        <f t="shared" si="1"/>
        <v>0</v>
      </c>
      <c r="H1734" s="35" t="b">
        <v>1</v>
      </c>
      <c r="I1734" s="35" t="b">
        <v>0</v>
      </c>
      <c r="J1734" s="35" t="b">
        <v>0</v>
      </c>
      <c r="K1734" s="35" t="b">
        <v>0</v>
      </c>
      <c r="L1734" s="35" t="b">
        <v>0</v>
      </c>
      <c r="M1734" s="35" t="b">
        <v>0</v>
      </c>
      <c r="N1734" s="35" t="b">
        <v>0</v>
      </c>
      <c r="O1734" s="35" t="b">
        <v>0</v>
      </c>
      <c r="P1734" s="35" t="b">
        <v>0</v>
      </c>
      <c r="Q1734" s="35" t="b">
        <v>0</v>
      </c>
      <c r="R1734" s="14"/>
      <c r="S1734" s="14"/>
      <c r="T1734" s="14"/>
      <c r="U1734" s="14"/>
      <c r="V1734" s="14"/>
      <c r="W1734" s="14"/>
    </row>
    <row r="1735" ht="31.5" customHeight="1">
      <c r="A1735" s="109" t="s">
        <v>16375</v>
      </c>
      <c r="B1735" s="110" t="s">
        <v>16376</v>
      </c>
      <c r="C1735" s="111" t="s">
        <v>16377</v>
      </c>
      <c r="D1735" s="28" t="s">
        <v>16378</v>
      </c>
      <c r="E1735" s="28" t="str">
        <f>IFERROR(__xludf.DUMMYFUNCTION("GOOGLETRANSLATE(D1735,""zh-CN"",""vi"")"),"Như người ta thường nói, luyện tập tạo nên sự hoàn hảo.")</f>
        <v>Như người ta thường nói, luyện tập tạo nên sự hoàn hảo.</v>
      </c>
      <c r="F1735" s="137"/>
      <c r="G1735" s="36" t="b">
        <f t="shared" si="1"/>
        <v>0</v>
      </c>
      <c r="H1735" s="35" t="b">
        <v>1</v>
      </c>
      <c r="I1735" s="35" t="b">
        <v>0</v>
      </c>
      <c r="J1735" s="35" t="b">
        <v>0</v>
      </c>
      <c r="K1735" s="35" t="b">
        <v>0</v>
      </c>
      <c r="L1735" s="35" t="b">
        <v>0</v>
      </c>
      <c r="M1735" s="35" t="b">
        <v>0</v>
      </c>
      <c r="N1735" s="35" t="b">
        <v>0</v>
      </c>
      <c r="O1735" s="35" t="b">
        <v>0</v>
      </c>
      <c r="P1735" s="35" t="b">
        <v>0</v>
      </c>
      <c r="Q1735" s="35" t="b">
        <v>0</v>
      </c>
      <c r="R1735" s="14"/>
      <c r="S1735" s="14"/>
      <c r="T1735" s="14"/>
      <c r="U1735" s="14"/>
      <c r="V1735" s="14"/>
      <c r="W1735" s="14"/>
    </row>
    <row r="1736" ht="31.5" customHeight="1">
      <c r="A1736" s="109" t="s">
        <v>16379</v>
      </c>
      <c r="B1736" s="110" t="s">
        <v>16380</v>
      </c>
      <c r="C1736" s="111" t="s">
        <v>16381</v>
      </c>
      <c r="D1736" s="28" t="s">
        <v>16382</v>
      </c>
      <c r="E1736" s="28" t="str">
        <f>IFERROR(__xludf.DUMMYFUNCTION("GOOGLETRANSLATE(D1736,""zh-CN"",""vi"")"),"Anh ấy là người ăn chay.")</f>
        <v>Anh ấy là người ăn chay.</v>
      </c>
      <c r="F1736" s="137"/>
      <c r="G1736" s="36" t="b">
        <f t="shared" si="1"/>
        <v>0</v>
      </c>
      <c r="H1736" s="35" t="b">
        <v>1</v>
      </c>
      <c r="I1736" s="35" t="b">
        <v>0</v>
      </c>
      <c r="J1736" s="35" t="b">
        <v>0</v>
      </c>
      <c r="K1736" s="35" t="b">
        <v>0</v>
      </c>
      <c r="L1736" s="35" t="b">
        <v>0</v>
      </c>
      <c r="M1736" s="35" t="b">
        <v>0</v>
      </c>
      <c r="N1736" s="35" t="b">
        <v>0</v>
      </c>
      <c r="O1736" s="35" t="b">
        <v>0</v>
      </c>
      <c r="P1736" s="35" t="b">
        <v>0</v>
      </c>
      <c r="Q1736" s="35" t="b">
        <v>0</v>
      </c>
      <c r="R1736" s="14"/>
      <c r="S1736" s="14"/>
      <c r="T1736" s="14"/>
      <c r="U1736" s="14"/>
      <c r="V1736" s="14"/>
      <c r="W1736" s="14"/>
    </row>
    <row r="1737" ht="31.5" customHeight="1">
      <c r="A1737" s="109" t="s">
        <v>16383</v>
      </c>
      <c r="B1737" s="110" t="s">
        <v>16384</v>
      </c>
      <c r="C1737" s="111" t="s">
        <v>16385</v>
      </c>
      <c r="D1737" s="28" t="s">
        <v>16386</v>
      </c>
      <c r="E1737" s="28" t="str">
        <f>IFERROR(__xludf.DUMMYFUNCTION("GOOGLETRANSLATE(D1737,""zh-CN"",""vi"")"),"Vụ kiện của họ đã kết thúc.")</f>
        <v>Vụ kiện của họ đã kết thúc.</v>
      </c>
      <c r="F1737" s="137"/>
      <c r="G1737" s="36" t="b">
        <f t="shared" si="1"/>
        <v>0</v>
      </c>
      <c r="H1737" s="35" t="b">
        <v>1</v>
      </c>
      <c r="I1737" s="35" t="b">
        <v>0</v>
      </c>
      <c r="J1737" s="35" t="b">
        <v>0</v>
      </c>
      <c r="K1737" s="35" t="b">
        <v>0</v>
      </c>
      <c r="L1737" s="35" t="b">
        <v>0</v>
      </c>
      <c r="M1737" s="35" t="b">
        <v>0</v>
      </c>
      <c r="N1737" s="35" t="b">
        <v>0</v>
      </c>
      <c r="O1737" s="35" t="b">
        <v>0</v>
      </c>
      <c r="P1737" s="35" t="b">
        <v>0</v>
      </c>
      <c r="Q1737" s="35" t="b">
        <v>0</v>
      </c>
      <c r="R1737" s="14"/>
      <c r="S1737" s="14"/>
      <c r="T1737" s="14"/>
      <c r="U1737" s="14"/>
      <c r="V1737" s="14"/>
      <c r="W1737" s="14"/>
    </row>
    <row r="1738" ht="31.5" customHeight="1">
      <c r="A1738" s="109" t="s">
        <v>16387</v>
      </c>
      <c r="B1738" s="110" t="s">
        <v>16388</v>
      </c>
      <c r="C1738" s="111" t="s">
        <v>16389</v>
      </c>
      <c r="D1738" s="28" t="s">
        <v>16390</v>
      </c>
      <c r="E1738" s="28" t="str">
        <f>IFERROR(__xludf.DUMMYFUNCTION("GOOGLETRANSLATE(D1738,""zh-CN"",""vi"")"),"Cuốn sách này đã tạo ra một nhân vật kinh điển.")</f>
        <v>Cuốn sách này đã tạo ra một nhân vật kinh điển.</v>
      </c>
      <c r="F1738" s="137"/>
      <c r="G1738" s="36" t="b">
        <f t="shared" si="1"/>
        <v>0</v>
      </c>
      <c r="H1738" s="35" t="b">
        <v>1</v>
      </c>
      <c r="I1738" s="35" t="b">
        <v>0</v>
      </c>
      <c r="J1738" s="35" t="b">
        <v>0</v>
      </c>
      <c r="K1738" s="35" t="b">
        <v>0</v>
      </c>
      <c r="L1738" s="35" t="b">
        <v>0</v>
      </c>
      <c r="M1738" s="35" t="b">
        <v>0</v>
      </c>
      <c r="N1738" s="35" t="b">
        <v>0</v>
      </c>
      <c r="O1738" s="35" t="b">
        <v>0</v>
      </c>
      <c r="P1738" s="35" t="b">
        <v>0</v>
      </c>
      <c r="Q1738" s="35" t="b">
        <v>0</v>
      </c>
      <c r="R1738" s="14"/>
      <c r="S1738" s="14"/>
      <c r="T1738" s="14"/>
      <c r="U1738" s="14"/>
      <c r="V1738" s="14"/>
      <c r="W1738" s="14"/>
    </row>
    <row r="1739" ht="31.5" customHeight="1">
      <c r="A1739" s="109" t="s">
        <v>16391</v>
      </c>
      <c r="B1739" s="110" t="s">
        <v>16392</v>
      </c>
      <c r="C1739" s="111" t="s">
        <v>16393</v>
      </c>
      <c r="D1739" s="28" t="s">
        <v>16394</v>
      </c>
      <c r="E1739" s="28" t="str">
        <f>IFERROR(__xludf.DUMMYFUNCTION("GOOGLETRANSLATE(D1739,""zh-CN"",""vi"")"),"Cô ấy có phẩm chất rất cao.")</f>
        <v>Cô ấy có phẩm chất rất cao.</v>
      </c>
      <c r="F1739" s="137"/>
      <c r="G1739" s="36" t="b">
        <f t="shared" si="1"/>
        <v>0</v>
      </c>
      <c r="H1739" s="35" t="b">
        <v>1</v>
      </c>
      <c r="I1739" s="35" t="b">
        <v>0</v>
      </c>
      <c r="J1739" s="35" t="b">
        <v>0</v>
      </c>
      <c r="K1739" s="35" t="b">
        <v>0</v>
      </c>
      <c r="L1739" s="35" t="b">
        <v>0</v>
      </c>
      <c r="M1739" s="35" t="b">
        <v>0</v>
      </c>
      <c r="N1739" s="35" t="b">
        <v>0</v>
      </c>
      <c r="O1739" s="35" t="b">
        <v>0</v>
      </c>
      <c r="P1739" s="35" t="b">
        <v>0</v>
      </c>
      <c r="Q1739" s="35" t="b">
        <v>0</v>
      </c>
      <c r="R1739" s="14"/>
      <c r="S1739" s="14"/>
      <c r="T1739" s="14"/>
      <c r="U1739" s="14"/>
      <c r="V1739" s="14"/>
      <c r="W1739" s="14"/>
    </row>
    <row r="1740" ht="31.5" customHeight="1">
      <c r="A1740" s="109" t="s">
        <v>16395</v>
      </c>
      <c r="B1740" s="110" t="s">
        <v>16396</v>
      </c>
      <c r="C1740" s="111" t="s">
        <v>16397</v>
      </c>
      <c r="D1740" s="28" t="s">
        <v>16398</v>
      </c>
      <c r="E1740" s="28" t="str">
        <f>IFERROR(__xludf.DUMMYFUNCTION("GOOGLETRANSLATE(D1740,""zh-CN"",""vi"")"),"Hãy bỏ qua chuyện này đi.")</f>
        <v>Hãy bỏ qua chuyện này đi.</v>
      </c>
      <c r="F1740" s="137"/>
      <c r="G1740" s="36" t="b">
        <f t="shared" si="1"/>
        <v>0</v>
      </c>
      <c r="H1740" s="35" t="b">
        <v>1</v>
      </c>
      <c r="I1740" s="35" t="b">
        <v>0</v>
      </c>
      <c r="J1740" s="35" t="b">
        <v>0</v>
      </c>
      <c r="K1740" s="35" t="b">
        <v>0</v>
      </c>
      <c r="L1740" s="35" t="b">
        <v>0</v>
      </c>
      <c r="M1740" s="35" t="b">
        <v>0</v>
      </c>
      <c r="N1740" s="35" t="b">
        <v>0</v>
      </c>
      <c r="O1740" s="35" t="b">
        <v>0</v>
      </c>
      <c r="P1740" s="35" t="b">
        <v>0</v>
      </c>
      <c r="Q1740" s="35" t="b">
        <v>0</v>
      </c>
      <c r="R1740" s="14"/>
      <c r="S1740" s="14"/>
      <c r="T1740" s="14"/>
      <c r="U1740" s="14"/>
      <c r="V1740" s="14"/>
      <c r="W1740" s="14"/>
    </row>
    <row r="1741" ht="31.5" customHeight="1">
      <c r="A1741" s="109" t="s">
        <v>16399</v>
      </c>
      <c r="B1741" s="110" t="s">
        <v>16400</v>
      </c>
      <c r="C1741" s="111" t="s">
        <v>16401</v>
      </c>
      <c r="D1741" s="28" t="s">
        <v>16402</v>
      </c>
      <c r="E1741" s="28" t="str">
        <f>IFERROR(__xludf.DUMMYFUNCTION("GOOGLETRANSLATE(D1741,""zh-CN"",""vi"")"),"Bạn phải giữ lời hứa và không được thất hứa.")</f>
        <v>Bạn phải giữ lời hứa và không được thất hứa.</v>
      </c>
      <c r="F1741" s="137"/>
      <c r="G1741" s="36" t="b">
        <f t="shared" si="1"/>
        <v>0</v>
      </c>
      <c r="H1741" s="35" t="b">
        <v>1</v>
      </c>
      <c r="I1741" s="35" t="b">
        <v>0</v>
      </c>
      <c r="J1741" s="35" t="b">
        <v>0</v>
      </c>
      <c r="K1741" s="35" t="b">
        <v>0</v>
      </c>
      <c r="L1741" s="35" t="b">
        <v>0</v>
      </c>
      <c r="M1741" s="35" t="b">
        <v>0</v>
      </c>
      <c r="N1741" s="35" t="b">
        <v>0</v>
      </c>
      <c r="O1741" s="35" t="b">
        <v>0</v>
      </c>
      <c r="P1741" s="35" t="b">
        <v>0</v>
      </c>
      <c r="Q1741" s="35" t="b">
        <v>0</v>
      </c>
      <c r="R1741" s="14"/>
      <c r="S1741" s="14"/>
      <c r="T1741" s="14"/>
      <c r="U1741" s="14"/>
      <c r="V1741" s="14"/>
      <c r="W1741" s="14"/>
    </row>
    <row r="1742" ht="31.5" customHeight="1">
      <c r="A1742" s="109" t="s">
        <v>16403</v>
      </c>
      <c r="B1742" s="110" t="s">
        <v>16404</v>
      </c>
      <c r="C1742" s="111" t="s">
        <v>16405</v>
      </c>
      <c r="D1742" s="28" t="s">
        <v>16406</v>
      </c>
      <c r="E1742" s="28" t="str">
        <f>IFERROR(__xludf.DUMMYFUNCTION("GOOGLETRANSLATE(D1742,""zh-CN"",""vi"")"),"Cô ấy đã đưa ra quyết định ngay lập tức.")</f>
        <v>Cô ấy đã đưa ra quyết định ngay lập tức.</v>
      </c>
      <c r="F1742" s="137"/>
      <c r="G1742" s="36" t="b">
        <f t="shared" si="1"/>
        <v>0</v>
      </c>
      <c r="H1742" s="35" t="b">
        <v>1</v>
      </c>
      <c r="I1742" s="35" t="b">
        <v>0</v>
      </c>
      <c r="J1742" s="35" t="b">
        <v>0</v>
      </c>
      <c r="K1742" s="35" t="b">
        <v>0</v>
      </c>
      <c r="L1742" s="35" t="b">
        <v>0</v>
      </c>
      <c r="M1742" s="35" t="b">
        <v>0</v>
      </c>
      <c r="N1742" s="35" t="b">
        <v>0</v>
      </c>
      <c r="O1742" s="35" t="b">
        <v>0</v>
      </c>
      <c r="P1742" s="35" t="b">
        <v>0</v>
      </c>
      <c r="Q1742" s="35" t="b">
        <v>0</v>
      </c>
      <c r="R1742" s="14"/>
      <c r="S1742" s="14"/>
      <c r="T1742" s="14"/>
      <c r="U1742" s="14"/>
      <c r="V1742" s="14"/>
      <c r="W1742" s="14"/>
    </row>
    <row r="1743" ht="31.5" customHeight="1">
      <c r="A1743" s="109" t="s">
        <v>11115</v>
      </c>
      <c r="B1743" s="110" t="s">
        <v>16407</v>
      </c>
      <c r="C1743" s="111" t="s">
        <v>16408</v>
      </c>
      <c r="D1743" s="28" t="s">
        <v>16409</v>
      </c>
      <c r="E1743" s="28" t="str">
        <f>IFERROR(__xludf.DUMMYFUNCTION("GOOGLETRANSLATE(D1743,""zh-CN"",""vi"")"),"Cô ấy luôn mang theo một cuốn sổ tay bên mình.")</f>
        <v>Cô ấy luôn mang theo một cuốn sổ tay bên mình.</v>
      </c>
      <c r="F1743" s="137"/>
      <c r="G1743" s="36" t="b">
        <f t="shared" si="1"/>
        <v>0</v>
      </c>
      <c r="H1743" s="35" t="b">
        <v>1</v>
      </c>
      <c r="I1743" s="35" t="b">
        <v>0</v>
      </c>
      <c r="J1743" s="35" t="b">
        <v>0</v>
      </c>
      <c r="K1743" s="35" t="b">
        <v>0</v>
      </c>
      <c r="L1743" s="35" t="b">
        <v>0</v>
      </c>
      <c r="M1743" s="35" t="b">
        <v>0</v>
      </c>
      <c r="N1743" s="35" t="b">
        <v>0</v>
      </c>
      <c r="O1743" s="35" t="b">
        <v>0</v>
      </c>
      <c r="P1743" s="35" t="b">
        <v>0</v>
      </c>
      <c r="Q1743" s="35" t="b">
        <v>0</v>
      </c>
      <c r="R1743" s="14"/>
      <c r="S1743" s="14"/>
      <c r="T1743" s="14"/>
      <c r="U1743" s="14"/>
      <c r="V1743" s="14"/>
      <c r="W1743" s="14"/>
    </row>
    <row r="1744" ht="31.5" customHeight="1">
      <c r="A1744" s="109" t="s">
        <v>11148</v>
      </c>
      <c r="B1744" s="110" t="s">
        <v>16410</v>
      </c>
      <c r="C1744" s="111" t="s">
        <v>16411</v>
      </c>
      <c r="D1744" s="28" t="s">
        <v>16412</v>
      </c>
      <c r="E1744" s="28" t="str">
        <f>IFERROR(__xludf.DUMMYFUNCTION("GOOGLETRANSLATE(D1744,""zh-CN"",""vi"")"),"Anh ta thản nhiên vứt rác vào thùng rác.")</f>
        <v>Anh ta thản nhiên vứt rác vào thùng rác.</v>
      </c>
      <c r="F1744" s="137"/>
      <c r="G1744" s="36" t="b">
        <f t="shared" si="1"/>
        <v>0</v>
      </c>
      <c r="H1744" s="35" t="b">
        <v>1</v>
      </c>
      <c r="I1744" s="35" t="b">
        <v>0</v>
      </c>
      <c r="J1744" s="35" t="b">
        <v>0</v>
      </c>
      <c r="K1744" s="35" t="b">
        <v>0</v>
      </c>
      <c r="L1744" s="35" t="b">
        <v>0</v>
      </c>
      <c r="M1744" s="35" t="b">
        <v>0</v>
      </c>
      <c r="N1744" s="35" t="b">
        <v>0</v>
      </c>
      <c r="O1744" s="35" t="b">
        <v>0</v>
      </c>
      <c r="P1744" s="35" t="b">
        <v>0</v>
      </c>
      <c r="Q1744" s="35" t="b">
        <v>0</v>
      </c>
      <c r="R1744" s="14"/>
      <c r="S1744" s="14"/>
      <c r="T1744" s="14"/>
      <c r="U1744" s="14"/>
      <c r="V1744" s="14"/>
      <c r="W1744" s="14"/>
    </row>
    <row r="1745" ht="31.5" customHeight="1">
      <c r="A1745" s="109" t="s">
        <v>16413</v>
      </c>
      <c r="B1745" s="110" t="s">
        <v>16414</v>
      </c>
      <c r="C1745" s="111" t="s">
        <v>16415</v>
      </c>
      <c r="D1745" s="28" t="s">
        <v>16416</v>
      </c>
      <c r="E1745" s="28" t="str">
        <f>IFERROR(__xludf.DUMMYFUNCTION("GOOGLETRANSLATE(D1745,""zh-CN"",""vi"")"),"Bạn có thể chọn bất kỳ món ăn nào bạn thích.")</f>
        <v>Bạn có thể chọn bất kỳ món ăn nào bạn thích.</v>
      </c>
      <c r="F1745" s="137"/>
      <c r="G1745" s="36" t="b">
        <f t="shared" si="1"/>
        <v>0</v>
      </c>
      <c r="H1745" s="35" t="b">
        <v>1</v>
      </c>
      <c r="I1745" s="35" t="b">
        <v>0</v>
      </c>
      <c r="J1745" s="35" t="b">
        <v>0</v>
      </c>
      <c r="K1745" s="35" t="b">
        <v>0</v>
      </c>
      <c r="L1745" s="35" t="b">
        <v>0</v>
      </c>
      <c r="M1745" s="35" t="b">
        <v>0</v>
      </c>
      <c r="N1745" s="35" t="b">
        <v>0</v>
      </c>
      <c r="O1745" s="35" t="b">
        <v>0</v>
      </c>
      <c r="P1745" s="35" t="b">
        <v>0</v>
      </c>
      <c r="Q1745" s="35" t="b">
        <v>0</v>
      </c>
      <c r="R1745" s="14"/>
      <c r="S1745" s="14"/>
      <c r="T1745" s="14"/>
      <c r="U1745" s="14"/>
      <c r="V1745" s="14"/>
      <c r="W1745" s="14"/>
    </row>
    <row r="1746" ht="31.5" customHeight="1">
      <c r="A1746" s="109" t="s">
        <v>16417</v>
      </c>
      <c r="B1746" s="110" t="s">
        <v>16418</v>
      </c>
      <c r="C1746" s="111" t="s">
        <v>16419</v>
      </c>
      <c r="D1746" s="28" t="s">
        <v>16420</v>
      </c>
      <c r="E1746" s="28" t="str">
        <f>IFERROR(__xludf.DUMMYFUNCTION("GOOGLETRANSLATE(D1746,""zh-CN"",""vi"")"),"Không có tín hiệu trong đường hầm.")</f>
        <v>Không có tín hiệu trong đường hầm.</v>
      </c>
      <c r="F1746" s="137"/>
      <c r="G1746" s="36" t="b">
        <f t="shared" si="1"/>
        <v>0</v>
      </c>
      <c r="H1746" s="35" t="b">
        <v>1</v>
      </c>
      <c r="I1746" s="35" t="b">
        <v>0</v>
      </c>
      <c r="J1746" s="35" t="b">
        <v>0</v>
      </c>
      <c r="K1746" s="35" t="b">
        <v>0</v>
      </c>
      <c r="L1746" s="35" t="b">
        <v>0</v>
      </c>
      <c r="M1746" s="35" t="b">
        <v>0</v>
      </c>
      <c r="N1746" s="35" t="b">
        <v>0</v>
      </c>
      <c r="O1746" s="35" t="b">
        <v>0</v>
      </c>
      <c r="P1746" s="35" t="b">
        <v>0</v>
      </c>
      <c r="Q1746" s="35" t="b">
        <v>0</v>
      </c>
      <c r="R1746" s="14"/>
      <c r="S1746" s="14"/>
      <c r="T1746" s="14"/>
      <c r="U1746" s="14"/>
      <c r="V1746" s="14"/>
      <c r="W1746" s="14"/>
    </row>
    <row r="1747" ht="31.5" customHeight="1">
      <c r="A1747" s="109" t="s">
        <v>16421</v>
      </c>
      <c r="B1747" s="110" t="s">
        <v>16422</v>
      </c>
      <c r="C1747" s="111" t="s">
        <v>16423</v>
      </c>
      <c r="D1747" s="28" t="s">
        <v>16424</v>
      </c>
      <c r="E1747" s="28" t="str">
        <f>IFERROR(__xludf.DUMMYFUNCTION("GOOGLETRANSLATE(D1747,""zh-CN"",""vi"")"),"Thời gian không chờ đợi ai.")</f>
        <v>Thời gian không chờ đợi ai.</v>
      </c>
      <c r="F1747" s="137"/>
      <c r="G1747" s="36" t="b">
        <f t="shared" si="1"/>
        <v>0</v>
      </c>
      <c r="H1747" s="35" t="b">
        <v>1</v>
      </c>
      <c r="I1747" s="35" t="b">
        <v>0</v>
      </c>
      <c r="J1747" s="35" t="b">
        <v>0</v>
      </c>
      <c r="K1747" s="35" t="b">
        <v>0</v>
      </c>
      <c r="L1747" s="35" t="b">
        <v>0</v>
      </c>
      <c r="M1747" s="35" t="b">
        <v>0</v>
      </c>
      <c r="N1747" s="35" t="b">
        <v>0</v>
      </c>
      <c r="O1747" s="35" t="b">
        <v>0</v>
      </c>
      <c r="P1747" s="35" t="b">
        <v>0</v>
      </c>
      <c r="Q1747" s="35" t="b">
        <v>0</v>
      </c>
      <c r="R1747" s="14"/>
      <c r="S1747" s="14"/>
      <c r="T1747" s="14"/>
      <c r="U1747" s="14"/>
      <c r="V1747" s="14"/>
      <c r="W1747" s="14"/>
    </row>
    <row r="1748" ht="31.5" customHeight="1">
      <c r="A1748" s="109" t="s">
        <v>16425</v>
      </c>
      <c r="B1748" s="110" t="s">
        <v>16426</v>
      </c>
      <c r="C1748" s="111" t="s">
        <v>16427</v>
      </c>
      <c r="D1748" s="28" t="s">
        <v>16428</v>
      </c>
      <c r="E1748" s="28" t="str">
        <f>IFERROR(__xludf.DUMMYFUNCTION("GOOGLETRANSLATE(D1748,""zh-CN"",""vi"")"),"Sử dụng không đúng cách có thể làm hỏng thiết bị.")</f>
        <v>Sử dụng không đúng cách có thể làm hỏng thiết bị.</v>
      </c>
      <c r="F1748" s="137"/>
      <c r="G1748" s="36" t="b">
        <f t="shared" si="1"/>
        <v>0</v>
      </c>
      <c r="H1748" s="35" t="b">
        <v>1</v>
      </c>
      <c r="I1748" s="35" t="b">
        <v>0</v>
      </c>
      <c r="J1748" s="35" t="b">
        <v>0</v>
      </c>
      <c r="K1748" s="35" t="b">
        <v>0</v>
      </c>
      <c r="L1748" s="35" t="b">
        <v>0</v>
      </c>
      <c r="M1748" s="35" t="b">
        <v>0</v>
      </c>
      <c r="N1748" s="35" t="b">
        <v>0</v>
      </c>
      <c r="O1748" s="35" t="b">
        <v>0</v>
      </c>
      <c r="P1748" s="35" t="b">
        <v>0</v>
      </c>
      <c r="Q1748" s="35" t="b">
        <v>0</v>
      </c>
      <c r="R1748" s="14"/>
      <c r="S1748" s="14"/>
      <c r="T1748" s="14"/>
      <c r="U1748" s="14"/>
      <c r="V1748" s="14"/>
      <c r="W1748" s="14"/>
    </row>
    <row r="1749" ht="31.5" customHeight="1">
      <c r="A1749" s="109" t="s">
        <v>16429</v>
      </c>
      <c r="B1749" s="110" t="s">
        <v>16430</v>
      </c>
      <c r="C1749" s="111" t="s">
        <v>16431</v>
      </c>
      <c r="D1749" s="28" t="s">
        <v>16432</v>
      </c>
      <c r="E1749" s="28" t="str">
        <f>IFERROR(__xludf.DUMMYFUNCTION("GOOGLETRANSLATE(D1749,""zh-CN"",""vi"")"),"Ông ta yêu cầu công ty bồi thường cho những thiệt hại đã gánh chịu.")</f>
        <v>Ông ta yêu cầu công ty bồi thường cho những thiệt hại đã gánh chịu.</v>
      </c>
      <c r="F1749" s="137"/>
      <c r="G1749" s="36" t="b">
        <f t="shared" si="1"/>
        <v>0</v>
      </c>
      <c r="H1749" s="35" t="b">
        <v>1</v>
      </c>
      <c r="I1749" s="35" t="b">
        <v>0</v>
      </c>
      <c r="J1749" s="35" t="b">
        <v>0</v>
      </c>
      <c r="K1749" s="35" t="b">
        <v>0</v>
      </c>
      <c r="L1749" s="35" t="b">
        <v>0</v>
      </c>
      <c r="M1749" s="35" t="b">
        <v>0</v>
      </c>
      <c r="N1749" s="35" t="b">
        <v>0</v>
      </c>
      <c r="O1749" s="35" t="b">
        <v>0</v>
      </c>
      <c r="P1749" s="35" t="b">
        <v>0</v>
      </c>
      <c r="Q1749" s="35" t="b">
        <v>0</v>
      </c>
      <c r="R1749" s="14"/>
      <c r="S1749" s="14"/>
      <c r="T1749" s="14"/>
      <c r="U1749" s="14"/>
      <c r="V1749" s="14"/>
      <c r="W1749" s="14"/>
    </row>
    <row r="1750" ht="31.5" customHeight="1">
      <c r="A1750" s="109" t="s">
        <v>16433</v>
      </c>
      <c r="B1750" s="110" t="s">
        <v>16434</v>
      </c>
      <c r="C1750" s="111" t="s">
        <v>16435</v>
      </c>
      <c r="D1750" s="28" t="s">
        <v>16436</v>
      </c>
      <c r="E1750" s="28" t="str">
        <f>IFERROR(__xludf.DUMMYFUNCTION("GOOGLETRANSLATE(D1750,""zh-CN"",""vi"")"),"Anh ấy quyết định không đi.")</f>
        <v>Anh ấy quyết định không đi.</v>
      </c>
      <c r="F1750" s="137"/>
      <c r="G1750" s="36" t="b">
        <f t="shared" si="1"/>
        <v>0</v>
      </c>
      <c r="H1750" s="35" t="b">
        <v>1</v>
      </c>
      <c r="I1750" s="35" t="b">
        <v>0</v>
      </c>
      <c r="J1750" s="35" t="b">
        <v>0</v>
      </c>
      <c r="K1750" s="35" t="b">
        <v>0</v>
      </c>
      <c r="L1750" s="35" t="b">
        <v>0</v>
      </c>
      <c r="M1750" s="35" t="b">
        <v>0</v>
      </c>
      <c r="N1750" s="35" t="b">
        <v>0</v>
      </c>
      <c r="O1750" s="35" t="b">
        <v>0</v>
      </c>
      <c r="P1750" s="35" t="b">
        <v>0</v>
      </c>
      <c r="Q1750" s="35" t="b">
        <v>0</v>
      </c>
      <c r="R1750" s="14"/>
      <c r="S1750" s="14"/>
      <c r="T1750" s="14"/>
      <c r="U1750" s="14"/>
      <c r="V1750" s="14"/>
      <c r="W1750" s="14"/>
    </row>
    <row r="1751" ht="31.5" customHeight="1">
      <c r="A1751" s="109" t="s">
        <v>16437</v>
      </c>
      <c r="B1751" s="110" t="s">
        <v>1587</v>
      </c>
      <c r="C1751" s="111" t="s">
        <v>16438</v>
      </c>
      <c r="D1751" s="28" t="s">
        <v>16439</v>
      </c>
      <c r="E1751" s="28" t="str">
        <f>IFERROR(__xludf.DUMMYFUNCTION("GOOGLETRANSLATE(D1751,""zh-CN"",""vi"")"),"Ngôi nhà đã sụp đổ.")</f>
        <v>Ngôi nhà đã sụp đổ.</v>
      </c>
      <c r="F1751" s="137"/>
      <c r="G1751" s="36" t="b">
        <f t="shared" si="1"/>
        <v>0</v>
      </c>
      <c r="H1751" s="35" t="b">
        <v>1</v>
      </c>
      <c r="I1751" s="35" t="b">
        <v>0</v>
      </c>
      <c r="J1751" s="35" t="b">
        <v>0</v>
      </c>
      <c r="K1751" s="35" t="b">
        <v>0</v>
      </c>
      <c r="L1751" s="35" t="b">
        <v>0</v>
      </c>
      <c r="M1751" s="35" t="b">
        <v>0</v>
      </c>
      <c r="N1751" s="35" t="b">
        <v>0</v>
      </c>
      <c r="O1751" s="35" t="b">
        <v>0</v>
      </c>
      <c r="P1751" s="35" t="b">
        <v>0</v>
      </c>
      <c r="Q1751" s="35" t="b">
        <v>0</v>
      </c>
      <c r="R1751" s="14"/>
      <c r="S1751" s="14"/>
      <c r="T1751" s="14"/>
      <c r="U1751" s="14"/>
      <c r="V1751" s="14"/>
      <c r="W1751" s="14"/>
    </row>
    <row r="1752" ht="31.5" customHeight="1">
      <c r="A1752" s="109" t="s">
        <v>16440</v>
      </c>
      <c r="B1752" s="110" t="s">
        <v>16441</v>
      </c>
      <c r="C1752" s="111" t="s">
        <v>16442</v>
      </c>
      <c r="D1752" s="28" t="s">
        <v>16443</v>
      </c>
      <c r="E1752" s="28" t="str">
        <f>IFERROR(__xludf.DUMMYFUNCTION("GOOGLETRANSLATE(D1752,""zh-CN"",""vi"")"),"Anh ấy đã hoàn thành công việc một cách siêng năng.")</f>
        <v>Anh ấy đã hoàn thành công việc một cách siêng năng.</v>
      </c>
      <c r="F1752" s="137"/>
      <c r="G1752" s="36" t="b">
        <f t="shared" si="1"/>
        <v>0</v>
      </c>
      <c r="H1752" s="35" t="b">
        <v>1</v>
      </c>
      <c r="I1752" s="35" t="b">
        <v>0</v>
      </c>
      <c r="J1752" s="35" t="b">
        <v>0</v>
      </c>
      <c r="K1752" s="35" t="b">
        <v>0</v>
      </c>
      <c r="L1752" s="35" t="b">
        <v>0</v>
      </c>
      <c r="M1752" s="35" t="b">
        <v>0</v>
      </c>
      <c r="N1752" s="35" t="b">
        <v>0</v>
      </c>
      <c r="O1752" s="35" t="b">
        <v>0</v>
      </c>
      <c r="P1752" s="35" t="b">
        <v>0</v>
      </c>
      <c r="Q1752" s="35" t="b">
        <v>0</v>
      </c>
      <c r="R1752" s="14"/>
      <c r="S1752" s="14"/>
      <c r="T1752" s="14"/>
      <c r="U1752" s="14"/>
      <c r="V1752" s="14"/>
      <c r="W1752" s="14"/>
    </row>
    <row r="1753" ht="31.5" customHeight="1">
      <c r="A1753" s="109" t="s">
        <v>16444</v>
      </c>
      <c r="B1753" s="110" t="s">
        <v>16445</v>
      </c>
      <c r="C1753" s="111" t="s">
        <v>16446</v>
      </c>
      <c r="D1753" s="28" t="s">
        <v>16447</v>
      </c>
      <c r="E1753" s="28" t="str">
        <f>IFERROR(__xludf.DUMMYFUNCTION("GOOGLETRANSLATE(D1753,""zh-CN"",""vi"")"),"Một cơn bão đang đến gần.")</f>
        <v>Một cơn bão đang đến gần.</v>
      </c>
      <c r="F1753" s="137"/>
      <c r="G1753" s="36" t="b">
        <f t="shared" si="1"/>
        <v>0</v>
      </c>
      <c r="H1753" s="35" t="b">
        <v>1</v>
      </c>
      <c r="I1753" s="35" t="b">
        <v>0</v>
      </c>
      <c r="J1753" s="35" t="b">
        <v>0</v>
      </c>
      <c r="K1753" s="35" t="b">
        <v>0</v>
      </c>
      <c r="L1753" s="35" t="b">
        <v>0</v>
      </c>
      <c r="M1753" s="35" t="b">
        <v>0</v>
      </c>
      <c r="N1753" s="35" t="b">
        <v>0</v>
      </c>
      <c r="O1753" s="35" t="b">
        <v>0</v>
      </c>
      <c r="P1753" s="35" t="b">
        <v>0</v>
      </c>
      <c r="Q1753" s="35" t="b">
        <v>0</v>
      </c>
      <c r="R1753" s="14"/>
      <c r="S1753" s="14"/>
      <c r="T1753" s="14"/>
      <c r="U1753" s="14"/>
      <c r="V1753" s="14"/>
      <c r="W1753" s="14"/>
    </row>
    <row r="1754" ht="31.5" customHeight="1">
      <c r="A1754" s="109" t="s">
        <v>16448</v>
      </c>
      <c r="B1754" s="110" t="s">
        <v>16449</v>
      </c>
      <c r="C1754" s="111" t="s">
        <v>16450</v>
      </c>
      <c r="D1754" s="28" t="s">
        <v>16451</v>
      </c>
      <c r="E1754" s="28" t="str">
        <f>IFERROR(__xludf.DUMMYFUNCTION("GOOGLETRANSLATE(D1754,""zh-CN"",""vi"")"),"Ông là một nhân vật hàng đầu trong giới học thuật.")</f>
        <v>Ông là một nhân vật hàng đầu trong giới học thuật.</v>
      </c>
      <c r="F1754" s="137"/>
      <c r="G1754" s="36" t="b">
        <f t="shared" si="1"/>
        <v>0</v>
      </c>
      <c r="H1754" s="35" t="b">
        <v>1</v>
      </c>
      <c r="I1754" s="35" t="b">
        <v>0</v>
      </c>
      <c r="J1754" s="35" t="b">
        <v>0</v>
      </c>
      <c r="K1754" s="35" t="b">
        <v>0</v>
      </c>
      <c r="L1754" s="35" t="b">
        <v>0</v>
      </c>
      <c r="M1754" s="35" t="b">
        <v>0</v>
      </c>
      <c r="N1754" s="35" t="b">
        <v>0</v>
      </c>
      <c r="O1754" s="35" t="b">
        <v>0</v>
      </c>
      <c r="P1754" s="35" t="b">
        <v>0</v>
      </c>
      <c r="Q1754" s="35" t="b">
        <v>0</v>
      </c>
      <c r="R1754" s="14"/>
      <c r="S1754" s="14"/>
      <c r="T1754" s="14"/>
      <c r="U1754" s="14"/>
      <c r="V1754" s="14"/>
      <c r="W1754" s="14"/>
    </row>
    <row r="1755" ht="31.5" customHeight="1">
      <c r="A1755" s="124" t="s">
        <v>16452</v>
      </c>
      <c r="B1755" s="125" t="s">
        <v>16453</v>
      </c>
      <c r="C1755" s="126" t="s">
        <v>16454</v>
      </c>
      <c r="D1755" s="127" t="s">
        <v>16455</v>
      </c>
      <c r="E1755" s="28" t="str">
        <f>IFERROR(__xludf.DUMMYFUNCTION("GOOGLETRANSLATE(D1755,""zh-CN"",""vi"")"),"Việc khám phá không gian đầy rẫy những thách thức.")</f>
        <v>Việc khám phá không gian đầy rẫy những thách thức.</v>
      </c>
      <c r="F1755" s="137"/>
      <c r="G1755" s="36" t="b">
        <f t="shared" si="1"/>
        <v>0</v>
      </c>
      <c r="H1755" s="35" t="b">
        <v>1</v>
      </c>
      <c r="I1755" s="35" t="b">
        <v>0</v>
      </c>
      <c r="J1755" s="35" t="b">
        <v>0</v>
      </c>
      <c r="K1755" s="35" t="b">
        <v>0</v>
      </c>
      <c r="L1755" s="35" t="b">
        <v>0</v>
      </c>
      <c r="M1755" s="35" t="b">
        <v>0</v>
      </c>
      <c r="N1755" s="35" t="b">
        <v>0</v>
      </c>
      <c r="O1755" s="35" t="b">
        <v>0</v>
      </c>
      <c r="P1755" s="35" t="b">
        <v>0</v>
      </c>
      <c r="Q1755" s="35" t="b">
        <v>0</v>
      </c>
      <c r="R1755" s="130"/>
      <c r="S1755" s="130"/>
      <c r="T1755" s="130"/>
      <c r="U1755" s="130"/>
      <c r="V1755" s="130"/>
      <c r="W1755" s="130"/>
    </row>
    <row r="1756" ht="31.5" customHeight="1">
      <c r="A1756" s="109" t="s">
        <v>16456</v>
      </c>
      <c r="B1756" s="110" t="s">
        <v>16457</v>
      </c>
      <c r="C1756" s="111" t="s">
        <v>16458</v>
      </c>
      <c r="D1756" s="28" t="s">
        <v>16459</v>
      </c>
      <c r="E1756" s="28" t="str">
        <f>IFERROR(__xludf.DUMMYFUNCTION("GOOGLETRANSLATE(D1756,""zh-CN"",""vi"")"),"Chân anh ấy bị liệt và anh ấy không thể cử động.")</f>
        <v>Chân anh ấy bị liệt và anh ấy không thể cử động.</v>
      </c>
      <c r="F1756" s="137"/>
      <c r="G1756" s="36" t="b">
        <f t="shared" si="1"/>
        <v>0</v>
      </c>
      <c r="H1756" s="35" t="b">
        <v>1</v>
      </c>
      <c r="I1756" s="35" t="b">
        <v>0</v>
      </c>
      <c r="J1756" s="35" t="b">
        <v>0</v>
      </c>
      <c r="K1756" s="35" t="b">
        <v>0</v>
      </c>
      <c r="L1756" s="35" t="b">
        <v>0</v>
      </c>
      <c r="M1756" s="35" t="b">
        <v>0</v>
      </c>
      <c r="N1756" s="35" t="b">
        <v>0</v>
      </c>
      <c r="O1756" s="35" t="b">
        <v>0</v>
      </c>
      <c r="P1756" s="35" t="b">
        <v>0</v>
      </c>
      <c r="Q1756" s="35" t="b">
        <v>0</v>
      </c>
      <c r="R1756" s="14"/>
      <c r="S1756" s="14"/>
      <c r="T1756" s="14"/>
      <c r="U1756" s="14"/>
      <c r="V1756" s="14"/>
      <c r="W1756" s="14"/>
    </row>
    <row r="1757" ht="31.5" customHeight="1">
      <c r="A1757" s="109" t="s">
        <v>16460</v>
      </c>
      <c r="B1757" s="110" t="s">
        <v>16461</v>
      </c>
      <c r="C1757" s="111" t="s">
        <v>16462</v>
      </c>
      <c r="D1757" s="28" t="s">
        <v>16463</v>
      </c>
      <c r="E1757" s="28" t="str">
        <f>IFERROR(__xludf.DUMMYFUNCTION("GOOGLETRANSLATE(D1757,""zh-CN"",""vi"")"),"Hắn ta đã thể hiện bản chất tham lam của mình.")</f>
        <v>Hắn ta đã thể hiện bản chất tham lam của mình.</v>
      </c>
      <c r="F1757" s="137"/>
      <c r="G1757" s="36" t="b">
        <f t="shared" si="1"/>
        <v>0</v>
      </c>
      <c r="H1757" s="35" t="b">
        <v>1</v>
      </c>
      <c r="I1757" s="35" t="b">
        <v>0</v>
      </c>
      <c r="J1757" s="35" t="b">
        <v>0</v>
      </c>
      <c r="K1757" s="35" t="b">
        <v>0</v>
      </c>
      <c r="L1757" s="35" t="b">
        <v>0</v>
      </c>
      <c r="M1757" s="35" t="b">
        <v>0</v>
      </c>
      <c r="N1757" s="35" t="b">
        <v>0</v>
      </c>
      <c r="O1757" s="35" t="b">
        <v>0</v>
      </c>
      <c r="P1757" s="35" t="b">
        <v>0</v>
      </c>
      <c r="Q1757" s="35" t="b">
        <v>0</v>
      </c>
      <c r="R1757" s="14"/>
      <c r="S1757" s="14"/>
      <c r="T1757" s="14"/>
      <c r="U1757" s="14"/>
      <c r="V1757" s="14"/>
      <c r="W1757" s="14"/>
    </row>
    <row r="1758" ht="31.5" customHeight="1">
      <c r="A1758" s="109" t="s">
        <v>16464</v>
      </c>
      <c r="B1758" s="110" t="s">
        <v>16465</v>
      </c>
      <c r="C1758" s="111" t="s">
        <v>16466</v>
      </c>
      <c r="D1758" s="28" t="s">
        <v>16467</v>
      </c>
      <c r="E1758" s="28" t="str">
        <f>IFERROR(__xludf.DUMMYFUNCTION("GOOGLETRANSLATE(D1758,""zh-CN"",""vi"")"),"Chúng ta cùng đi mua vài món đồ ở các gánh hàng rong nhé.")</f>
        <v>Chúng ta cùng đi mua vài món đồ ở các gánh hàng rong nhé.</v>
      </c>
      <c r="F1758" s="137"/>
      <c r="G1758" s="36" t="b">
        <f t="shared" si="1"/>
        <v>0</v>
      </c>
      <c r="H1758" s="35" t="b">
        <v>1</v>
      </c>
      <c r="I1758" s="35" t="b">
        <v>0</v>
      </c>
      <c r="J1758" s="35" t="b">
        <v>0</v>
      </c>
      <c r="K1758" s="35" t="b">
        <v>0</v>
      </c>
      <c r="L1758" s="35" t="b">
        <v>0</v>
      </c>
      <c r="M1758" s="35" t="b">
        <v>0</v>
      </c>
      <c r="N1758" s="35" t="b">
        <v>0</v>
      </c>
      <c r="O1758" s="35" t="b">
        <v>0</v>
      </c>
      <c r="P1758" s="35" t="b">
        <v>0</v>
      </c>
      <c r="Q1758" s="35" t="b">
        <v>0</v>
      </c>
      <c r="R1758" s="14"/>
      <c r="S1758" s="14"/>
      <c r="T1758" s="14"/>
      <c r="U1758" s="14"/>
      <c r="V1758" s="14"/>
      <c r="W1758" s="14"/>
    </row>
    <row r="1759" ht="31.5" customHeight="1">
      <c r="A1759" s="109" t="s">
        <v>16468</v>
      </c>
      <c r="B1759" s="110" t="s">
        <v>16469</v>
      </c>
      <c r="C1759" s="111" t="s">
        <v>16470</v>
      </c>
      <c r="D1759" s="28" t="s">
        <v>16471</v>
      </c>
      <c r="E1759" s="28" t="str">
        <f>IFERROR(__xludf.DUMMYFUNCTION("GOOGLETRANSLATE(D1759,""zh-CN"",""vi"")"),"Ông ta bị kết án vì tội tham ô.")</f>
        <v>Ông ta bị kết án vì tội tham ô.</v>
      </c>
      <c r="F1759" s="137"/>
      <c r="G1759" s="36" t="b">
        <f t="shared" si="1"/>
        <v>0</v>
      </c>
      <c r="H1759" s="35" t="b">
        <v>1</v>
      </c>
      <c r="I1759" s="35" t="b">
        <v>0</v>
      </c>
      <c r="J1759" s="35" t="b">
        <v>0</v>
      </c>
      <c r="K1759" s="35" t="b">
        <v>0</v>
      </c>
      <c r="L1759" s="35" t="b">
        <v>0</v>
      </c>
      <c r="M1759" s="35" t="b">
        <v>0</v>
      </c>
      <c r="N1759" s="35" t="b">
        <v>0</v>
      </c>
      <c r="O1759" s="35" t="b">
        <v>0</v>
      </c>
      <c r="P1759" s="35" t="b">
        <v>0</v>
      </c>
      <c r="Q1759" s="35" t="b">
        <v>0</v>
      </c>
      <c r="R1759" s="14"/>
      <c r="S1759" s="14"/>
      <c r="T1759" s="14"/>
      <c r="U1759" s="14"/>
      <c r="V1759" s="14"/>
      <c r="W1759" s="14"/>
    </row>
    <row r="1760" ht="31.5" customHeight="1">
      <c r="A1760" s="109" t="s">
        <v>16472</v>
      </c>
      <c r="B1760" s="110" t="s">
        <v>16473</v>
      </c>
      <c r="C1760" s="111" t="s">
        <v>16474</v>
      </c>
      <c r="D1760" s="28" t="s">
        <v>16475</v>
      </c>
      <c r="E1760" s="28" t="str">
        <f>IFERROR(__xludf.DUMMYFUNCTION("GOOGLETRANSLATE(D1760,""zh-CN"",""vi"")"),"Vật liệu này có độ đàn hồi tuyệt vời.")</f>
        <v>Vật liệu này có độ đàn hồi tuyệt vời.</v>
      </c>
      <c r="F1760" s="137"/>
      <c r="G1760" s="36" t="b">
        <f t="shared" si="1"/>
        <v>0</v>
      </c>
      <c r="H1760" s="35" t="b">
        <v>1</v>
      </c>
      <c r="I1760" s="35" t="b">
        <v>0</v>
      </c>
      <c r="J1760" s="35" t="b">
        <v>0</v>
      </c>
      <c r="K1760" s="35" t="b">
        <v>0</v>
      </c>
      <c r="L1760" s="35" t="b">
        <v>0</v>
      </c>
      <c r="M1760" s="35" t="b">
        <v>0</v>
      </c>
      <c r="N1760" s="35" t="b">
        <v>0</v>
      </c>
      <c r="O1760" s="35" t="b">
        <v>0</v>
      </c>
      <c r="P1760" s="35" t="b">
        <v>0</v>
      </c>
      <c r="Q1760" s="35" t="b">
        <v>0</v>
      </c>
      <c r="R1760" s="14"/>
      <c r="S1760" s="14"/>
      <c r="T1760" s="14"/>
      <c r="U1760" s="14"/>
      <c r="V1760" s="14"/>
      <c r="W1760" s="14"/>
    </row>
    <row r="1761" ht="31.5" customHeight="1">
      <c r="A1761" s="109" t="s">
        <v>16476</v>
      </c>
      <c r="B1761" s="110" t="s">
        <v>16477</v>
      </c>
      <c r="C1761" s="111" t="s">
        <v>16478</v>
      </c>
      <c r="D1761" s="28" t="s">
        <v>16479</v>
      </c>
      <c r="E1761" s="28" t="str">
        <f>IFERROR(__xludf.DUMMYFUNCTION("GOOGLETRANSLATE(D1761,""zh-CN"",""vi"")"),"Hãy nói thật với tôi.")</f>
        <v>Hãy nói thật với tôi.</v>
      </c>
      <c r="F1761" s="137"/>
      <c r="G1761" s="36" t="b">
        <f t="shared" si="1"/>
        <v>0</v>
      </c>
      <c r="H1761" s="35" t="b">
        <v>1</v>
      </c>
      <c r="I1761" s="35" t="b">
        <v>0</v>
      </c>
      <c r="J1761" s="35" t="b">
        <v>0</v>
      </c>
      <c r="K1761" s="35" t="b">
        <v>0</v>
      </c>
      <c r="L1761" s="35" t="b">
        <v>0</v>
      </c>
      <c r="M1761" s="35" t="b">
        <v>0</v>
      </c>
      <c r="N1761" s="35" t="b">
        <v>0</v>
      </c>
      <c r="O1761" s="35" t="b">
        <v>0</v>
      </c>
      <c r="P1761" s="35" t="b">
        <v>0</v>
      </c>
      <c r="Q1761" s="35" t="b">
        <v>0</v>
      </c>
      <c r="R1761" s="14"/>
      <c r="S1761" s="14"/>
      <c r="T1761" s="14"/>
      <c r="U1761" s="14"/>
      <c r="V1761" s="14"/>
      <c r="W1761" s="14"/>
    </row>
    <row r="1762" ht="31.5" customHeight="1">
      <c r="A1762" s="109" t="s">
        <v>16480</v>
      </c>
      <c r="B1762" s="110" t="s">
        <v>16481</v>
      </c>
      <c r="C1762" s="111" t="s">
        <v>16482</v>
      </c>
      <c r="D1762" s="28" t="s">
        <v>16483</v>
      </c>
      <c r="E1762" s="28" t="str">
        <f>IFERROR(__xludf.DUMMYFUNCTION("GOOGLETRANSLATE(D1762,""zh-CN"",""vi"")"),"Các nhà khoa học đang khám phá môi trường sao Hỏa.")</f>
        <v>Các nhà khoa học đang khám phá môi trường sao Hỏa.</v>
      </c>
      <c r="F1762" s="137"/>
      <c r="G1762" s="36" t="b">
        <f t="shared" si="1"/>
        <v>0</v>
      </c>
      <c r="H1762" s="35" t="b">
        <v>1</v>
      </c>
      <c r="I1762" s="35" t="b">
        <v>0</v>
      </c>
      <c r="J1762" s="35" t="b">
        <v>0</v>
      </c>
      <c r="K1762" s="35" t="b">
        <v>0</v>
      </c>
      <c r="L1762" s="35" t="b">
        <v>0</v>
      </c>
      <c r="M1762" s="35" t="b">
        <v>0</v>
      </c>
      <c r="N1762" s="35" t="b">
        <v>0</v>
      </c>
      <c r="O1762" s="35" t="b">
        <v>0</v>
      </c>
      <c r="P1762" s="35" t="b">
        <v>0</v>
      </c>
      <c r="Q1762" s="35" t="b">
        <v>0</v>
      </c>
      <c r="R1762" s="14"/>
      <c r="S1762" s="14"/>
      <c r="T1762" s="14"/>
      <c r="U1762" s="14"/>
      <c r="V1762" s="14"/>
      <c r="W1762" s="14"/>
    </row>
    <row r="1763" ht="31.5" customHeight="1">
      <c r="A1763" s="109" t="s">
        <v>16484</v>
      </c>
      <c r="B1763" s="110" t="s">
        <v>16485</v>
      </c>
      <c r="C1763" s="111" t="s">
        <v>16486</v>
      </c>
      <c r="D1763" s="28" t="s">
        <v>16487</v>
      </c>
      <c r="E1763" s="28" t="str">
        <f>IFERROR(__xludf.DUMMYFUNCTION("GOOGLETRANSLATE(D1763,""zh-CN"",""vi"")"),"Cô ấy thở dài và nói rằng mình rất mệt.")</f>
        <v>Cô ấy thở dài và nói rằng mình rất mệt.</v>
      </c>
      <c r="F1763" s="137"/>
      <c r="G1763" s="36" t="b">
        <f t="shared" si="1"/>
        <v>0</v>
      </c>
      <c r="H1763" s="35" t="b">
        <v>1</v>
      </c>
      <c r="I1763" s="35" t="b">
        <v>0</v>
      </c>
      <c r="J1763" s="35" t="b">
        <v>0</v>
      </c>
      <c r="K1763" s="35" t="b">
        <v>0</v>
      </c>
      <c r="L1763" s="35" t="b">
        <v>0</v>
      </c>
      <c r="M1763" s="35" t="b">
        <v>0</v>
      </c>
      <c r="N1763" s="35" t="b">
        <v>0</v>
      </c>
      <c r="O1763" s="35" t="b">
        <v>0</v>
      </c>
      <c r="P1763" s="35" t="b">
        <v>0</v>
      </c>
      <c r="Q1763" s="35" t="b">
        <v>0</v>
      </c>
      <c r="R1763" s="14"/>
      <c r="S1763" s="14"/>
      <c r="T1763" s="14"/>
      <c r="U1763" s="14"/>
      <c r="V1763" s="14"/>
      <c r="W1763" s="14"/>
    </row>
    <row r="1764" ht="31.5" customHeight="1">
      <c r="A1764" s="109" t="s">
        <v>16488</v>
      </c>
      <c r="B1764" s="110" t="s">
        <v>16489</v>
      </c>
      <c r="C1764" s="111" t="s">
        <v>16490</v>
      </c>
      <c r="D1764" s="28" t="s">
        <v>16491</v>
      </c>
      <c r="E1764" s="28" t="str">
        <f>IFERROR(__xludf.DUMMYFUNCTION("GOOGLETRANSLATE(D1764,""zh-CN"",""vi"")"),"Hãy cùng nhau khám phá những vùng đất mới.")</f>
        <v>Hãy cùng nhau khám phá những vùng đất mới.</v>
      </c>
      <c r="F1764" s="137"/>
      <c r="G1764" s="36" t="b">
        <f t="shared" si="1"/>
        <v>0</v>
      </c>
      <c r="H1764" s="35" t="b">
        <v>1</v>
      </c>
      <c r="I1764" s="35" t="b">
        <v>0</v>
      </c>
      <c r="J1764" s="35" t="b">
        <v>0</v>
      </c>
      <c r="K1764" s="35" t="b">
        <v>0</v>
      </c>
      <c r="L1764" s="35" t="b">
        <v>0</v>
      </c>
      <c r="M1764" s="35" t="b">
        <v>0</v>
      </c>
      <c r="N1764" s="35" t="b">
        <v>0</v>
      </c>
      <c r="O1764" s="35" t="b">
        <v>0</v>
      </c>
      <c r="P1764" s="35" t="b">
        <v>0</v>
      </c>
      <c r="Q1764" s="35" t="b">
        <v>0</v>
      </c>
      <c r="R1764" s="14"/>
      <c r="S1764" s="14"/>
      <c r="T1764" s="14"/>
      <c r="U1764" s="14"/>
      <c r="V1764" s="14"/>
      <c r="W1764" s="14"/>
    </row>
    <row r="1765" ht="31.5" customHeight="1">
      <c r="A1765" s="109" t="s">
        <v>16492</v>
      </c>
      <c r="B1765" s="110" t="s">
        <v>16493</v>
      </c>
      <c r="C1765" s="111" t="s">
        <v>16494</v>
      </c>
      <c r="D1765" s="28" t="s">
        <v>16495</v>
      </c>
      <c r="E1765" s="28" t="str">
        <f>IFERROR(__xludf.DUMMYFUNCTION("GOOGLETRANSLATE(D1765,""zh-CN"",""vi"")"),"Chúng ta cần tìm ra giải pháp cho vấn đề này.")</f>
        <v>Chúng ta cần tìm ra giải pháp cho vấn đề này.</v>
      </c>
      <c r="F1765" s="137"/>
      <c r="G1765" s="36" t="b">
        <f t="shared" si="1"/>
        <v>0</v>
      </c>
      <c r="H1765" s="35" t="b">
        <v>1</v>
      </c>
      <c r="I1765" s="35" t="b">
        <v>0</v>
      </c>
      <c r="J1765" s="35" t="b">
        <v>0</v>
      </c>
      <c r="K1765" s="35" t="b">
        <v>0</v>
      </c>
      <c r="L1765" s="35" t="b">
        <v>0</v>
      </c>
      <c r="M1765" s="35" t="b">
        <v>0</v>
      </c>
      <c r="N1765" s="35" t="b">
        <v>0</v>
      </c>
      <c r="O1765" s="35" t="b">
        <v>0</v>
      </c>
      <c r="P1765" s="35" t="b">
        <v>0</v>
      </c>
      <c r="Q1765" s="35" t="b">
        <v>0</v>
      </c>
      <c r="R1765" s="14"/>
      <c r="S1765" s="14"/>
      <c r="T1765" s="14"/>
      <c r="U1765" s="14"/>
      <c r="V1765" s="14"/>
      <c r="W1765" s="14"/>
    </row>
    <row r="1766" ht="31.5" customHeight="1">
      <c r="A1766" s="109" t="s">
        <v>16496</v>
      </c>
      <c r="B1766" s="110" t="s">
        <v>16497</v>
      </c>
      <c r="C1766" s="111" t="s">
        <v>16498</v>
      </c>
      <c r="D1766" s="28" t="s">
        <v>16499</v>
      </c>
      <c r="E1766" s="28" t="str">
        <f>IFERROR(__xludf.DUMMYFUNCTION("GOOGLETRANSLATE(D1766,""zh-CN"",""vi"")"),"Anh ấy về thăm bố mẹ mỗi cuối tuần.")</f>
        <v>Anh ấy về thăm bố mẹ mỗi cuối tuần.</v>
      </c>
      <c r="F1766" s="137"/>
      <c r="G1766" s="36" t="b">
        <f t="shared" si="1"/>
        <v>0</v>
      </c>
      <c r="H1766" s="35" t="b">
        <v>1</v>
      </c>
      <c r="I1766" s="35" t="b">
        <v>0</v>
      </c>
      <c r="J1766" s="35" t="b">
        <v>0</v>
      </c>
      <c r="K1766" s="35" t="b">
        <v>0</v>
      </c>
      <c r="L1766" s="35" t="b">
        <v>0</v>
      </c>
      <c r="M1766" s="35" t="b">
        <v>0</v>
      </c>
      <c r="N1766" s="35" t="b">
        <v>0</v>
      </c>
      <c r="O1766" s="35" t="b">
        <v>0</v>
      </c>
      <c r="P1766" s="35" t="b">
        <v>0</v>
      </c>
      <c r="Q1766" s="35" t="b">
        <v>0</v>
      </c>
      <c r="R1766" s="14"/>
      <c r="S1766" s="14"/>
      <c r="T1766" s="14"/>
      <c r="U1766" s="14"/>
      <c r="V1766" s="14"/>
      <c r="W1766" s="14"/>
    </row>
    <row r="1767" ht="31.5" customHeight="1">
      <c r="A1767" s="109" t="s">
        <v>16500</v>
      </c>
      <c r="B1767" s="110" t="s">
        <v>16501</v>
      </c>
      <c r="C1767" s="111" t="s">
        <v>16502</v>
      </c>
      <c r="D1767" s="28" t="s">
        <v>16503</v>
      </c>
      <c r="E1767" s="28" t="str">
        <f>IFERROR(__xludf.DUMMYFUNCTION("GOOGLETRANSLATE(D1767,""zh-CN"",""vi"")"),"Tôi thích ăn quả táo gai ngào đường.")</f>
        <v>Tôi thích ăn quả táo gai ngào đường.</v>
      </c>
      <c r="F1767" s="137"/>
      <c r="G1767" s="36" t="b">
        <f t="shared" si="1"/>
        <v>0</v>
      </c>
      <c r="H1767" s="35" t="b">
        <v>1</v>
      </c>
      <c r="I1767" s="35" t="b">
        <v>0</v>
      </c>
      <c r="J1767" s="35" t="b">
        <v>0</v>
      </c>
      <c r="K1767" s="35" t="b">
        <v>0</v>
      </c>
      <c r="L1767" s="35" t="b">
        <v>0</v>
      </c>
      <c r="M1767" s="35" t="b">
        <v>0</v>
      </c>
      <c r="N1767" s="35" t="b">
        <v>0</v>
      </c>
      <c r="O1767" s="35" t="b">
        <v>0</v>
      </c>
      <c r="P1767" s="35" t="b">
        <v>0</v>
      </c>
      <c r="Q1767" s="35" t="b">
        <v>0</v>
      </c>
      <c r="R1767" s="14"/>
      <c r="S1767" s="14"/>
      <c r="T1767" s="14"/>
      <c r="U1767" s="14"/>
      <c r="V1767" s="14"/>
      <c r="W1767" s="14"/>
    </row>
    <row r="1768" ht="31.5" customHeight="1">
      <c r="A1768" s="109" t="s">
        <v>16504</v>
      </c>
      <c r="B1768" s="110" t="s">
        <v>16505</v>
      </c>
      <c r="C1768" s="111" t="s">
        <v>16506</v>
      </c>
      <c r="D1768" s="28" t="s">
        <v>16507</v>
      </c>
      <c r="E1768" s="28" t="str">
        <f>IFERROR(__xludf.DUMMYFUNCTION("GOOGLETRANSLATE(D1768,""zh-CN"",""vi"")"),"Anh ấy đã mang rác ra ngoài và vứt đi.")</f>
        <v>Anh ấy đã mang rác ra ngoài và vứt đi.</v>
      </c>
      <c r="F1768" s="137"/>
      <c r="G1768" s="36" t="b">
        <f t="shared" si="1"/>
        <v>0</v>
      </c>
      <c r="H1768" s="35" t="b">
        <v>1</v>
      </c>
      <c r="I1768" s="35" t="b">
        <v>0</v>
      </c>
      <c r="J1768" s="35" t="b">
        <v>0</v>
      </c>
      <c r="K1768" s="35" t="b">
        <v>0</v>
      </c>
      <c r="L1768" s="35" t="b">
        <v>0</v>
      </c>
      <c r="M1768" s="35" t="b">
        <v>0</v>
      </c>
      <c r="N1768" s="35" t="b">
        <v>0</v>
      </c>
      <c r="O1768" s="35" t="b">
        <v>0</v>
      </c>
      <c r="P1768" s="35" t="b">
        <v>0</v>
      </c>
      <c r="Q1768" s="35" t="b">
        <v>0</v>
      </c>
      <c r="R1768" s="14"/>
      <c r="S1768" s="14"/>
      <c r="T1768" s="14"/>
      <c r="U1768" s="14"/>
      <c r="V1768" s="14"/>
      <c r="W1768" s="14"/>
    </row>
    <row r="1769" ht="31.5" customHeight="1">
      <c r="A1769" s="109" t="s">
        <v>16508</v>
      </c>
      <c r="B1769" s="110" t="s">
        <v>16509</v>
      </c>
      <c r="C1769" s="111" t="s">
        <v>16510</v>
      </c>
      <c r="D1769" s="28" t="s">
        <v>16511</v>
      </c>
      <c r="E1769" s="28" t="str">
        <f>IFERROR(__xludf.DUMMYFUNCTION("GOOGLETRANSLATE(D1769,""zh-CN"",""vi"")"),"Ông ấy đã kể rất dài dòng về câu chuyện của mình.")</f>
        <v>Ông ấy đã kể rất dài dòng về câu chuyện của mình.</v>
      </c>
      <c r="F1769" s="137"/>
      <c r="G1769" s="36" t="b">
        <f t="shared" si="1"/>
        <v>0</v>
      </c>
      <c r="H1769" s="35" t="b">
        <v>1</v>
      </c>
      <c r="I1769" s="35" t="b">
        <v>0</v>
      </c>
      <c r="J1769" s="35" t="b">
        <v>0</v>
      </c>
      <c r="K1769" s="35" t="b">
        <v>0</v>
      </c>
      <c r="L1769" s="35" t="b">
        <v>0</v>
      </c>
      <c r="M1769" s="35" t="b">
        <v>0</v>
      </c>
      <c r="N1769" s="35" t="b">
        <v>0</v>
      </c>
      <c r="O1769" s="35" t="b">
        <v>0</v>
      </c>
      <c r="P1769" s="35" t="b">
        <v>0</v>
      </c>
      <c r="Q1769" s="35" t="b">
        <v>0</v>
      </c>
      <c r="R1769" s="14"/>
      <c r="S1769" s="14"/>
      <c r="T1769" s="14"/>
      <c r="U1769" s="14"/>
      <c r="V1769" s="14"/>
      <c r="W1769" s="14"/>
    </row>
    <row r="1770" ht="31.5" customHeight="1">
      <c r="A1770" s="109" t="s">
        <v>16512</v>
      </c>
      <c r="B1770" s="110" t="s">
        <v>16513</v>
      </c>
      <c r="C1770" s="111" t="s">
        <v>16514</v>
      </c>
      <c r="D1770" s="28" t="s">
        <v>16515</v>
      </c>
      <c r="E1770" s="28" t="str">
        <f>IFERROR(__xludf.DUMMYFUNCTION("GOOGLETRANSLATE(D1770,""zh-CN"",""vi"")"),"Những sản phẩm gốm sứ thủ công này rất tinh xảo.")</f>
        <v>Những sản phẩm gốm sứ thủ công này rất tinh xảo.</v>
      </c>
      <c r="F1770" s="137"/>
      <c r="G1770" s="36" t="b">
        <f t="shared" si="1"/>
        <v>0</v>
      </c>
      <c r="H1770" s="35" t="b">
        <v>1</v>
      </c>
      <c r="I1770" s="35" t="b">
        <v>0</v>
      </c>
      <c r="J1770" s="35" t="b">
        <v>0</v>
      </c>
      <c r="K1770" s="35" t="b">
        <v>0</v>
      </c>
      <c r="L1770" s="35" t="b">
        <v>0</v>
      </c>
      <c r="M1770" s="35" t="b">
        <v>0</v>
      </c>
      <c r="N1770" s="35" t="b">
        <v>0</v>
      </c>
      <c r="O1770" s="35" t="b">
        <v>0</v>
      </c>
      <c r="P1770" s="35" t="b">
        <v>0</v>
      </c>
      <c r="Q1770" s="35" t="b">
        <v>0</v>
      </c>
      <c r="R1770" s="14"/>
      <c r="S1770" s="14"/>
      <c r="T1770" s="14"/>
      <c r="U1770" s="14"/>
      <c r="V1770" s="14"/>
      <c r="W1770" s="14"/>
    </row>
    <row r="1771" ht="31.5" customHeight="1">
      <c r="A1771" s="109" t="s">
        <v>11284</v>
      </c>
      <c r="B1771" s="110" t="s">
        <v>16516</v>
      </c>
      <c r="C1771" s="111" t="s">
        <v>16517</v>
      </c>
      <c r="D1771" s="28" t="s">
        <v>16518</v>
      </c>
      <c r="E1771" s="28" t="str">
        <f>IFERROR(__xludf.DUMMYFUNCTION("GOOGLETRANSLATE(D1771,""zh-CN"",""vi"")"),"Trẻ con đôi khi có thể nghịch ngợm.")</f>
        <v>Trẻ con đôi khi có thể nghịch ngợm.</v>
      </c>
      <c r="F1771" s="137"/>
      <c r="G1771" s="36" t="b">
        <f t="shared" si="1"/>
        <v>0</v>
      </c>
      <c r="H1771" s="35" t="b">
        <v>1</v>
      </c>
      <c r="I1771" s="35" t="b">
        <v>0</v>
      </c>
      <c r="J1771" s="35" t="b">
        <v>0</v>
      </c>
      <c r="K1771" s="35" t="b">
        <v>0</v>
      </c>
      <c r="L1771" s="35" t="b">
        <v>0</v>
      </c>
      <c r="M1771" s="35" t="b">
        <v>0</v>
      </c>
      <c r="N1771" s="35" t="b">
        <v>0</v>
      </c>
      <c r="O1771" s="35" t="b">
        <v>0</v>
      </c>
      <c r="P1771" s="35" t="b">
        <v>0</v>
      </c>
      <c r="Q1771" s="35" t="b">
        <v>0</v>
      </c>
      <c r="R1771" s="14"/>
      <c r="S1771" s="14"/>
      <c r="T1771" s="14"/>
      <c r="U1771" s="14"/>
      <c r="V1771" s="14"/>
      <c r="W1771" s="14"/>
    </row>
    <row r="1772" ht="31.5" customHeight="1">
      <c r="A1772" s="109" t="s">
        <v>16519</v>
      </c>
      <c r="B1772" s="110" t="s">
        <v>16520</v>
      </c>
      <c r="C1772" s="111" t="s">
        <v>16521</v>
      </c>
      <c r="D1772" s="28" t="s">
        <v>16522</v>
      </c>
      <c r="E1772" s="28" t="str">
        <f>IFERROR(__xludf.DUMMYFUNCTION("GOOGLETRANSLATE(D1772,""zh-CN"",""vi"")"),"Anh ấy đã bị loại khỏi cuộc thi.")</f>
        <v>Anh ấy đã bị loại khỏi cuộc thi.</v>
      </c>
      <c r="F1772" s="137"/>
      <c r="G1772" s="36" t="b">
        <f t="shared" si="1"/>
        <v>0</v>
      </c>
      <c r="H1772" s="35" t="b">
        <v>1</v>
      </c>
      <c r="I1772" s="35" t="b">
        <v>0</v>
      </c>
      <c r="J1772" s="35" t="b">
        <v>0</v>
      </c>
      <c r="K1772" s="35" t="b">
        <v>0</v>
      </c>
      <c r="L1772" s="35" t="b">
        <v>0</v>
      </c>
      <c r="M1772" s="35" t="b">
        <v>0</v>
      </c>
      <c r="N1772" s="35" t="b">
        <v>0</v>
      </c>
      <c r="O1772" s="35" t="b">
        <v>0</v>
      </c>
      <c r="P1772" s="35" t="b">
        <v>0</v>
      </c>
      <c r="Q1772" s="35" t="b">
        <v>0</v>
      </c>
      <c r="R1772" s="14"/>
      <c r="S1772" s="14"/>
      <c r="T1772" s="14"/>
      <c r="U1772" s="14"/>
      <c r="V1772" s="14"/>
      <c r="W1772" s="14"/>
    </row>
    <row r="1773" ht="31.5" customHeight="1">
      <c r="A1773" s="109" t="s">
        <v>11292</v>
      </c>
      <c r="B1773" s="110" t="s">
        <v>16523</v>
      </c>
      <c r="C1773" s="111" t="s">
        <v>16524</v>
      </c>
      <c r="D1773" s="28" t="s">
        <v>16525</v>
      </c>
      <c r="E1773" s="28" t="str">
        <f>IFERROR(__xludf.DUMMYFUNCTION("GOOGLETRANSLATE(D1773,""zh-CN"",""vi"")"),"Họ mặc cả ở chợ.")</f>
        <v>Họ mặc cả ở chợ.</v>
      </c>
      <c r="F1773" s="137"/>
      <c r="G1773" s="36" t="b">
        <f t="shared" si="1"/>
        <v>0</v>
      </c>
      <c r="H1773" s="35" t="b">
        <v>1</v>
      </c>
      <c r="I1773" s="35" t="b">
        <v>0</v>
      </c>
      <c r="J1773" s="35" t="b">
        <v>0</v>
      </c>
      <c r="K1773" s="35" t="b">
        <v>0</v>
      </c>
      <c r="L1773" s="35" t="b">
        <v>0</v>
      </c>
      <c r="M1773" s="35" t="b">
        <v>0</v>
      </c>
      <c r="N1773" s="35" t="b">
        <v>0</v>
      </c>
      <c r="O1773" s="35" t="b">
        <v>0</v>
      </c>
      <c r="P1773" s="35" t="b">
        <v>0</v>
      </c>
      <c r="Q1773" s="35" t="b">
        <v>0</v>
      </c>
      <c r="R1773" s="14"/>
      <c r="S1773" s="14"/>
      <c r="T1773" s="14"/>
      <c r="U1773" s="14"/>
      <c r="V1773" s="14"/>
      <c r="W1773" s="14"/>
    </row>
    <row r="1774" ht="31.5" customHeight="1">
      <c r="A1774" s="109" t="s">
        <v>16526</v>
      </c>
      <c r="B1774" s="110" t="s">
        <v>16527</v>
      </c>
      <c r="C1774" s="111" t="s">
        <v>16528</v>
      </c>
      <c r="D1774" s="28" t="s">
        <v>16529</v>
      </c>
      <c r="E1774" s="28" t="str">
        <f>IFERROR(__xludf.DUMMYFUNCTION("GOOGLETRANSLATE(D1774,""zh-CN"",""vi"")"),"Chuyên môn của anh ấy là ca hát.")</f>
        <v>Chuyên môn của anh ấy là ca hát.</v>
      </c>
      <c r="F1774" s="137"/>
      <c r="G1774" s="36" t="b">
        <f t="shared" si="1"/>
        <v>0</v>
      </c>
      <c r="H1774" s="35" t="b">
        <v>1</v>
      </c>
      <c r="I1774" s="35" t="b">
        <v>0</v>
      </c>
      <c r="J1774" s="35" t="b">
        <v>0</v>
      </c>
      <c r="K1774" s="35" t="b">
        <v>0</v>
      </c>
      <c r="L1774" s="35" t="b">
        <v>0</v>
      </c>
      <c r="M1774" s="35" t="b">
        <v>0</v>
      </c>
      <c r="N1774" s="35" t="b">
        <v>0</v>
      </c>
      <c r="O1774" s="35" t="b">
        <v>0</v>
      </c>
      <c r="P1774" s="35" t="b">
        <v>0</v>
      </c>
      <c r="Q1774" s="35" t="b">
        <v>0</v>
      </c>
      <c r="R1774" s="14"/>
      <c r="S1774" s="14"/>
      <c r="T1774" s="14"/>
      <c r="U1774" s="14"/>
      <c r="V1774" s="14"/>
      <c r="W1774" s="14"/>
    </row>
    <row r="1775" ht="31.5" customHeight="1">
      <c r="A1775" s="109" t="s">
        <v>16530</v>
      </c>
      <c r="B1775" s="110" t="s">
        <v>16531</v>
      </c>
      <c r="C1775" s="111" t="s">
        <v>16532</v>
      </c>
      <c r="D1775" s="28" t="s">
        <v>16533</v>
      </c>
      <c r="E1775" s="28" t="str">
        <f>IFERROR(__xludf.DUMMYFUNCTION("GOOGLETRANSLATE(D1775,""zh-CN"",""vi"")"),"Nhiệm vụ này đòi hỏi những kỹ năng cụ thể.")</f>
        <v>Nhiệm vụ này đòi hỏi những kỹ năng cụ thể.</v>
      </c>
      <c r="F1775" s="137"/>
      <c r="G1775" s="36" t="b">
        <f t="shared" si="1"/>
        <v>0</v>
      </c>
      <c r="H1775" s="35" t="b">
        <v>1</v>
      </c>
      <c r="I1775" s="35" t="b">
        <v>0</v>
      </c>
      <c r="J1775" s="35" t="b">
        <v>0</v>
      </c>
      <c r="K1775" s="35" t="b">
        <v>0</v>
      </c>
      <c r="L1775" s="35" t="b">
        <v>0</v>
      </c>
      <c r="M1775" s="35" t="b">
        <v>0</v>
      </c>
      <c r="N1775" s="35" t="b">
        <v>0</v>
      </c>
      <c r="O1775" s="35" t="b">
        <v>0</v>
      </c>
      <c r="P1775" s="35" t="b">
        <v>0</v>
      </c>
      <c r="Q1775" s="35" t="b">
        <v>0</v>
      </c>
      <c r="R1775" s="14"/>
      <c r="S1775" s="14"/>
      <c r="T1775" s="14"/>
      <c r="U1775" s="14"/>
      <c r="V1775" s="14"/>
      <c r="W1775" s="14"/>
    </row>
    <row r="1776" ht="31.5" customHeight="1">
      <c r="A1776" s="109" t="s">
        <v>11312</v>
      </c>
      <c r="B1776" s="110" t="s">
        <v>16534</v>
      </c>
      <c r="C1776" s="111" t="s">
        <v>16535</v>
      </c>
      <c r="D1776" s="28" t="s">
        <v>16536</v>
      </c>
      <c r="E1776" s="28" t="str">
        <f>IFERROR(__xludf.DUMMYFUNCTION("GOOGLETRANSLATE(D1776,""zh-CN"",""vi"")"),"Nhà hàng này có nhiều món ăn đặc sắc.")</f>
        <v>Nhà hàng này có nhiều món ăn đặc sắc.</v>
      </c>
      <c r="F1776" s="137"/>
      <c r="G1776" s="36" t="b">
        <f t="shared" si="1"/>
        <v>0</v>
      </c>
      <c r="H1776" s="35" t="b">
        <v>1</v>
      </c>
      <c r="I1776" s="35" t="b">
        <v>0</v>
      </c>
      <c r="J1776" s="35" t="b">
        <v>0</v>
      </c>
      <c r="K1776" s="35" t="b">
        <v>0</v>
      </c>
      <c r="L1776" s="35" t="b">
        <v>0</v>
      </c>
      <c r="M1776" s="35" t="b">
        <v>0</v>
      </c>
      <c r="N1776" s="35" t="b">
        <v>0</v>
      </c>
      <c r="O1776" s="35" t="b">
        <v>0</v>
      </c>
      <c r="P1776" s="35" t="b">
        <v>0</v>
      </c>
      <c r="Q1776" s="35" t="b">
        <v>0</v>
      </c>
      <c r="R1776" s="14"/>
      <c r="S1776" s="14"/>
      <c r="T1776" s="14"/>
      <c r="U1776" s="14"/>
      <c r="V1776" s="14"/>
      <c r="W1776" s="14"/>
    </row>
    <row r="1777" ht="31.5" customHeight="1">
      <c r="A1777" s="109" t="s">
        <v>16537</v>
      </c>
      <c r="B1777" s="110" t="s">
        <v>16538</v>
      </c>
      <c r="C1777" s="111" t="s">
        <v>16539</v>
      </c>
      <c r="D1777" s="28" t="s">
        <v>16540</v>
      </c>
      <c r="E1777" s="28" t="str">
        <f>IFERROR(__xludf.DUMMYFUNCTION("GOOGLETRANSLATE(D1777,""zh-CN"",""vi"")"),"Ông chủ quyết định thăng chức cho anh ta lên làm quản lý.")</f>
        <v>Ông chủ quyết định thăng chức cho anh ta lên làm quản lý.</v>
      </c>
      <c r="F1777" s="137"/>
      <c r="G1777" s="36" t="b">
        <f t="shared" si="1"/>
        <v>0</v>
      </c>
      <c r="H1777" s="35" t="b">
        <v>1</v>
      </c>
      <c r="I1777" s="35" t="b">
        <v>0</v>
      </c>
      <c r="J1777" s="35" t="b">
        <v>0</v>
      </c>
      <c r="K1777" s="35" t="b">
        <v>0</v>
      </c>
      <c r="L1777" s="35" t="b">
        <v>0</v>
      </c>
      <c r="M1777" s="35" t="b">
        <v>0</v>
      </c>
      <c r="N1777" s="35" t="b">
        <v>0</v>
      </c>
      <c r="O1777" s="35" t="b">
        <v>0</v>
      </c>
      <c r="P1777" s="35" t="b">
        <v>0</v>
      </c>
      <c r="Q1777" s="35" t="b">
        <v>0</v>
      </c>
      <c r="R1777" s="14"/>
      <c r="S1777" s="14"/>
      <c r="T1777" s="14"/>
      <c r="U1777" s="14"/>
      <c r="V1777" s="14"/>
      <c r="W1777" s="14"/>
    </row>
    <row r="1778" ht="31.5" customHeight="1">
      <c r="A1778" s="109" t="s">
        <v>16541</v>
      </c>
      <c r="B1778" s="110" t="s">
        <v>16542</v>
      </c>
      <c r="C1778" s="111" t="s">
        <v>16543</v>
      </c>
      <c r="D1778" s="28" t="s">
        <v>16544</v>
      </c>
      <c r="E1778" s="28" t="str">
        <f>IFERROR(__xludf.DUMMYFUNCTION("GOOGLETRANSLATE(D1778,""zh-CN"",""vi"")"),"Chủ đề của bộ phim này rất độc đáo.")</f>
        <v>Chủ đề của bộ phim này rất độc đáo.</v>
      </c>
      <c r="F1778" s="137"/>
      <c r="G1778" s="36" t="b">
        <f t="shared" si="1"/>
        <v>0</v>
      </c>
      <c r="H1778" s="35" t="b">
        <v>1</v>
      </c>
      <c r="I1778" s="35" t="b">
        <v>0</v>
      </c>
      <c r="J1778" s="35" t="b">
        <v>0</v>
      </c>
      <c r="K1778" s="35" t="b">
        <v>0</v>
      </c>
      <c r="L1778" s="35" t="b">
        <v>0</v>
      </c>
      <c r="M1778" s="35" t="b">
        <v>0</v>
      </c>
      <c r="N1778" s="35" t="b">
        <v>0</v>
      </c>
      <c r="O1778" s="35" t="b">
        <v>0</v>
      </c>
      <c r="P1778" s="35" t="b">
        <v>0</v>
      </c>
      <c r="Q1778" s="35" t="b">
        <v>0</v>
      </c>
      <c r="R1778" s="14"/>
      <c r="S1778" s="14"/>
      <c r="T1778" s="14"/>
      <c r="U1778" s="14"/>
      <c r="V1778" s="14"/>
      <c r="W1778" s="14"/>
    </row>
    <row r="1779" ht="31.5" customHeight="1">
      <c r="A1779" s="109" t="s">
        <v>16545</v>
      </c>
      <c r="B1779" s="110" t="s">
        <v>16546</v>
      </c>
      <c r="C1779" s="111" t="s">
        <v>16547</v>
      </c>
      <c r="D1779" s="28" t="s">
        <v>16548</v>
      </c>
      <c r="E1779" s="28" t="str">
        <f>IFERROR(__xludf.DUMMYFUNCTION("GOOGLETRANSLATE(D1779,""zh-CN"",""vi"")"),"Hương liệu được chiết xuất từ ​​các loại thảo mộc và thực vật hoang dã.")</f>
        <v>Hương liệu được chiết xuất từ ​​các loại thảo mộc và thực vật hoang dã.</v>
      </c>
      <c r="F1779" s="137"/>
      <c r="G1779" s="36" t="b">
        <f t="shared" si="1"/>
        <v>0</v>
      </c>
      <c r="H1779" s="35" t="b">
        <v>1</v>
      </c>
      <c r="I1779" s="35" t="b">
        <v>0</v>
      </c>
      <c r="J1779" s="35" t="b">
        <v>0</v>
      </c>
      <c r="K1779" s="35" t="b">
        <v>0</v>
      </c>
      <c r="L1779" s="35" t="b">
        <v>0</v>
      </c>
      <c r="M1779" s="35" t="b">
        <v>0</v>
      </c>
      <c r="N1779" s="35" t="b">
        <v>0</v>
      </c>
      <c r="O1779" s="35" t="b">
        <v>0</v>
      </c>
      <c r="P1779" s="35" t="b">
        <v>0</v>
      </c>
      <c r="Q1779" s="35" t="b">
        <v>0</v>
      </c>
      <c r="R1779" s="14"/>
      <c r="S1779" s="14"/>
      <c r="T1779" s="14"/>
      <c r="U1779" s="14"/>
      <c r="V1779" s="14"/>
      <c r="W1779" s="14"/>
    </row>
    <row r="1780" ht="31.5" customHeight="1">
      <c r="A1780" s="109" t="s">
        <v>16549</v>
      </c>
      <c r="B1780" s="110" t="s">
        <v>16550</v>
      </c>
      <c r="C1780" s="111" t="s">
        <v>16551</v>
      </c>
      <c r="D1780" s="28" t="s">
        <v>16552</v>
      </c>
      <c r="E1780" s="28" t="str">
        <f>IFERROR(__xludf.DUMMYFUNCTION("GOOGLETRANSLATE(D1780,""zh-CN"",""vi"")"),"Cô giáo nhắc nhở chúng tôi phải ôn tập kỹ lưỡng.")</f>
        <v>Cô giáo nhắc nhở chúng tôi phải ôn tập kỹ lưỡng.</v>
      </c>
      <c r="F1780" s="137"/>
      <c r="G1780" s="36" t="b">
        <f t="shared" si="1"/>
        <v>0</v>
      </c>
      <c r="H1780" s="35" t="b">
        <v>1</v>
      </c>
      <c r="I1780" s="35" t="b">
        <v>0</v>
      </c>
      <c r="J1780" s="35" t="b">
        <v>0</v>
      </c>
      <c r="K1780" s="35" t="b">
        <v>0</v>
      </c>
      <c r="L1780" s="35" t="b">
        <v>0</v>
      </c>
      <c r="M1780" s="35" t="b">
        <v>0</v>
      </c>
      <c r="N1780" s="35" t="b">
        <v>0</v>
      </c>
      <c r="O1780" s="35" t="b">
        <v>0</v>
      </c>
      <c r="P1780" s="35" t="b">
        <v>0</v>
      </c>
      <c r="Q1780" s="35" t="b">
        <v>0</v>
      </c>
      <c r="R1780" s="14"/>
      <c r="S1780" s="14"/>
      <c r="T1780" s="14"/>
      <c r="U1780" s="14"/>
      <c r="V1780" s="14"/>
      <c r="W1780" s="14"/>
    </row>
    <row r="1781" ht="31.5" customHeight="1">
      <c r="A1781" s="109" t="s">
        <v>16553</v>
      </c>
      <c r="B1781" s="110" t="s">
        <v>16554</v>
      </c>
      <c r="C1781" s="111" t="s">
        <v>16555</v>
      </c>
      <c r="D1781" s="28" t="s">
        <v>16556</v>
      </c>
      <c r="E1781" s="28" t="str">
        <f>IFERROR(__xludf.DUMMYFUNCTION("GOOGLETRANSLATE(D1781,""zh-CN"",""vi"")"),"Đề xuất của ông nhận được sự ủng hộ của mọi người.")</f>
        <v>Đề xuất của ông nhận được sự ủng hộ của mọi người.</v>
      </c>
      <c r="F1781" s="137"/>
      <c r="G1781" s="36" t="b">
        <f t="shared" si="1"/>
        <v>0</v>
      </c>
      <c r="H1781" s="35" t="b">
        <v>1</v>
      </c>
      <c r="I1781" s="35" t="b">
        <v>0</v>
      </c>
      <c r="J1781" s="35" t="b">
        <v>0</v>
      </c>
      <c r="K1781" s="35" t="b">
        <v>0</v>
      </c>
      <c r="L1781" s="35" t="b">
        <v>0</v>
      </c>
      <c r="M1781" s="35" t="b">
        <v>0</v>
      </c>
      <c r="N1781" s="35" t="b">
        <v>0</v>
      </c>
      <c r="O1781" s="35" t="b">
        <v>0</v>
      </c>
      <c r="P1781" s="35" t="b">
        <v>0</v>
      </c>
      <c r="Q1781" s="35" t="b">
        <v>0</v>
      </c>
      <c r="R1781" s="14"/>
      <c r="S1781" s="14"/>
      <c r="T1781" s="14"/>
      <c r="U1781" s="14"/>
      <c r="V1781" s="14"/>
      <c r="W1781" s="14"/>
    </row>
    <row r="1782" ht="31.5" customHeight="1">
      <c r="A1782" s="109" t="s">
        <v>16557</v>
      </c>
      <c r="B1782" s="110" t="s">
        <v>16558</v>
      </c>
      <c r="C1782" s="111" t="s">
        <v>16559</v>
      </c>
      <c r="D1782" s="28" t="s">
        <v>16560</v>
      </c>
      <c r="E1782" s="28" t="str">
        <f>IFERROR(__xludf.DUMMYFUNCTION("GOOGLETRANSLATE(D1782,""zh-CN"",""vi"")"),"Bạn cần hiểu hoàn cảnh của anh ấy.")</f>
        <v>Bạn cần hiểu hoàn cảnh của anh ấy.</v>
      </c>
      <c r="F1782" s="137"/>
      <c r="G1782" s="36" t="b">
        <f t="shared" si="1"/>
        <v>0</v>
      </c>
      <c r="H1782" s="35" t="b">
        <v>1</v>
      </c>
      <c r="I1782" s="35" t="b">
        <v>0</v>
      </c>
      <c r="J1782" s="35" t="b">
        <v>0</v>
      </c>
      <c r="K1782" s="35" t="b">
        <v>0</v>
      </c>
      <c r="L1782" s="35" t="b">
        <v>0</v>
      </c>
      <c r="M1782" s="35" t="b">
        <v>0</v>
      </c>
      <c r="N1782" s="35" t="b">
        <v>0</v>
      </c>
      <c r="O1782" s="35" t="b">
        <v>0</v>
      </c>
      <c r="P1782" s="35" t="b">
        <v>0</v>
      </c>
      <c r="Q1782" s="35" t="b">
        <v>0</v>
      </c>
      <c r="R1782" s="14"/>
      <c r="S1782" s="14"/>
      <c r="T1782" s="14"/>
      <c r="U1782" s="14"/>
      <c r="V1782" s="14"/>
      <c r="W1782" s="14"/>
    </row>
    <row r="1783" ht="31.5" customHeight="1">
      <c r="A1783" s="109" t="s">
        <v>16561</v>
      </c>
      <c r="B1783" s="110" t="s">
        <v>16562</v>
      </c>
      <c r="C1783" s="111" t="s">
        <v>16563</v>
      </c>
      <c r="D1783" s="28" t="s">
        <v>16564</v>
      </c>
      <c r="E1783" s="28" t="str">
        <f>IFERROR(__xludf.DUMMYFUNCTION("GOOGLETRANSLATE(D1783,""zh-CN"",""vi"")"),"Ông ấy muốn giữ gìn phẩm giá của gia đình.")</f>
        <v>Ông ấy muốn giữ gìn phẩm giá của gia đình.</v>
      </c>
      <c r="F1783" s="137"/>
      <c r="G1783" s="36" t="b">
        <f t="shared" si="1"/>
        <v>0</v>
      </c>
      <c r="H1783" s="35" t="b">
        <v>1</v>
      </c>
      <c r="I1783" s="35" t="b">
        <v>0</v>
      </c>
      <c r="J1783" s="35" t="b">
        <v>0</v>
      </c>
      <c r="K1783" s="35" t="b">
        <v>0</v>
      </c>
      <c r="L1783" s="35" t="b">
        <v>0</v>
      </c>
      <c r="M1783" s="35" t="b">
        <v>0</v>
      </c>
      <c r="N1783" s="35" t="b">
        <v>0</v>
      </c>
      <c r="O1783" s="35" t="b">
        <v>0</v>
      </c>
      <c r="P1783" s="35" t="b">
        <v>0</v>
      </c>
      <c r="Q1783" s="35" t="b">
        <v>0</v>
      </c>
      <c r="R1783" s="14"/>
      <c r="S1783" s="14"/>
      <c r="T1783" s="14"/>
      <c r="U1783" s="14"/>
      <c r="V1783" s="14"/>
      <c r="W1783" s="14"/>
    </row>
    <row r="1784" ht="31.5" customHeight="1">
      <c r="A1784" s="109" t="s">
        <v>16565</v>
      </c>
      <c r="B1784" s="110" t="s">
        <v>16566</v>
      </c>
      <c r="C1784" s="111" t="s">
        <v>16567</v>
      </c>
      <c r="D1784" s="28" t="s">
        <v>16568</v>
      </c>
      <c r="E1784" s="28" t="str">
        <f>IFERROR(__xludf.DUMMYFUNCTION("GOOGLETRANSLATE(D1784,""zh-CN"",""vi"")"),"Tổ chức này có một hệ thống được thiết lập rất tốt.")</f>
        <v>Tổ chức này có một hệ thống được thiết lập rất tốt.</v>
      </c>
      <c r="F1784" s="137"/>
      <c r="G1784" s="36" t="b">
        <f t="shared" si="1"/>
        <v>0</v>
      </c>
      <c r="H1784" s="35" t="b">
        <v>1</v>
      </c>
      <c r="I1784" s="35" t="b">
        <v>0</v>
      </c>
      <c r="J1784" s="35" t="b">
        <v>0</v>
      </c>
      <c r="K1784" s="35" t="b">
        <v>0</v>
      </c>
      <c r="L1784" s="35" t="b">
        <v>0</v>
      </c>
      <c r="M1784" s="35" t="b">
        <v>0</v>
      </c>
      <c r="N1784" s="35" t="b">
        <v>0</v>
      </c>
      <c r="O1784" s="35" t="b">
        <v>0</v>
      </c>
      <c r="P1784" s="35" t="b">
        <v>0</v>
      </c>
      <c r="Q1784" s="35" t="b">
        <v>0</v>
      </c>
      <c r="R1784" s="14"/>
      <c r="S1784" s="14"/>
      <c r="T1784" s="14"/>
      <c r="U1784" s="14"/>
      <c r="V1784" s="14"/>
      <c r="W1784" s="14"/>
    </row>
    <row r="1785" ht="31.5" customHeight="1">
      <c r="A1785" s="109" t="s">
        <v>16569</v>
      </c>
      <c r="B1785" s="110" t="s">
        <v>16570</v>
      </c>
      <c r="C1785" s="111" t="s">
        <v>16571</v>
      </c>
      <c r="D1785" s="28" t="s">
        <v>16572</v>
      </c>
      <c r="E1785" s="28" t="str">
        <f>IFERROR(__xludf.DUMMYFUNCTION("GOOGLETRANSLATE(D1785,""zh-CN"",""vi"")"),"Anh ấy là một thiên tài âm nhạc.")</f>
        <v>Anh ấy là một thiên tài âm nhạc.</v>
      </c>
      <c r="F1785" s="137"/>
      <c r="G1785" s="36" t="b">
        <f t="shared" si="1"/>
        <v>0</v>
      </c>
      <c r="H1785" s="35" t="b">
        <v>1</v>
      </c>
      <c r="I1785" s="35" t="b">
        <v>0</v>
      </c>
      <c r="J1785" s="35" t="b">
        <v>0</v>
      </c>
      <c r="K1785" s="35" t="b">
        <v>0</v>
      </c>
      <c r="L1785" s="35" t="b">
        <v>0</v>
      </c>
      <c r="M1785" s="35" t="b">
        <v>0</v>
      </c>
      <c r="N1785" s="35" t="b">
        <v>0</v>
      </c>
      <c r="O1785" s="35" t="b">
        <v>0</v>
      </c>
      <c r="P1785" s="35" t="b">
        <v>0</v>
      </c>
      <c r="Q1785" s="35" t="b">
        <v>0</v>
      </c>
      <c r="R1785" s="14"/>
      <c r="S1785" s="14"/>
      <c r="T1785" s="14"/>
      <c r="U1785" s="14"/>
      <c r="V1785" s="14"/>
      <c r="W1785" s="14"/>
    </row>
    <row r="1786" ht="31.5" customHeight="1">
      <c r="A1786" s="109" t="s">
        <v>16573</v>
      </c>
      <c r="B1786" s="110" t="s">
        <v>16574</v>
      </c>
      <c r="C1786" s="111" t="s">
        <v>16575</v>
      </c>
      <c r="D1786" s="28" t="s">
        <v>16576</v>
      </c>
      <c r="E1786" s="28" t="str">
        <f>IFERROR(__xludf.DUMMYFUNCTION("GOOGLETRANSLATE(D1786,""zh-CN"",""vi"")"),"Anh ấy thích dành thời gian chất lượng bên gia đình.")</f>
        <v>Anh ấy thích dành thời gian chất lượng bên gia đình.</v>
      </c>
      <c r="F1786" s="137"/>
      <c r="G1786" s="36" t="b">
        <f t="shared" si="1"/>
        <v>0</v>
      </c>
      <c r="H1786" s="35" t="b">
        <v>1</v>
      </c>
      <c r="I1786" s="35" t="b">
        <v>0</v>
      </c>
      <c r="J1786" s="35" t="b">
        <v>0</v>
      </c>
      <c r="K1786" s="35" t="b">
        <v>0</v>
      </c>
      <c r="L1786" s="35" t="b">
        <v>0</v>
      </c>
      <c r="M1786" s="35" t="b">
        <v>0</v>
      </c>
      <c r="N1786" s="35" t="b">
        <v>0</v>
      </c>
      <c r="O1786" s="35" t="b">
        <v>0</v>
      </c>
      <c r="P1786" s="35" t="b">
        <v>0</v>
      </c>
      <c r="Q1786" s="35" t="b">
        <v>0</v>
      </c>
      <c r="R1786" s="14"/>
      <c r="S1786" s="14"/>
      <c r="T1786" s="14"/>
      <c r="U1786" s="14"/>
      <c r="V1786" s="14"/>
      <c r="W1786" s="14"/>
    </row>
    <row r="1787" ht="31.5" customHeight="1">
      <c r="A1787" s="109" t="s">
        <v>16577</v>
      </c>
      <c r="B1787" s="110" t="s">
        <v>16578</v>
      </c>
      <c r="C1787" s="111" t="s">
        <v>16579</v>
      </c>
      <c r="D1787" s="28" t="s">
        <v>16580</v>
      </c>
      <c r="E1787" s="28" t="str">
        <f>IFERROR(__xludf.DUMMYFUNCTION("GOOGLETRANSLATE(D1787,""zh-CN"",""vi"")"),"Khí tự nhiên là một nguồn năng lượng quan trọng.")</f>
        <v>Khí tự nhiên là một nguồn năng lượng quan trọng.</v>
      </c>
      <c r="F1787" s="137"/>
      <c r="G1787" s="36" t="b">
        <f t="shared" si="1"/>
        <v>0</v>
      </c>
      <c r="H1787" s="35" t="b">
        <v>1</v>
      </c>
      <c r="I1787" s="35" t="b">
        <v>0</v>
      </c>
      <c r="J1787" s="35" t="b">
        <v>0</v>
      </c>
      <c r="K1787" s="35" t="b">
        <v>0</v>
      </c>
      <c r="L1787" s="35" t="b">
        <v>0</v>
      </c>
      <c r="M1787" s="35" t="b">
        <v>0</v>
      </c>
      <c r="N1787" s="35" t="b">
        <v>0</v>
      </c>
      <c r="O1787" s="35" t="b">
        <v>0</v>
      </c>
      <c r="P1787" s="35" t="b">
        <v>0</v>
      </c>
      <c r="Q1787" s="35" t="b">
        <v>0</v>
      </c>
      <c r="R1787" s="14"/>
      <c r="S1787" s="14"/>
      <c r="T1787" s="14"/>
      <c r="U1787" s="14"/>
      <c r="V1787" s="14"/>
      <c r="W1787" s="14"/>
    </row>
    <row r="1788" ht="31.5" customHeight="1">
      <c r="A1788" s="109" t="s">
        <v>16581</v>
      </c>
      <c r="B1788" s="110" t="s">
        <v>16582</v>
      </c>
      <c r="C1788" s="111" t="s">
        <v>16583</v>
      </c>
      <c r="D1788" s="28" t="s">
        <v>16584</v>
      </c>
      <c r="E1788" s="28" t="str">
        <f>IFERROR(__xludf.DUMMYFUNCTION("GOOGLETRANSLATE(D1788,""zh-CN"",""vi"")"),"Anh ấy sinh ra đã có năng khiếu âm nhạc.")</f>
        <v>Anh ấy sinh ra đã có năng khiếu âm nhạc.</v>
      </c>
      <c r="F1788" s="137"/>
      <c r="G1788" s="36" t="b">
        <f t="shared" si="1"/>
        <v>0</v>
      </c>
      <c r="H1788" s="35" t="b">
        <v>1</v>
      </c>
      <c r="I1788" s="35" t="b">
        <v>0</v>
      </c>
      <c r="J1788" s="35" t="b">
        <v>0</v>
      </c>
      <c r="K1788" s="35" t="b">
        <v>0</v>
      </c>
      <c r="L1788" s="35" t="b">
        <v>0</v>
      </c>
      <c r="M1788" s="35" t="b">
        <v>0</v>
      </c>
      <c r="N1788" s="35" t="b">
        <v>0</v>
      </c>
      <c r="O1788" s="35" t="b">
        <v>0</v>
      </c>
      <c r="P1788" s="35" t="b">
        <v>0</v>
      </c>
      <c r="Q1788" s="35" t="b">
        <v>0</v>
      </c>
      <c r="R1788" s="14"/>
      <c r="S1788" s="14"/>
      <c r="T1788" s="14"/>
      <c r="U1788" s="14"/>
      <c r="V1788" s="14"/>
      <c r="W1788" s="14"/>
    </row>
    <row r="1789" ht="31.5" customHeight="1">
      <c r="A1789" s="109" t="s">
        <v>16585</v>
      </c>
      <c r="B1789" s="110" t="s">
        <v>16586</v>
      </c>
      <c r="C1789" s="111" t="s">
        <v>16587</v>
      </c>
      <c r="D1789" s="28" t="s">
        <v>16588</v>
      </c>
      <c r="E1789" s="28" t="str">
        <f>IFERROR(__xludf.DUMMYFUNCTION("GOOGLETRANSLATE(D1789,""zh-CN"",""vi"")"),"Thiên đường là một nơi tràn ngập những điều kỳ diệu.")</f>
        <v>Thiên đường là một nơi tràn ngập những điều kỳ diệu.</v>
      </c>
      <c r="F1789" s="137"/>
      <c r="G1789" s="36" t="b">
        <f t="shared" si="1"/>
        <v>0</v>
      </c>
      <c r="H1789" s="35" t="b">
        <v>1</v>
      </c>
      <c r="I1789" s="35" t="b">
        <v>0</v>
      </c>
      <c r="J1789" s="35" t="b">
        <v>0</v>
      </c>
      <c r="K1789" s="35" t="b">
        <v>0</v>
      </c>
      <c r="L1789" s="35" t="b">
        <v>0</v>
      </c>
      <c r="M1789" s="35" t="b">
        <v>0</v>
      </c>
      <c r="N1789" s="35" t="b">
        <v>0</v>
      </c>
      <c r="O1789" s="35" t="b">
        <v>0</v>
      </c>
      <c r="P1789" s="35" t="b">
        <v>0</v>
      </c>
      <c r="Q1789" s="35" t="b">
        <v>0</v>
      </c>
      <c r="R1789" s="14"/>
      <c r="S1789" s="14"/>
      <c r="T1789" s="14"/>
      <c r="U1789" s="14"/>
      <c r="V1789" s="14"/>
      <c r="W1789" s="14"/>
    </row>
    <row r="1790" ht="31.5" customHeight="1">
      <c r="A1790" s="109" t="s">
        <v>16589</v>
      </c>
      <c r="B1790" s="110" t="s">
        <v>16590</v>
      </c>
      <c r="C1790" s="111" t="s">
        <v>16591</v>
      </c>
      <c r="D1790" s="28" t="s">
        <v>16592</v>
      </c>
      <c r="E1790" s="28" t="str">
        <f>IFERROR(__xludf.DUMMYFUNCTION("GOOGLETRANSLATE(D1790,""zh-CN"",""vi"")"),"Ông ấy rất quan tâm đến thiên văn học.")</f>
        <v>Ông ấy rất quan tâm đến thiên văn học.</v>
      </c>
      <c r="F1790" s="137"/>
      <c r="G1790" s="36" t="b">
        <f t="shared" si="1"/>
        <v>0</v>
      </c>
      <c r="H1790" s="35" t="b">
        <v>1</v>
      </c>
      <c r="I1790" s="35" t="b">
        <v>0</v>
      </c>
      <c r="J1790" s="35" t="b">
        <v>0</v>
      </c>
      <c r="K1790" s="35" t="b">
        <v>0</v>
      </c>
      <c r="L1790" s="35" t="b">
        <v>0</v>
      </c>
      <c r="M1790" s="35" t="b">
        <v>0</v>
      </c>
      <c r="N1790" s="35" t="b">
        <v>0</v>
      </c>
      <c r="O1790" s="35" t="b">
        <v>0</v>
      </c>
      <c r="P1790" s="35" t="b">
        <v>0</v>
      </c>
      <c r="Q1790" s="35" t="b">
        <v>0</v>
      </c>
      <c r="R1790" s="14"/>
      <c r="S1790" s="14"/>
      <c r="T1790" s="14"/>
      <c r="U1790" s="14"/>
      <c r="V1790" s="14"/>
      <c r="W1790" s="14"/>
    </row>
    <row r="1791" ht="31.5" customHeight="1">
      <c r="A1791" s="109" t="s">
        <v>16593</v>
      </c>
      <c r="B1791" s="110" t="s">
        <v>16594</v>
      </c>
      <c r="C1791" s="111" t="s">
        <v>16595</v>
      </c>
      <c r="D1791" s="28" t="s">
        <v>16596</v>
      </c>
      <c r="E1791" s="28" t="str">
        <f>IFERROR(__xludf.DUMMYFUNCTION("GOOGLETRANSLATE(D1791,""zh-CN"",""vi"")"),"Anh ấy đã tham gia cuộc thi điền kinh quốc gia.")</f>
        <v>Anh ấy đã tham gia cuộc thi điền kinh quốc gia.</v>
      </c>
      <c r="F1791" s="137"/>
      <c r="G1791" s="36" t="b">
        <f t="shared" si="1"/>
        <v>0</v>
      </c>
      <c r="H1791" s="35" t="b">
        <v>1</v>
      </c>
      <c r="I1791" s="35" t="b">
        <v>0</v>
      </c>
      <c r="J1791" s="35" t="b">
        <v>0</v>
      </c>
      <c r="K1791" s="35" t="b">
        <v>0</v>
      </c>
      <c r="L1791" s="35" t="b">
        <v>0</v>
      </c>
      <c r="M1791" s="35" t="b">
        <v>0</v>
      </c>
      <c r="N1791" s="35" t="b">
        <v>0</v>
      </c>
      <c r="O1791" s="35" t="b">
        <v>0</v>
      </c>
      <c r="P1791" s="35" t="b">
        <v>0</v>
      </c>
      <c r="Q1791" s="35" t="b">
        <v>0</v>
      </c>
      <c r="R1791" s="14"/>
      <c r="S1791" s="14"/>
      <c r="T1791" s="14"/>
      <c r="U1791" s="14"/>
      <c r="V1791" s="14"/>
      <c r="W1791" s="14"/>
    </row>
    <row r="1792" ht="31.5" customHeight="1">
      <c r="A1792" s="109" t="s">
        <v>16597</v>
      </c>
      <c r="B1792" s="110" t="s">
        <v>16598</v>
      </c>
      <c r="C1792" s="111" t="s">
        <v>16599</v>
      </c>
      <c r="D1792" s="28" t="s">
        <v>16600</v>
      </c>
      <c r="E1792" s="28" t="str">
        <f>IFERROR(__xludf.DUMMYFUNCTION("GOOGLETRANSLATE(D1792,""zh-CN"",""vi"")"),"Mèo con thích liếm lông của mình.")</f>
        <v>Mèo con thích liếm lông của mình.</v>
      </c>
      <c r="F1792" s="137"/>
      <c r="G1792" s="36" t="b">
        <f t="shared" si="1"/>
        <v>0</v>
      </c>
      <c r="H1792" s="35" t="b">
        <v>1</v>
      </c>
      <c r="I1792" s="35" t="b">
        <v>0</v>
      </c>
      <c r="J1792" s="35" t="b">
        <v>0</v>
      </c>
      <c r="K1792" s="35" t="b">
        <v>0</v>
      </c>
      <c r="L1792" s="35" t="b">
        <v>0</v>
      </c>
      <c r="M1792" s="35" t="b">
        <v>0</v>
      </c>
      <c r="N1792" s="35" t="b">
        <v>0</v>
      </c>
      <c r="O1792" s="35" t="b">
        <v>0</v>
      </c>
      <c r="P1792" s="35" t="b">
        <v>0</v>
      </c>
      <c r="Q1792" s="35" t="b">
        <v>0</v>
      </c>
      <c r="R1792" s="14"/>
      <c r="S1792" s="14"/>
      <c r="T1792" s="14"/>
      <c r="U1792" s="14"/>
      <c r="V1792" s="14"/>
      <c r="W1792" s="14"/>
    </row>
    <row r="1793" ht="31.5" customHeight="1">
      <c r="A1793" s="109" t="s">
        <v>16601</v>
      </c>
      <c r="B1793" s="110" t="s">
        <v>16602</v>
      </c>
      <c r="C1793" s="111" t="s">
        <v>16603</v>
      </c>
      <c r="D1793" s="28" t="s">
        <v>16604</v>
      </c>
      <c r="E1793" s="28" t="str">
        <f>IFERROR(__xludf.DUMMYFUNCTION("GOOGLETRANSLATE(D1793,""zh-CN"",""vi"")"),"Cô ấy rất kén ăn.")</f>
        <v>Cô ấy rất kén ăn.</v>
      </c>
      <c r="F1793" s="137"/>
      <c r="G1793" s="36" t="b">
        <f t="shared" si="1"/>
        <v>0</v>
      </c>
      <c r="H1793" s="35" t="b">
        <v>1</v>
      </c>
      <c r="I1793" s="35" t="b">
        <v>0</v>
      </c>
      <c r="J1793" s="35" t="b">
        <v>0</v>
      </c>
      <c r="K1793" s="35" t="b">
        <v>0</v>
      </c>
      <c r="L1793" s="35" t="b">
        <v>0</v>
      </c>
      <c r="M1793" s="35" t="b">
        <v>0</v>
      </c>
      <c r="N1793" s="35" t="b">
        <v>0</v>
      </c>
      <c r="O1793" s="35" t="b">
        <v>0</v>
      </c>
      <c r="P1793" s="35" t="b">
        <v>0</v>
      </c>
      <c r="Q1793" s="35" t="b">
        <v>0</v>
      </c>
      <c r="R1793" s="14"/>
      <c r="S1793" s="14"/>
      <c r="T1793" s="14"/>
      <c r="U1793" s="14"/>
      <c r="V1793" s="14"/>
      <c r="W1793" s="14"/>
    </row>
    <row r="1794" ht="31.5" customHeight="1">
      <c r="A1794" s="109" t="s">
        <v>16605</v>
      </c>
      <c r="B1794" s="110" t="s">
        <v>16606</v>
      </c>
      <c r="C1794" s="111" t="s">
        <v>16607</v>
      </c>
      <c r="D1794" s="28" t="s">
        <v>16608</v>
      </c>
      <c r="E1794" s="28" t="str">
        <f>IFERROR(__xludf.DUMMYFUNCTION("GOOGLETRANSLATE(D1794,""zh-CN"",""vi"")"),"Ông tin rằng không có chỗ cho sự thỏa hiệp về vấn đề nguyên tắc này.")</f>
        <v>Ông tin rằng không có chỗ cho sự thỏa hiệp về vấn đề nguyên tắc này.</v>
      </c>
      <c r="F1794" s="137"/>
      <c r="G1794" s="36" t="b">
        <f t="shared" si="1"/>
        <v>0</v>
      </c>
      <c r="H1794" s="35" t="b">
        <v>1</v>
      </c>
      <c r="I1794" s="35" t="b">
        <v>0</v>
      </c>
      <c r="J1794" s="35" t="b">
        <v>0</v>
      </c>
      <c r="K1794" s="35" t="b">
        <v>0</v>
      </c>
      <c r="L1794" s="35" t="b">
        <v>0</v>
      </c>
      <c r="M1794" s="35" t="b">
        <v>0</v>
      </c>
      <c r="N1794" s="35" t="b">
        <v>0</v>
      </c>
      <c r="O1794" s="35" t="b">
        <v>0</v>
      </c>
      <c r="P1794" s="35" t="b">
        <v>0</v>
      </c>
      <c r="Q1794" s="35" t="b">
        <v>0</v>
      </c>
      <c r="R1794" s="14"/>
      <c r="S1794" s="14"/>
      <c r="T1794" s="14"/>
      <c r="U1794" s="14"/>
      <c r="V1794" s="14"/>
      <c r="W1794" s="14"/>
    </row>
    <row r="1795" ht="31.5" customHeight="1">
      <c r="A1795" s="109" t="s">
        <v>16609</v>
      </c>
      <c r="B1795" s="110" t="s">
        <v>16610</v>
      </c>
      <c r="C1795" s="111" t="s">
        <v>16611</v>
      </c>
      <c r="D1795" s="28" t="s">
        <v>16612</v>
      </c>
      <c r="E1795" s="28" t="str">
        <f>IFERROR(__xludf.DUMMYFUNCTION("GOOGLETRANSLATE(D1795,""zh-CN"",""vi"")"),"Ông ấy lấy thuốc mỗi tuần một lần.")</f>
        <v>Ông ấy lấy thuốc mỗi tuần một lần.</v>
      </c>
      <c r="F1795" s="137"/>
      <c r="G1795" s="36" t="b">
        <f t="shared" si="1"/>
        <v>0</v>
      </c>
      <c r="H1795" s="35" t="b">
        <v>1</v>
      </c>
      <c r="I1795" s="35" t="b">
        <v>0</v>
      </c>
      <c r="J1795" s="35" t="b">
        <v>0</v>
      </c>
      <c r="K1795" s="35" t="b">
        <v>0</v>
      </c>
      <c r="L1795" s="35" t="b">
        <v>0</v>
      </c>
      <c r="M1795" s="35" t="b">
        <v>0</v>
      </c>
      <c r="N1795" s="35" t="b">
        <v>0</v>
      </c>
      <c r="O1795" s="35" t="b">
        <v>0</v>
      </c>
      <c r="P1795" s="35" t="b">
        <v>0</v>
      </c>
      <c r="Q1795" s="35" t="b">
        <v>0</v>
      </c>
      <c r="R1795" s="14"/>
      <c r="S1795" s="14"/>
      <c r="T1795" s="14"/>
      <c r="U1795" s="14"/>
      <c r="V1795" s="14"/>
      <c r="W1795" s="14"/>
    </row>
    <row r="1796" ht="31.5" customHeight="1">
      <c r="A1796" s="109" t="s">
        <v>16613</v>
      </c>
      <c r="B1796" s="110" t="s">
        <v>16614</v>
      </c>
      <c r="C1796" s="111" t="s">
        <v>16611</v>
      </c>
      <c r="D1796" s="28" t="s">
        <v>16615</v>
      </c>
      <c r="E1796" s="28" t="str">
        <f>IFERROR(__xludf.DUMMYFUNCTION("GOOGLETRANSLATE(D1796,""zh-CN"",""vi"")"),"Chúng ta cần điều chỉnh nhiệt độ trong nhà.")</f>
        <v>Chúng ta cần điều chỉnh nhiệt độ trong nhà.</v>
      </c>
      <c r="F1796" s="137"/>
      <c r="G1796" s="36" t="b">
        <f t="shared" si="1"/>
        <v>0</v>
      </c>
      <c r="H1796" s="35" t="b">
        <v>1</v>
      </c>
      <c r="I1796" s="35" t="b">
        <v>0</v>
      </c>
      <c r="J1796" s="35" t="b">
        <v>0</v>
      </c>
      <c r="K1796" s="35" t="b">
        <v>0</v>
      </c>
      <c r="L1796" s="35" t="b">
        <v>0</v>
      </c>
      <c r="M1796" s="35" t="b">
        <v>0</v>
      </c>
      <c r="N1796" s="35" t="b">
        <v>0</v>
      </c>
      <c r="O1796" s="35" t="b">
        <v>0</v>
      </c>
      <c r="P1796" s="35" t="b">
        <v>0</v>
      </c>
      <c r="Q1796" s="35" t="b">
        <v>0</v>
      </c>
      <c r="R1796" s="14"/>
      <c r="S1796" s="14"/>
      <c r="T1796" s="14"/>
      <c r="U1796" s="14"/>
      <c r="V1796" s="14"/>
      <c r="W1796" s="14"/>
    </row>
    <row r="1797" ht="31.5" customHeight="1">
      <c r="A1797" s="109" t="s">
        <v>16616</v>
      </c>
      <c r="B1797" s="110" t="s">
        <v>16617</v>
      </c>
      <c r="C1797" s="111" t="s">
        <v>16618</v>
      </c>
      <c r="D1797" s="28" t="s">
        <v>16619</v>
      </c>
      <c r="E1797" s="28" t="str">
        <f>IFERROR(__xludf.DUMMYFUNCTION("GOOGLETRANSLATE(D1797,""zh-CN"",""vi"")"),"Hai bên đã đạt được thỏa thuận thông qua hòa giải.")</f>
        <v>Hai bên đã đạt được thỏa thuận thông qua hòa giải.</v>
      </c>
      <c r="F1797" s="137"/>
      <c r="G1797" s="36" t="b">
        <f t="shared" si="1"/>
        <v>0</v>
      </c>
      <c r="H1797" s="35" t="b">
        <v>1</v>
      </c>
      <c r="I1797" s="35" t="b">
        <v>0</v>
      </c>
      <c r="J1797" s="35" t="b">
        <v>0</v>
      </c>
      <c r="K1797" s="35" t="b">
        <v>0</v>
      </c>
      <c r="L1797" s="35" t="b">
        <v>0</v>
      </c>
      <c r="M1797" s="35" t="b">
        <v>0</v>
      </c>
      <c r="N1797" s="35" t="b">
        <v>0</v>
      </c>
      <c r="O1797" s="35" t="b">
        <v>0</v>
      </c>
      <c r="P1797" s="35" t="b">
        <v>0</v>
      </c>
      <c r="Q1797" s="35" t="b">
        <v>0</v>
      </c>
      <c r="R1797" s="14"/>
      <c r="S1797" s="14"/>
      <c r="T1797" s="14"/>
      <c r="U1797" s="14"/>
      <c r="V1797" s="14"/>
      <c r="W1797" s="14"/>
    </row>
    <row r="1798" ht="31.5" customHeight="1">
      <c r="A1798" s="109" t="s">
        <v>16620</v>
      </c>
      <c r="B1798" s="110" t="s">
        <v>16621</v>
      </c>
      <c r="C1798" s="111" t="s">
        <v>16622</v>
      </c>
      <c r="D1798" s="28" t="s">
        <v>16623</v>
      </c>
      <c r="E1798" s="28" t="str">
        <f>IFERROR(__xludf.DUMMYFUNCTION("GOOGLETRANSLATE(D1798,""zh-CN"",""vi"")"),"Cần đọc kỹ các điều khoản của hợp đồng.")</f>
        <v>Cần đọc kỹ các điều khoản của hợp đồng.</v>
      </c>
      <c r="F1798" s="137"/>
      <c r="G1798" s="36" t="b">
        <f t="shared" si="1"/>
        <v>0</v>
      </c>
      <c r="H1798" s="35" t="b">
        <v>1</v>
      </c>
      <c r="I1798" s="35" t="b">
        <v>0</v>
      </c>
      <c r="J1798" s="35" t="b">
        <v>0</v>
      </c>
      <c r="K1798" s="35" t="b">
        <v>0</v>
      </c>
      <c r="L1798" s="35" t="b">
        <v>0</v>
      </c>
      <c r="M1798" s="35" t="b">
        <v>0</v>
      </c>
      <c r="N1798" s="35" t="b">
        <v>0</v>
      </c>
      <c r="O1798" s="35" t="b">
        <v>0</v>
      </c>
      <c r="P1798" s="35" t="b">
        <v>0</v>
      </c>
      <c r="Q1798" s="35" t="b">
        <v>0</v>
      </c>
      <c r="R1798" s="14"/>
      <c r="S1798" s="14"/>
      <c r="T1798" s="14"/>
      <c r="U1798" s="14"/>
      <c r="V1798" s="14"/>
      <c r="W1798" s="14"/>
    </row>
    <row r="1799" ht="31.5" customHeight="1">
      <c r="A1799" s="109" t="s">
        <v>16624</v>
      </c>
      <c r="B1799" s="110" t="s">
        <v>16625</v>
      </c>
      <c r="C1799" s="111" t="s">
        <v>16626</v>
      </c>
      <c r="D1799" s="28" t="s">
        <v>16627</v>
      </c>
      <c r="E1799" s="28" t="str">
        <f>IFERROR(__xludf.DUMMYFUNCTION("GOOGLETRANSLATE(D1799,""zh-CN"",""vi"")"),"Anh ấy rất ngăn nắp trong công việc.")</f>
        <v>Anh ấy rất ngăn nắp trong công việc.</v>
      </c>
      <c r="F1799" s="137"/>
      <c r="G1799" s="36" t="b">
        <f t="shared" si="1"/>
        <v>0</v>
      </c>
      <c r="H1799" s="35" t="b">
        <v>1</v>
      </c>
      <c r="I1799" s="35" t="b">
        <v>0</v>
      </c>
      <c r="J1799" s="35" t="b">
        <v>0</v>
      </c>
      <c r="K1799" s="35" t="b">
        <v>0</v>
      </c>
      <c r="L1799" s="35" t="b">
        <v>0</v>
      </c>
      <c r="M1799" s="35" t="b">
        <v>0</v>
      </c>
      <c r="N1799" s="35" t="b">
        <v>0</v>
      </c>
      <c r="O1799" s="35" t="b">
        <v>0</v>
      </c>
      <c r="P1799" s="35" t="b">
        <v>0</v>
      </c>
      <c r="Q1799" s="35" t="b">
        <v>0</v>
      </c>
      <c r="R1799" s="14"/>
      <c r="S1799" s="14"/>
      <c r="T1799" s="14"/>
      <c r="U1799" s="14"/>
      <c r="V1799" s="14"/>
      <c r="W1799" s="14"/>
    </row>
    <row r="1800" ht="31.5" customHeight="1">
      <c r="A1800" s="109" t="s">
        <v>16628</v>
      </c>
      <c r="B1800" s="110" t="s">
        <v>16629</v>
      </c>
      <c r="C1800" s="111" t="s">
        <v>16630</v>
      </c>
      <c r="D1800" s="28" t="s">
        <v>16631</v>
      </c>
      <c r="E1800" s="28" t="str">
        <f>IFERROR(__xludf.DUMMYFUNCTION("GOOGLETRANSLATE(D1800,""zh-CN"",""vi"")"),"Chúng ta cần mua một số gia vị.")</f>
        <v>Chúng ta cần mua một số gia vị.</v>
      </c>
      <c r="F1800" s="137"/>
      <c r="G1800" s="36" t="b">
        <f t="shared" si="1"/>
        <v>0</v>
      </c>
      <c r="H1800" s="35" t="b">
        <v>1</v>
      </c>
      <c r="I1800" s="35" t="b">
        <v>0</v>
      </c>
      <c r="J1800" s="35" t="b">
        <v>0</v>
      </c>
      <c r="K1800" s="35" t="b">
        <v>0</v>
      </c>
      <c r="L1800" s="35" t="b">
        <v>0</v>
      </c>
      <c r="M1800" s="35" t="b">
        <v>0</v>
      </c>
      <c r="N1800" s="35" t="b">
        <v>0</v>
      </c>
      <c r="O1800" s="35" t="b">
        <v>0</v>
      </c>
      <c r="P1800" s="35" t="b">
        <v>0</v>
      </c>
      <c r="Q1800" s="35" t="b">
        <v>0</v>
      </c>
      <c r="R1800" s="14"/>
      <c r="S1800" s="14"/>
      <c r="T1800" s="14"/>
      <c r="U1800" s="14"/>
      <c r="V1800" s="14"/>
      <c r="W1800" s="14"/>
    </row>
    <row r="1801" ht="31.5" customHeight="1">
      <c r="A1801" s="109" t="s">
        <v>16632</v>
      </c>
      <c r="B1801" s="110" t="s">
        <v>16633</v>
      </c>
      <c r="C1801" s="111" t="s">
        <v>16634</v>
      </c>
      <c r="D1801" s="28" t="s">
        <v>16635</v>
      </c>
      <c r="E1801" s="28" t="str">
        <f>IFERROR(__xludf.DUMMYFUNCTION("GOOGLETRANSLATE(D1801,""zh-CN"",""vi"")"),"Hai nước đã ký một hiệp ước hòa bình.")</f>
        <v>Hai nước đã ký một hiệp ước hòa bình.</v>
      </c>
      <c r="F1801" s="137"/>
      <c r="G1801" s="36" t="b">
        <f t="shared" si="1"/>
        <v>0</v>
      </c>
      <c r="H1801" s="35" t="b">
        <v>1</v>
      </c>
      <c r="I1801" s="35" t="b">
        <v>0</v>
      </c>
      <c r="J1801" s="35" t="b">
        <v>0</v>
      </c>
      <c r="K1801" s="35" t="b">
        <v>0</v>
      </c>
      <c r="L1801" s="35" t="b">
        <v>0</v>
      </c>
      <c r="M1801" s="35" t="b">
        <v>0</v>
      </c>
      <c r="N1801" s="35" t="b">
        <v>0</v>
      </c>
      <c r="O1801" s="35" t="b">
        <v>0</v>
      </c>
      <c r="P1801" s="35" t="b">
        <v>0</v>
      </c>
      <c r="Q1801" s="35" t="b">
        <v>0</v>
      </c>
      <c r="R1801" s="14"/>
      <c r="S1801" s="14"/>
      <c r="T1801" s="14"/>
      <c r="U1801" s="14"/>
      <c r="V1801" s="14"/>
      <c r="W1801" s="14"/>
    </row>
    <row r="1802" ht="31.5" customHeight="1">
      <c r="A1802" s="109" t="s">
        <v>16636</v>
      </c>
      <c r="B1802" s="110" t="s">
        <v>16637</v>
      </c>
      <c r="C1802" s="111" t="s">
        <v>16638</v>
      </c>
      <c r="D1802" s="28" t="s">
        <v>16639</v>
      </c>
      <c r="E1802" s="28" t="str">
        <f>IFERROR(__xludf.DUMMYFUNCTION("GOOGLETRANSLATE(D1802,""zh-CN"",""vi"")"),"Ông ta đã gieo rắc sự bất hòa sau lưng mọi người.")</f>
        <v>Ông ta đã gieo rắc sự bất hòa sau lưng mọi người.</v>
      </c>
      <c r="F1802" s="137"/>
      <c r="G1802" s="36" t="b">
        <f t="shared" si="1"/>
        <v>0</v>
      </c>
      <c r="H1802" s="35" t="b">
        <v>1</v>
      </c>
      <c r="I1802" s="35" t="b">
        <v>0</v>
      </c>
      <c r="J1802" s="35" t="b">
        <v>0</v>
      </c>
      <c r="K1802" s="35" t="b">
        <v>0</v>
      </c>
      <c r="L1802" s="35" t="b">
        <v>0</v>
      </c>
      <c r="M1802" s="35" t="b">
        <v>0</v>
      </c>
      <c r="N1802" s="35" t="b">
        <v>0</v>
      </c>
      <c r="O1802" s="35" t="b">
        <v>0</v>
      </c>
      <c r="P1802" s="35" t="b">
        <v>0</v>
      </c>
      <c r="Q1802" s="35" t="b">
        <v>0</v>
      </c>
      <c r="R1802" s="14"/>
      <c r="S1802" s="14"/>
      <c r="T1802" s="14"/>
      <c r="U1802" s="14"/>
      <c r="V1802" s="14"/>
      <c r="W1802" s="14"/>
    </row>
    <row r="1803" ht="31.5" customHeight="1">
      <c r="A1803" s="109" t="s">
        <v>16640</v>
      </c>
      <c r="B1803" s="110" t="s">
        <v>16641</v>
      </c>
      <c r="C1803" s="111" t="s">
        <v>16642</v>
      </c>
      <c r="D1803" s="28" t="s">
        <v>16643</v>
      </c>
      <c r="E1803" s="28" t="str">
        <f>IFERROR(__xludf.DUMMYFUNCTION("GOOGLETRANSLATE(D1803,""zh-CN"",""vi"")"),"Họ đang khiêu khích chúng ta ở biên giới.")</f>
        <v>Họ đang khiêu khích chúng ta ở biên giới.</v>
      </c>
      <c r="F1803" s="137"/>
      <c r="G1803" s="36" t="b">
        <f t="shared" si="1"/>
        <v>0</v>
      </c>
      <c r="H1803" s="35" t="b">
        <v>1</v>
      </c>
      <c r="I1803" s="35" t="b">
        <v>0</v>
      </c>
      <c r="J1803" s="35" t="b">
        <v>0</v>
      </c>
      <c r="K1803" s="35" t="b">
        <v>0</v>
      </c>
      <c r="L1803" s="35" t="b">
        <v>0</v>
      </c>
      <c r="M1803" s="35" t="b">
        <v>0</v>
      </c>
      <c r="N1803" s="35" t="b">
        <v>0</v>
      </c>
      <c r="O1803" s="35" t="b">
        <v>0</v>
      </c>
      <c r="P1803" s="35" t="b">
        <v>0</v>
      </c>
      <c r="Q1803" s="35" t="b">
        <v>0</v>
      </c>
      <c r="R1803" s="14"/>
      <c r="S1803" s="14"/>
      <c r="T1803" s="14"/>
      <c r="U1803" s="14"/>
      <c r="V1803" s="14"/>
      <c r="W1803" s="14"/>
    </row>
    <row r="1804" ht="31.5" customHeight="1">
      <c r="A1804" s="109" t="s">
        <v>16644</v>
      </c>
      <c r="B1804" s="110" t="s">
        <v>16645</v>
      </c>
      <c r="C1804" s="111" t="s">
        <v>16646</v>
      </c>
      <c r="D1804" s="28" t="s">
        <v>16647</v>
      </c>
      <c r="E1804" s="28" t="str">
        <f>IFERROR(__xludf.DUMMYFUNCTION("GOOGLETRANSLATE(D1804,""zh-CN"",""vi"")"),"Con nai nhảy vọt qua bãi cỏ.")</f>
        <v>Con nai nhảy vọt qua bãi cỏ.</v>
      </c>
      <c r="F1804" s="137"/>
      <c r="G1804" s="36" t="b">
        <f t="shared" si="1"/>
        <v>0</v>
      </c>
      <c r="H1804" s="35" t="b">
        <v>1</v>
      </c>
      <c r="I1804" s="35" t="b">
        <v>0</v>
      </c>
      <c r="J1804" s="35" t="b">
        <v>0</v>
      </c>
      <c r="K1804" s="35" t="b">
        <v>0</v>
      </c>
      <c r="L1804" s="35" t="b">
        <v>0</v>
      </c>
      <c r="M1804" s="35" t="b">
        <v>0</v>
      </c>
      <c r="N1804" s="35" t="b">
        <v>0</v>
      </c>
      <c r="O1804" s="35" t="b">
        <v>0</v>
      </c>
      <c r="P1804" s="35" t="b">
        <v>0</v>
      </c>
      <c r="Q1804" s="35" t="b">
        <v>0</v>
      </c>
      <c r="R1804" s="14"/>
      <c r="S1804" s="14"/>
      <c r="T1804" s="14"/>
      <c r="U1804" s="14"/>
      <c r="V1804" s="14"/>
      <c r="W1804" s="14"/>
    </row>
    <row r="1805" ht="31.5" customHeight="1">
      <c r="A1805" s="109" t="s">
        <v>16648</v>
      </c>
      <c r="B1805" s="110" t="s">
        <v>16649</v>
      </c>
      <c r="C1805" s="111" t="s">
        <v>16650</v>
      </c>
      <c r="D1805" s="28" t="s">
        <v>16651</v>
      </c>
      <c r="E1805" s="28" t="str">
        <f>IFERROR(__xludf.DUMMYFUNCTION("GOOGLETRANSLATE(D1805,""zh-CN"",""vi"")"),"Con tàu của họ đang neo đậu trong bến cảng.")</f>
        <v>Con tàu của họ đang neo đậu trong bến cảng.</v>
      </c>
      <c r="F1805" s="137"/>
      <c r="G1805" s="36" t="b">
        <f t="shared" si="1"/>
        <v>0</v>
      </c>
      <c r="H1805" s="35" t="b">
        <v>0</v>
      </c>
      <c r="I1805" s="35" t="b">
        <v>0</v>
      </c>
      <c r="J1805" s="35" t="b">
        <v>0</v>
      </c>
      <c r="K1805" s="35" t="b">
        <v>0</v>
      </c>
      <c r="L1805" s="35" t="b">
        <v>0</v>
      </c>
      <c r="M1805" s="35" t="b">
        <v>0</v>
      </c>
      <c r="N1805" s="35" t="b">
        <v>0</v>
      </c>
      <c r="O1805" s="35" t="b">
        <v>0</v>
      </c>
      <c r="P1805" s="35" t="b">
        <v>0</v>
      </c>
      <c r="Q1805" s="35" t="b">
        <v>0</v>
      </c>
      <c r="R1805" s="14"/>
      <c r="S1805" s="14"/>
      <c r="T1805" s="14"/>
      <c r="U1805" s="14"/>
      <c r="V1805" s="14"/>
      <c r="W1805" s="14"/>
    </row>
    <row r="1806" ht="31.5" customHeight="1">
      <c r="A1806" s="109" t="s">
        <v>16652</v>
      </c>
      <c r="B1806" s="110" t="s">
        <v>16653</v>
      </c>
      <c r="C1806" s="111" t="s">
        <v>16654</v>
      </c>
      <c r="D1806" s="28" t="s">
        <v>16655</v>
      </c>
      <c r="E1806" s="28" t="str">
        <f>IFERROR(__xludf.DUMMYFUNCTION("GOOGLETRANSLATE(D1806,""zh-CN"",""vi"")"),"Ông ấy đã tạm dừng vài lần trong bài phát biểu của mình.")</f>
        <v>Ông ấy đã tạm dừng vài lần trong bài phát biểu của mình.</v>
      </c>
      <c r="F1806" s="137"/>
      <c r="G1806" s="36" t="b">
        <f t="shared" si="1"/>
        <v>0</v>
      </c>
      <c r="H1806" s="35" t="b">
        <v>0</v>
      </c>
      <c r="I1806" s="35" t="b">
        <v>0</v>
      </c>
      <c r="J1806" s="35" t="b">
        <v>0</v>
      </c>
      <c r="K1806" s="35" t="b">
        <v>0</v>
      </c>
      <c r="L1806" s="35" t="b">
        <v>0</v>
      </c>
      <c r="M1806" s="35" t="b">
        <v>0</v>
      </c>
      <c r="N1806" s="35" t="b">
        <v>0</v>
      </c>
      <c r="O1806" s="35" t="b">
        <v>0</v>
      </c>
      <c r="P1806" s="35" t="b">
        <v>0</v>
      </c>
      <c r="Q1806" s="35" t="b">
        <v>0</v>
      </c>
      <c r="R1806" s="14"/>
      <c r="S1806" s="14"/>
      <c r="T1806" s="14"/>
      <c r="U1806" s="14"/>
      <c r="V1806" s="14"/>
      <c r="W1806" s="14"/>
    </row>
    <row r="1807" ht="31.5" customHeight="1">
      <c r="A1807" s="109" t="s">
        <v>16656</v>
      </c>
      <c r="B1807" s="110" t="s">
        <v>16657</v>
      </c>
      <c r="C1807" s="111" t="s">
        <v>16658</v>
      </c>
      <c r="D1807" s="28" t="s">
        <v>16659</v>
      </c>
      <c r="E1807" s="28" t="str">
        <f>IFERROR(__xludf.DUMMYFUNCTION("GOOGLETRANSLATE(D1807,""zh-CN"",""vi"")"),"Sản xuất đã bị đình trệ.")</f>
        <v>Sản xuất đã bị đình trệ.</v>
      </c>
      <c r="F1807" s="137"/>
      <c r="G1807" s="36" t="b">
        <f t="shared" si="1"/>
        <v>0</v>
      </c>
      <c r="H1807" s="35" t="b">
        <v>0</v>
      </c>
      <c r="I1807" s="35" t="b">
        <v>0</v>
      </c>
      <c r="J1807" s="35" t="b">
        <v>0</v>
      </c>
      <c r="K1807" s="35" t="b">
        <v>0</v>
      </c>
      <c r="L1807" s="35" t="b">
        <v>0</v>
      </c>
      <c r="M1807" s="35" t="b">
        <v>0</v>
      </c>
      <c r="N1807" s="35" t="b">
        <v>0</v>
      </c>
      <c r="O1807" s="35" t="b">
        <v>0</v>
      </c>
      <c r="P1807" s="35" t="b">
        <v>0</v>
      </c>
      <c r="Q1807" s="35" t="b">
        <v>0</v>
      </c>
      <c r="R1807" s="14"/>
      <c r="S1807" s="14"/>
      <c r="T1807" s="14"/>
      <c r="U1807" s="14"/>
      <c r="V1807" s="14"/>
      <c r="W1807" s="14"/>
    </row>
    <row r="1808" ht="31.5" customHeight="1">
      <c r="A1808" s="109" t="s">
        <v>16660</v>
      </c>
      <c r="B1808" s="110" t="s">
        <v>16661</v>
      </c>
      <c r="C1808" s="111" t="s">
        <v>16662</v>
      </c>
      <c r="D1808" s="28" t="s">
        <v>16663</v>
      </c>
      <c r="E1808" s="28" t="str">
        <f>IFERROR(__xludf.DUMMYFUNCTION("GOOGLETRANSLATE(D1808,""zh-CN"",""vi"")"),"Chúng tôi nhìn thấy một gian亭 trong công viên.")</f>
        <v>Chúng tôi nhìn thấy một gian亭 trong công viên.</v>
      </c>
      <c r="F1808" s="137"/>
      <c r="G1808" s="36" t="b">
        <f t="shared" si="1"/>
        <v>0</v>
      </c>
      <c r="H1808" s="35" t="b">
        <v>0</v>
      </c>
      <c r="I1808" s="35" t="b">
        <v>0</v>
      </c>
      <c r="J1808" s="35" t="b">
        <v>0</v>
      </c>
      <c r="K1808" s="35" t="b">
        <v>0</v>
      </c>
      <c r="L1808" s="35" t="b">
        <v>0</v>
      </c>
      <c r="M1808" s="35" t="b">
        <v>0</v>
      </c>
      <c r="N1808" s="35" t="b">
        <v>0</v>
      </c>
      <c r="O1808" s="35" t="b">
        <v>0</v>
      </c>
      <c r="P1808" s="35" t="b">
        <v>0</v>
      </c>
      <c r="Q1808" s="35" t="b">
        <v>0</v>
      </c>
      <c r="R1808" s="14"/>
      <c r="S1808" s="14"/>
      <c r="T1808" s="14"/>
      <c r="U1808" s="14"/>
      <c r="V1808" s="14"/>
      <c r="W1808" s="14"/>
    </row>
    <row r="1809" ht="31.5" customHeight="1">
      <c r="A1809" s="109" t="s">
        <v>16664</v>
      </c>
      <c r="B1809" s="110" t="s">
        <v>16665</v>
      </c>
      <c r="C1809" s="111" t="s">
        <v>16666</v>
      </c>
      <c r="D1809" s="28" t="s">
        <v>16667</v>
      </c>
      <c r="E1809" s="28" t="str">
        <f>IFERROR(__xludf.DUMMYFUNCTION("GOOGLETRANSLATE(D1809,""zh-CN"",""vi"")"),"Ông ấy cao lớn và có một khí chất đặc biệt.")</f>
        <v>Ông ấy cao lớn và có một khí chất đặc biệt.</v>
      </c>
      <c r="F1809" s="137"/>
      <c r="G1809" s="36" t="b">
        <f t="shared" si="1"/>
        <v>0</v>
      </c>
      <c r="H1809" s="35" t="b">
        <v>0</v>
      </c>
      <c r="I1809" s="35" t="b">
        <v>0</v>
      </c>
      <c r="J1809" s="35" t="b">
        <v>0</v>
      </c>
      <c r="K1809" s="35" t="b">
        <v>0</v>
      </c>
      <c r="L1809" s="35" t="b">
        <v>0</v>
      </c>
      <c r="M1809" s="35" t="b">
        <v>0</v>
      </c>
      <c r="N1809" s="35" t="b">
        <v>0</v>
      </c>
      <c r="O1809" s="35" t="b">
        <v>0</v>
      </c>
      <c r="P1809" s="35" t="b">
        <v>0</v>
      </c>
      <c r="Q1809" s="35" t="b">
        <v>0</v>
      </c>
      <c r="R1809" s="14"/>
      <c r="S1809" s="14"/>
      <c r="T1809" s="14"/>
      <c r="U1809" s="14"/>
      <c r="V1809" s="14"/>
      <c r="W1809" s="14"/>
    </row>
    <row r="1810" ht="31.5" customHeight="1">
      <c r="A1810" s="109" t="s">
        <v>16668</v>
      </c>
      <c r="B1810" s="110" t="s">
        <v>16669</v>
      </c>
      <c r="C1810" s="111" t="s">
        <v>16670</v>
      </c>
      <c r="D1810" s="28" t="s">
        <v>16671</v>
      </c>
      <c r="E1810" s="28" t="str">
        <f>IFERROR(__xludf.DUMMYFUNCTION("GOOGLETRANSLATE(D1810,""zh-CN"",""vi"")"),"Lạm phát khiến giá cả tăng cao.")</f>
        <v>Lạm phát khiến giá cả tăng cao.</v>
      </c>
      <c r="F1810" s="137"/>
      <c r="G1810" s="36" t="b">
        <f t="shared" si="1"/>
        <v>0</v>
      </c>
      <c r="H1810" s="35" t="b">
        <v>0</v>
      </c>
      <c r="I1810" s="35" t="b">
        <v>0</v>
      </c>
      <c r="J1810" s="35" t="b">
        <v>0</v>
      </c>
      <c r="K1810" s="35" t="b">
        <v>0</v>
      </c>
      <c r="L1810" s="35" t="b">
        <v>0</v>
      </c>
      <c r="M1810" s="35" t="b">
        <v>0</v>
      </c>
      <c r="N1810" s="35" t="b">
        <v>0</v>
      </c>
      <c r="O1810" s="35" t="b">
        <v>0</v>
      </c>
      <c r="P1810" s="35" t="b">
        <v>0</v>
      </c>
      <c r="Q1810" s="35" t="b">
        <v>0</v>
      </c>
      <c r="R1810" s="14"/>
      <c r="S1810" s="14"/>
      <c r="T1810" s="14"/>
      <c r="U1810" s="14"/>
      <c r="V1810" s="14"/>
      <c r="W1810" s="14"/>
    </row>
    <row r="1811" ht="31.5" customHeight="1">
      <c r="A1811" s="109" t="s">
        <v>16672</v>
      </c>
      <c r="B1811" s="110" t="s">
        <v>16673</v>
      </c>
      <c r="C1811" s="111" t="s">
        <v>16674</v>
      </c>
      <c r="D1811" s="28" t="s">
        <v>16675</v>
      </c>
      <c r="E1811" s="28" t="str">
        <f>IFERROR(__xludf.DUMMYFUNCTION("GOOGLETRANSLATE(D1811,""zh-CN"",""vi"")"),"Cuốn sách này được viết bằng ngôn ngữ đơn giản và dễ hiểu.")</f>
        <v>Cuốn sách này được viết bằng ngôn ngữ đơn giản và dễ hiểu.</v>
      </c>
      <c r="F1811" s="137"/>
      <c r="G1811" s="36" t="b">
        <f t="shared" si="1"/>
        <v>0</v>
      </c>
      <c r="H1811" s="35" t="b">
        <v>0</v>
      </c>
      <c r="I1811" s="35" t="b">
        <v>0</v>
      </c>
      <c r="J1811" s="35" t="b">
        <v>0</v>
      </c>
      <c r="K1811" s="35" t="b">
        <v>0</v>
      </c>
      <c r="L1811" s="35" t="b">
        <v>0</v>
      </c>
      <c r="M1811" s="35" t="b">
        <v>0</v>
      </c>
      <c r="N1811" s="35" t="b">
        <v>0</v>
      </c>
      <c r="O1811" s="35" t="b">
        <v>0</v>
      </c>
      <c r="P1811" s="35" t="b">
        <v>0</v>
      </c>
      <c r="Q1811" s="35" t="b">
        <v>0</v>
      </c>
      <c r="R1811" s="14"/>
      <c r="S1811" s="14"/>
      <c r="T1811" s="14"/>
      <c r="U1811" s="14"/>
      <c r="V1811" s="14"/>
      <c r="W1811" s="14"/>
    </row>
    <row r="1812" ht="31.5" customHeight="1">
      <c r="A1812" s="109" t="s">
        <v>16676</v>
      </c>
      <c r="B1812" s="110" t="s">
        <v>16677</v>
      </c>
      <c r="C1812" s="111" t="s">
        <v>16678</v>
      </c>
      <c r="D1812" s="28" t="s">
        <v>16679</v>
      </c>
      <c r="E1812" s="28" t="str">
        <f>IFERROR(__xludf.DUMMYFUNCTION("GOOGLETRANSLATE(D1812,""zh-CN"",""vi"")"),"Tiếng Anh là ngôn ngữ toàn cầu.")</f>
        <v>Tiếng Anh là ngôn ngữ toàn cầu.</v>
      </c>
      <c r="F1812" s="137"/>
      <c r="G1812" s="36" t="b">
        <f t="shared" si="1"/>
        <v>0</v>
      </c>
      <c r="H1812" s="35" t="b">
        <v>0</v>
      </c>
      <c r="I1812" s="35" t="b">
        <v>0</v>
      </c>
      <c r="J1812" s="35" t="b">
        <v>0</v>
      </c>
      <c r="K1812" s="35" t="b">
        <v>0</v>
      </c>
      <c r="L1812" s="35" t="b">
        <v>0</v>
      </c>
      <c r="M1812" s="35" t="b">
        <v>0</v>
      </c>
      <c r="N1812" s="35" t="b">
        <v>0</v>
      </c>
      <c r="O1812" s="35" t="b">
        <v>0</v>
      </c>
      <c r="P1812" s="35" t="b">
        <v>0</v>
      </c>
      <c r="Q1812" s="35" t="b">
        <v>0</v>
      </c>
      <c r="R1812" s="14"/>
      <c r="S1812" s="14"/>
      <c r="T1812" s="14"/>
      <c r="U1812" s="14"/>
      <c r="V1812" s="14"/>
      <c r="W1812" s="14"/>
    </row>
    <row r="1813" ht="31.5" customHeight="1">
      <c r="A1813" s="109" t="s">
        <v>16680</v>
      </c>
      <c r="B1813" s="110" t="s">
        <v>16681</v>
      </c>
      <c r="C1813" s="111" t="s">
        <v>16682</v>
      </c>
      <c r="D1813" s="28" t="s">
        <v>16683</v>
      </c>
      <c r="E1813" s="28" t="str">
        <f>IFERROR(__xludf.DUMMYFUNCTION("GOOGLETRANSLATE(D1813,""zh-CN"",""vi"")"),"Họ là anh em ruột thịt.")</f>
        <v>Họ là anh em ruột thịt.</v>
      </c>
      <c r="F1813" s="137"/>
      <c r="G1813" s="36" t="b">
        <f t="shared" si="1"/>
        <v>0</v>
      </c>
      <c r="H1813" s="35" t="b">
        <v>0</v>
      </c>
      <c r="I1813" s="35" t="b">
        <v>0</v>
      </c>
      <c r="J1813" s="35" t="b">
        <v>0</v>
      </c>
      <c r="K1813" s="35" t="b">
        <v>0</v>
      </c>
      <c r="L1813" s="35" t="b">
        <v>0</v>
      </c>
      <c r="M1813" s="35" t="b">
        <v>0</v>
      </c>
      <c r="N1813" s="35" t="b">
        <v>0</v>
      </c>
      <c r="O1813" s="35" t="b">
        <v>0</v>
      </c>
      <c r="P1813" s="35" t="b">
        <v>0</v>
      </c>
      <c r="Q1813" s="35" t="b">
        <v>0</v>
      </c>
      <c r="R1813" s="14"/>
      <c r="S1813" s="14"/>
      <c r="T1813" s="14"/>
      <c r="U1813" s="14"/>
      <c r="V1813" s="14"/>
      <c r="W1813" s="14"/>
    </row>
    <row r="1814" ht="31.5" customHeight="1">
      <c r="A1814" s="109" t="s">
        <v>16684</v>
      </c>
      <c r="B1814" s="110" t="s">
        <v>16685</v>
      </c>
      <c r="C1814" s="111" t="s">
        <v>16686</v>
      </c>
      <c r="D1814" s="28" t="s">
        <v>16687</v>
      </c>
      <c r="E1814" s="28" t="str">
        <f>IFERROR(__xludf.DUMMYFUNCTION("GOOGLETRANSLATE(D1814,""zh-CN"",""vi"")"),"Truyện cổ tích đầy ắp những điều kỳ ảo.")</f>
        <v>Truyện cổ tích đầy ắp những điều kỳ ảo.</v>
      </c>
      <c r="F1814" s="137"/>
      <c r="G1814" s="36" t="b">
        <f t="shared" si="1"/>
        <v>0</v>
      </c>
      <c r="H1814" s="35" t="b">
        <v>0</v>
      </c>
      <c r="I1814" s="35" t="b">
        <v>0</v>
      </c>
      <c r="J1814" s="35" t="b">
        <v>0</v>
      </c>
      <c r="K1814" s="35" t="b">
        <v>0</v>
      </c>
      <c r="L1814" s="35" t="b">
        <v>0</v>
      </c>
      <c r="M1814" s="35" t="b">
        <v>0</v>
      </c>
      <c r="N1814" s="35" t="b">
        <v>0</v>
      </c>
      <c r="O1814" s="35" t="b">
        <v>0</v>
      </c>
      <c r="P1814" s="35" t="b">
        <v>0</v>
      </c>
      <c r="Q1814" s="35" t="b">
        <v>0</v>
      </c>
      <c r="R1814" s="14"/>
      <c r="S1814" s="14"/>
      <c r="T1814" s="14"/>
      <c r="U1814" s="14"/>
      <c r="V1814" s="14"/>
      <c r="W1814" s="14"/>
    </row>
    <row r="1815" ht="31.5" customHeight="1">
      <c r="A1815" s="109" t="s">
        <v>16688</v>
      </c>
      <c r="B1815" s="110" t="s">
        <v>16689</v>
      </c>
      <c r="C1815" s="111" t="s">
        <v>16690</v>
      </c>
      <c r="D1815" s="28" t="s">
        <v>16691</v>
      </c>
      <c r="E1815" s="28" t="str">
        <f>IFERROR(__xludf.DUMMYFUNCTION("GOOGLETRANSLATE(D1815,""zh-CN"",""vi"")"),"Ngọn núi này có nguồn tài nguyên đồng dồi dào.")</f>
        <v>Ngọn núi này có nguồn tài nguyên đồng dồi dào.</v>
      </c>
      <c r="F1815" s="137"/>
      <c r="G1815" s="36" t="b">
        <f t="shared" si="1"/>
        <v>0</v>
      </c>
      <c r="H1815" s="35" t="b">
        <v>0</v>
      </c>
      <c r="I1815" s="35" t="b">
        <v>0</v>
      </c>
      <c r="J1815" s="35" t="b">
        <v>0</v>
      </c>
      <c r="K1815" s="35" t="b">
        <v>0</v>
      </c>
      <c r="L1815" s="35" t="b">
        <v>0</v>
      </c>
      <c r="M1815" s="35" t="b">
        <v>0</v>
      </c>
      <c r="N1815" s="35" t="b">
        <v>0</v>
      </c>
      <c r="O1815" s="35" t="b">
        <v>0</v>
      </c>
      <c r="P1815" s="35" t="b">
        <v>0</v>
      </c>
      <c r="Q1815" s="35" t="b">
        <v>0</v>
      </c>
      <c r="R1815" s="14"/>
      <c r="S1815" s="14"/>
      <c r="T1815" s="14"/>
      <c r="U1815" s="14"/>
      <c r="V1815" s="14"/>
      <c r="W1815" s="14"/>
    </row>
    <row r="1816" ht="31.5" customHeight="1">
      <c r="A1816" s="109" t="s">
        <v>16692</v>
      </c>
      <c r="B1816" s="110" t="s">
        <v>16693</v>
      </c>
      <c r="C1816" s="111" t="s">
        <v>16694</v>
      </c>
      <c r="D1816" s="28" t="s">
        <v>16695</v>
      </c>
      <c r="E1816" s="28" t="str">
        <f>IFERROR(__xludf.DUMMYFUNCTION("GOOGLETRANSLATE(D1816,""zh-CN"",""vi"")"),"Anh ấy là một người đồng chí tốt bụng.")</f>
        <v>Anh ấy là một người đồng chí tốt bụng.</v>
      </c>
      <c r="F1816" s="137"/>
      <c r="G1816" s="36" t="b">
        <f t="shared" si="1"/>
        <v>0</v>
      </c>
      <c r="H1816" s="35" t="b">
        <v>0</v>
      </c>
      <c r="I1816" s="35" t="b">
        <v>0</v>
      </c>
      <c r="J1816" s="35" t="b">
        <v>0</v>
      </c>
      <c r="K1816" s="35" t="b">
        <v>0</v>
      </c>
      <c r="L1816" s="35" t="b">
        <v>0</v>
      </c>
      <c r="M1816" s="35" t="b">
        <v>0</v>
      </c>
      <c r="N1816" s="35" t="b">
        <v>0</v>
      </c>
      <c r="O1816" s="35" t="b">
        <v>0</v>
      </c>
      <c r="P1816" s="35" t="b">
        <v>0</v>
      </c>
      <c r="Q1816" s="35" t="b">
        <v>0</v>
      </c>
      <c r="R1816" s="14"/>
      <c r="S1816" s="14"/>
      <c r="T1816" s="14"/>
      <c r="U1816" s="14"/>
      <c r="V1816" s="14"/>
      <c r="W1816" s="14"/>
    </row>
    <row r="1817" ht="31.5" customHeight="1">
      <c r="A1817" s="109" t="s">
        <v>16696</v>
      </c>
      <c r="B1817" s="110" t="s">
        <v>16697</v>
      </c>
      <c r="C1817" s="111" t="s">
        <v>16698</v>
      </c>
      <c r="D1817" s="28" t="s">
        <v>16699</v>
      </c>
      <c r="E1817" s="28" t="str">
        <f>IFERROR(__xludf.DUMMYFUNCTION("GOOGLETRANSLATE(D1817,""zh-CN"",""vi"")"),"Chúng ta phải có cách tiếp cận toàn diện và theo đuổi sự phát triển tổng thể.")</f>
        <v>Chúng ta phải có cách tiếp cận toàn diện và theo đuổi sự phát triển tổng thể.</v>
      </c>
      <c r="F1817" s="137"/>
      <c r="G1817" s="36" t="b">
        <f t="shared" si="1"/>
        <v>0</v>
      </c>
      <c r="H1817" s="35" t="b">
        <v>0</v>
      </c>
      <c r="I1817" s="35" t="b">
        <v>0</v>
      </c>
      <c r="J1817" s="35" t="b">
        <v>0</v>
      </c>
      <c r="K1817" s="35" t="b">
        <v>0</v>
      </c>
      <c r="L1817" s="35" t="b">
        <v>0</v>
      </c>
      <c r="M1817" s="35" t="b">
        <v>0</v>
      </c>
      <c r="N1817" s="35" t="b">
        <v>0</v>
      </c>
      <c r="O1817" s="35" t="b">
        <v>0</v>
      </c>
      <c r="P1817" s="35" t="b">
        <v>0</v>
      </c>
      <c r="Q1817" s="35" t="b">
        <v>0</v>
      </c>
      <c r="R1817" s="14"/>
      <c r="S1817" s="14"/>
      <c r="T1817" s="14"/>
      <c r="U1817" s="14"/>
      <c r="V1817" s="14"/>
      <c r="W1817" s="14"/>
    </row>
    <row r="1818" ht="31.5" customHeight="1">
      <c r="A1818" s="109" t="s">
        <v>16700</v>
      </c>
      <c r="B1818" s="110" t="s">
        <v>16701</v>
      </c>
      <c r="C1818" s="111" t="s">
        <v>16702</v>
      </c>
      <c r="D1818" s="28" t="s">
        <v>16703</v>
      </c>
      <c r="E1818" s="28" t="str">
        <f>IFERROR(__xludf.DUMMYFUNCTION("GOOGLETRANSLATE(D1818,""zh-CN"",""vi"")"),"Số liệu thống kê cho thấy nền kinh tế đang tăng trưởng.")</f>
        <v>Số liệu thống kê cho thấy nền kinh tế đang tăng trưởng.</v>
      </c>
      <c r="F1818" s="137"/>
      <c r="G1818" s="36" t="b">
        <f t="shared" si="1"/>
        <v>0</v>
      </c>
      <c r="H1818" s="35" t="b">
        <v>0</v>
      </c>
      <c r="I1818" s="35" t="b">
        <v>0</v>
      </c>
      <c r="J1818" s="35" t="b">
        <v>0</v>
      </c>
      <c r="K1818" s="35" t="b">
        <v>0</v>
      </c>
      <c r="L1818" s="35" t="b">
        <v>0</v>
      </c>
      <c r="M1818" s="35" t="b">
        <v>0</v>
      </c>
      <c r="N1818" s="35" t="b">
        <v>0</v>
      </c>
      <c r="O1818" s="35" t="b">
        <v>0</v>
      </c>
      <c r="P1818" s="35" t="b">
        <v>0</v>
      </c>
      <c r="Q1818" s="35" t="b">
        <v>0</v>
      </c>
      <c r="R1818" s="14"/>
      <c r="S1818" s="14"/>
      <c r="T1818" s="14"/>
      <c r="U1818" s="14"/>
      <c r="V1818" s="14"/>
      <c r="W1818" s="14"/>
    </row>
    <row r="1819" ht="31.5" customHeight="1">
      <c r="A1819" s="109" t="s">
        <v>16704</v>
      </c>
      <c r="B1819" s="110" t="s">
        <v>16705</v>
      </c>
      <c r="C1819" s="111" t="s">
        <v>16706</v>
      </c>
      <c r="D1819" s="28" t="s">
        <v>16707</v>
      </c>
      <c r="E1819" s="28" t="str">
        <f>IFERROR(__xludf.DUMMYFUNCTION("GOOGLETRANSLATE(D1819,""zh-CN"",""vi"")"),"Tôi đã giải quyết tất cả những vấn đề này.")</f>
        <v>Tôi đã giải quyết tất cả những vấn đề này.</v>
      </c>
      <c r="F1819" s="137"/>
      <c r="G1819" s="36" t="b">
        <f t="shared" si="1"/>
        <v>0</v>
      </c>
      <c r="H1819" s="35" t="b">
        <v>0</v>
      </c>
      <c r="I1819" s="35" t="b">
        <v>0</v>
      </c>
      <c r="J1819" s="35" t="b">
        <v>0</v>
      </c>
      <c r="K1819" s="35" t="b">
        <v>0</v>
      </c>
      <c r="L1819" s="35" t="b">
        <v>0</v>
      </c>
      <c r="M1819" s="35" t="b">
        <v>0</v>
      </c>
      <c r="N1819" s="35" t="b">
        <v>0</v>
      </c>
      <c r="O1819" s="35" t="b">
        <v>0</v>
      </c>
      <c r="P1819" s="35" t="b">
        <v>0</v>
      </c>
      <c r="Q1819" s="35" t="b">
        <v>0</v>
      </c>
      <c r="R1819" s="14"/>
      <c r="S1819" s="14"/>
      <c r="T1819" s="14"/>
      <c r="U1819" s="14"/>
      <c r="V1819" s="14"/>
      <c r="W1819" s="14"/>
    </row>
    <row r="1820" ht="31.5" customHeight="1">
      <c r="A1820" s="124" t="s">
        <v>16708</v>
      </c>
      <c r="B1820" s="125" t="s">
        <v>16709</v>
      </c>
      <c r="C1820" s="126" t="s">
        <v>16710</v>
      </c>
      <c r="D1820" s="127" t="s">
        <v>16711</v>
      </c>
      <c r="E1820" s="28" t="str">
        <f>IFERROR(__xludf.DUMMYFUNCTION("GOOGLETRANSLATE(D1820,""zh-CN"",""vi"")"),"Ông ta kiếm được rất nhiều tiền nhờ đầu cơ trên thị trường chứng khoán.")</f>
        <v>Ông ta kiếm được rất nhiều tiền nhờ đầu cơ trên thị trường chứng khoán.</v>
      </c>
      <c r="F1820" s="137"/>
      <c r="G1820" s="36" t="b">
        <f t="shared" si="1"/>
        <v>0</v>
      </c>
      <c r="H1820" s="35" t="b">
        <v>0</v>
      </c>
      <c r="I1820" s="35" t="b">
        <v>0</v>
      </c>
      <c r="J1820" s="35" t="b">
        <v>0</v>
      </c>
      <c r="K1820" s="35" t="b">
        <v>0</v>
      </c>
      <c r="L1820" s="35" t="b">
        <v>0</v>
      </c>
      <c r="M1820" s="35" t="b">
        <v>0</v>
      </c>
      <c r="N1820" s="35" t="b">
        <v>0</v>
      </c>
      <c r="O1820" s="35" t="b">
        <v>0</v>
      </c>
      <c r="P1820" s="35" t="b">
        <v>0</v>
      </c>
      <c r="Q1820" s="35" t="b">
        <v>0</v>
      </c>
      <c r="R1820" s="130"/>
      <c r="S1820" s="130"/>
      <c r="T1820" s="130"/>
      <c r="U1820" s="130"/>
      <c r="V1820" s="130"/>
      <c r="W1820" s="130"/>
    </row>
    <row r="1821" ht="31.5" customHeight="1">
      <c r="A1821" s="109" t="s">
        <v>16712</v>
      </c>
      <c r="B1821" s="110" t="s">
        <v>16713</v>
      </c>
      <c r="C1821" s="111" t="s">
        <v>16714</v>
      </c>
      <c r="D1821" s="28" t="s">
        <v>16715</v>
      </c>
      <c r="E1821" s="28" t="str">
        <f>IFERROR(__xludf.DUMMYFUNCTION("GOOGLETRANSLATE(D1821,""zh-CN"",""vi"")"),"Ông ấy đã bỏ phiếu ủng hộ đề xuất đó.")</f>
        <v>Ông ấy đã bỏ phiếu ủng hộ đề xuất đó.</v>
      </c>
      <c r="F1821" s="137"/>
      <c r="G1821" s="36" t="b">
        <f t="shared" si="1"/>
        <v>0</v>
      </c>
      <c r="H1821" s="35" t="b">
        <v>0</v>
      </c>
      <c r="I1821" s="35" t="b">
        <v>0</v>
      </c>
      <c r="J1821" s="35" t="b">
        <v>0</v>
      </c>
      <c r="K1821" s="35" t="b">
        <v>0</v>
      </c>
      <c r="L1821" s="35" t="b">
        <v>0</v>
      </c>
      <c r="M1821" s="35" t="b">
        <v>0</v>
      </c>
      <c r="N1821" s="35" t="b">
        <v>0</v>
      </c>
      <c r="O1821" s="35" t="b">
        <v>0</v>
      </c>
      <c r="P1821" s="35" t="b">
        <v>0</v>
      </c>
      <c r="Q1821" s="35" t="b">
        <v>0</v>
      </c>
      <c r="R1821" s="14"/>
      <c r="S1821" s="14"/>
      <c r="T1821" s="14"/>
      <c r="U1821" s="14"/>
      <c r="V1821" s="14"/>
      <c r="W1821" s="14"/>
    </row>
    <row r="1822" ht="31.5" customHeight="1">
      <c r="A1822" s="109" t="s">
        <v>16716</v>
      </c>
      <c r="B1822" s="110" t="s">
        <v>16717</v>
      </c>
      <c r="C1822" s="111" t="s">
        <v>16718</v>
      </c>
      <c r="D1822" s="28" t="s">
        <v>16719</v>
      </c>
      <c r="E1822" s="28" t="str">
        <f>IFERROR(__xludf.DUMMYFUNCTION("GOOGLETRANSLATE(D1822,""zh-CN"",""vi"")"),"Sau khi chiến tranh kết thúc, họ buộc phải đầu hàng.")</f>
        <v>Sau khi chiến tranh kết thúc, họ buộc phải đầu hàng.</v>
      </c>
      <c r="F1822" s="137"/>
      <c r="G1822" s="36" t="b">
        <f t="shared" si="1"/>
        <v>0</v>
      </c>
      <c r="H1822" s="35" t="b">
        <v>0</v>
      </c>
      <c r="I1822" s="35" t="b">
        <v>0</v>
      </c>
      <c r="J1822" s="35" t="b">
        <v>0</v>
      </c>
      <c r="K1822" s="35" t="b">
        <v>0</v>
      </c>
      <c r="L1822" s="35" t="b">
        <v>0</v>
      </c>
      <c r="M1822" s="35" t="b">
        <v>0</v>
      </c>
      <c r="N1822" s="35" t="b">
        <v>0</v>
      </c>
      <c r="O1822" s="35" t="b">
        <v>0</v>
      </c>
      <c r="P1822" s="35" t="b">
        <v>0</v>
      </c>
      <c r="Q1822" s="35" t="b">
        <v>0</v>
      </c>
      <c r="R1822" s="14"/>
      <c r="S1822" s="14"/>
      <c r="T1822" s="14"/>
      <c r="U1822" s="14"/>
      <c r="V1822" s="14"/>
      <c r="W1822" s="14"/>
    </row>
    <row r="1823" ht="31.5" customHeight="1">
      <c r="A1823" s="109" t="s">
        <v>16720</v>
      </c>
      <c r="B1823" s="110" t="s">
        <v>16721</v>
      </c>
      <c r="C1823" s="111" t="s">
        <v>16722</v>
      </c>
      <c r="D1823" s="28" t="s">
        <v>16723</v>
      </c>
      <c r="E1823" s="28" t="str">
        <f>IFERROR(__xludf.DUMMYFUNCTION("GOOGLETRANSLATE(D1823,""zh-CN"",""vi"")"),"Anh ta ném hòn đá với toàn bộ sức lực.")</f>
        <v>Anh ta ném hòn đá với toàn bộ sức lực.</v>
      </c>
      <c r="F1823" s="137"/>
      <c r="G1823" s="36" t="b">
        <f t="shared" si="1"/>
        <v>0</v>
      </c>
      <c r="H1823" s="35" t="b">
        <v>0</v>
      </c>
      <c r="I1823" s="35" t="b">
        <v>0</v>
      </c>
      <c r="J1823" s="35" t="b">
        <v>0</v>
      </c>
      <c r="K1823" s="35" t="b">
        <v>0</v>
      </c>
      <c r="L1823" s="35" t="b">
        <v>0</v>
      </c>
      <c r="M1823" s="35" t="b">
        <v>0</v>
      </c>
      <c r="N1823" s="35" t="b">
        <v>0</v>
      </c>
      <c r="O1823" s="35" t="b">
        <v>0</v>
      </c>
      <c r="P1823" s="35" t="b">
        <v>0</v>
      </c>
      <c r="Q1823" s="35" t="b">
        <v>0</v>
      </c>
      <c r="R1823" s="14"/>
      <c r="S1823" s="14"/>
      <c r="T1823" s="14"/>
      <c r="U1823" s="14"/>
      <c r="V1823" s="14"/>
      <c r="W1823" s="14"/>
    </row>
    <row r="1824" ht="31.5" customHeight="1">
      <c r="A1824" s="109" t="s">
        <v>16724</v>
      </c>
      <c r="B1824" s="110" t="s">
        <v>16725</v>
      </c>
      <c r="C1824" s="111" t="s">
        <v>16726</v>
      </c>
      <c r="D1824" s="28" t="s">
        <v>16727</v>
      </c>
      <c r="E1824" s="28" t="str">
        <f>IFERROR(__xludf.DUMMYFUNCTION("GOOGLETRANSLATE(D1824,""zh-CN"",""vi"")"),"Tóc anh ấy bắt đầu rụng.")</f>
        <v>Tóc anh ấy bắt đầu rụng.</v>
      </c>
      <c r="F1824" s="137"/>
      <c r="G1824" s="36" t="b">
        <f t="shared" si="1"/>
        <v>0</v>
      </c>
      <c r="H1824" s="35" t="b">
        <v>0</v>
      </c>
      <c r="I1824" s="35" t="b">
        <v>0</v>
      </c>
      <c r="J1824" s="35" t="b">
        <v>0</v>
      </c>
      <c r="K1824" s="35" t="b">
        <v>0</v>
      </c>
      <c r="L1824" s="35" t="b">
        <v>0</v>
      </c>
      <c r="M1824" s="35" t="b">
        <v>0</v>
      </c>
      <c r="N1824" s="35" t="b">
        <v>0</v>
      </c>
      <c r="O1824" s="35" t="b">
        <v>0</v>
      </c>
      <c r="P1824" s="35" t="b">
        <v>0</v>
      </c>
      <c r="Q1824" s="35" t="b">
        <v>0</v>
      </c>
      <c r="R1824" s="14"/>
      <c r="S1824" s="14"/>
      <c r="T1824" s="14"/>
      <c r="U1824" s="14"/>
      <c r="V1824" s="14"/>
      <c r="W1824" s="14"/>
    </row>
    <row r="1825" ht="31.5" customHeight="1">
      <c r="A1825" s="109" t="s">
        <v>16728</v>
      </c>
      <c r="B1825" s="110" t="s">
        <v>16729</v>
      </c>
      <c r="C1825" s="111" t="s">
        <v>16730</v>
      </c>
      <c r="D1825" s="28" t="s">
        <v>16731</v>
      </c>
      <c r="E1825" s="28" t="str">
        <f>IFERROR(__xludf.DUMMYFUNCTION("GOOGLETRANSLATE(D1825,""zh-CN"",""vi"")"),"Chúng ta cần vượt qua nút thắt cổ chai này.")</f>
        <v>Chúng ta cần vượt qua nút thắt cổ chai này.</v>
      </c>
      <c r="F1825" s="137"/>
      <c r="G1825" s="36" t="b">
        <f t="shared" si="1"/>
        <v>0</v>
      </c>
      <c r="H1825" s="35" t="b">
        <v>0</v>
      </c>
      <c r="I1825" s="35" t="b">
        <v>0</v>
      </c>
      <c r="J1825" s="35" t="b">
        <v>0</v>
      </c>
      <c r="K1825" s="35" t="b">
        <v>0</v>
      </c>
      <c r="L1825" s="35" t="b">
        <v>0</v>
      </c>
      <c r="M1825" s="35" t="b">
        <v>0</v>
      </c>
      <c r="N1825" s="35" t="b">
        <v>0</v>
      </c>
      <c r="O1825" s="35" t="b">
        <v>0</v>
      </c>
      <c r="P1825" s="35" t="b">
        <v>0</v>
      </c>
      <c r="Q1825" s="35" t="b">
        <v>0</v>
      </c>
      <c r="R1825" s="14"/>
      <c r="S1825" s="14"/>
      <c r="T1825" s="14"/>
      <c r="U1825" s="14"/>
      <c r="V1825" s="14"/>
      <c r="W1825" s="14"/>
    </row>
    <row r="1826" ht="31.5" customHeight="1">
      <c r="A1826" s="109" t="s">
        <v>16732</v>
      </c>
      <c r="B1826" s="110" t="s">
        <v>16733</v>
      </c>
      <c r="C1826" s="111" t="s">
        <v>16734</v>
      </c>
      <c r="D1826" s="28" t="s">
        <v>16735</v>
      </c>
      <c r="E1826" s="28" t="str">
        <f>IFERROR(__xludf.DUMMYFUNCTION("GOOGLETRANSLATE(D1826,""zh-CN"",""vi"")"),"Họa tiết này rất đẹp.")</f>
        <v>Họa tiết này rất đẹp.</v>
      </c>
      <c r="F1826" s="137"/>
      <c r="G1826" s="36" t="b">
        <f t="shared" si="1"/>
        <v>0</v>
      </c>
      <c r="H1826" s="35" t="b">
        <v>0</v>
      </c>
      <c r="I1826" s="35" t="b">
        <v>0</v>
      </c>
      <c r="J1826" s="35" t="b">
        <v>0</v>
      </c>
      <c r="K1826" s="35" t="b">
        <v>0</v>
      </c>
      <c r="L1826" s="35" t="b">
        <v>0</v>
      </c>
      <c r="M1826" s="35" t="b">
        <v>0</v>
      </c>
      <c r="N1826" s="35" t="b">
        <v>0</v>
      </c>
      <c r="O1826" s="35" t="b">
        <v>0</v>
      </c>
      <c r="P1826" s="35" t="b">
        <v>0</v>
      </c>
      <c r="Q1826" s="35" t="b">
        <v>0</v>
      </c>
      <c r="R1826" s="14"/>
      <c r="S1826" s="14"/>
      <c r="T1826" s="14"/>
      <c r="U1826" s="14"/>
      <c r="V1826" s="14"/>
      <c r="W1826" s="14"/>
    </row>
    <row r="1827" ht="31.5" customHeight="1">
      <c r="A1827" s="109" t="s">
        <v>16736</v>
      </c>
      <c r="B1827" s="110" t="s">
        <v>16737</v>
      </c>
      <c r="C1827" s="111" t="s">
        <v>16738</v>
      </c>
      <c r="D1827" s="28" t="s">
        <v>16739</v>
      </c>
      <c r="E1827" s="28" t="str">
        <f>IFERROR(__xludf.DUMMYFUNCTION("GOOGLETRANSLATE(D1827,""zh-CN"",""vi"")"),"Anh ấy là người học việc của tôi.")</f>
        <v>Anh ấy là người học việc của tôi.</v>
      </c>
      <c r="F1827" s="137"/>
      <c r="G1827" s="36" t="b">
        <f t="shared" si="1"/>
        <v>0</v>
      </c>
      <c r="H1827" s="35" t="b">
        <v>0</v>
      </c>
      <c r="I1827" s="35" t="b">
        <v>0</v>
      </c>
      <c r="J1827" s="35" t="b">
        <v>0</v>
      </c>
      <c r="K1827" s="35" t="b">
        <v>0</v>
      </c>
      <c r="L1827" s="35" t="b">
        <v>0</v>
      </c>
      <c r="M1827" s="35" t="b">
        <v>0</v>
      </c>
      <c r="N1827" s="35" t="b">
        <v>0</v>
      </c>
      <c r="O1827" s="35" t="b">
        <v>0</v>
      </c>
      <c r="P1827" s="35" t="b">
        <v>0</v>
      </c>
      <c r="Q1827" s="35" t="b">
        <v>0</v>
      </c>
      <c r="R1827" s="14"/>
      <c r="S1827" s="14"/>
      <c r="T1827" s="14"/>
      <c r="U1827" s="14"/>
      <c r="V1827" s="14"/>
      <c r="W1827" s="14"/>
    </row>
    <row r="1828" ht="31.5" customHeight="1">
      <c r="A1828" s="109" t="s">
        <v>16740</v>
      </c>
      <c r="B1828" s="110" t="s">
        <v>16741</v>
      </c>
      <c r="C1828" s="111" t="s">
        <v>16742</v>
      </c>
      <c r="D1828" s="28" t="s">
        <v>16743</v>
      </c>
      <c r="E1828" s="28" t="str">
        <f>IFERROR(__xludf.DUMMYFUNCTION("GOOGLETRANSLATE(D1828,""zh-CN"",""vi"")"),"Chúng tôi đã tìm ra một cách mới.")</f>
        <v>Chúng tôi đã tìm ra một cách mới.</v>
      </c>
      <c r="F1828" s="137"/>
      <c r="G1828" s="36" t="b">
        <f t="shared" si="1"/>
        <v>0</v>
      </c>
      <c r="H1828" s="35" t="b">
        <v>0</v>
      </c>
      <c r="I1828" s="35" t="b">
        <v>0</v>
      </c>
      <c r="J1828" s="35" t="b">
        <v>0</v>
      </c>
      <c r="K1828" s="35" t="b">
        <v>0</v>
      </c>
      <c r="L1828" s="35" t="b">
        <v>0</v>
      </c>
      <c r="M1828" s="35" t="b">
        <v>0</v>
      </c>
      <c r="N1828" s="35" t="b">
        <v>0</v>
      </c>
      <c r="O1828" s="35" t="b">
        <v>0</v>
      </c>
      <c r="P1828" s="35" t="b">
        <v>0</v>
      </c>
      <c r="Q1828" s="35" t="b">
        <v>0</v>
      </c>
      <c r="R1828" s="14"/>
      <c r="S1828" s="14"/>
      <c r="T1828" s="14"/>
      <c r="U1828" s="14"/>
      <c r="V1828" s="14"/>
      <c r="W1828" s="14"/>
    </row>
    <row r="1829" ht="31.5" customHeight="1">
      <c r="A1829" s="109" t="s">
        <v>16744</v>
      </c>
      <c r="B1829" s="110" t="s">
        <v>16745</v>
      </c>
      <c r="C1829" s="111" t="s">
        <v>16746</v>
      </c>
      <c r="D1829" s="28" t="s">
        <v>16747</v>
      </c>
      <c r="E1829" s="28" t="str">
        <f>IFERROR(__xludf.DUMMYFUNCTION("GOOGLETRANSLATE(D1829,""zh-CN"",""vi"")"),"Vui lòng không vẽ bậy lên tường.")</f>
        <v>Vui lòng không vẽ bậy lên tường.</v>
      </c>
      <c r="F1829" s="137"/>
      <c r="G1829" s="36" t="b">
        <f t="shared" si="1"/>
        <v>0</v>
      </c>
      <c r="H1829" s="35" t="b">
        <v>0</v>
      </c>
      <c r="I1829" s="35" t="b">
        <v>0</v>
      </c>
      <c r="J1829" s="35" t="b">
        <v>0</v>
      </c>
      <c r="K1829" s="35" t="b">
        <v>0</v>
      </c>
      <c r="L1829" s="35" t="b">
        <v>0</v>
      </c>
      <c r="M1829" s="35" t="b">
        <v>0</v>
      </c>
      <c r="N1829" s="35" t="b">
        <v>0</v>
      </c>
      <c r="O1829" s="35" t="b">
        <v>0</v>
      </c>
      <c r="P1829" s="35" t="b">
        <v>0</v>
      </c>
      <c r="Q1829" s="35" t="b">
        <v>0</v>
      </c>
      <c r="R1829" s="14"/>
      <c r="S1829" s="14"/>
      <c r="T1829" s="14"/>
      <c r="U1829" s="14"/>
      <c r="V1829" s="14"/>
      <c r="W1829" s="14"/>
    </row>
    <row r="1830" ht="31.5" customHeight="1">
      <c r="A1830" s="109" t="s">
        <v>16748</v>
      </c>
      <c r="B1830" s="110" t="s">
        <v>16749</v>
      </c>
      <c r="C1830" s="111" t="s">
        <v>16750</v>
      </c>
      <c r="D1830" s="28" t="s">
        <v>16751</v>
      </c>
      <c r="E1830" s="28" t="str">
        <f>IFERROR(__xludf.DUMMYFUNCTION("GOOGLETRANSLATE(D1830,""zh-CN"",""vi"")"),"Đất ở đây rất giàu chất dinh dưỡng.")</f>
        <v>Đất ở đây rất giàu chất dinh dưỡng.</v>
      </c>
      <c r="F1830" s="137"/>
      <c r="G1830" s="36" t="b">
        <f t="shared" si="1"/>
        <v>0</v>
      </c>
      <c r="H1830" s="35" t="b">
        <v>0</v>
      </c>
      <c r="I1830" s="35" t="b">
        <v>0</v>
      </c>
      <c r="J1830" s="35" t="b">
        <v>0</v>
      </c>
      <c r="K1830" s="35" t="b">
        <v>0</v>
      </c>
      <c r="L1830" s="35" t="b">
        <v>0</v>
      </c>
      <c r="M1830" s="35" t="b">
        <v>0</v>
      </c>
      <c r="N1830" s="35" t="b">
        <v>0</v>
      </c>
      <c r="O1830" s="35" t="b">
        <v>0</v>
      </c>
      <c r="P1830" s="35" t="b">
        <v>0</v>
      </c>
      <c r="Q1830" s="35" t="b">
        <v>0</v>
      </c>
      <c r="R1830" s="14"/>
      <c r="S1830" s="14"/>
      <c r="T1830" s="14"/>
      <c r="U1830" s="14"/>
      <c r="V1830" s="14"/>
      <c r="W1830" s="14"/>
    </row>
    <row r="1831" ht="31.5" customHeight="1">
      <c r="A1831" s="109" t="s">
        <v>16752</v>
      </c>
      <c r="B1831" s="110" t="s">
        <v>16753</v>
      </c>
      <c r="C1831" s="111" t="s">
        <v>16754</v>
      </c>
      <c r="D1831" s="28" t="s">
        <v>16755</v>
      </c>
      <c r="E1831" s="28" t="str">
        <f>IFERROR(__xludf.DUMMYFUNCTION("GOOGLETRANSLATE(D1831,""zh-CN"",""vi"")"),"Đoàn kết là sức mạnh.")</f>
        <v>Đoàn kết là sức mạnh.</v>
      </c>
      <c r="F1831" s="137"/>
      <c r="G1831" s="36" t="b">
        <f t="shared" si="1"/>
        <v>0</v>
      </c>
      <c r="H1831" s="35" t="b">
        <v>0</v>
      </c>
      <c r="I1831" s="35" t="b">
        <v>0</v>
      </c>
      <c r="J1831" s="35" t="b">
        <v>0</v>
      </c>
      <c r="K1831" s="35" t="b">
        <v>0</v>
      </c>
      <c r="L1831" s="35" t="b">
        <v>0</v>
      </c>
      <c r="M1831" s="35" t="b">
        <v>0</v>
      </c>
      <c r="N1831" s="35" t="b">
        <v>0</v>
      </c>
      <c r="O1831" s="35" t="b">
        <v>0</v>
      </c>
      <c r="P1831" s="35" t="b">
        <v>0</v>
      </c>
      <c r="Q1831" s="35" t="b">
        <v>0</v>
      </c>
      <c r="R1831" s="14"/>
      <c r="S1831" s="14"/>
      <c r="T1831" s="14"/>
      <c r="U1831" s="14"/>
      <c r="V1831" s="14"/>
      <c r="W1831" s="14"/>
    </row>
    <row r="1832" ht="31.5" customHeight="1">
      <c r="A1832" s="109" t="s">
        <v>16756</v>
      </c>
      <c r="B1832" s="110" t="s">
        <v>16757</v>
      </c>
      <c r="C1832" s="111" t="s">
        <v>16758</v>
      </c>
      <c r="D1832" s="28" t="s">
        <v>16759</v>
      </c>
      <c r="E1832" s="28" t="str">
        <f>IFERROR(__xludf.DUMMYFUNCTION("GOOGLETRANSLATE(D1832,""zh-CN"",""vi"")"),"Nhóm này rất năng động.")</f>
        <v>Nhóm này rất năng động.</v>
      </c>
      <c r="F1832" s="137"/>
      <c r="G1832" s="36" t="b">
        <f t="shared" si="1"/>
        <v>0</v>
      </c>
      <c r="H1832" s="35" t="b">
        <v>0</v>
      </c>
      <c r="I1832" s="35" t="b">
        <v>0</v>
      </c>
      <c r="J1832" s="35" t="b">
        <v>0</v>
      </c>
      <c r="K1832" s="35" t="b">
        <v>0</v>
      </c>
      <c r="L1832" s="35" t="b">
        <v>0</v>
      </c>
      <c r="M1832" s="35" t="b">
        <v>0</v>
      </c>
      <c r="N1832" s="35" t="b">
        <v>0</v>
      </c>
      <c r="O1832" s="35" t="b">
        <v>0</v>
      </c>
      <c r="P1832" s="35" t="b">
        <v>0</v>
      </c>
      <c r="Q1832" s="35" t="b">
        <v>0</v>
      </c>
      <c r="R1832" s="14"/>
      <c r="S1832" s="14"/>
      <c r="T1832" s="14"/>
      <c r="U1832" s="14"/>
      <c r="V1832" s="14"/>
      <c r="W1832" s="14"/>
    </row>
    <row r="1833" ht="31.5" customHeight="1">
      <c r="A1833" s="109" t="s">
        <v>16760</v>
      </c>
      <c r="B1833" s="110" t="s">
        <v>16761</v>
      </c>
      <c r="C1833" s="111" t="s">
        <v>16762</v>
      </c>
      <c r="D1833" s="28" t="s">
        <v>16763</v>
      </c>
      <c r="E1833" s="28" t="str">
        <f>IFERROR(__xludf.DUMMYFUNCTION("GOOGLETRANSLATE(D1833,""zh-CN"",""vi"")"),"Cô ấy là thành viên của nhóm.")</f>
        <v>Cô ấy là thành viên của nhóm.</v>
      </c>
      <c r="F1833" s="137"/>
      <c r="G1833" s="36" t="b">
        <f t="shared" si="1"/>
        <v>0</v>
      </c>
      <c r="H1833" s="35" t="b">
        <v>0</v>
      </c>
      <c r="I1833" s="35" t="b">
        <v>0</v>
      </c>
      <c r="J1833" s="35" t="b">
        <v>0</v>
      </c>
      <c r="K1833" s="35" t="b">
        <v>0</v>
      </c>
      <c r="L1833" s="35" t="b">
        <v>0</v>
      </c>
      <c r="M1833" s="35" t="b">
        <v>0</v>
      </c>
      <c r="N1833" s="35" t="b">
        <v>0</v>
      </c>
      <c r="O1833" s="35" t="b">
        <v>0</v>
      </c>
      <c r="P1833" s="35" t="b">
        <v>0</v>
      </c>
      <c r="Q1833" s="35" t="b">
        <v>0</v>
      </c>
      <c r="R1833" s="14"/>
      <c r="S1833" s="14"/>
      <c r="T1833" s="14"/>
      <c r="U1833" s="14"/>
      <c r="V1833" s="14"/>
      <c r="W1833" s="14"/>
    </row>
    <row r="1834" ht="31.5" customHeight="1">
      <c r="A1834" s="109" t="s">
        <v>16764</v>
      </c>
      <c r="B1834" s="110" t="s">
        <v>16765</v>
      </c>
      <c r="C1834" s="111" t="s">
        <v>16766</v>
      </c>
      <c r="D1834" s="28" t="s">
        <v>16767</v>
      </c>
      <c r="E1834" s="28" t="str">
        <f>IFERROR(__xludf.DUMMYFUNCTION("GOOGLETRANSLATE(D1834,""zh-CN"",""vi"")"),"Chúng tôi cho rằng có lẽ anh ấy đang ở nhà.")</f>
        <v>Chúng tôi cho rằng có lẽ anh ấy đang ở nhà.</v>
      </c>
      <c r="F1834" s="137"/>
      <c r="G1834" s="36" t="b">
        <f t="shared" si="1"/>
        <v>0</v>
      </c>
      <c r="H1834" s="35" t="b">
        <v>0</v>
      </c>
      <c r="I1834" s="35" t="b">
        <v>0</v>
      </c>
      <c r="J1834" s="35" t="b">
        <v>0</v>
      </c>
      <c r="K1834" s="35" t="b">
        <v>0</v>
      </c>
      <c r="L1834" s="35" t="b">
        <v>0</v>
      </c>
      <c r="M1834" s="35" t="b">
        <v>0</v>
      </c>
      <c r="N1834" s="35" t="b">
        <v>0</v>
      </c>
      <c r="O1834" s="35" t="b">
        <v>0</v>
      </c>
      <c r="P1834" s="35" t="b">
        <v>0</v>
      </c>
      <c r="Q1834" s="35" t="b">
        <v>0</v>
      </c>
      <c r="R1834" s="14"/>
      <c r="S1834" s="14"/>
      <c r="T1834" s="14"/>
      <c r="U1834" s="14"/>
      <c r="V1834" s="14"/>
      <c r="W1834" s="14"/>
    </row>
    <row r="1835" ht="31.5" customHeight="1">
      <c r="A1835" s="109" t="s">
        <v>16768</v>
      </c>
      <c r="B1835" s="110" t="s">
        <v>16769</v>
      </c>
      <c r="C1835" s="111" t="s">
        <v>16770</v>
      </c>
      <c r="D1835" s="28" t="s">
        <v>16771</v>
      </c>
      <c r="E1835" s="28" t="str">
        <f>IFERROR(__xludf.DUMMYFUNCTION("GOOGLETRANSLATE(D1835,""zh-CN"",""vi"")"),"Chính phủ của họ đã bị lật đổ.")</f>
        <v>Chính phủ của họ đã bị lật đổ.</v>
      </c>
      <c r="F1835" s="137"/>
      <c r="G1835" s="36" t="b">
        <f t="shared" si="1"/>
        <v>0</v>
      </c>
      <c r="H1835" s="35" t="b">
        <v>0</v>
      </c>
      <c r="I1835" s="35" t="b">
        <v>0</v>
      </c>
      <c r="J1835" s="35" t="b">
        <v>0</v>
      </c>
      <c r="K1835" s="35" t="b">
        <v>0</v>
      </c>
      <c r="L1835" s="35" t="b">
        <v>0</v>
      </c>
      <c r="M1835" s="35" t="b">
        <v>0</v>
      </c>
      <c r="N1835" s="35" t="b">
        <v>0</v>
      </c>
      <c r="O1835" s="35" t="b">
        <v>0</v>
      </c>
      <c r="P1835" s="35" t="b">
        <v>0</v>
      </c>
      <c r="Q1835" s="35" t="b">
        <v>0</v>
      </c>
      <c r="R1835" s="14"/>
      <c r="S1835" s="14"/>
      <c r="T1835" s="14"/>
      <c r="U1835" s="14"/>
      <c r="V1835" s="14"/>
      <c r="W1835" s="14"/>
    </row>
    <row r="1836" ht="31.5" customHeight="1">
      <c r="A1836" s="109" t="s">
        <v>16772</v>
      </c>
      <c r="B1836" s="110" t="s">
        <v>16773</v>
      </c>
      <c r="C1836" s="111" t="s">
        <v>16774</v>
      </c>
      <c r="D1836" s="28" t="s">
        <v>16775</v>
      </c>
      <c r="E1836" s="28" t="str">
        <f>IFERROR(__xludf.DUMMYFUNCTION("GOOGLETRANSLATE(D1836,""zh-CN"",""vi"")"),"Lý lẽ của anh ấy rất hợp lý.")</f>
        <v>Lý lẽ của anh ấy rất hợp lý.</v>
      </c>
      <c r="F1836" s="137"/>
      <c r="G1836" s="36" t="b">
        <f t="shared" si="1"/>
        <v>0</v>
      </c>
      <c r="H1836" s="35" t="b">
        <v>0</v>
      </c>
      <c r="I1836" s="35" t="b">
        <v>0</v>
      </c>
      <c r="J1836" s="35" t="b">
        <v>0</v>
      </c>
      <c r="K1836" s="35" t="b">
        <v>0</v>
      </c>
      <c r="L1836" s="35" t="b">
        <v>0</v>
      </c>
      <c r="M1836" s="35" t="b">
        <v>0</v>
      </c>
      <c r="N1836" s="35" t="b">
        <v>0</v>
      </c>
      <c r="O1836" s="35" t="b">
        <v>0</v>
      </c>
      <c r="P1836" s="35" t="b">
        <v>0</v>
      </c>
      <c r="Q1836" s="35" t="b">
        <v>0</v>
      </c>
      <c r="R1836" s="14"/>
      <c r="S1836" s="14"/>
      <c r="T1836" s="14"/>
      <c r="U1836" s="14"/>
      <c r="V1836" s="14"/>
      <c r="W1836" s="14"/>
    </row>
    <row r="1837" ht="31.5" customHeight="1">
      <c r="A1837" s="109" t="s">
        <v>16776</v>
      </c>
      <c r="B1837" s="110" t="s">
        <v>16777</v>
      </c>
      <c r="C1837" s="111" t="s">
        <v>16774</v>
      </c>
      <c r="D1837" s="28" t="s">
        <v>16778</v>
      </c>
      <c r="E1837" s="28" t="str">
        <f>IFERROR(__xludf.DUMMYFUNCTION("GOOGLETRANSLATE(D1837,""zh-CN"",""vi"")"),"Lý lẽ trong cuốn sách rất sâu sắc.")</f>
        <v>Lý lẽ trong cuốn sách rất sâu sắc.</v>
      </c>
      <c r="F1837" s="137"/>
      <c r="G1837" s="36" t="b">
        <f t="shared" si="1"/>
        <v>0</v>
      </c>
      <c r="H1837" s="35" t="b">
        <v>0</v>
      </c>
      <c r="I1837" s="35" t="b">
        <v>0</v>
      </c>
      <c r="J1837" s="35" t="b">
        <v>0</v>
      </c>
      <c r="K1837" s="35" t="b">
        <v>0</v>
      </c>
      <c r="L1837" s="35" t="b">
        <v>0</v>
      </c>
      <c r="M1837" s="35" t="b">
        <v>0</v>
      </c>
      <c r="N1837" s="35" t="b">
        <v>0</v>
      </c>
      <c r="O1837" s="35" t="b">
        <v>0</v>
      </c>
      <c r="P1837" s="35" t="b">
        <v>0</v>
      </c>
      <c r="Q1837" s="35" t="b">
        <v>0</v>
      </c>
      <c r="R1837" s="14"/>
      <c r="S1837" s="14"/>
      <c r="T1837" s="14"/>
      <c r="U1837" s="14"/>
      <c r="V1837" s="14"/>
      <c r="W1837" s="14"/>
    </row>
    <row r="1838" ht="31.5" customHeight="1">
      <c r="A1838" s="109" t="s">
        <v>16779</v>
      </c>
      <c r="B1838" s="110" t="s">
        <v>16780</v>
      </c>
      <c r="C1838" s="111" t="s">
        <v>16781</v>
      </c>
      <c r="D1838" s="28" t="s">
        <v>16782</v>
      </c>
      <c r="E1838" s="28" t="str">
        <f>IFERROR(__xludf.DUMMYFUNCTION("GOOGLETRANSLATE(D1838,""zh-CN"",""vi"")"),"Anh ấy đang quảng bá sản phẩm của mình.")</f>
        <v>Anh ấy đang quảng bá sản phẩm của mình.</v>
      </c>
      <c r="F1838" s="137"/>
      <c r="G1838" s="36" t="b">
        <f t="shared" si="1"/>
        <v>0</v>
      </c>
      <c r="H1838" s="35" t="b">
        <v>0</v>
      </c>
      <c r="I1838" s="35" t="b">
        <v>0</v>
      </c>
      <c r="J1838" s="35" t="b">
        <v>0</v>
      </c>
      <c r="K1838" s="35" t="b">
        <v>0</v>
      </c>
      <c r="L1838" s="35" t="b">
        <v>0</v>
      </c>
      <c r="M1838" s="35" t="b">
        <v>0</v>
      </c>
      <c r="N1838" s="35" t="b">
        <v>0</v>
      </c>
      <c r="O1838" s="35" t="b">
        <v>0</v>
      </c>
      <c r="P1838" s="35" t="b">
        <v>0</v>
      </c>
      <c r="Q1838" s="35" t="b">
        <v>0</v>
      </c>
      <c r="R1838" s="14"/>
      <c r="S1838" s="14"/>
      <c r="T1838" s="14"/>
      <c r="U1838" s="14"/>
      <c r="V1838" s="14"/>
      <c r="W1838" s="14"/>
    </row>
    <row r="1839" ht="31.5" customHeight="1">
      <c r="A1839" s="109" t="s">
        <v>16783</v>
      </c>
      <c r="B1839" s="110" t="s">
        <v>16784</v>
      </c>
      <c r="C1839" s="111" t="s">
        <v>16785</v>
      </c>
      <c r="D1839" s="28" t="s">
        <v>16786</v>
      </c>
      <c r="E1839" s="28" t="str">
        <f>IFERROR(__xludf.DUMMYFUNCTION("GOOGLETRANSLATE(D1839,""zh-CN"",""vi"")"),"Anh ấy gặp khó khăn khi nuốt thức ăn.")</f>
        <v>Anh ấy gặp khó khăn khi nuốt thức ăn.</v>
      </c>
      <c r="F1839" s="137"/>
      <c r="G1839" s="36" t="b">
        <f t="shared" si="1"/>
        <v>0</v>
      </c>
      <c r="H1839" s="35" t="b">
        <v>0</v>
      </c>
      <c r="I1839" s="35" t="b">
        <v>0</v>
      </c>
      <c r="J1839" s="35" t="b">
        <v>0</v>
      </c>
      <c r="K1839" s="35" t="b">
        <v>0</v>
      </c>
      <c r="L1839" s="35" t="b">
        <v>0</v>
      </c>
      <c r="M1839" s="35" t="b">
        <v>0</v>
      </c>
      <c r="N1839" s="35" t="b">
        <v>0</v>
      </c>
      <c r="O1839" s="35" t="b">
        <v>0</v>
      </c>
      <c r="P1839" s="35" t="b">
        <v>0</v>
      </c>
      <c r="Q1839" s="35" t="b">
        <v>0</v>
      </c>
      <c r="R1839" s="14"/>
      <c r="S1839" s="14"/>
      <c r="T1839" s="14"/>
      <c r="U1839" s="14"/>
      <c r="V1839" s="14"/>
      <c r="W1839" s="14"/>
    </row>
    <row r="1840" ht="31.5" customHeight="1">
      <c r="A1840" s="109" t="s">
        <v>16787</v>
      </c>
      <c r="B1840" s="110" t="s">
        <v>16788</v>
      </c>
      <c r="C1840" s="111" t="s">
        <v>16789</v>
      </c>
      <c r="D1840" s="28" t="s">
        <v>16790</v>
      </c>
      <c r="E1840" s="28" t="str">
        <f>IFERROR(__xludf.DUMMYFUNCTION("GOOGLETRANSLATE(D1840,""zh-CN"",""vi"")"),"Chúng ta không thể tách rời bản thân khỏi thực tại.")</f>
        <v>Chúng ta không thể tách rời bản thân khỏi thực tại.</v>
      </c>
      <c r="F1840" s="137"/>
      <c r="G1840" s="36" t="b">
        <f t="shared" si="1"/>
        <v>0</v>
      </c>
      <c r="H1840" s="35" t="b">
        <v>0</v>
      </c>
      <c r="I1840" s="35" t="b">
        <v>0</v>
      </c>
      <c r="J1840" s="35" t="b">
        <v>0</v>
      </c>
      <c r="K1840" s="35" t="b">
        <v>0</v>
      </c>
      <c r="L1840" s="35" t="b">
        <v>0</v>
      </c>
      <c r="M1840" s="35" t="b">
        <v>0</v>
      </c>
      <c r="N1840" s="35" t="b">
        <v>0</v>
      </c>
      <c r="O1840" s="35" t="b">
        <v>0</v>
      </c>
      <c r="P1840" s="35" t="b">
        <v>0</v>
      </c>
      <c r="Q1840" s="35" t="b">
        <v>0</v>
      </c>
      <c r="R1840" s="14"/>
      <c r="S1840" s="14"/>
      <c r="T1840" s="14"/>
      <c r="U1840" s="14"/>
      <c r="V1840" s="14"/>
      <c r="W1840" s="14"/>
    </row>
    <row r="1841" ht="31.5" customHeight="1">
      <c r="A1841" s="109" t="s">
        <v>16791</v>
      </c>
      <c r="B1841" s="110" t="s">
        <v>16792</v>
      </c>
      <c r="C1841" s="111" t="s">
        <v>16793</v>
      </c>
      <c r="D1841" s="28" t="s">
        <v>16794</v>
      </c>
      <c r="E1841" s="28" t="str">
        <f>IFERROR(__xludf.DUMMYFUNCTION("GOOGLETRANSLATE(D1841,""zh-CN"",""vi"")"),"Vui lòng đừng trì hoãn.")</f>
        <v>Vui lòng đừng trì hoãn.</v>
      </c>
      <c r="F1841" s="137"/>
      <c r="G1841" s="36" t="b">
        <f t="shared" si="1"/>
        <v>0</v>
      </c>
      <c r="H1841" s="35" t="b">
        <v>0</v>
      </c>
      <c r="I1841" s="35" t="b">
        <v>0</v>
      </c>
      <c r="J1841" s="35" t="b">
        <v>0</v>
      </c>
      <c r="K1841" s="35" t="b">
        <v>0</v>
      </c>
      <c r="L1841" s="35" t="b">
        <v>0</v>
      </c>
      <c r="M1841" s="35" t="b">
        <v>0</v>
      </c>
      <c r="N1841" s="35" t="b">
        <v>0</v>
      </c>
      <c r="O1841" s="35" t="b">
        <v>0</v>
      </c>
      <c r="P1841" s="35" t="b">
        <v>0</v>
      </c>
      <c r="Q1841" s="35" t="b">
        <v>0</v>
      </c>
      <c r="R1841" s="14"/>
      <c r="S1841" s="14"/>
      <c r="T1841" s="14"/>
      <c r="U1841" s="14"/>
      <c r="V1841" s="14"/>
      <c r="W1841" s="14"/>
    </row>
    <row r="1842" ht="31.5" customHeight="1">
      <c r="A1842" s="109" t="s">
        <v>16795</v>
      </c>
      <c r="B1842" s="110" t="s">
        <v>16796</v>
      </c>
      <c r="C1842" s="111" t="s">
        <v>16797</v>
      </c>
      <c r="D1842" s="28" t="s">
        <v>16798</v>
      </c>
      <c r="E1842" s="28" t="str">
        <f>IFERROR(__xludf.DUMMYFUNCTION("GOOGLETRANSLATE(D1842,""zh-CN"",""vi"")"),"Hành lý đã được làm thủ tục ký gửi.")</f>
        <v>Hành lý đã được làm thủ tục ký gửi.</v>
      </c>
      <c r="F1842" s="137"/>
      <c r="G1842" s="36" t="b">
        <f t="shared" si="1"/>
        <v>0</v>
      </c>
      <c r="H1842" s="35" t="b">
        <v>0</v>
      </c>
      <c r="I1842" s="35" t="b">
        <v>0</v>
      </c>
      <c r="J1842" s="35" t="b">
        <v>0</v>
      </c>
      <c r="K1842" s="35" t="b">
        <v>0</v>
      </c>
      <c r="L1842" s="35" t="b">
        <v>0</v>
      </c>
      <c r="M1842" s="35" t="b">
        <v>0</v>
      </c>
      <c r="N1842" s="35" t="b">
        <v>0</v>
      </c>
      <c r="O1842" s="35" t="b">
        <v>0</v>
      </c>
      <c r="P1842" s="35" t="b">
        <v>0</v>
      </c>
      <c r="Q1842" s="35" t="b">
        <v>0</v>
      </c>
      <c r="R1842" s="14"/>
      <c r="S1842" s="14"/>
      <c r="T1842" s="14"/>
      <c r="U1842" s="14"/>
      <c r="V1842" s="14"/>
      <c r="W1842" s="14"/>
    </row>
    <row r="1843" ht="31.5" customHeight="1">
      <c r="A1843" s="109" t="s">
        <v>16799</v>
      </c>
      <c r="B1843" s="110" t="s">
        <v>16800</v>
      </c>
      <c r="C1843" s="111" t="s">
        <v>16801</v>
      </c>
      <c r="D1843" s="28" t="s">
        <v>16802</v>
      </c>
      <c r="E1843" s="28" t="str">
        <f>IFERROR(__xludf.DUMMYFUNCTION("GOOGLETRANSLATE(D1843,""zh-CN"",""vi"")"),"Kế hoạch này là phù hợp.")</f>
        <v>Kế hoạch này là phù hợp.</v>
      </c>
      <c r="F1843" s="137"/>
      <c r="G1843" s="36" t="b">
        <f t="shared" si="1"/>
        <v>0</v>
      </c>
      <c r="H1843" s="35" t="b">
        <v>0</v>
      </c>
      <c r="I1843" s="35" t="b">
        <v>0</v>
      </c>
      <c r="J1843" s="35" t="b">
        <v>0</v>
      </c>
      <c r="K1843" s="35" t="b">
        <v>0</v>
      </c>
      <c r="L1843" s="35" t="b">
        <v>0</v>
      </c>
      <c r="M1843" s="35" t="b">
        <v>0</v>
      </c>
      <c r="N1843" s="35" t="b">
        <v>0</v>
      </c>
      <c r="O1843" s="35" t="b">
        <v>0</v>
      </c>
      <c r="P1843" s="35" t="b">
        <v>0</v>
      </c>
      <c r="Q1843" s="35" t="b">
        <v>0</v>
      </c>
      <c r="R1843" s="14"/>
      <c r="S1843" s="14"/>
      <c r="T1843" s="14"/>
      <c r="U1843" s="14"/>
      <c r="V1843" s="14"/>
      <c r="W1843" s="14"/>
    </row>
    <row r="1844" ht="31.5" customHeight="1">
      <c r="A1844" s="109" t="s">
        <v>16803</v>
      </c>
      <c r="B1844" s="110" t="s">
        <v>16804</v>
      </c>
      <c r="C1844" s="111" t="s">
        <v>16801</v>
      </c>
      <c r="D1844" s="28" t="s">
        <v>16805</v>
      </c>
      <c r="E1844" s="28" t="str">
        <f>IFERROR(__xludf.DUMMYFUNCTION("GOOGLETRANSLATE(D1844,""zh-CN"",""vi"")"),"Chúng ta cần tìm ra một giải pháp phù hợp.")</f>
        <v>Chúng ta cần tìm ra một giải pháp phù hợp.</v>
      </c>
      <c r="F1844" s="137"/>
      <c r="G1844" s="36" t="b">
        <f t="shared" si="1"/>
        <v>0</v>
      </c>
      <c r="H1844" s="35" t="b">
        <v>0</v>
      </c>
      <c r="I1844" s="35" t="b">
        <v>0</v>
      </c>
      <c r="J1844" s="35" t="b">
        <v>0</v>
      </c>
      <c r="K1844" s="35" t="b">
        <v>0</v>
      </c>
      <c r="L1844" s="35" t="b">
        <v>0</v>
      </c>
      <c r="M1844" s="35" t="b">
        <v>0</v>
      </c>
      <c r="N1844" s="35" t="b">
        <v>0</v>
      </c>
      <c r="O1844" s="35" t="b">
        <v>0</v>
      </c>
      <c r="P1844" s="35" t="b">
        <v>0</v>
      </c>
      <c r="Q1844" s="35" t="b">
        <v>0</v>
      </c>
      <c r="R1844" s="14"/>
      <c r="S1844" s="14"/>
      <c r="T1844" s="14"/>
      <c r="U1844" s="14"/>
      <c r="V1844" s="14"/>
      <c r="W1844" s="14"/>
    </row>
    <row r="1845" ht="31.5" customHeight="1">
      <c r="A1845" s="109" t="s">
        <v>16806</v>
      </c>
      <c r="B1845" s="110" t="s">
        <v>16807</v>
      </c>
      <c r="C1845" s="111" t="s">
        <v>16808</v>
      </c>
      <c r="D1845" s="28" t="s">
        <v>16809</v>
      </c>
      <c r="E1845" s="28" t="str">
        <f>IFERROR(__xludf.DUMMYFUNCTION("GOOGLETRANSLATE(D1845,""zh-CN"",""vi"")"),"Hai bên đã đạt được thỏa hiệp.")</f>
        <v>Hai bên đã đạt được thỏa hiệp.</v>
      </c>
      <c r="F1845" s="137"/>
      <c r="G1845" s="36" t="b">
        <f t="shared" si="1"/>
        <v>0</v>
      </c>
      <c r="H1845" s="35" t="b">
        <v>0</v>
      </c>
      <c r="I1845" s="35" t="b">
        <v>0</v>
      </c>
      <c r="J1845" s="35" t="b">
        <v>0</v>
      </c>
      <c r="K1845" s="35" t="b">
        <v>0</v>
      </c>
      <c r="L1845" s="35" t="b">
        <v>0</v>
      </c>
      <c r="M1845" s="35" t="b">
        <v>0</v>
      </c>
      <c r="N1845" s="35" t="b">
        <v>0</v>
      </c>
      <c r="O1845" s="35" t="b">
        <v>0</v>
      </c>
      <c r="P1845" s="35" t="b">
        <v>0</v>
      </c>
      <c r="Q1845" s="35" t="b">
        <v>0</v>
      </c>
      <c r="R1845" s="14"/>
      <c r="S1845" s="14"/>
      <c r="T1845" s="14"/>
      <c r="U1845" s="14"/>
      <c r="V1845" s="14"/>
      <c r="W1845" s="14"/>
    </row>
    <row r="1846" ht="31.5" customHeight="1">
      <c r="A1846" s="109" t="s">
        <v>16810</v>
      </c>
      <c r="B1846" s="110" t="s">
        <v>16811</v>
      </c>
      <c r="C1846" s="111" t="s">
        <v>16812</v>
      </c>
      <c r="D1846" s="28" t="s">
        <v>16813</v>
      </c>
      <c r="E1846" s="28" t="str">
        <f>IFERROR(__xludf.DUMMYFUNCTION("GOOGLETRANSLATE(D1846,""zh-CN"",""vi"")"),"Trái đất không phải là một hình elip hoàn hảo.")</f>
        <v>Trái đất không phải là một hình elip hoàn hảo.</v>
      </c>
      <c r="F1846" s="137"/>
      <c r="G1846" s="36" t="b">
        <f t="shared" si="1"/>
        <v>0</v>
      </c>
      <c r="H1846" s="35" t="b">
        <v>0</v>
      </c>
      <c r="I1846" s="35" t="b">
        <v>0</v>
      </c>
      <c r="J1846" s="35" t="b">
        <v>0</v>
      </c>
      <c r="K1846" s="35" t="b">
        <v>0</v>
      </c>
      <c r="L1846" s="35" t="b">
        <v>0</v>
      </c>
      <c r="M1846" s="35" t="b">
        <v>0</v>
      </c>
      <c r="N1846" s="35" t="b">
        <v>0</v>
      </c>
      <c r="O1846" s="35" t="b">
        <v>0</v>
      </c>
      <c r="P1846" s="35" t="b">
        <v>0</v>
      </c>
      <c r="Q1846" s="35" t="b">
        <v>0</v>
      </c>
      <c r="R1846" s="14"/>
      <c r="S1846" s="14"/>
      <c r="T1846" s="14"/>
      <c r="U1846" s="14"/>
      <c r="V1846" s="14"/>
      <c r="W1846" s="14"/>
    </row>
    <row r="1847" ht="31.5" customHeight="1">
      <c r="A1847" s="109" t="s">
        <v>16814</v>
      </c>
      <c r="B1847" s="110" t="s">
        <v>16815</v>
      </c>
      <c r="C1847" s="111" t="s">
        <v>16816</v>
      </c>
      <c r="D1847" s="28" t="s">
        <v>16817</v>
      </c>
      <c r="E1847" s="28" t="str">
        <f>IFERROR(__xludf.DUMMYFUNCTION("GOOGLETRANSLATE(D1847,""zh-CN"",""vi"")"),"Ông ta luôn nhổ nước bọt mỗi khi nói chuyện.")</f>
        <v>Ông ta luôn nhổ nước bọt mỗi khi nói chuyện.</v>
      </c>
      <c r="F1847" s="137"/>
      <c r="G1847" s="36" t="b">
        <f t="shared" si="1"/>
        <v>0</v>
      </c>
      <c r="H1847" s="35" t="b">
        <v>0</v>
      </c>
      <c r="I1847" s="35" t="b">
        <v>0</v>
      </c>
      <c r="J1847" s="35" t="b">
        <v>0</v>
      </c>
      <c r="K1847" s="35" t="b">
        <v>0</v>
      </c>
      <c r="L1847" s="35" t="b">
        <v>0</v>
      </c>
      <c r="M1847" s="35" t="b">
        <v>0</v>
      </c>
      <c r="N1847" s="35" t="b">
        <v>0</v>
      </c>
      <c r="O1847" s="35" t="b">
        <v>0</v>
      </c>
      <c r="P1847" s="35" t="b">
        <v>0</v>
      </c>
      <c r="Q1847" s="35" t="b">
        <v>0</v>
      </c>
      <c r="R1847" s="14"/>
      <c r="S1847" s="14"/>
      <c r="T1847" s="14"/>
      <c r="U1847" s="14"/>
      <c r="V1847" s="14"/>
      <c r="W1847" s="14"/>
    </row>
    <row r="1848" ht="31.5" customHeight="1">
      <c r="A1848" s="109" t="s">
        <v>16818</v>
      </c>
      <c r="B1848" s="110" t="s">
        <v>16819</v>
      </c>
      <c r="C1848" s="111" t="s">
        <v>16820</v>
      </c>
      <c r="D1848" s="28" t="s">
        <v>16821</v>
      </c>
      <c r="E1848" s="28" t="str">
        <f>IFERROR(__xludf.DUMMYFUNCTION("GOOGLETRANSLATE(D1848,""zh-CN"",""vi"")"),"Các công nhân đang đào một đường hầm.")</f>
        <v>Các công nhân đang đào một đường hầm.</v>
      </c>
      <c r="F1848" s="137"/>
      <c r="G1848" s="36" t="b">
        <f t="shared" si="1"/>
        <v>0</v>
      </c>
      <c r="H1848" s="35" t="b">
        <v>0</v>
      </c>
      <c r="I1848" s="35" t="b">
        <v>0</v>
      </c>
      <c r="J1848" s="35" t="b">
        <v>0</v>
      </c>
      <c r="K1848" s="35" t="b">
        <v>0</v>
      </c>
      <c r="L1848" s="35" t="b">
        <v>0</v>
      </c>
      <c r="M1848" s="35" t="b">
        <v>0</v>
      </c>
      <c r="N1848" s="35" t="b">
        <v>0</v>
      </c>
      <c r="O1848" s="35" t="b">
        <v>0</v>
      </c>
      <c r="P1848" s="35" t="b">
        <v>0</v>
      </c>
      <c r="Q1848" s="35" t="b">
        <v>0</v>
      </c>
      <c r="R1848" s="14"/>
      <c r="S1848" s="14"/>
      <c r="T1848" s="14"/>
      <c r="U1848" s="14"/>
      <c r="V1848" s="14"/>
      <c r="W1848" s="14"/>
    </row>
    <row r="1849" ht="31.5" customHeight="1">
      <c r="A1849" s="109" t="s">
        <v>16822</v>
      </c>
      <c r="B1849" s="110" t="s">
        <v>16823</v>
      </c>
      <c r="C1849" s="111" t="s">
        <v>16824</v>
      </c>
      <c r="D1849" s="28" t="s">
        <v>16825</v>
      </c>
      <c r="E1849" s="28" t="str">
        <f>IFERROR(__xludf.DUMMYFUNCTION("GOOGLETRANSLATE(D1849,""zh-CN"",""vi"")"),"Con gái cô ấy rất thích chơi búp bê.")</f>
        <v>Con gái cô ấy rất thích chơi búp bê.</v>
      </c>
      <c r="F1849" s="137"/>
      <c r="G1849" s="36" t="b">
        <f t="shared" si="1"/>
        <v>0</v>
      </c>
      <c r="H1849" s="35" t="b">
        <v>1</v>
      </c>
      <c r="I1849" s="35" t="b">
        <v>0</v>
      </c>
      <c r="J1849" s="35" t="b">
        <v>0</v>
      </c>
      <c r="K1849" s="35" t="b">
        <v>0</v>
      </c>
      <c r="L1849" s="35" t="b">
        <v>0</v>
      </c>
      <c r="M1849" s="35" t="b">
        <v>0</v>
      </c>
      <c r="N1849" s="35" t="b">
        <v>0</v>
      </c>
      <c r="O1849" s="35" t="b">
        <v>0</v>
      </c>
      <c r="P1849" s="35" t="b">
        <v>0</v>
      </c>
      <c r="Q1849" s="35" t="b">
        <v>0</v>
      </c>
      <c r="R1849" s="14"/>
      <c r="S1849" s="14"/>
      <c r="T1849" s="14"/>
      <c r="U1849" s="14"/>
      <c r="V1849" s="14"/>
      <c r="W1849" s="14"/>
    </row>
    <row r="1850" ht="31.5" customHeight="1">
      <c r="A1850" s="109" t="s">
        <v>16826</v>
      </c>
      <c r="B1850" s="110" t="s">
        <v>16827</v>
      </c>
      <c r="C1850" s="111" t="s">
        <v>16828</v>
      </c>
      <c r="D1850" s="28" t="s">
        <v>16829</v>
      </c>
      <c r="E1850" s="28" t="str">
        <f>IFERROR(__xludf.DUMMYFUNCTION("GOOGLETRANSLATE(D1850,""zh-CN"",""vi"")"),"Kế hoạch của họ đã thất bại.")</f>
        <v>Kế hoạch của họ đã thất bại.</v>
      </c>
      <c r="F1850" s="137"/>
      <c r="G1850" s="36" t="b">
        <f t="shared" si="1"/>
        <v>0</v>
      </c>
      <c r="H1850" s="35" t="b">
        <v>1</v>
      </c>
      <c r="I1850" s="35" t="b">
        <v>0</v>
      </c>
      <c r="J1850" s="35" t="b">
        <v>0</v>
      </c>
      <c r="K1850" s="35" t="b">
        <v>0</v>
      </c>
      <c r="L1850" s="35" t="b">
        <v>0</v>
      </c>
      <c r="M1850" s="35" t="b">
        <v>0</v>
      </c>
      <c r="N1850" s="35" t="b">
        <v>0</v>
      </c>
      <c r="O1850" s="35" t="b">
        <v>0</v>
      </c>
      <c r="P1850" s="35" t="b">
        <v>0</v>
      </c>
      <c r="Q1850" s="35" t="b">
        <v>0</v>
      </c>
      <c r="R1850" s="14"/>
      <c r="S1850" s="14"/>
      <c r="T1850" s="14"/>
      <c r="U1850" s="14"/>
      <c r="V1850" s="14"/>
      <c r="W1850" s="14"/>
    </row>
    <row r="1851" ht="31.5" customHeight="1">
      <c r="A1851" s="109" t="s">
        <v>16830</v>
      </c>
      <c r="B1851" s="110" t="s">
        <v>16831</v>
      </c>
      <c r="C1851" s="111" t="s">
        <v>16832</v>
      </c>
      <c r="D1851" s="28" t="s">
        <v>16833</v>
      </c>
      <c r="E1851" s="28" t="str">
        <f>IFERROR(__xludf.DUMMYFUNCTION("GOOGLETRANSLATE(D1851,""zh-CN"",""vi"")"),"Wow, nhìn kìa!")</f>
        <v>Wow, nhìn kìa!</v>
      </c>
      <c r="F1851" s="137"/>
      <c r="G1851" s="36" t="b">
        <f t="shared" si="1"/>
        <v>0</v>
      </c>
      <c r="H1851" s="35" t="b">
        <v>1</v>
      </c>
      <c r="I1851" s="35" t="b">
        <v>0</v>
      </c>
      <c r="J1851" s="35" t="b">
        <v>0</v>
      </c>
      <c r="K1851" s="35" t="b">
        <v>0</v>
      </c>
      <c r="L1851" s="35" t="b">
        <v>0</v>
      </c>
      <c r="M1851" s="35" t="b">
        <v>0</v>
      </c>
      <c r="N1851" s="35" t="b">
        <v>0</v>
      </c>
      <c r="O1851" s="35" t="b">
        <v>0</v>
      </c>
      <c r="P1851" s="35" t="b">
        <v>0</v>
      </c>
      <c r="Q1851" s="35" t="b">
        <v>0</v>
      </c>
      <c r="R1851" s="14"/>
      <c r="S1851" s="14"/>
      <c r="T1851" s="14"/>
      <c r="U1851" s="14"/>
      <c r="V1851" s="14"/>
      <c r="W1851" s="14"/>
    </row>
    <row r="1852" ht="31.5" customHeight="1">
      <c r="A1852" s="109" t="s">
        <v>16834</v>
      </c>
      <c r="B1852" s="110" t="s">
        <v>16835</v>
      </c>
      <c r="C1852" s="111" t="s">
        <v>16836</v>
      </c>
      <c r="D1852" s="28" t="s">
        <v>16837</v>
      </c>
      <c r="E1852" s="28" t="str">
        <f>IFERROR(__xludf.DUMMYFUNCTION("GOOGLETRANSLATE(D1852,""zh-CN"",""vi"")"),"Ông ta cố tình xuyên tạc sự thật.")</f>
        <v>Ông ta cố tình xuyên tạc sự thật.</v>
      </c>
      <c r="F1852" s="137"/>
      <c r="G1852" s="36" t="b">
        <f t="shared" si="1"/>
        <v>0</v>
      </c>
      <c r="H1852" s="35" t="b">
        <v>1</v>
      </c>
      <c r="I1852" s="35" t="b">
        <v>0</v>
      </c>
      <c r="J1852" s="35" t="b">
        <v>0</v>
      </c>
      <c r="K1852" s="35" t="b">
        <v>0</v>
      </c>
      <c r="L1852" s="35" t="b">
        <v>0</v>
      </c>
      <c r="M1852" s="35" t="b">
        <v>0</v>
      </c>
      <c r="N1852" s="35" t="b">
        <v>0</v>
      </c>
      <c r="O1852" s="35" t="b">
        <v>0</v>
      </c>
      <c r="P1852" s="35" t="b">
        <v>0</v>
      </c>
      <c r="Q1852" s="35" t="b">
        <v>0</v>
      </c>
      <c r="R1852" s="14"/>
      <c r="S1852" s="14"/>
      <c r="T1852" s="14"/>
      <c r="U1852" s="14"/>
      <c r="V1852" s="14"/>
      <c r="W1852" s="14"/>
    </row>
    <row r="1853" ht="31.5" customHeight="1">
      <c r="A1853" s="109" t="s">
        <v>16838</v>
      </c>
      <c r="B1853" s="110" t="s">
        <v>16839</v>
      </c>
      <c r="C1853" s="111" t="s">
        <v>16840</v>
      </c>
      <c r="D1853" s="28" t="s">
        <v>16841</v>
      </c>
      <c r="E1853" s="28" t="str">
        <f>IFERROR(__xludf.DUMMYFUNCTION("GOOGLETRANSLATE(D1853,""zh-CN"",""vi"")"),"Cô ấy rất xinh đẹp.")</f>
        <v>Cô ấy rất xinh đẹp.</v>
      </c>
      <c r="F1853" s="137"/>
      <c r="G1853" s="36" t="b">
        <f t="shared" si="1"/>
        <v>0</v>
      </c>
      <c r="H1853" s="35" t="b">
        <v>1</v>
      </c>
      <c r="I1853" s="35" t="b">
        <v>0</v>
      </c>
      <c r="J1853" s="35" t="b">
        <v>0</v>
      </c>
      <c r="K1853" s="35" t="b">
        <v>0</v>
      </c>
      <c r="L1853" s="35" t="b">
        <v>0</v>
      </c>
      <c r="M1853" s="35" t="b">
        <v>0</v>
      </c>
      <c r="N1853" s="35" t="b">
        <v>0</v>
      </c>
      <c r="O1853" s="35" t="b">
        <v>0</v>
      </c>
      <c r="P1853" s="35" t="b">
        <v>0</v>
      </c>
      <c r="Q1853" s="35" t="b">
        <v>0</v>
      </c>
      <c r="R1853" s="14"/>
      <c r="S1853" s="14"/>
      <c r="T1853" s="14"/>
      <c r="U1853" s="14"/>
      <c r="V1853" s="14"/>
      <c r="W1853" s="14"/>
    </row>
    <row r="1854" ht="31.5" customHeight="1">
      <c r="A1854" s="109" t="s">
        <v>16842</v>
      </c>
      <c r="B1854" s="110" t="s">
        <v>16843</v>
      </c>
      <c r="C1854" s="111" t="s">
        <v>16844</v>
      </c>
      <c r="D1854" s="28" t="s">
        <v>16845</v>
      </c>
      <c r="E1854" s="28" t="str">
        <f>IFERROR(__xludf.DUMMYFUNCTION("GOOGLETRANSLATE(D1854,""zh-CN"",""vi"")"),"Anh ta là một người nghiệp dư.")</f>
        <v>Anh ta là một người nghiệp dư.</v>
      </c>
      <c r="F1854" s="137"/>
      <c r="G1854" s="36" t="b">
        <f t="shared" si="1"/>
        <v>0</v>
      </c>
      <c r="H1854" s="35" t="b">
        <v>1</v>
      </c>
      <c r="I1854" s="35" t="b">
        <v>0</v>
      </c>
      <c r="J1854" s="35" t="b">
        <v>0</v>
      </c>
      <c r="K1854" s="35" t="b">
        <v>0</v>
      </c>
      <c r="L1854" s="35" t="b">
        <v>0</v>
      </c>
      <c r="M1854" s="35" t="b">
        <v>0</v>
      </c>
      <c r="N1854" s="35" t="b">
        <v>0</v>
      </c>
      <c r="O1854" s="35" t="b">
        <v>0</v>
      </c>
      <c r="P1854" s="35" t="b">
        <v>0</v>
      </c>
      <c r="Q1854" s="35" t="b">
        <v>0</v>
      </c>
      <c r="R1854" s="14"/>
      <c r="S1854" s="14"/>
      <c r="T1854" s="14"/>
      <c r="U1854" s="14"/>
      <c r="V1854" s="14"/>
      <c r="W1854" s="14"/>
    </row>
    <row r="1855" ht="31.5" customHeight="1">
      <c r="A1855" s="109" t="s">
        <v>16846</v>
      </c>
      <c r="B1855" s="110" t="s">
        <v>16847</v>
      </c>
      <c r="C1855" s="111" t="s">
        <v>16848</v>
      </c>
      <c r="D1855" s="28" t="s">
        <v>16849</v>
      </c>
      <c r="E1855" s="28" t="str">
        <f>IFERROR(__xludf.DUMMYFUNCTION("GOOGLETRANSLATE(D1855,""zh-CN"",""vi"")"),"Tin tức lan truyền ra khắp thế giới bên ngoài.")</f>
        <v>Tin tức lan truyền ra khắp thế giới bên ngoài.</v>
      </c>
      <c r="F1855" s="137"/>
      <c r="G1855" s="36" t="b">
        <f t="shared" si="1"/>
        <v>0</v>
      </c>
      <c r="H1855" s="35" t="b">
        <v>1</v>
      </c>
      <c r="I1855" s="35" t="b">
        <v>0</v>
      </c>
      <c r="J1855" s="35" t="b">
        <v>0</v>
      </c>
      <c r="K1855" s="35" t="b">
        <v>0</v>
      </c>
      <c r="L1855" s="35" t="b">
        <v>0</v>
      </c>
      <c r="M1855" s="35" t="b">
        <v>0</v>
      </c>
      <c r="N1855" s="35" t="b">
        <v>0</v>
      </c>
      <c r="O1855" s="35" t="b">
        <v>0</v>
      </c>
      <c r="P1855" s="35" t="b">
        <v>0</v>
      </c>
      <c r="Q1855" s="35" t="b">
        <v>0</v>
      </c>
      <c r="R1855" s="14"/>
      <c r="S1855" s="14"/>
      <c r="T1855" s="14"/>
      <c r="U1855" s="14"/>
      <c r="V1855" s="14"/>
      <c r="W1855" s="14"/>
    </row>
    <row r="1856" ht="31.5" customHeight="1">
      <c r="A1856" s="109" t="s">
        <v>16850</v>
      </c>
      <c r="B1856" s="110" t="s">
        <v>16851</v>
      </c>
      <c r="C1856" s="111" t="s">
        <v>16852</v>
      </c>
      <c r="D1856" s="28" t="s">
        <v>16853</v>
      </c>
      <c r="E1856" s="28" t="str">
        <f>IFERROR(__xludf.DUMMYFUNCTION("GOOGLETRANSLATE(D1856,""zh-CN"",""vi"")"),"Anh ấy có tính cách hướng ngoại.")</f>
        <v>Anh ấy có tính cách hướng ngoại.</v>
      </c>
      <c r="F1856" s="137"/>
      <c r="G1856" s="36" t="b">
        <f t="shared" si="1"/>
        <v>0</v>
      </c>
      <c r="H1856" s="35" t="b">
        <v>1</v>
      </c>
      <c r="I1856" s="35" t="b">
        <v>0</v>
      </c>
      <c r="J1856" s="35" t="b">
        <v>0</v>
      </c>
      <c r="K1856" s="35" t="b">
        <v>0</v>
      </c>
      <c r="L1856" s="35" t="b">
        <v>0</v>
      </c>
      <c r="M1856" s="35" t="b">
        <v>0</v>
      </c>
      <c r="N1856" s="35" t="b">
        <v>0</v>
      </c>
      <c r="O1856" s="35" t="b">
        <v>0</v>
      </c>
      <c r="P1856" s="35" t="b">
        <v>0</v>
      </c>
      <c r="Q1856" s="35" t="b">
        <v>0</v>
      </c>
      <c r="R1856" s="14"/>
      <c r="S1856" s="14"/>
      <c r="T1856" s="14"/>
      <c r="U1856" s="14"/>
      <c r="V1856" s="14"/>
      <c r="W1856" s="14"/>
    </row>
    <row r="1857" ht="31.5" customHeight="1">
      <c r="A1857" s="109" t="s">
        <v>16854</v>
      </c>
      <c r="B1857" s="110" t="s">
        <v>2248</v>
      </c>
      <c r="C1857" s="111" t="s">
        <v>16855</v>
      </c>
      <c r="D1857" s="28" t="s">
        <v>16856</v>
      </c>
      <c r="E1857" s="28" t="str">
        <f>IFERROR(__xludf.DUMMYFUNCTION("GOOGLETRANSLATE(D1857,""zh-CN"",""vi"")"),"Anh ấy đã uống một viên thuốc nhỏ.")</f>
        <v>Anh ấy đã uống một viên thuốc nhỏ.</v>
      </c>
      <c r="F1857" s="137"/>
      <c r="G1857" s="36" t="b">
        <f t="shared" si="1"/>
        <v>0</v>
      </c>
      <c r="H1857" s="35" t="b">
        <v>1</v>
      </c>
      <c r="I1857" s="35" t="b">
        <v>0</v>
      </c>
      <c r="J1857" s="35" t="b">
        <v>0</v>
      </c>
      <c r="K1857" s="35" t="b">
        <v>0</v>
      </c>
      <c r="L1857" s="35" t="b">
        <v>0</v>
      </c>
      <c r="M1857" s="35" t="b">
        <v>0</v>
      </c>
      <c r="N1857" s="35" t="b">
        <v>0</v>
      </c>
      <c r="O1857" s="35" t="b">
        <v>0</v>
      </c>
      <c r="P1857" s="35" t="b">
        <v>0</v>
      </c>
      <c r="Q1857" s="35" t="b">
        <v>0</v>
      </c>
      <c r="R1857" s="14"/>
      <c r="S1857" s="14"/>
      <c r="T1857" s="14"/>
      <c r="U1857" s="14"/>
      <c r="V1857" s="14"/>
      <c r="W1857" s="14"/>
    </row>
    <row r="1858" ht="31.5" customHeight="1">
      <c r="A1858" s="109" t="s">
        <v>16857</v>
      </c>
      <c r="B1858" s="110" t="s">
        <v>16858</v>
      </c>
      <c r="C1858" s="111" t="s">
        <v>16859</v>
      </c>
      <c r="D1858" s="28" t="s">
        <v>16860</v>
      </c>
      <c r="E1858" s="28" t="str">
        <f>IFERROR(__xludf.DUMMYFUNCTION("GOOGLETRANSLATE(D1858,""zh-CN"",""vi"")"),"Hệ thống đã hoàn tất.")</f>
        <v>Hệ thống đã hoàn tất.</v>
      </c>
      <c r="F1858" s="137"/>
      <c r="G1858" s="36" t="b">
        <f t="shared" si="1"/>
        <v>0</v>
      </c>
      <c r="H1858" s="35" t="b">
        <v>1</v>
      </c>
      <c r="I1858" s="35" t="b">
        <v>0</v>
      </c>
      <c r="J1858" s="35" t="b">
        <v>0</v>
      </c>
      <c r="K1858" s="35" t="b">
        <v>0</v>
      </c>
      <c r="L1858" s="35" t="b">
        <v>0</v>
      </c>
      <c r="M1858" s="35" t="b">
        <v>0</v>
      </c>
      <c r="N1858" s="35" t="b">
        <v>0</v>
      </c>
      <c r="O1858" s="35" t="b">
        <v>0</v>
      </c>
      <c r="P1858" s="35" t="b">
        <v>0</v>
      </c>
      <c r="Q1858" s="35" t="b">
        <v>0</v>
      </c>
      <c r="R1858" s="14"/>
      <c r="S1858" s="14"/>
      <c r="T1858" s="14"/>
      <c r="U1858" s="14"/>
      <c r="V1858" s="14"/>
      <c r="W1858" s="14"/>
    </row>
    <row r="1859" ht="31.5" customHeight="1">
      <c r="A1859" s="109" t="s">
        <v>16861</v>
      </c>
      <c r="B1859" s="110" t="s">
        <v>16862</v>
      </c>
      <c r="C1859" s="111" t="s">
        <v>16863</v>
      </c>
      <c r="D1859" s="28" t="s">
        <v>16864</v>
      </c>
      <c r="E1859" s="28" t="str">
        <f>IFERROR(__xludf.DUMMYFUNCTION("GOOGLETRANSLATE(D1859,""zh-CN"",""vi"")"),"Nhiệm vụ đã hoàn thành.")</f>
        <v>Nhiệm vụ đã hoàn thành.</v>
      </c>
      <c r="F1859" s="137"/>
      <c r="G1859" s="36" t="b">
        <f t="shared" si="1"/>
        <v>0</v>
      </c>
      <c r="H1859" s="35" t="b">
        <v>1</v>
      </c>
      <c r="I1859" s="35" t="b">
        <v>0</v>
      </c>
      <c r="J1859" s="35" t="b">
        <v>0</v>
      </c>
      <c r="K1859" s="35" t="b">
        <v>0</v>
      </c>
      <c r="L1859" s="35" t="b">
        <v>0</v>
      </c>
      <c r="M1859" s="35" t="b">
        <v>0</v>
      </c>
      <c r="N1859" s="35" t="b">
        <v>0</v>
      </c>
      <c r="O1859" s="35" t="b">
        <v>0</v>
      </c>
      <c r="P1859" s="35" t="b">
        <v>0</v>
      </c>
      <c r="Q1859" s="35" t="b">
        <v>0</v>
      </c>
      <c r="R1859" s="14"/>
      <c r="S1859" s="14"/>
      <c r="T1859" s="14"/>
      <c r="U1859" s="14"/>
      <c r="V1859" s="14"/>
      <c r="W1859" s="14"/>
    </row>
    <row r="1860" ht="31.5" customHeight="1">
      <c r="A1860" s="109" t="s">
        <v>16865</v>
      </c>
      <c r="B1860" s="110" t="s">
        <v>16866</v>
      </c>
      <c r="C1860" s="111" t="s">
        <v>16867</v>
      </c>
      <c r="D1860" s="28" t="s">
        <v>16868</v>
      </c>
      <c r="E1860" s="28" t="str">
        <f>IFERROR(__xludf.DUMMYFUNCTION("GOOGLETRANSLATE(D1860,""zh-CN"",""vi"")"),"Anh ta rất cứng đầu và không chịu thay đổi.")</f>
        <v>Anh ta rất cứng đầu và không chịu thay đổi.</v>
      </c>
      <c r="F1860" s="137"/>
      <c r="G1860" s="36" t="b">
        <f t="shared" si="1"/>
        <v>0</v>
      </c>
      <c r="H1860" s="35" t="b">
        <v>1</v>
      </c>
      <c r="I1860" s="35" t="b">
        <v>0</v>
      </c>
      <c r="J1860" s="35" t="b">
        <v>0</v>
      </c>
      <c r="K1860" s="35" t="b">
        <v>0</v>
      </c>
      <c r="L1860" s="35" t="b">
        <v>0</v>
      </c>
      <c r="M1860" s="35" t="b">
        <v>0</v>
      </c>
      <c r="N1860" s="35" t="b">
        <v>0</v>
      </c>
      <c r="O1860" s="35" t="b">
        <v>0</v>
      </c>
      <c r="P1860" s="35" t="b">
        <v>0</v>
      </c>
      <c r="Q1860" s="35" t="b">
        <v>0</v>
      </c>
      <c r="R1860" s="14"/>
      <c r="S1860" s="14"/>
      <c r="T1860" s="14"/>
      <c r="U1860" s="14"/>
      <c r="V1860" s="14"/>
      <c r="W1860" s="14"/>
    </row>
    <row r="1861" ht="31.5" customHeight="1">
      <c r="A1861" s="109" t="s">
        <v>16869</v>
      </c>
      <c r="B1861" s="110" t="s">
        <v>16870</v>
      </c>
      <c r="C1861" s="111" t="s">
        <v>16871</v>
      </c>
      <c r="D1861" s="28" t="s">
        <v>16872</v>
      </c>
      <c r="E1861" s="28" t="str">
        <f>IFERROR(__xludf.DUMMYFUNCTION("GOOGLETRANSLATE(D1861,""zh-CN"",""vi"")"),"Cô ta thích đùa giỡn với cảm xúc của người khác.")</f>
        <v>Cô ta thích đùa giỡn với cảm xúc của người khác.</v>
      </c>
      <c r="F1861" s="137"/>
      <c r="G1861" s="36" t="b">
        <f t="shared" si="1"/>
        <v>0</v>
      </c>
      <c r="H1861" s="35" t="b">
        <v>1</v>
      </c>
      <c r="I1861" s="35" t="b">
        <v>0</v>
      </c>
      <c r="J1861" s="35" t="b">
        <v>0</v>
      </c>
      <c r="K1861" s="35" t="b">
        <v>0</v>
      </c>
      <c r="L1861" s="35" t="b">
        <v>0</v>
      </c>
      <c r="M1861" s="35" t="b">
        <v>0</v>
      </c>
      <c r="N1861" s="35" t="b">
        <v>0</v>
      </c>
      <c r="O1861" s="35" t="b">
        <v>0</v>
      </c>
      <c r="P1861" s="35" t="b">
        <v>0</v>
      </c>
      <c r="Q1861" s="35" t="b">
        <v>0</v>
      </c>
      <c r="R1861" s="14"/>
      <c r="S1861" s="14"/>
      <c r="T1861" s="14"/>
      <c r="U1861" s="14"/>
      <c r="V1861" s="14"/>
      <c r="W1861" s="14"/>
    </row>
    <row r="1862" ht="31.5" customHeight="1">
      <c r="A1862" s="109" t="s">
        <v>16873</v>
      </c>
      <c r="B1862" s="110" t="s">
        <v>16874</v>
      </c>
      <c r="C1862" s="111" t="s">
        <v>16875</v>
      </c>
      <c r="D1862" s="28" t="s">
        <v>16876</v>
      </c>
      <c r="E1862" s="28" t="str">
        <f>IFERROR(__xludf.DUMMYFUNCTION("GOOGLETRANSLATE(D1862,""zh-CN"",""vi"")"),"Anh ấy đã thể hiện khả năng phục hồi tuyệt vời.")</f>
        <v>Anh ấy đã thể hiện khả năng phục hồi tuyệt vời.</v>
      </c>
      <c r="F1862" s="137"/>
      <c r="G1862" s="36" t="b">
        <f t="shared" si="1"/>
        <v>0</v>
      </c>
      <c r="H1862" s="35" t="b">
        <v>1</v>
      </c>
      <c r="I1862" s="35" t="b">
        <v>0</v>
      </c>
      <c r="J1862" s="35" t="b">
        <v>0</v>
      </c>
      <c r="K1862" s="35" t="b">
        <v>0</v>
      </c>
      <c r="L1862" s="35" t="b">
        <v>0</v>
      </c>
      <c r="M1862" s="35" t="b">
        <v>0</v>
      </c>
      <c r="N1862" s="35" t="b">
        <v>0</v>
      </c>
      <c r="O1862" s="35" t="b">
        <v>0</v>
      </c>
      <c r="P1862" s="35" t="b">
        <v>0</v>
      </c>
      <c r="Q1862" s="35" t="b">
        <v>0</v>
      </c>
      <c r="R1862" s="14"/>
      <c r="S1862" s="14"/>
      <c r="T1862" s="14"/>
      <c r="U1862" s="14"/>
      <c r="V1862" s="14"/>
      <c r="W1862" s="14"/>
    </row>
    <row r="1863" ht="31.5" customHeight="1">
      <c r="A1863" s="109" t="s">
        <v>16877</v>
      </c>
      <c r="B1863" s="110" t="s">
        <v>16878</v>
      </c>
      <c r="C1863" s="111" t="s">
        <v>16879</v>
      </c>
      <c r="D1863" s="28" t="s">
        <v>16880</v>
      </c>
      <c r="E1863" s="28" t="str">
        <f>IFERROR(__xludf.DUMMYFUNCTION("GOOGLETRANSLATE(D1863,""zh-CN"",""vi"")"),"Đây là một điều mới mẻ.")</f>
        <v>Đây là một điều mới mẻ.</v>
      </c>
      <c r="F1863" s="137"/>
      <c r="G1863" s="36" t="b">
        <f t="shared" si="1"/>
        <v>0</v>
      </c>
      <c r="H1863" s="35" t="b">
        <v>1</v>
      </c>
      <c r="I1863" s="35" t="b">
        <v>0</v>
      </c>
      <c r="J1863" s="35" t="b">
        <v>0</v>
      </c>
      <c r="K1863" s="35" t="b">
        <v>0</v>
      </c>
      <c r="L1863" s="35" t="b">
        <v>0</v>
      </c>
      <c r="M1863" s="35" t="b">
        <v>0</v>
      </c>
      <c r="N1863" s="35" t="b">
        <v>0</v>
      </c>
      <c r="O1863" s="35" t="b">
        <v>0</v>
      </c>
      <c r="P1863" s="35" t="b">
        <v>0</v>
      </c>
      <c r="Q1863" s="35" t="b">
        <v>0</v>
      </c>
      <c r="R1863" s="14"/>
      <c r="S1863" s="14"/>
      <c r="T1863" s="14"/>
      <c r="U1863" s="14"/>
      <c r="V1863" s="14"/>
      <c r="W1863" s="14"/>
    </row>
    <row r="1864" ht="31.5" customHeight="1">
      <c r="A1864" s="109" t="s">
        <v>16881</v>
      </c>
      <c r="B1864" s="110" t="s">
        <v>16882</v>
      </c>
      <c r="C1864" s="111" t="s">
        <v>16883</v>
      </c>
      <c r="D1864" s="28" t="s">
        <v>16884</v>
      </c>
      <c r="E1864" s="28" t="str">
        <f>IFERROR(__xludf.DUMMYFUNCTION("GOOGLETRANSLATE(D1864,""zh-CN"",""vi"")"),"Chúng ta phải bù đắp những tổn thất.")</f>
        <v>Chúng ta phải bù đắp những tổn thất.</v>
      </c>
      <c r="F1864" s="137"/>
      <c r="G1864" s="36" t="b">
        <f t="shared" si="1"/>
        <v>0</v>
      </c>
      <c r="H1864" s="35" t="b">
        <v>1</v>
      </c>
      <c r="I1864" s="35" t="b">
        <v>0</v>
      </c>
      <c r="J1864" s="35" t="b">
        <v>0</v>
      </c>
      <c r="K1864" s="35" t="b">
        <v>0</v>
      </c>
      <c r="L1864" s="35" t="b">
        <v>0</v>
      </c>
      <c r="M1864" s="35" t="b">
        <v>0</v>
      </c>
      <c r="N1864" s="35" t="b">
        <v>0</v>
      </c>
      <c r="O1864" s="35" t="b">
        <v>0</v>
      </c>
      <c r="P1864" s="35" t="b">
        <v>0</v>
      </c>
      <c r="Q1864" s="35" t="b">
        <v>0</v>
      </c>
      <c r="R1864" s="14"/>
      <c r="S1864" s="14"/>
      <c r="T1864" s="14"/>
      <c r="U1864" s="14"/>
      <c r="V1864" s="14"/>
      <c r="W1864" s="14"/>
    </row>
    <row r="1865" ht="31.5" customHeight="1">
      <c r="A1865" s="109" t="s">
        <v>16885</v>
      </c>
      <c r="B1865" s="110" t="s">
        <v>16886</v>
      </c>
      <c r="C1865" s="111" t="s">
        <v>16887</v>
      </c>
      <c r="D1865" s="28" t="s">
        <v>16888</v>
      </c>
      <c r="E1865" s="28" t="str">
        <f>IFERROR(__xludf.DUMMYFUNCTION("GOOGLETRANSLATE(D1865,""zh-CN"",""vi"")"),"Bác sĩ đã cứu sống bệnh nhân thành công.")</f>
        <v>Bác sĩ đã cứu sống bệnh nhân thành công.</v>
      </c>
      <c r="F1865" s="137"/>
      <c r="G1865" s="36" t="b">
        <f t="shared" si="1"/>
        <v>0</v>
      </c>
      <c r="H1865" s="35" t="b">
        <v>1</v>
      </c>
      <c r="I1865" s="35" t="b">
        <v>0</v>
      </c>
      <c r="J1865" s="35" t="b">
        <v>0</v>
      </c>
      <c r="K1865" s="35" t="b">
        <v>0</v>
      </c>
      <c r="L1865" s="35" t="b">
        <v>0</v>
      </c>
      <c r="M1865" s="35" t="b">
        <v>0</v>
      </c>
      <c r="N1865" s="35" t="b">
        <v>0</v>
      </c>
      <c r="O1865" s="35" t="b">
        <v>0</v>
      </c>
      <c r="P1865" s="35" t="b">
        <v>0</v>
      </c>
      <c r="Q1865" s="35" t="b">
        <v>0</v>
      </c>
      <c r="R1865" s="14"/>
      <c r="S1865" s="14"/>
      <c r="T1865" s="14"/>
      <c r="U1865" s="14"/>
      <c r="V1865" s="14"/>
      <c r="W1865" s="14"/>
    </row>
    <row r="1866" ht="31.5" customHeight="1">
      <c r="A1866" s="109" t="s">
        <v>16889</v>
      </c>
      <c r="B1866" s="110" t="s">
        <v>16890</v>
      </c>
      <c r="C1866" s="111" t="s">
        <v>16891</v>
      </c>
      <c r="D1866" s="28" t="s">
        <v>16892</v>
      </c>
      <c r="E1866" s="28" t="str">
        <f>IFERROR(__xludf.DUMMYFUNCTION("GOOGLETRANSLATE(D1866,""zh-CN"",""vi"")"),"Tôi vô cùng đau buồn trước sự ra đi của ông ấy.")</f>
        <v>Tôi vô cùng đau buồn trước sự ra đi của ông ấy.</v>
      </c>
      <c r="F1866" s="137"/>
      <c r="G1866" s="36" t="b">
        <f t="shared" si="1"/>
        <v>0</v>
      </c>
      <c r="H1866" s="35" t="b">
        <v>1</v>
      </c>
      <c r="I1866" s="35" t="b">
        <v>0</v>
      </c>
      <c r="J1866" s="35" t="b">
        <v>0</v>
      </c>
      <c r="K1866" s="35" t="b">
        <v>0</v>
      </c>
      <c r="L1866" s="35" t="b">
        <v>0</v>
      </c>
      <c r="M1866" s="35" t="b">
        <v>0</v>
      </c>
      <c r="N1866" s="35" t="b">
        <v>0</v>
      </c>
      <c r="O1866" s="35" t="b">
        <v>0</v>
      </c>
      <c r="P1866" s="35" t="b">
        <v>0</v>
      </c>
      <c r="Q1866" s="35" t="b">
        <v>0</v>
      </c>
      <c r="R1866" s="14"/>
      <c r="S1866" s="14"/>
      <c r="T1866" s="14"/>
      <c r="U1866" s="14"/>
      <c r="V1866" s="14"/>
      <c r="W1866" s="14"/>
    </row>
    <row r="1867" ht="31.5" customHeight="1">
      <c r="A1867" s="109" t="s">
        <v>16893</v>
      </c>
      <c r="B1867" s="110" t="s">
        <v>16894</v>
      </c>
      <c r="C1867" s="111" t="s">
        <v>16895</v>
      </c>
      <c r="D1867" s="28" t="s">
        <v>16896</v>
      </c>
      <c r="E1867" s="28" t="str">
        <f>IFERROR(__xludf.DUMMYFUNCTION("GOOGLETRANSLATE(D1867,""zh-CN"",""vi"")"),"Chúng tôi vô cùng biết ơn sự giúp đỡ của anh ấy.")</f>
        <v>Chúng tôi vô cùng biết ơn sự giúp đỡ của anh ấy.</v>
      </c>
      <c r="F1867" s="137"/>
      <c r="G1867" s="36" t="b">
        <f t="shared" si="1"/>
        <v>0</v>
      </c>
      <c r="H1867" s="35" t="b">
        <v>1</v>
      </c>
      <c r="I1867" s="35" t="b">
        <v>0</v>
      </c>
      <c r="J1867" s="35" t="b">
        <v>0</v>
      </c>
      <c r="K1867" s="35" t="b">
        <v>0</v>
      </c>
      <c r="L1867" s="35" t="b">
        <v>0</v>
      </c>
      <c r="M1867" s="35" t="b">
        <v>0</v>
      </c>
      <c r="N1867" s="35" t="b">
        <v>0</v>
      </c>
      <c r="O1867" s="35" t="b">
        <v>0</v>
      </c>
      <c r="P1867" s="35" t="b">
        <v>0</v>
      </c>
      <c r="Q1867" s="35" t="b">
        <v>0</v>
      </c>
      <c r="R1867" s="14"/>
      <c r="S1867" s="14"/>
      <c r="T1867" s="14"/>
      <c r="U1867" s="14"/>
      <c r="V1867" s="14"/>
      <c r="W1867" s="14"/>
    </row>
    <row r="1868" ht="31.5" customHeight="1">
      <c r="A1868" s="109" t="s">
        <v>16897</v>
      </c>
      <c r="B1868" s="110" t="s">
        <v>16898</v>
      </c>
      <c r="C1868" s="111" t="s">
        <v>16899</v>
      </c>
      <c r="D1868" s="28" t="s">
        <v>16900</v>
      </c>
      <c r="E1868" s="28" t="str">
        <f>IFERROR(__xludf.DUMMYFUNCTION("GOOGLETRANSLATE(D1868,""zh-CN"",""vi"")"),"Anh ấy dậy sớm như thường lệ.")</f>
        <v>Anh ấy dậy sớm như thường lệ.</v>
      </c>
      <c r="F1868" s="137"/>
      <c r="G1868" s="36" t="b">
        <f t="shared" si="1"/>
        <v>0</v>
      </c>
      <c r="H1868" s="35" t="b">
        <v>1</v>
      </c>
      <c r="I1868" s="35" t="b">
        <v>0</v>
      </c>
      <c r="J1868" s="35" t="b">
        <v>0</v>
      </c>
      <c r="K1868" s="35" t="b">
        <v>0</v>
      </c>
      <c r="L1868" s="35" t="b">
        <v>0</v>
      </c>
      <c r="M1868" s="35" t="b">
        <v>0</v>
      </c>
      <c r="N1868" s="35" t="b">
        <v>0</v>
      </c>
      <c r="O1868" s="35" t="b">
        <v>0</v>
      </c>
      <c r="P1868" s="35" t="b">
        <v>0</v>
      </c>
      <c r="Q1868" s="35" t="b">
        <v>0</v>
      </c>
      <c r="R1868" s="14"/>
      <c r="S1868" s="14"/>
      <c r="T1868" s="14"/>
      <c r="U1868" s="14"/>
      <c r="V1868" s="14"/>
      <c r="W1868" s="14"/>
    </row>
    <row r="1869" ht="31.5" customHeight="1">
      <c r="A1869" s="109" t="s">
        <v>11730</v>
      </c>
      <c r="B1869" s="110" t="s">
        <v>16901</v>
      </c>
      <c r="C1869" s="111" t="s">
        <v>16902</v>
      </c>
      <c r="D1869" s="28" t="s">
        <v>16903</v>
      </c>
      <c r="E1869" s="28" t="str">
        <f>IFERROR(__xludf.DUMMYFUNCTION("GOOGLETRANSLATE(D1869,""zh-CN"",""vi"")"),"Internet giúp mọi người dễ dàng tiếp cận thông tin hơn.")</f>
        <v>Internet giúp mọi người dễ dàng tiếp cận thông tin hơn.</v>
      </c>
      <c r="F1869" s="137"/>
      <c r="G1869" s="36" t="b">
        <f t="shared" si="1"/>
        <v>0</v>
      </c>
      <c r="H1869" s="35" t="b">
        <v>1</v>
      </c>
      <c r="I1869" s="35" t="b">
        <v>0</v>
      </c>
      <c r="J1869" s="35" t="b">
        <v>0</v>
      </c>
      <c r="K1869" s="35" t="b">
        <v>0</v>
      </c>
      <c r="L1869" s="35" t="b">
        <v>0</v>
      </c>
      <c r="M1869" s="35" t="b">
        <v>0</v>
      </c>
      <c r="N1869" s="35" t="b">
        <v>0</v>
      </c>
      <c r="O1869" s="35" t="b">
        <v>0</v>
      </c>
      <c r="P1869" s="35" t="b">
        <v>0</v>
      </c>
      <c r="Q1869" s="35" t="b">
        <v>0</v>
      </c>
      <c r="R1869" s="14"/>
      <c r="S1869" s="14"/>
      <c r="T1869" s="14"/>
      <c r="U1869" s="14"/>
      <c r="V1869" s="14"/>
      <c r="W1869" s="14"/>
    </row>
    <row r="1870" ht="31.5" customHeight="1">
      <c r="A1870" s="109" t="s">
        <v>16904</v>
      </c>
      <c r="B1870" s="110" t="s">
        <v>16905</v>
      </c>
      <c r="C1870" s="111" t="s">
        <v>16906</v>
      </c>
      <c r="D1870" s="28" t="s">
        <v>16907</v>
      </c>
      <c r="E1870" s="28" t="str">
        <f>IFERROR(__xludf.DUMMYFUNCTION("GOOGLETRANSLATE(D1870,""zh-CN"",""vi"")"),"Những sự kiện trong quá khứ vẫn còn in đậm trong tâm trí tôi.")</f>
        <v>Những sự kiện trong quá khứ vẫn còn in đậm trong tâm trí tôi.</v>
      </c>
      <c r="F1870" s="137"/>
      <c r="G1870" s="36" t="b">
        <f t="shared" si="1"/>
        <v>0</v>
      </c>
      <c r="H1870" s="35" t="b">
        <v>1</v>
      </c>
      <c r="I1870" s="35" t="b">
        <v>0</v>
      </c>
      <c r="J1870" s="35" t="b">
        <v>0</v>
      </c>
      <c r="K1870" s="35" t="b">
        <v>0</v>
      </c>
      <c r="L1870" s="35" t="b">
        <v>0</v>
      </c>
      <c r="M1870" s="35" t="b">
        <v>0</v>
      </c>
      <c r="N1870" s="35" t="b">
        <v>0</v>
      </c>
      <c r="O1870" s="35" t="b">
        <v>0</v>
      </c>
      <c r="P1870" s="35" t="b">
        <v>0</v>
      </c>
      <c r="Q1870" s="35" t="b">
        <v>0</v>
      </c>
      <c r="R1870" s="14"/>
      <c r="S1870" s="14"/>
      <c r="T1870" s="14"/>
      <c r="U1870" s="14"/>
      <c r="V1870" s="14"/>
      <c r="W1870" s="14"/>
    </row>
    <row r="1871" ht="31.5" customHeight="1">
      <c r="A1871" s="109" t="s">
        <v>16908</v>
      </c>
      <c r="B1871" s="110" t="s">
        <v>16909</v>
      </c>
      <c r="C1871" s="111" t="s">
        <v>16910</v>
      </c>
      <c r="D1871" s="28" t="s">
        <v>16911</v>
      </c>
      <c r="E1871" s="28" t="str">
        <f>IFERROR(__xludf.DUMMYFUNCTION("GOOGLETRANSLATE(D1871,""zh-CN"",""vi"")"),"Anh ấy luôn mơ tưởng về việc trúng xổ số.")</f>
        <v>Anh ấy luôn mơ tưởng về việc trúng xổ số.</v>
      </c>
      <c r="F1871" s="137"/>
      <c r="G1871" s="36" t="b">
        <f t="shared" si="1"/>
        <v>0</v>
      </c>
      <c r="H1871" s="35" t="b">
        <v>1</v>
      </c>
      <c r="I1871" s="35" t="b">
        <v>0</v>
      </c>
      <c r="J1871" s="35" t="b">
        <v>0</v>
      </c>
      <c r="K1871" s="35" t="b">
        <v>0</v>
      </c>
      <c r="L1871" s="35" t="b">
        <v>0</v>
      </c>
      <c r="M1871" s="35" t="b">
        <v>0</v>
      </c>
      <c r="N1871" s="35" t="b">
        <v>0</v>
      </c>
      <c r="O1871" s="35" t="b">
        <v>0</v>
      </c>
      <c r="P1871" s="35" t="b">
        <v>0</v>
      </c>
      <c r="Q1871" s="35" t="b">
        <v>0</v>
      </c>
      <c r="R1871" s="14"/>
      <c r="S1871" s="14"/>
      <c r="T1871" s="14"/>
      <c r="U1871" s="14"/>
      <c r="V1871" s="14"/>
      <c r="W1871" s="14"/>
    </row>
    <row r="1872" ht="31.5" customHeight="1">
      <c r="A1872" s="109" t="s">
        <v>16912</v>
      </c>
      <c r="B1872" s="110" t="s">
        <v>16913</v>
      </c>
      <c r="C1872" s="111" t="s">
        <v>16914</v>
      </c>
      <c r="D1872" s="28" t="s">
        <v>16915</v>
      </c>
      <c r="E1872" s="28" t="str">
        <f>IFERROR(__xludf.DUMMYFUNCTION("GOOGLETRANSLATE(D1872,""zh-CN"",""vi"")"),"Đây là một vấn đề đơn giản.")</f>
        <v>Đây là một vấn đề đơn giản.</v>
      </c>
      <c r="F1872" s="137"/>
      <c r="G1872" s="36" t="b">
        <f t="shared" si="1"/>
        <v>0</v>
      </c>
      <c r="H1872" s="35" t="b">
        <v>1</v>
      </c>
      <c r="I1872" s="35" t="b">
        <v>0</v>
      </c>
      <c r="J1872" s="35" t="b">
        <v>0</v>
      </c>
      <c r="K1872" s="35" t="b">
        <v>0</v>
      </c>
      <c r="L1872" s="35" t="b">
        <v>0</v>
      </c>
      <c r="M1872" s="35" t="b">
        <v>0</v>
      </c>
      <c r="N1872" s="35" t="b">
        <v>0</v>
      </c>
      <c r="O1872" s="35" t="b">
        <v>0</v>
      </c>
      <c r="P1872" s="35" t="b">
        <v>0</v>
      </c>
      <c r="Q1872" s="35" t="b">
        <v>0</v>
      </c>
      <c r="R1872" s="14"/>
      <c r="S1872" s="14"/>
      <c r="T1872" s="14"/>
      <c r="U1872" s="14"/>
      <c r="V1872" s="14"/>
      <c r="W1872" s="14"/>
    </row>
    <row r="1873" ht="31.5" customHeight="1">
      <c r="A1873" s="109" t="s">
        <v>16916</v>
      </c>
      <c r="B1873" s="110" t="s">
        <v>16917</v>
      </c>
      <c r="C1873" s="111" t="s">
        <v>16918</v>
      </c>
      <c r="D1873" s="28" t="s">
        <v>16919</v>
      </c>
      <c r="E1873" s="28" t="str">
        <f>IFERROR(__xludf.DUMMYFUNCTION("GOOGLETRANSLATE(D1873,""zh-CN"",""vi"")"),"Hành động của anh ấy rất đáng khen ngợi.")</f>
        <v>Hành động của anh ấy rất đáng khen ngợi.</v>
      </c>
      <c r="F1873" s="137"/>
      <c r="G1873" s="36" t="b">
        <f t="shared" si="1"/>
        <v>0</v>
      </c>
      <c r="H1873" s="35" t="b">
        <v>1</v>
      </c>
      <c r="I1873" s="35" t="b">
        <v>0</v>
      </c>
      <c r="J1873" s="35" t="b">
        <v>0</v>
      </c>
      <c r="K1873" s="35" t="b">
        <v>0</v>
      </c>
      <c r="L1873" s="35" t="b">
        <v>0</v>
      </c>
      <c r="M1873" s="35" t="b">
        <v>0</v>
      </c>
      <c r="N1873" s="35" t="b">
        <v>0</v>
      </c>
      <c r="O1873" s="35" t="b">
        <v>0</v>
      </c>
      <c r="P1873" s="35" t="b">
        <v>0</v>
      </c>
      <c r="Q1873" s="35" t="b">
        <v>0</v>
      </c>
      <c r="R1873" s="14"/>
      <c r="S1873" s="14"/>
      <c r="T1873" s="14"/>
      <c r="U1873" s="14"/>
      <c r="V1873" s="14"/>
      <c r="W1873" s="14"/>
    </row>
    <row r="1874" ht="31.5" customHeight="1">
      <c r="A1874" s="109" t="s">
        <v>16920</v>
      </c>
      <c r="B1874" s="110" t="s">
        <v>16921</v>
      </c>
      <c r="C1874" s="111" t="s">
        <v>16922</v>
      </c>
      <c r="D1874" s="28" t="s">
        <v>16923</v>
      </c>
      <c r="E1874" s="28" t="str">
        <f>IFERROR(__xludf.DUMMYFUNCTION("GOOGLETRANSLATE(D1874,""zh-CN"",""vi"")"),"Chúng ta cần phân tích vấn đề từ góc độ vi mô.")</f>
        <v>Chúng ta cần phân tích vấn đề từ góc độ vi mô.</v>
      </c>
      <c r="F1874" s="137"/>
      <c r="G1874" s="36" t="b">
        <f t="shared" si="1"/>
        <v>0</v>
      </c>
      <c r="H1874" s="35" t="b">
        <v>1</v>
      </c>
      <c r="I1874" s="35" t="b">
        <v>0</v>
      </c>
      <c r="J1874" s="35" t="b">
        <v>0</v>
      </c>
      <c r="K1874" s="35" t="b">
        <v>0</v>
      </c>
      <c r="L1874" s="35" t="b">
        <v>0</v>
      </c>
      <c r="M1874" s="35" t="b">
        <v>0</v>
      </c>
      <c r="N1874" s="35" t="b">
        <v>0</v>
      </c>
      <c r="O1874" s="35" t="b">
        <v>0</v>
      </c>
      <c r="P1874" s="35" t="b">
        <v>0</v>
      </c>
      <c r="Q1874" s="35" t="b">
        <v>0</v>
      </c>
      <c r="R1874" s="14"/>
      <c r="S1874" s="14"/>
      <c r="T1874" s="14"/>
      <c r="U1874" s="14"/>
      <c r="V1874" s="14"/>
      <c r="W1874" s="14"/>
    </row>
    <row r="1875" ht="31.5" customHeight="1">
      <c r="A1875" s="109" t="s">
        <v>16924</v>
      </c>
      <c r="B1875" s="110" t="s">
        <v>16925</v>
      </c>
      <c r="C1875" s="111" t="s">
        <v>16926</v>
      </c>
      <c r="D1875" s="28" t="s">
        <v>16927</v>
      </c>
      <c r="E1875" s="28" t="str">
        <f>IFERROR(__xludf.DUMMYFUNCTION("GOOGLETRANSLATE(D1875,""zh-CN"",""vi"")"),"Công ty đang đối mặt với khủng hoảng tài chính.")</f>
        <v>Công ty đang đối mặt với khủng hoảng tài chính.</v>
      </c>
      <c r="F1875" s="137"/>
      <c r="G1875" s="36" t="b">
        <f t="shared" si="1"/>
        <v>0</v>
      </c>
      <c r="H1875" s="35" t="b">
        <v>1</v>
      </c>
      <c r="I1875" s="35" t="b">
        <v>0</v>
      </c>
      <c r="J1875" s="35" t="b">
        <v>0</v>
      </c>
      <c r="K1875" s="35" t="b">
        <v>0</v>
      </c>
      <c r="L1875" s="35" t="b">
        <v>0</v>
      </c>
      <c r="M1875" s="35" t="b">
        <v>0</v>
      </c>
      <c r="N1875" s="35" t="b">
        <v>0</v>
      </c>
      <c r="O1875" s="35" t="b">
        <v>0</v>
      </c>
      <c r="P1875" s="35" t="b">
        <v>0</v>
      </c>
      <c r="Q1875" s="35" t="b">
        <v>0</v>
      </c>
      <c r="R1875" s="14"/>
      <c r="S1875" s="14"/>
      <c r="T1875" s="14"/>
      <c r="U1875" s="14"/>
      <c r="V1875" s="14"/>
      <c r="W1875" s="14"/>
    </row>
    <row r="1876" ht="31.5" customHeight="1">
      <c r="A1876" s="109" t="s">
        <v>16928</v>
      </c>
      <c r="B1876" s="110" t="s">
        <v>16929</v>
      </c>
      <c r="C1876" s="111" t="s">
        <v>16930</v>
      </c>
      <c r="D1876" s="28" t="s">
        <v>16931</v>
      </c>
      <c r="E1876" s="28" t="str">
        <f>IFERROR(__xludf.DUMMYFUNCTION("GOOGLETRANSLATE(D1876,""zh-CN"",""vi"")"),"Không nên đánh giá thấp sức mạnh của ông ta.")</f>
        <v>Không nên đánh giá thấp sức mạnh của ông ta.</v>
      </c>
      <c r="F1876" s="137"/>
      <c r="G1876" s="36" t="b">
        <f t="shared" si="1"/>
        <v>0</v>
      </c>
      <c r="H1876" s="35" t="b">
        <v>1</v>
      </c>
      <c r="I1876" s="35" t="b">
        <v>0</v>
      </c>
      <c r="J1876" s="35" t="b">
        <v>0</v>
      </c>
      <c r="K1876" s="35" t="b">
        <v>0</v>
      </c>
      <c r="L1876" s="35" t="b">
        <v>0</v>
      </c>
      <c r="M1876" s="35" t="b">
        <v>0</v>
      </c>
      <c r="N1876" s="35" t="b">
        <v>0</v>
      </c>
      <c r="O1876" s="35" t="b">
        <v>0</v>
      </c>
      <c r="P1876" s="35" t="b">
        <v>0</v>
      </c>
      <c r="Q1876" s="35" t="b">
        <v>0</v>
      </c>
      <c r="R1876" s="14"/>
      <c r="S1876" s="14"/>
      <c r="T1876" s="14"/>
      <c r="U1876" s="14"/>
      <c r="V1876" s="14"/>
      <c r="W1876" s="14"/>
    </row>
    <row r="1877" ht="31.5" customHeight="1">
      <c r="A1877" s="109" t="s">
        <v>16932</v>
      </c>
      <c r="B1877" s="110" t="s">
        <v>16933</v>
      </c>
      <c r="C1877" s="111" t="s">
        <v>16934</v>
      </c>
      <c r="D1877" s="28" t="s">
        <v>16935</v>
      </c>
      <c r="E1877" s="28" t="str">
        <f>IFERROR(__xludf.DUMMYFUNCTION("GOOGLETRANSLATE(D1877,""zh-CN"",""vi"")"),"Ông ấy có uy tín rất cao trong công ty.")</f>
        <v>Ông ấy có uy tín rất cao trong công ty.</v>
      </c>
      <c r="F1877" s="137"/>
      <c r="G1877" s="36" t="b">
        <f t="shared" si="1"/>
        <v>0</v>
      </c>
      <c r="H1877" s="35" t="b">
        <v>1</v>
      </c>
      <c r="I1877" s="35" t="b">
        <v>0</v>
      </c>
      <c r="J1877" s="35" t="b">
        <v>0</v>
      </c>
      <c r="K1877" s="35" t="b">
        <v>0</v>
      </c>
      <c r="L1877" s="35" t="b">
        <v>0</v>
      </c>
      <c r="M1877" s="35" t="b">
        <v>0</v>
      </c>
      <c r="N1877" s="35" t="b">
        <v>0</v>
      </c>
      <c r="O1877" s="35" t="b">
        <v>0</v>
      </c>
      <c r="P1877" s="35" t="b">
        <v>0</v>
      </c>
      <c r="Q1877" s="35" t="b">
        <v>0</v>
      </c>
      <c r="R1877" s="14"/>
      <c r="S1877" s="14"/>
      <c r="T1877" s="14"/>
      <c r="U1877" s="14"/>
      <c r="V1877" s="14"/>
      <c r="W1877" s="14"/>
    </row>
    <row r="1878" ht="31.5" customHeight="1">
      <c r="A1878" s="109" t="s">
        <v>16936</v>
      </c>
      <c r="B1878" s="110" t="s">
        <v>16937</v>
      </c>
      <c r="C1878" s="111" t="s">
        <v>16934</v>
      </c>
      <c r="D1878" s="28" t="s">
        <v>16938</v>
      </c>
      <c r="E1878" s="28" t="str">
        <f>IFERROR(__xludf.DUMMYFUNCTION("GOOGLETRANSLATE(D1878,""zh-CN"",""vi"")"),"Anh ấy có vị thế rất cao trong đội.")</f>
        <v>Anh ấy có vị thế rất cao trong đội.</v>
      </c>
      <c r="F1878" s="137"/>
      <c r="G1878" s="36" t="b">
        <f t="shared" si="1"/>
        <v>0</v>
      </c>
      <c r="H1878" s="35" t="b">
        <v>1</v>
      </c>
      <c r="I1878" s="35" t="b">
        <v>0</v>
      </c>
      <c r="J1878" s="35" t="b">
        <v>0</v>
      </c>
      <c r="K1878" s="35" t="b">
        <v>0</v>
      </c>
      <c r="L1878" s="35" t="b">
        <v>0</v>
      </c>
      <c r="M1878" s="35" t="b">
        <v>0</v>
      </c>
      <c r="N1878" s="35" t="b">
        <v>0</v>
      </c>
      <c r="O1878" s="35" t="b">
        <v>0</v>
      </c>
      <c r="P1878" s="35" t="b">
        <v>0</v>
      </c>
      <c r="Q1878" s="35" t="b">
        <v>0</v>
      </c>
      <c r="R1878" s="14"/>
      <c r="S1878" s="14"/>
      <c r="T1878" s="14"/>
      <c r="U1878" s="14"/>
      <c r="V1878" s="14"/>
      <c r="W1878" s="14"/>
    </row>
    <row r="1879" ht="31.5" customHeight="1">
      <c r="A1879" s="109" t="s">
        <v>16939</v>
      </c>
      <c r="B1879" s="110" t="s">
        <v>16940</v>
      </c>
      <c r="C1879" s="111" t="s">
        <v>16941</v>
      </c>
      <c r="D1879" s="28" t="s">
        <v>16942</v>
      </c>
      <c r="E1879" s="28" t="str">
        <f>IFERROR(__xludf.DUMMYFUNCTION("GOOGLETRANSLATE(D1879,""zh-CN"",""vi"")"),"Hành động của anh ta đã vi phạm nội quy công ty.")</f>
        <v>Hành động của anh ta đã vi phạm nội quy công ty.</v>
      </c>
      <c r="F1879" s="137"/>
      <c r="G1879" s="36" t="b">
        <f t="shared" si="1"/>
        <v>0</v>
      </c>
      <c r="H1879" s="35" t="b">
        <v>1</v>
      </c>
      <c r="I1879" s="35" t="b">
        <v>0</v>
      </c>
      <c r="J1879" s="35" t="b">
        <v>0</v>
      </c>
      <c r="K1879" s="35" t="b">
        <v>0</v>
      </c>
      <c r="L1879" s="35" t="b">
        <v>0</v>
      </c>
      <c r="M1879" s="35" t="b">
        <v>0</v>
      </c>
      <c r="N1879" s="35" t="b">
        <v>0</v>
      </c>
      <c r="O1879" s="35" t="b">
        <v>0</v>
      </c>
      <c r="P1879" s="35" t="b">
        <v>0</v>
      </c>
      <c r="Q1879" s="35" t="b">
        <v>0</v>
      </c>
      <c r="R1879" s="14"/>
      <c r="S1879" s="14"/>
      <c r="T1879" s="14"/>
      <c r="U1879" s="14"/>
      <c r="V1879" s="14"/>
      <c r="W1879" s="14"/>
    </row>
    <row r="1880" ht="31.5" customHeight="1">
      <c r="A1880" s="109" t="s">
        <v>16943</v>
      </c>
      <c r="B1880" s="110" t="s">
        <v>16944</v>
      </c>
      <c r="C1880" s="111" t="s">
        <v>16945</v>
      </c>
      <c r="D1880" s="28" t="s">
        <v>16946</v>
      </c>
      <c r="E1880" s="28" t="str">
        <f>IFERROR(__xludf.DUMMYFUNCTION("GOOGLETRANSLATE(D1880,""zh-CN"",""vi"")"),"Chúng ta cần duy trì hiện trạng.")</f>
        <v>Chúng ta cần duy trì hiện trạng.</v>
      </c>
      <c r="F1880" s="137"/>
      <c r="G1880" s="36" t="b">
        <f t="shared" si="1"/>
        <v>0</v>
      </c>
      <c r="H1880" s="35" t="b">
        <v>1</v>
      </c>
      <c r="I1880" s="35" t="b">
        <v>0</v>
      </c>
      <c r="J1880" s="35" t="b">
        <v>0</v>
      </c>
      <c r="K1880" s="35" t="b">
        <v>0</v>
      </c>
      <c r="L1880" s="35" t="b">
        <v>0</v>
      </c>
      <c r="M1880" s="35" t="b">
        <v>0</v>
      </c>
      <c r="N1880" s="35" t="b">
        <v>0</v>
      </c>
      <c r="O1880" s="35" t="b">
        <v>0</v>
      </c>
      <c r="P1880" s="35" t="b">
        <v>0</v>
      </c>
      <c r="Q1880" s="35" t="b">
        <v>0</v>
      </c>
      <c r="R1880" s="14"/>
      <c r="S1880" s="14"/>
      <c r="T1880" s="14"/>
      <c r="U1880" s="14"/>
      <c r="V1880" s="14"/>
      <c r="W1880" s="14"/>
    </row>
    <row r="1881" ht="31.5" customHeight="1">
      <c r="A1881" s="109" t="s">
        <v>16947</v>
      </c>
      <c r="B1881" s="110" t="s">
        <v>16948</v>
      </c>
      <c r="C1881" s="111" t="s">
        <v>16949</v>
      </c>
      <c r="D1881" s="28" t="s">
        <v>16950</v>
      </c>
      <c r="E1881" s="28" t="str">
        <f>IFERROR(__xludf.DUMMYFUNCTION("GOOGLETRANSLATE(D1881,""zh-CN"",""vi"")"),"Chỉ có bạn mới hiểu được tôi.")</f>
        <v>Chỉ có bạn mới hiểu được tôi.</v>
      </c>
      <c r="F1881" s="137"/>
      <c r="G1881" s="36" t="b">
        <f t="shared" si="1"/>
        <v>0</v>
      </c>
      <c r="H1881" s="35" t="b">
        <v>1</v>
      </c>
      <c r="I1881" s="35" t="b">
        <v>0</v>
      </c>
      <c r="J1881" s="35" t="b">
        <v>0</v>
      </c>
      <c r="K1881" s="35" t="b">
        <v>0</v>
      </c>
      <c r="L1881" s="35" t="b">
        <v>0</v>
      </c>
      <c r="M1881" s="35" t="b">
        <v>0</v>
      </c>
      <c r="N1881" s="35" t="b">
        <v>0</v>
      </c>
      <c r="O1881" s="35" t="b">
        <v>0</v>
      </c>
      <c r="P1881" s="35" t="b">
        <v>0</v>
      </c>
      <c r="Q1881" s="35" t="b">
        <v>0</v>
      </c>
      <c r="R1881" s="14"/>
      <c r="S1881" s="14"/>
      <c r="T1881" s="14"/>
      <c r="U1881" s="14"/>
      <c r="V1881" s="14"/>
      <c r="W1881" s="14"/>
    </row>
    <row r="1882" ht="31.5" customHeight="1">
      <c r="A1882" s="109" t="s">
        <v>16951</v>
      </c>
      <c r="B1882" s="110" t="s">
        <v>16952</v>
      </c>
      <c r="C1882" s="111" t="s">
        <v>16953</v>
      </c>
      <c r="D1882" s="28" t="s">
        <v>16954</v>
      </c>
      <c r="E1882" s="28" t="str">
        <f>IFERROR(__xludf.DUMMYFUNCTION("GOOGLETRANSLATE(D1882,""zh-CN"",""vi"")"),"Anh ấy cảm thấy rất xấu hổ.")</f>
        <v>Anh ấy cảm thấy rất xấu hổ.</v>
      </c>
      <c r="F1882" s="137"/>
      <c r="G1882" s="36" t="b">
        <f t="shared" si="1"/>
        <v>0</v>
      </c>
      <c r="H1882" s="35" t="b">
        <v>1</v>
      </c>
      <c r="I1882" s="35" t="b">
        <v>0</v>
      </c>
      <c r="J1882" s="35" t="b">
        <v>0</v>
      </c>
      <c r="K1882" s="35" t="b">
        <v>0</v>
      </c>
      <c r="L1882" s="35" t="b">
        <v>0</v>
      </c>
      <c r="M1882" s="35" t="b">
        <v>0</v>
      </c>
      <c r="N1882" s="35" t="b">
        <v>0</v>
      </c>
      <c r="O1882" s="35" t="b">
        <v>0</v>
      </c>
      <c r="P1882" s="35" t="b">
        <v>0</v>
      </c>
      <c r="Q1882" s="35" t="b">
        <v>0</v>
      </c>
      <c r="R1882" s="14"/>
      <c r="S1882" s="14"/>
      <c r="T1882" s="14"/>
      <c r="U1882" s="14"/>
      <c r="V1882" s="14"/>
      <c r="W1882" s="14"/>
    </row>
    <row r="1883" ht="31.5" customHeight="1">
      <c r="A1883" s="109" t="s">
        <v>16955</v>
      </c>
      <c r="B1883" s="110" t="s">
        <v>16956</v>
      </c>
      <c r="C1883" s="111" t="s">
        <v>16957</v>
      </c>
      <c r="D1883" s="28" t="s">
        <v>16958</v>
      </c>
      <c r="E1883" s="28" t="str">
        <f>IFERROR(__xludf.DUMMYFUNCTION("GOOGLETRANSLATE(D1883,""zh-CN"",""vi"")"),"Dự án này sẽ kéo dài ba tháng.")</f>
        <v>Dự án này sẽ kéo dài ba tháng.</v>
      </c>
      <c r="F1883" s="137"/>
      <c r="G1883" s="36" t="b">
        <f t="shared" si="1"/>
        <v>0</v>
      </c>
      <c r="H1883" s="35" t="b">
        <v>1</v>
      </c>
      <c r="I1883" s="35" t="b">
        <v>0</v>
      </c>
      <c r="J1883" s="35" t="b">
        <v>0</v>
      </c>
      <c r="K1883" s="35" t="b">
        <v>0</v>
      </c>
      <c r="L1883" s="35" t="b">
        <v>0</v>
      </c>
      <c r="M1883" s="35" t="b">
        <v>0</v>
      </c>
      <c r="N1883" s="35" t="b">
        <v>0</v>
      </c>
      <c r="O1883" s="35" t="b">
        <v>0</v>
      </c>
      <c r="P1883" s="35" t="b">
        <v>0</v>
      </c>
      <c r="Q1883" s="35" t="b">
        <v>0</v>
      </c>
      <c r="R1883" s="14"/>
      <c r="S1883" s="14"/>
      <c r="T1883" s="14"/>
      <c r="U1883" s="14"/>
      <c r="V1883" s="14"/>
      <c r="W1883" s="14"/>
    </row>
    <row r="1884" ht="31.5" customHeight="1">
      <c r="A1884" s="109" t="s">
        <v>16959</v>
      </c>
      <c r="B1884" s="110" t="s">
        <v>16960</v>
      </c>
      <c r="C1884" s="111" t="s">
        <v>16961</v>
      </c>
      <c r="D1884" s="28" t="s">
        <v>16962</v>
      </c>
      <c r="E1884" s="28" t="str">
        <f>IFERROR(__xludf.DUMMYFUNCTION("GOOGLETRANSLATE(D1884,""zh-CN"",""vi"")"),"Ăn nhiều trái cây có thể giúp bổ sung vitamin.")</f>
        <v>Ăn nhiều trái cây có thể giúp bổ sung vitamin.</v>
      </c>
      <c r="F1884" s="137"/>
      <c r="G1884" s="36" t="b">
        <f t="shared" si="1"/>
        <v>0</v>
      </c>
      <c r="H1884" s="35" t="b">
        <v>1</v>
      </c>
      <c r="I1884" s="35" t="b">
        <v>0</v>
      </c>
      <c r="J1884" s="35" t="b">
        <v>0</v>
      </c>
      <c r="K1884" s="35" t="b">
        <v>0</v>
      </c>
      <c r="L1884" s="35" t="b">
        <v>0</v>
      </c>
      <c r="M1884" s="35" t="b">
        <v>0</v>
      </c>
      <c r="N1884" s="35" t="b">
        <v>0</v>
      </c>
      <c r="O1884" s="35" t="b">
        <v>0</v>
      </c>
      <c r="P1884" s="35" t="b">
        <v>0</v>
      </c>
      <c r="Q1884" s="35" t="b">
        <v>0</v>
      </c>
      <c r="R1884" s="14"/>
      <c r="S1884" s="14"/>
      <c r="T1884" s="14"/>
      <c r="U1884" s="14"/>
      <c r="V1884" s="14"/>
      <c r="W1884" s="14"/>
    </row>
    <row r="1885" ht="31.5" customHeight="1">
      <c r="A1885" s="109" t="s">
        <v>16963</v>
      </c>
      <c r="B1885" s="110" t="s">
        <v>16964</v>
      </c>
      <c r="C1885" s="111" t="s">
        <v>16965</v>
      </c>
      <c r="D1885" s="28" t="s">
        <v>16966</v>
      </c>
      <c r="E1885" s="28" t="str">
        <f>IFERROR(__xludf.DUMMYFUNCTION("GOOGLETRANSLATE(D1885,""zh-CN"",""vi"")"),"Ông ấy là người lãnh đạo sự kiện này.")</f>
        <v>Ông ấy là người lãnh đạo sự kiện này.</v>
      </c>
      <c r="F1885" s="137"/>
      <c r="G1885" s="36" t="b">
        <f t="shared" si="1"/>
        <v>0</v>
      </c>
      <c r="H1885" s="35" t="b">
        <v>1</v>
      </c>
      <c r="I1885" s="35" t="b">
        <v>0</v>
      </c>
      <c r="J1885" s="35" t="b">
        <v>0</v>
      </c>
      <c r="K1885" s="35" t="b">
        <v>0</v>
      </c>
      <c r="L1885" s="35" t="b">
        <v>0</v>
      </c>
      <c r="M1885" s="35" t="b">
        <v>0</v>
      </c>
      <c r="N1885" s="35" t="b">
        <v>0</v>
      </c>
      <c r="O1885" s="35" t="b">
        <v>0</v>
      </c>
      <c r="P1885" s="35" t="b">
        <v>0</v>
      </c>
      <c r="Q1885" s="35" t="b">
        <v>0</v>
      </c>
      <c r="R1885" s="14"/>
      <c r="S1885" s="14"/>
      <c r="T1885" s="14"/>
      <c r="U1885" s="14"/>
      <c r="V1885" s="14"/>
      <c r="W1885" s="14"/>
    </row>
    <row r="1886" ht="31.5" customHeight="1">
      <c r="A1886" s="109" t="s">
        <v>11808</v>
      </c>
      <c r="B1886" s="110" t="s">
        <v>16967</v>
      </c>
      <c r="C1886" s="111" t="s">
        <v>16968</v>
      </c>
      <c r="D1886" s="28" t="s">
        <v>16969</v>
      </c>
      <c r="E1886" s="28" t="str">
        <f>IFERROR(__xludf.DUMMYFUNCTION("GOOGLETRANSLATE(D1886,""zh-CN"",""vi"")"),"Chúng ta cần bảo trì thiết bị thường xuyên.")</f>
        <v>Chúng ta cần bảo trì thiết bị thường xuyên.</v>
      </c>
      <c r="F1886" s="137"/>
      <c r="G1886" s="36" t="b">
        <f t="shared" si="1"/>
        <v>0</v>
      </c>
      <c r="H1886" s="35" t="b">
        <v>1</v>
      </c>
      <c r="I1886" s="35" t="b">
        <v>0</v>
      </c>
      <c r="J1886" s="35" t="b">
        <v>0</v>
      </c>
      <c r="K1886" s="35" t="b">
        <v>0</v>
      </c>
      <c r="L1886" s="35" t="b">
        <v>0</v>
      </c>
      <c r="M1886" s="35" t="b">
        <v>0</v>
      </c>
      <c r="N1886" s="35" t="b">
        <v>0</v>
      </c>
      <c r="O1886" s="35" t="b">
        <v>0</v>
      </c>
      <c r="P1886" s="35" t="b">
        <v>0</v>
      </c>
      <c r="Q1886" s="35" t="b">
        <v>0</v>
      </c>
      <c r="R1886" s="14"/>
      <c r="S1886" s="14"/>
      <c r="T1886" s="14"/>
      <c r="U1886" s="14"/>
      <c r="V1886" s="14"/>
      <c r="W1886" s="14"/>
    </row>
    <row r="1887" ht="31.5" customHeight="1">
      <c r="A1887" s="109" t="s">
        <v>16970</v>
      </c>
      <c r="B1887" s="110" t="s">
        <v>16971</v>
      </c>
      <c r="C1887" s="111" t="s">
        <v>16972</v>
      </c>
      <c r="D1887" s="28" t="s">
        <v>16973</v>
      </c>
      <c r="E1887" s="28" t="str">
        <f>IFERROR(__xludf.DUMMYFUNCTION("GOOGLETRANSLATE(D1887,""zh-CN"",""vi"")"),"Ông ấy là thành viên của ủy ban.")</f>
        <v>Ông ấy là thành viên của ủy ban.</v>
      </c>
      <c r="F1887" s="137"/>
      <c r="G1887" s="36" t="b">
        <f t="shared" si="1"/>
        <v>0</v>
      </c>
      <c r="H1887" s="35" t="b">
        <v>1</v>
      </c>
      <c r="I1887" s="35" t="b">
        <v>0</v>
      </c>
      <c r="J1887" s="35" t="b">
        <v>0</v>
      </c>
      <c r="K1887" s="35" t="b">
        <v>0</v>
      </c>
      <c r="L1887" s="35" t="b">
        <v>0</v>
      </c>
      <c r="M1887" s="35" t="b">
        <v>0</v>
      </c>
      <c r="N1887" s="35" t="b">
        <v>0</v>
      </c>
      <c r="O1887" s="35" t="b">
        <v>0</v>
      </c>
      <c r="P1887" s="35" t="b">
        <v>0</v>
      </c>
      <c r="Q1887" s="35" t="b">
        <v>0</v>
      </c>
      <c r="R1887" s="14"/>
      <c r="S1887" s="14"/>
      <c r="T1887" s="14"/>
      <c r="U1887" s="14"/>
      <c r="V1887" s="14"/>
      <c r="W1887" s="14"/>
    </row>
    <row r="1888" ht="31.5" customHeight="1">
      <c r="A1888" s="109" t="s">
        <v>16974</v>
      </c>
      <c r="B1888" s="110" t="s">
        <v>16975</v>
      </c>
      <c r="C1888" s="111" t="s">
        <v>16976</v>
      </c>
      <c r="D1888" s="28" t="s">
        <v>16977</v>
      </c>
      <c r="E1888" s="28" t="str">
        <f>IFERROR(__xludf.DUMMYFUNCTION("GOOGLETRANSLATE(D1888,""zh-CN"",""vi"")"),"Ông ta bị buộc tội làm giả giấy tờ.")</f>
        <v>Ông ta bị buộc tội làm giả giấy tờ.</v>
      </c>
      <c r="F1888" s="137"/>
      <c r="G1888" s="36" t="b">
        <f t="shared" si="1"/>
        <v>0</v>
      </c>
      <c r="H1888" s="35" t="b">
        <v>1</v>
      </c>
      <c r="I1888" s="35" t="b">
        <v>0</v>
      </c>
      <c r="J1888" s="35" t="b">
        <v>0</v>
      </c>
      <c r="K1888" s="35" t="b">
        <v>0</v>
      </c>
      <c r="L1888" s="35" t="b">
        <v>0</v>
      </c>
      <c r="M1888" s="35" t="b">
        <v>0</v>
      </c>
      <c r="N1888" s="35" t="b">
        <v>0</v>
      </c>
      <c r="O1888" s="35" t="b">
        <v>0</v>
      </c>
      <c r="P1888" s="35" t="b">
        <v>0</v>
      </c>
      <c r="Q1888" s="35" t="b">
        <v>0</v>
      </c>
      <c r="R1888" s="14"/>
      <c r="S1888" s="14"/>
      <c r="T1888" s="14"/>
      <c r="U1888" s="14"/>
      <c r="V1888" s="14"/>
      <c r="W1888" s="14"/>
    </row>
    <row r="1889" ht="31.5" customHeight="1">
      <c r="A1889" s="109" t="s">
        <v>16978</v>
      </c>
      <c r="B1889" s="110" t="s">
        <v>16979</v>
      </c>
      <c r="C1889" s="111" t="s">
        <v>16980</v>
      </c>
      <c r="D1889" s="28" t="s">
        <v>16981</v>
      </c>
      <c r="E1889" s="28" t="str">
        <f>IFERROR(__xludf.DUMMYFUNCTION("GOOGLETRANSLATE(D1889,""zh-CN"",""vi"")"),"Anh ấy sợ những điều chưa biết.")</f>
        <v>Anh ấy sợ những điều chưa biết.</v>
      </c>
      <c r="F1889" s="137"/>
      <c r="G1889" s="36" t="b">
        <f t="shared" si="1"/>
        <v>0</v>
      </c>
      <c r="H1889" s="35" t="b">
        <v>1</v>
      </c>
      <c r="I1889" s="35" t="b">
        <v>0</v>
      </c>
      <c r="J1889" s="35" t="b">
        <v>0</v>
      </c>
      <c r="K1889" s="35" t="b">
        <v>0</v>
      </c>
      <c r="L1889" s="35" t="b">
        <v>0</v>
      </c>
      <c r="M1889" s="35" t="b">
        <v>0</v>
      </c>
      <c r="N1889" s="35" t="b">
        <v>0</v>
      </c>
      <c r="O1889" s="35" t="b">
        <v>0</v>
      </c>
      <c r="P1889" s="35" t="b">
        <v>0</v>
      </c>
      <c r="Q1889" s="35" t="b">
        <v>0</v>
      </c>
      <c r="R1889" s="14"/>
      <c r="S1889" s="14"/>
      <c r="T1889" s="14"/>
      <c r="U1889" s="14"/>
      <c r="V1889" s="14"/>
      <c r="W1889" s="14"/>
    </row>
    <row r="1890" ht="31.5" customHeight="1">
      <c r="A1890" s="109" t="s">
        <v>11884</v>
      </c>
      <c r="B1890" s="110" t="s">
        <v>16982</v>
      </c>
      <c r="C1890" s="111" t="s">
        <v>16983</v>
      </c>
      <c r="D1890" s="28" t="s">
        <v>16984</v>
      </c>
      <c r="E1890" s="28" t="str">
        <f>IFERROR(__xludf.DUMMYFUNCTION("GOOGLETRANSLATE(D1890,""zh-CN"",""vi"")"),"Anh ta không có cảm giác thèm ăn.")</f>
        <v>Anh ta không có cảm giác thèm ăn.</v>
      </c>
      <c r="F1890" s="137"/>
      <c r="G1890" s="36" t="b">
        <f t="shared" si="1"/>
        <v>0</v>
      </c>
      <c r="H1890" s="35" t="b">
        <v>1</v>
      </c>
      <c r="I1890" s="35" t="b">
        <v>0</v>
      </c>
      <c r="J1890" s="35" t="b">
        <v>0</v>
      </c>
      <c r="K1890" s="35" t="b">
        <v>0</v>
      </c>
      <c r="L1890" s="35" t="b">
        <v>0</v>
      </c>
      <c r="M1890" s="35" t="b">
        <v>0</v>
      </c>
      <c r="N1890" s="35" t="b">
        <v>0</v>
      </c>
      <c r="O1890" s="35" t="b">
        <v>0</v>
      </c>
      <c r="P1890" s="35" t="b">
        <v>0</v>
      </c>
      <c r="Q1890" s="35" t="b">
        <v>0</v>
      </c>
      <c r="R1890" s="14"/>
      <c r="S1890" s="14"/>
      <c r="T1890" s="14"/>
      <c r="U1890" s="14"/>
      <c r="V1890" s="14"/>
      <c r="W1890" s="14"/>
    </row>
    <row r="1891" ht="31.5" customHeight="1">
      <c r="A1891" s="109" t="s">
        <v>16985</v>
      </c>
      <c r="B1891" s="110" t="s">
        <v>16986</v>
      </c>
      <c r="C1891" s="111" t="s">
        <v>16987</v>
      </c>
      <c r="D1891" s="28" t="s">
        <v>16988</v>
      </c>
      <c r="E1891" s="28" t="str">
        <f>IFERROR(__xludf.DUMMYFUNCTION("GOOGLETRANSLATE(D1891,""zh-CN"",""vi"")"),"Điều này hơi phóng đại một chút.")</f>
        <v>Điều này hơi phóng đại một chút.</v>
      </c>
      <c r="F1891" s="137"/>
      <c r="G1891" s="36" t="b">
        <f t="shared" si="1"/>
        <v>0</v>
      </c>
      <c r="H1891" s="35" t="b">
        <v>1</v>
      </c>
      <c r="I1891" s="35" t="b">
        <v>0</v>
      </c>
      <c r="J1891" s="35" t="b">
        <v>0</v>
      </c>
      <c r="K1891" s="35" t="b">
        <v>0</v>
      </c>
      <c r="L1891" s="35" t="b">
        <v>0</v>
      </c>
      <c r="M1891" s="35" t="b">
        <v>0</v>
      </c>
      <c r="N1891" s="35" t="b">
        <v>0</v>
      </c>
      <c r="O1891" s="35" t="b">
        <v>0</v>
      </c>
      <c r="P1891" s="35" t="b">
        <v>0</v>
      </c>
      <c r="Q1891" s="35" t="b">
        <v>0</v>
      </c>
      <c r="R1891" s="14"/>
      <c r="S1891" s="14"/>
      <c r="T1891" s="14"/>
      <c r="U1891" s="14"/>
      <c r="V1891" s="14"/>
      <c r="W1891" s="14"/>
    </row>
    <row r="1892" ht="31.5" customHeight="1">
      <c r="A1892" s="109" t="s">
        <v>16989</v>
      </c>
      <c r="B1892" s="110" t="s">
        <v>16990</v>
      </c>
      <c r="C1892" s="111" t="s">
        <v>16991</v>
      </c>
      <c r="D1892" s="28" t="s">
        <v>16992</v>
      </c>
      <c r="E1892" s="28" t="str">
        <f>IFERROR(__xludf.DUMMYFUNCTION("GOOGLETRANSLATE(D1892,""zh-CN"",""vi"")"),"Chúng tôi xin gửi lời chia buồn sâu sắc nhất đến người dân tại khu vực bị ảnh hưởng bởi thảm họa.")</f>
        <v>Chúng tôi xin gửi lời chia buồn sâu sắc nhất đến người dân tại khu vực bị ảnh hưởng bởi thảm họa.</v>
      </c>
      <c r="F1892" s="137"/>
      <c r="G1892" s="36" t="b">
        <f t="shared" si="1"/>
        <v>0</v>
      </c>
      <c r="H1892" s="35" t="b">
        <v>1</v>
      </c>
      <c r="I1892" s="35" t="b">
        <v>0</v>
      </c>
      <c r="J1892" s="35" t="b">
        <v>0</v>
      </c>
      <c r="K1892" s="35" t="b">
        <v>0</v>
      </c>
      <c r="L1892" s="35" t="b">
        <v>0</v>
      </c>
      <c r="M1892" s="35" t="b">
        <v>0</v>
      </c>
      <c r="N1892" s="35" t="b">
        <v>0</v>
      </c>
      <c r="O1892" s="35" t="b">
        <v>0</v>
      </c>
      <c r="P1892" s="35" t="b">
        <v>0</v>
      </c>
      <c r="Q1892" s="35" t="b">
        <v>0</v>
      </c>
      <c r="R1892" s="14"/>
      <c r="S1892" s="14"/>
      <c r="T1892" s="14"/>
      <c r="U1892" s="14"/>
      <c r="V1892" s="14"/>
      <c r="W1892" s="14"/>
    </row>
    <row r="1893" ht="31.5" customHeight="1">
      <c r="A1893" s="109" t="s">
        <v>16993</v>
      </c>
      <c r="B1893" s="110" t="s">
        <v>16994</v>
      </c>
      <c r="C1893" s="111" t="s">
        <v>16995</v>
      </c>
      <c r="D1893" s="28" t="s">
        <v>16996</v>
      </c>
      <c r="E1893" s="28" t="str">
        <f>IFERROR(__xludf.DUMMYFUNCTION("GOOGLETRANSLATE(D1893,""zh-CN"",""vi"")"),"Họ đang phóng một vệ tinh.")</f>
        <v>Họ đang phóng một vệ tinh.</v>
      </c>
      <c r="F1893" s="137"/>
      <c r="G1893" s="36" t="b">
        <f t="shared" si="1"/>
        <v>0</v>
      </c>
      <c r="H1893" s="35" t="b">
        <v>1</v>
      </c>
      <c r="I1893" s="35" t="b">
        <v>0</v>
      </c>
      <c r="J1893" s="35" t="b">
        <v>0</v>
      </c>
      <c r="K1893" s="35" t="b">
        <v>0</v>
      </c>
      <c r="L1893" s="35" t="b">
        <v>0</v>
      </c>
      <c r="M1893" s="35" t="b">
        <v>0</v>
      </c>
      <c r="N1893" s="35" t="b">
        <v>0</v>
      </c>
      <c r="O1893" s="35" t="b">
        <v>0</v>
      </c>
      <c r="P1893" s="35" t="b">
        <v>0</v>
      </c>
      <c r="Q1893" s="35" t="b">
        <v>0</v>
      </c>
      <c r="R1893" s="14"/>
      <c r="S1893" s="14"/>
      <c r="T1893" s="14"/>
      <c r="U1893" s="14"/>
      <c r="V1893" s="14"/>
      <c r="W1893" s="14"/>
    </row>
    <row r="1894" ht="31.5" customHeight="1">
      <c r="A1894" s="109" t="s">
        <v>11857</v>
      </c>
      <c r="B1894" s="110" t="s">
        <v>16997</v>
      </c>
      <c r="C1894" s="111" t="s">
        <v>16998</v>
      </c>
      <c r="D1894" s="28" t="s">
        <v>16999</v>
      </c>
      <c r="E1894" s="28" t="str">
        <f>IFERROR(__xludf.DUMMYFUNCTION("GOOGLETRANSLATE(D1894,""zh-CN"",""vi"")"),"Công ty nằm ở trung tâm thành phố.")</f>
        <v>Công ty nằm ở trung tâm thành phố.</v>
      </c>
      <c r="F1894" s="137"/>
      <c r="G1894" s="36" t="b">
        <f t="shared" si="1"/>
        <v>0</v>
      </c>
      <c r="H1894" s="35" t="b">
        <v>1</v>
      </c>
      <c r="I1894" s="35" t="b">
        <v>0</v>
      </c>
      <c r="J1894" s="35" t="b">
        <v>0</v>
      </c>
      <c r="K1894" s="35" t="b">
        <v>0</v>
      </c>
      <c r="L1894" s="35" t="b">
        <v>0</v>
      </c>
      <c r="M1894" s="35" t="b">
        <v>0</v>
      </c>
      <c r="N1894" s="35" t="b">
        <v>0</v>
      </c>
      <c r="O1894" s="35" t="b">
        <v>0</v>
      </c>
      <c r="P1894" s="35" t="b">
        <v>0</v>
      </c>
      <c r="Q1894" s="35" t="b">
        <v>0</v>
      </c>
      <c r="R1894" s="14"/>
      <c r="S1894" s="14"/>
      <c r="T1894" s="14"/>
      <c r="U1894" s="14"/>
      <c r="V1894" s="14"/>
      <c r="W1894" s="14"/>
    </row>
    <row r="1895" ht="31.5" customHeight="1">
      <c r="A1895" s="109" t="s">
        <v>17000</v>
      </c>
      <c r="B1895" s="110" t="s">
        <v>17001</v>
      </c>
      <c r="C1895" s="111" t="s">
        <v>17002</v>
      </c>
      <c r="D1895" s="28" t="s">
        <v>17003</v>
      </c>
      <c r="E1895" s="28" t="str">
        <f>IFERROR(__xludf.DUMMYFUNCTION("GOOGLETRANSLATE(D1895,""zh-CN"",""vi"")"),"Khu vực này có khí hậu ôn hòa.")</f>
        <v>Khu vực này có khí hậu ôn hòa.</v>
      </c>
      <c r="F1895" s="137"/>
      <c r="G1895" s="36" t="b">
        <f t="shared" si="1"/>
        <v>0</v>
      </c>
      <c r="H1895" s="35" t="b">
        <v>1</v>
      </c>
      <c r="I1895" s="35" t="b">
        <v>0</v>
      </c>
      <c r="J1895" s="35" t="b">
        <v>0</v>
      </c>
      <c r="K1895" s="35" t="b">
        <v>0</v>
      </c>
      <c r="L1895" s="35" t="b">
        <v>0</v>
      </c>
      <c r="M1895" s="35" t="b">
        <v>0</v>
      </c>
      <c r="N1895" s="35" t="b">
        <v>0</v>
      </c>
      <c r="O1895" s="35" t="b">
        <v>0</v>
      </c>
      <c r="P1895" s="35" t="b">
        <v>0</v>
      </c>
      <c r="Q1895" s="35" t="b">
        <v>0</v>
      </c>
      <c r="R1895" s="14"/>
      <c r="S1895" s="14"/>
      <c r="T1895" s="14"/>
      <c r="U1895" s="14"/>
      <c r="V1895" s="14"/>
      <c r="W1895" s="14"/>
    </row>
    <row r="1896" ht="31.5" customHeight="1">
      <c r="A1896" s="109" t="s">
        <v>17004</v>
      </c>
      <c r="B1896" s="110" t="s">
        <v>17005</v>
      </c>
      <c r="C1896" s="111" t="s">
        <v>17006</v>
      </c>
      <c r="D1896" s="28" t="s">
        <v>17007</v>
      </c>
      <c r="E1896" s="28" t="str">
        <f>IFERROR(__xludf.DUMMYFUNCTION("GOOGLETRANSLATE(D1896,""zh-CN"",""vi"")"),"Anh ấy có tính cách hiền lành và dễ gần.")</f>
        <v>Anh ấy có tính cách hiền lành và dễ gần.</v>
      </c>
      <c r="F1896" s="137"/>
      <c r="G1896" s="36" t="b">
        <f t="shared" si="1"/>
        <v>0</v>
      </c>
      <c r="H1896" s="35" t="b">
        <v>1</v>
      </c>
      <c r="I1896" s="35" t="b">
        <v>0</v>
      </c>
      <c r="J1896" s="35" t="b">
        <v>0</v>
      </c>
      <c r="K1896" s="35" t="b">
        <v>0</v>
      </c>
      <c r="L1896" s="35" t="b">
        <v>0</v>
      </c>
      <c r="M1896" s="35" t="b">
        <v>0</v>
      </c>
      <c r="N1896" s="35" t="b">
        <v>0</v>
      </c>
      <c r="O1896" s="35" t="b">
        <v>0</v>
      </c>
      <c r="P1896" s="35" t="b">
        <v>0</v>
      </c>
      <c r="Q1896" s="35" t="b">
        <v>0</v>
      </c>
      <c r="R1896" s="14"/>
      <c r="S1896" s="14"/>
      <c r="T1896" s="14"/>
      <c r="U1896" s="14"/>
      <c r="V1896" s="14"/>
      <c r="W1896" s="14"/>
    </row>
    <row r="1897" ht="31.5" customHeight="1">
      <c r="A1897" s="109" t="s">
        <v>17008</v>
      </c>
      <c r="B1897" s="110" t="s">
        <v>17009</v>
      </c>
      <c r="C1897" s="111" t="s">
        <v>17010</v>
      </c>
      <c r="D1897" s="28" t="s">
        <v>17011</v>
      </c>
      <c r="E1897" s="28" t="str">
        <f>IFERROR(__xludf.DUMMYFUNCTION("GOOGLETRANSLATE(D1897,""zh-CN"",""vi"")"),"Ông ấy có bằng tiến sĩ.")</f>
        <v>Ông ấy có bằng tiến sĩ.</v>
      </c>
      <c r="F1897" s="137"/>
      <c r="G1897" s="36" t="b">
        <f t="shared" si="1"/>
        <v>0</v>
      </c>
      <c r="H1897" s="35" t="b">
        <v>1</v>
      </c>
      <c r="I1897" s="35" t="b">
        <v>0</v>
      </c>
      <c r="J1897" s="35" t="b">
        <v>0</v>
      </c>
      <c r="K1897" s="35" t="b">
        <v>0</v>
      </c>
      <c r="L1897" s="35" t="b">
        <v>0</v>
      </c>
      <c r="M1897" s="35" t="b">
        <v>0</v>
      </c>
      <c r="N1897" s="35" t="b">
        <v>0</v>
      </c>
      <c r="O1897" s="35" t="b">
        <v>0</v>
      </c>
      <c r="P1897" s="35" t="b">
        <v>0</v>
      </c>
      <c r="Q1897" s="35" t="b">
        <v>0</v>
      </c>
      <c r="R1897" s="14"/>
      <c r="S1897" s="14"/>
      <c r="T1897" s="14"/>
      <c r="U1897" s="14"/>
      <c r="V1897" s="14"/>
      <c r="W1897" s="14"/>
    </row>
    <row r="1898" ht="31.5" customHeight="1">
      <c r="A1898" s="109" t="s">
        <v>17012</v>
      </c>
      <c r="B1898" s="110" t="s">
        <v>17013</v>
      </c>
      <c r="C1898" s="111" t="s">
        <v>17014</v>
      </c>
      <c r="D1898" s="28" t="s">
        <v>17015</v>
      </c>
      <c r="E1898" s="28" t="str">
        <f>IFERROR(__xludf.DUMMYFUNCTION("GOOGLETRANSLATE(D1898,""zh-CN"",""vi"")"),"Bảo tàng trưng bày nhiều hiện vật văn hóa.")</f>
        <v>Bảo tàng trưng bày nhiều hiện vật văn hóa.</v>
      </c>
      <c r="F1898" s="137"/>
      <c r="G1898" s="36" t="b">
        <f t="shared" si="1"/>
        <v>0</v>
      </c>
      <c r="H1898" s="35" t="b">
        <v>1</v>
      </c>
      <c r="I1898" s="35" t="b">
        <v>0</v>
      </c>
      <c r="J1898" s="35" t="b">
        <v>0</v>
      </c>
      <c r="K1898" s="35" t="b">
        <v>0</v>
      </c>
      <c r="L1898" s="35" t="b">
        <v>0</v>
      </c>
      <c r="M1898" s="35" t="b">
        <v>0</v>
      </c>
      <c r="N1898" s="35" t="b">
        <v>0</v>
      </c>
      <c r="O1898" s="35" t="b">
        <v>0</v>
      </c>
      <c r="P1898" s="35" t="b">
        <v>0</v>
      </c>
      <c r="Q1898" s="35" t="b">
        <v>0</v>
      </c>
      <c r="R1898" s="14"/>
      <c r="S1898" s="14"/>
      <c r="T1898" s="14"/>
      <c r="U1898" s="14"/>
      <c r="V1898" s="14"/>
      <c r="W1898" s="14"/>
    </row>
    <row r="1899" ht="31.5" customHeight="1">
      <c r="A1899" s="109" t="s">
        <v>17016</v>
      </c>
      <c r="B1899" s="110" t="s">
        <v>17017</v>
      </c>
      <c r="C1899" s="111" t="s">
        <v>17018</v>
      </c>
      <c r="D1899" s="28" t="s">
        <v>17019</v>
      </c>
      <c r="E1899" s="28" t="str">
        <f>IFERROR(__xludf.DUMMYFUNCTION("GOOGLETRANSLATE(D1899,""zh-CN"",""vi"")"),"Dọn dẹp và làm sạch các tài liệu cổ.")</f>
        <v>Dọn dẹp và làm sạch các tài liệu cổ.</v>
      </c>
      <c r="F1899" s="137"/>
      <c r="G1899" s="36" t="b">
        <f t="shared" si="1"/>
        <v>0</v>
      </c>
      <c r="H1899" s="35" t="b">
        <v>1</v>
      </c>
      <c r="I1899" s="35" t="b">
        <v>0</v>
      </c>
      <c r="J1899" s="35" t="b">
        <v>0</v>
      </c>
      <c r="K1899" s="35" t="b">
        <v>0</v>
      </c>
      <c r="L1899" s="35" t="b">
        <v>0</v>
      </c>
      <c r="M1899" s="35" t="b">
        <v>0</v>
      </c>
      <c r="N1899" s="35" t="b">
        <v>0</v>
      </c>
      <c r="O1899" s="35" t="b">
        <v>0</v>
      </c>
      <c r="P1899" s="35" t="b">
        <v>0</v>
      </c>
      <c r="Q1899" s="35" t="b">
        <v>0</v>
      </c>
      <c r="R1899" s="14"/>
      <c r="S1899" s="14"/>
      <c r="T1899" s="14"/>
      <c r="U1899" s="14"/>
      <c r="V1899" s="14"/>
      <c r="W1899" s="14"/>
    </row>
    <row r="1900" ht="31.5" customHeight="1">
      <c r="A1900" s="109" t="s">
        <v>17020</v>
      </c>
      <c r="B1900" s="110" t="s">
        <v>17021</v>
      </c>
      <c r="C1900" s="111" t="s">
        <v>17022</v>
      </c>
      <c r="D1900" s="28" t="s">
        <v>17023</v>
      </c>
      <c r="E1900" s="28" t="str">
        <f>IFERROR(__xludf.DUMMYFUNCTION("GOOGLETRANSLATE(D1900,""zh-CN"",""vi"")"),"Cách cư xử của anh ấy rất lịch sự.")</f>
        <v>Cách cư xử của anh ấy rất lịch sự.</v>
      </c>
      <c r="F1900" s="137"/>
      <c r="G1900" s="36" t="b">
        <f t="shared" si="1"/>
        <v>0</v>
      </c>
      <c r="H1900" s="35" t="b">
        <v>1</v>
      </c>
      <c r="I1900" s="35" t="b">
        <v>0</v>
      </c>
      <c r="J1900" s="35" t="b">
        <v>0</v>
      </c>
      <c r="K1900" s="35" t="b">
        <v>0</v>
      </c>
      <c r="L1900" s="35" t="b">
        <v>0</v>
      </c>
      <c r="M1900" s="35" t="b">
        <v>0</v>
      </c>
      <c r="N1900" s="35" t="b">
        <v>0</v>
      </c>
      <c r="O1900" s="35" t="b">
        <v>0</v>
      </c>
      <c r="P1900" s="35" t="b">
        <v>0</v>
      </c>
      <c r="Q1900" s="35" t="b">
        <v>0</v>
      </c>
      <c r="R1900" s="14"/>
      <c r="S1900" s="14"/>
      <c r="T1900" s="14"/>
      <c r="U1900" s="14"/>
      <c r="V1900" s="14"/>
      <c r="W1900" s="14"/>
    </row>
    <row r="1901" ht="31.5" customHeight="1">
      <c r="A1901" s="109" t="s">
        <v>17024</v>
      </c>
      <c r="B1901" s="110" t="s">
        <v>17025</v>
      </c>
      <c r="C1901" s="111" t="s">
        <v>17026</v>
      </c>
      <c r="D1901" s="28" t="s">
        <v>17027</v>
      </c>
      <c r="E1901" s="28" t="str">
        <f>IFERROR(__xludf.DUMMYFUNCTION("GOOGLETRANSLATE(D1901,""zh-CN"",""vi"")"),"Sự kiện văn hóa này rất được yêu thích.")</f>
        <v>Sự kiện văn hóa này rất được yêu thích.</v>
      </c>
      <c r="F1901" s="137"/>
      <c r="G1901" s="36" t="b">
        <f t="shared" si="1"/>
        <v>0</v>
      </c>
      <c r="H1901" s="35" t="b">
        <v>1</v>
      </c>
      <c r="I1901" s="35" t="b">
        <v>0</v>
      </c>
      <c r="J1901" s="35" t="b">
        <v>0</v>
      </c>
      <c r="K1901" s="35" t="b">
        <v>0</v>
      </c>
      <c r="L1901" s="35" t="b">
        <v>0</v>
      </c>
      <c r="M1901" s="35" t="b">
        <v>0</v>
      </c>
      <c r="N1901" s="35" t="b">
        <v>0</v>
      </c>
      <c r="O1901" s="35" t="b">
        <v>0</v>
      </c>
      <c r="P1901" s="35" t="b">
        <v>0</v>
      </c>
      <c r="Q1901" s="35" t="b">
        <v>0</v>
      </c>
      <c r="R1901" s="14"/>
      <c r="S1901" s="14"/>
      <c r="T1901" s="14"/>
      <c r="U1901" s="14"/>
      <c r="V1901" s="14"/>
      <c r="W1901" s="14"/>
    </row>
    <row r="1902" ht="31.5" customHeight="1">
      <c r="A1902" s="109" t="s">
        <v>17028</v>
      </c>
      <c r="B1902" s="110" t="s">
        <v>17029</v>
      </c>
      <c r="C1902" s="111" t="s">
        <v>17030</v>
      </c>
      <c r="D1902" s="28" t="s">
        <v>17031</v>
      </c>
      <c r="E1902" s="28" t="str">
        <f>IFERROR(__xludf.DUMMYFUNCTION("GOOGLETRANSLATE(D1902,""zh-CN"",""vi"")"),"Một cuốn sách mới vừa được xuất bản.")</f>
        <v>Một cuốn sách mới vừa được xuất bản.</v>
      </c>
      <c r="F1902" s="137"/>
      <c r="G1902" s="36" t="b">
        <f t="shared" si="1"/>
        <v>0</v>
      </c>
      <c r="H1902" s="35" t="b">
        <v>1</v>
      </c>
      <c r="I1902" s="35" t="b">
        <v>0</v>
      </c>
      <c r="J1902" s="35" t="b">
        <v>0</v>
      </c>
      <c r="K1902" s="35" t="b">
        <v>0</v>
      </c>
      <c r="L1902" s="35" t="b">
        <v>0</v>
      </c>
      <c r="M1902" s="35" t="b">
        <v>0</v>
      </c>
      <c r="N1902" s="35" t="b">
        <v>0</v>
      </c>
      <c r="O1902" s="35" t="b">
        <v>0</v>
      </c>
      <c r="P1902" s="35" t="b">
        <v>0</v>
      </c>
      <c r="Q1902" s="35" t="b">
        <v>0</v>
      </c>
      <c r="R1902" s="14"/>
      <c r="S1902" s="14"/>
      <c r="T1902" s="14"/>
      <c r="U1902" s="14"/>
      <c r="V1902" s="14"/>
      <c r="W1902" s="14"/>
    </row>
    <row r="1903" ht="31.5" customHeight="1">
      <c r="A1903" s="109" t="s">
        <v>17032</v>
      </c>
      <c r="B1903" s="110" t="s">
        <v>17033</v>
      </c>
      <c r="C1903" s="111" t="s">
        <v>17034</v>
      </c>
      <c r="D1903" s="28" t="s">
        <v>17035</v>
      </c>
      <c r="E1903" s="28" t="str">
        <f>IFERROR(__xludf.DUMMYFUNCTION("GOOGLETRANSLATE(D1903,""zh-CN"",""vi"")"),"Chú mèo con đang ngủ trong tổ của nó.")</f>
        <v>Chú mèo con đang ngủ trong tổ của nó.</v>
      </c>
      <c r="F1903" s="137"/>
      <c r="G1903" s="36" t="b">
        <f t="shared" si="1"/>
        <v>0</v>
      </c>
      <c r="H1903" s="35" t="b">
        <v>1</v>
      </c>
      <c r="I1903" s="35" t="b">
        <v>0</v>
      </c>
      <c r="J1903" s="35" t="b">
        <v>0</v>
      </c>
      <c r="K1903" s="35" t="b">
        <v>0</v>
      </c>
      <c r="L1903" s="35" t="b">
        <v>0</v>
      </c>
      <c r="M1903" s="35" t="b">
        <v>0</v>
      </c>
      <c r="N1903" s="35" t="b">
        <v>0</v>
      </c>
      <c r="O1903" s="35" t="b">
        <v>0</v>
      </c>
      <c r="P1903" s="35" t="b">
        <v>0</v>
      </c>
      <c r="Q1903" s="35" t="b">
        <v>0</v>
      </c>
      <c r="R1903" s="14"/>
      <c r="S1903" s="14"/>
      <c r="T1903" s="14"/>
      <c r="U1903" s="14"/>
      <c r="V1903" s="14"/>
      <c r="W1903" s="14"/>
    </row>
    <row r="1904" ht="31.5" customHeight="1">
      <c r="A1904" s="109" t="s">
        <v>17036</v>
      </c>
      <c r="B1904" s="110" t="s">
        <v>17037</v>
      </c>
      <c r="C1904" s="111" t="s">
        <v>17038</v>
      </c>
      <c r="D1904" s="28" t="s">
        <v>17039</v>
      </c>
      <c r="E1904" s="28" t="str">
        <f>IFERROR(__xludf.DUMMYFUNCTION("GOOGLETRANSLATE(D1904,""zh-CN"",""vi"")"),"Cô ấy có mái tóc dài, đen nhánh.")</f>
        <v>Cô ấy có mái tóc dài, đen nhánh.</v>
      </c>
      <c r="F1904" s="137"/>
      <c r="G1904" s="36" t="b">
        <f t="shared" si="1"/>
        <v>0</v>
      </c>
      <c r="H1904" s="35" t="b">
        <v>1</v>
      </c>
      <c r="I1904" s="35" t="b">
        <v>0</v>
      </c>
      <c r="J1904" s="35" t="b">
        <v>0</v>
      </c>
      <c r="K1904" s="35" t="b">
        <v>0</v>
      </c>
      <c r="L1904" s="35" t="b">
        <v>0</v>
      </c>
      <c r="M1904" s="35" t="b">
        <v>0</v>
      </c>
      <c r="N1904" s="35" t="b">
        <v>0</v>
      </c>
      <c r="O1904" s="35" t="b">
        <v>0</v>
      </c>
      <c r="P1904" s="35" t="b">
        <v>0</v>
      </c>
      <c r="Q1904" s="35" t="b">
        <v>0</v>
      </c>
      <c r="R1904" s="14"/>
      <c r="S1904" s="14"/>
      <c r="T1904" s="14"/>
      <c r="U1904" s="14"/>
      <c r="V1904" s="14"/>
      <c r="W1904" s="14"/>
    </row>
    <row r="1905" ht="31.5" customHeight="1">
      <c r="A1905" s="109" t="s">
        <v>17040</v>
      </c>
      <c r="B1905" s="110" t="s">
        <v>17041</v>
      </c>
      <c r="C1905" s="111" t="s">
        <v>17042</v>
      </c>
      <c r="D1905" s="28" t="s">
        <v>17043</v>
      </c>
      <c r="E1905" s="28" t="str">
        <f>IFERROR(__xludf.DUMMYFUNCTION("GOOGLETRANSLATE(D1905,""zh-CN"",""vi"")"),"Ông ấy đã bị vu khống.")</f>
        <v>Ông ấy đã bị vu khống.</v>
      </c>
      <c r="F1905" s="137"/>
      <c r="G1905" s="36" t="b">
        <f t="shared" si="1"/>
        <v>0</v>
      </c>
      <c r="H1905" s="35" t="b">
        <v>1</v>
      </c>
      <c r="I1905" s="35" t="b">
        <v>0</v>
      </c>
      <c r="J1905" s="35" t="b">
        <v>0</v>
      </c>
      <c r="K1905" s="35" t="b">
        <v>0</v>
      </c>
      <c r="L1905" s="35" t="b">
        <v>0</v>
      </c>
      <c r="M1905" s="35" t="b">
        <v>0</v>
      </c>
      <c r="N1905" s="35" t="b">
        <v>0</v>
      </c>
      <c r="O1905" s="35" t="b">
        <v>0</v>
      </c>
      <c r="P1905" s="35" t="b">
        <v>0</v>
      </c>
      <c r="Q1905" s="35" t="b">
        <v>0</v>
      </c>
      <c r="R1905" s="14"/>
      <c r="S1905" s="14"/>
      <c r="T1905" s="14"/>
      <c r="U1905" s="14"/>
      <c r="V1905" s="14"/>
      <c r="W1905" s="14"/>
    </row>
    <row r="1906" ht="31.5" customHeight="1">
      <c r="A1906" s="109" t="s">
        <v>17044</v>
      </c>
      <c r="B1906" s="110" t="s">
        <v>17045</v>
      </c>
      <c r="C1906" s="111" t="s">
        <v>17046</v>
      </c>
      <c r="D1906" s="28" t="s">
        <v>17047</v>
      </c>
      <c r="E1906" s="28" t="str">
        <f>IFERROR(__xludf.DUMMYFUNCTION("GOOGLETRANSLATE(D1906,""zh-CN"",""vi"")"),"Anh ta bị đồng nghiệp gài bẫy.")</f>
        <v>Anh ta bị đồng nghiệp gài bẫy.</v>
      </c>
      <c r="F1906" s="137"/>
      <c r="G1906" s="36" t="b">
        <f t="shared" si="1"/>
        <v>0</v>
      </c>
      <c r="H1906" s="35" t="b">
        <v>1</v>
      </c>
      <c r="I1906" s="35" t="b">
        <v>0</v>
      </c>
      <c r="J1906" s="35" t="b">
        <v>0</v>
      </c>
      <c r="K1906" s="35" t="b">
        <v>0</v>
      </c>
      <c r="L1906" s="35" t="b">
        <v>0</v>
      </c>
      <c r="M1906" s="35" t="b">
        <v>0</v>
      </c>
      <c r="N1906" s="35" t="b">
        <v>0</v>
      </c>
      <c r="O1906" s="35" t="b">
        <v>0</v>
      </c>
      <c r="P1906" s="35" t="b">
        <v>0</v>
      </c>
      <c r="Q1906" s="35" t="b">
        <v>0</v>
      </c>
      <c r="R1906" s="14"/>
      <c r="S1906" s="14"/>
      <c r="T1906" s="14"/>
      <c r="U1906" s="14"/>
      <c r="V1906" s="14"/>
      <c r="W1906" s="14"/>
    </row>
    <row r="1907" ht="31.5" customHeight="1">
      <c r="A1907" s="109" t="s">
        <v>17048</v>
      </c>
      <c r="B1907" s="110" t="s">
        <v>17049</v>
      </c>
      <c r="C1907" s="111" t="s">
        <v>16895</v>
      </c>
      <c r="D1907" s="28" t="s">
        <v>17050</v>
      </c>
      <c r="E1907" s="28" t="str">
        <f>IFERROR(__xludf.DUMMYFUNCTION("GOOGLETRANSLATE(D1907,""zh-CN"",""vi"")"),"Tôi vô cùng vui mừng.")</f>
        <v>Tôi vô cùng vui mừng.</v>
      </c>
      <c r="F1907" s="137"/>
      <c r="G1907" s="36" t="b">
        <f t="shared" si="1"/>
        <v>0</v>
      </c>
      <c r="H1907" s="35" t="b">
        <v>1</v>
      </c>
      <c r="I1907" s="35" t="b">
        <v>0</v>
      </c>
      <c r="J1907" s="35" t="b">
        <v>0</v>
      </c>
      <c r="K1907" s="35" t="b">
        <v>0</v>
      </c>
      <c r="L1907" s="35" t="b">
        <v>0</v>
      </c>
      <c r="M1907" s="35" t="b">
        <v>0</v>
      </c>
      <c r="N1907" s="35" t="b">
        <v>0</v>
      </c>
      <c r="O1907" s="35" t="b">
        <v>0</v>
      </c>
      <c r="P1907" s="35" t="b">
        <v>0</v>
      </c>
      <c r="Q1907" s="35" t="b">
        <v>0</v>
      </c>
      <c r="R1907" s="14"/>
      <c r="S1907" s="14"/>
      <c r="T1907" s="14"/>
      <c r="U1907" s="14"/>
      <c r="V1907" s="14"/>
      <c r="W1907" s="14"/>
    </row>
    <row r="1908" ht="31.5" customHeight="1">
      <c r="A1908" s="109" t="s">
        <v>17051</v>
      </c>
      <c r="B1908" s="110" t="s">
        <v>17052</v>
      </c>
      <c r="C1908" s="111" t="s">
        <v>17053</v>
      </c>
      <c r="D1908" s="28" t="s">
        <v>17054</v>
      </c>
      <c r="E1908" s="28" t="str">
        <f>IFERROR(__xludf.DUMMYFUNCTION("GOOGLETRANSLATE(D1908,""zh-CN"",""vi"")"),"Dịch vụ này hoàn toàn miễn phí.")</f>
        <v>Dịch vụ này hoàn toàn miễn phí.</v>
      </c>
      <c r="F1908" s="137"/>
      <c r="G1908" s="36" t="b">
        <f t="shared" si="1"/>
        <v>0</v>
      </c>
      <c r="H1908" s="35" t="b">
        <v>1</v>
      </c>
      <c r="I1908" s="35" t="b">
        <v>0</v>
      </c>
      <c r="J1908" s="35" t="b">
        <v>0</v>
      </c>
      <c r="K1908" s="35" t="b">
        <v>0</v>
      </c>
      <c r="L1908" s="35" t="b">
        <v>0</v>
      </c>
      <c r="M1908" s="35" t="b">
        <v>0</v>
      </c>
      <c r="N1908" s="35" t="b">
        <v>0</v>
      </c>
      <c r="O1908" s="35" t="b">
        <v>0</v>
      </c>
      <c r="P1908" s="35" t="b">
        <v>0</v>
      </c>
      <c r="Q1908" s="35" t="b">
        <v>0</v>
      </c>
      <c r="R1908" s="14"/>
      <c r="S1908" s="14"/>
      <c r="T1908" s="14"/>
      <c r="U1908" s="14"/>
      <c r="V1908" s="14"/>
      <c r="W1908" s="14"/>
    </row>
    <row r="1909" ht="31.5" customHeight="1">
      <c r="A1909" s="109" t="s">
        <v>17055</v>
      </c>
      <c r="B1909" s="110" t="s">
        <v>17056</v>
      </c>
      <c r="C1909" s="111" t="s">
        <v>17057</v>
      </c>
      <c r="D1909" s="28" t="s">
        <v>17058</v>
      </c>
      <c r="E1909" s="28" t="str">
        <f>IFERROR(__xludf.DUMMYFUNCTION("GOOGLETRANSLATE(D1909,""zh-CN"",""vi"")"),"Hành vi của hắn ta thật sự trơ trẽn.")</f>
        <v>Hành vi của hắn ta thật sự trơ trẽn.</v>
      </c>
      <c r="F1909" s="137"/>
      <c r="G1909" s="36" t="b">
        <f t="shared" si="1"/>
        <v>0</v>
      </c>
      <c r="H1909" s="35" t="b">
        <v>1</v>
      </c>
      <c r="I1909" s="35" t="b">
        <v>0</v>
      </c>
      <c r="J1909" s="35" t="b">
        <v>0</v>
      </c>
      <c r="K1909" s="35" t="b">
        <v>0</v>
      </c>
      <c r="L1909" s="35" t="b">
        <v>0</v>
      </c>
      <c r="M1909" s="35" t="b">
        <v>0</v>
      </c>
      <c r="N1909" s="35" t="b">
        <v>0</v>
      </c>
      <c r="O1909" s="35" t="b">
        <v>0</v>
      </c>
      <c r="P1909" s="35" t="b">
        <v>0</v>
      </c>
      <c r="Q1909" s="35" t="b">
        <v>0</v>
      </c>
      <c r="R1909" s="14"/>
      <c r="S1909" s="14"/>
      <c r="T1909" s="14"/>
      <c r="U1909" s="14"/>
      <c r="V1909" s="14"/>
      <c r="W1909" s="14"/>
    </row>
    <row r="1910" ht="31.5" customHeight="1">
      <c r="A1910" s="109" t="s">
        <v>17059</v>
      </c>
      <c r="B1910" s="110" t="s">
        <v>17060</v>
      </c>
      <c r="C1910" s="111" t="s">
        <v>17061</v>
      </c>
      <c r="D1910" s="28" t="s">
        <v>17062</v>
      </c>
      <c r="E1910" s="28" t="str">
        <f>IFERROR(__xludf.DUMMYFUNCTION("GOOGLETRANSLATE(D1910,""zh-CN"",""vi"")"),"Tôi không biết phải làm thế nào tiếp theo.")</f>
        <v>Tôi không biết phải làm thế nào tiếp theo.</v>
      </c>
      <c r="F1910" s="137"/>
      <c r="G1910" s="36" t="b">
        <f t="shared" si="1"/>
        <v>0</v>
      </c>
      <c r="H1910" s="35" t="b">
        <v>1</v>
      </c>
      <c r="I1910" s="35" t="b">
        <v>0</v>
      </c>
      <c r="J1910" s="35" t="b">
        <v>0</v>
      </c>
      <c r="K1910" s="35" t="b">
        <v>0</v>
      </c>
      <c r="L1910" s="35" t="b">
        <v>0</v>
      </c>
      <c r="M1910" s="35" t="b">
        <v>0</v>
      </c>
      <c r="N1910" s="35" t="b">
        <v>0</v>
      </c>
      <c r="O1910" s="35" t="b">
        <v>0</v>
      </c>
      <c r="P1910" s="35" t="b">
        <v>0</v>
      </c>
      <c r="Q1910" s="35" t="b">
        <v>0</v>
      </c>
      <c r="R1910" s="14"/>
      <c r="S1910" s="14"/>
      <c r="T1910" s="14"/>
      <c r="U1910" s="14"/>
      <c r="V1910" s="14"/>
      <c r="W1910" s="14"/>
    </row>
    <row r="1911" ht="31.5" customHeight="1">
      <c r="A1911" s="109" t="s">
        <v>17063</v>
      </c>
      <c r="B1911" s="110" t="s">
        <v>17064</v>
      </c>
      <c r="C1911" s="111" t="s">
        <v>17065</v>
      </c>
      <c r="D1911" s="28" t="s">
        <v>17066</v>
      </c>
      <c r="E1911" s="28" t="str">
        <f>IFERROR(__xludf.DUMMYFUNCTION("GOOGLETRANSLATE(D1911,""zh-CN"",""vi"")"),"Anh ta tỏ ra thờ ơ với chuyện đó.")</f>
        <v>Anh ta tỏ ra thờ ơ với chuyện đó.</v>
      </c>
      <c r="F1911" s="137"/>
      <c r="G1911" s="36" t="b">
        <f t="shared" si="1"/>
        <v>0</v>
      </c>
      <c r="H1911" s="35" t="b">
        <v>1</v>
      </c>
      <c r="I1911" s="35" t="b">
        <v>0</v>
      </c>
      <c r="J1911" s="35" t="b">
        <v>0</v>
      </c>
      <c r="K1911" s="35" t="b">
        <v>0</v>
      </c>
      <c r="L1911" s="35" t="b">
        <v>0</v>
      </c>
      <c r="M1911" s="35" t="b">
        <v>0</v>
      </c>
      <c r="N1911" s="35" t="b">
        <v>0</v>
      </c>
      <c r="O1911" s="35" t="b">
        <v>0</v>
      </c>
      <c r="P1911" s="35" t="b">
        <v>0</v>
      </c>
      <c r="Q1911" s="35" t="b">
        <v>0</v>
      </c>
      <c r="R1911" s="14"/>
      <c r="S1911" s="14"/>
      <c r="T1911" s="14"/>
      <c r="U1911" s="14"/>
      <c r="V1911" s="14"/>
      <c r="W1911" s="14"/>
    </row>
    <row r="1912" ht="31.5" customHeight="1">
      <c r="A1912" s="109" t="s">
        <v>17067</v>
      </c>
      <c r="B1912" s="110" t="s">
        <v>17068</v>
      </c>
      <c r="C1912" s="111" t="s">
        <v>17069</v>
      </c>
      <c r="D1912" s="28" t="s">
        <v>17070</v>
      </c>
      <c r="E1912" s="28" t="str">
        <f>IFERROR(__xludf.DUMMYFUNCTION("GOOGLETRANSLATE(D1912,""zh-CN"",""vi"")"),"Đây chỉ đơn thuần là một sự hiểu lầm.")</f>
        <v>Đây chỉ đơn thuần là một sự hiểu lầm.</v>
      </c>
      <c r="F1912" s="137"/>
      <c r="G1912" s="36" t="b">
        <f t="shared" si="1"/>
        <v>0</v>
      </c>
      <c r="H1912" s="35" t="b">
        <v>1</v>
      </c>
      <c r="I1912" s="35" t="b">
        <v>0</v>
      </c>
      <c r="J1912" s="35" t="b">
        <v>0</v>
      </c>
      <c r="K1912" s="35" t="b">
        <v>0</v>
      </c>
      <c r="L1912" s="35" t="b">
        <v>0</v>
      </c>
      <c r="M1912" s="35" t="b">
        <v>0</v>
      </c>
      <c r="N1912" s="35" t="b">
        <v>0</v>
      </c>
      <c r="O1912" s="35" t="b">
        <v>0</v>
      </c>
      <c r="P1912" s="35" t="b">
        <v>0</v>
      </c>
      <c r="Q1912" s="35" t="b">
        <v>0</v>
      </c>
      <c r="R1912" s="14"/>
      <c r="S1912" s="14"/>
      <c r="T1912" s="14"/>
      <c r="U1912" s="14"/>
      <c r="V1912" s="14"/>
      <c r="W1912" s="14"/>
    </row>
    <row r="1913" ht="31.5" customHeight="1">
      <c r="A1913" s="109" t="s">
        <v>17071</v>
      </c>
      <c r="B1913" s="110" t="s">
        <v>17072</v>
      </c>
      <c r="C1913" s="111" t="s">
        <v>17073</v>
      </c>
      <c r="D1913" s="28" t="s">
        <v>17074</v>
      </c>
      <c r="E1913" s="28" t="str">
        <f>IFERROR(__xludf.DUMMYFUNCTION("GOOGLETRANSLATE(D1913,""zh-CN"",""vi"")"),"Hôm nay trông anh ấy có vẻ uể oải.")</f>
        <v>Hôm nay trông anh ấy có vẻ uể oải.</v>
      </c>
      <c r="F1913" s="137"/>
      <c r="G1913" s="36" t="b">
        <f t="shared" si="1"/>
        <v>0</v>
      </c>
      <c r="H1913" s="35" t="b">
        <v>1</v>
      </c>
      <c r="I1913" s="35" t="b">
        <v>0</v>
      </c>
      <c r="J1913" s="35" t="b">
        <v>0</v>
      </c>
      <c r="K1913" s="35" t="b">
        <v>0</v>
      </c>
      <c r="L1913" s="35" t="b">
        <v>0</v>
      </c>
      <c r="M1913" s="35" t="b">
        <v>0</v>
      </c>
      <c r="N1913" s="35" t="b">
        <v>0</v>
      </c>
      <c r="O1913" s="35" t="b">
        <v>0</v>
      </c>
      <c r="P1913" s="35" t="b">
        <v>0</v>
      </c>
      <c r="Q1913" s="35" t="b">
        <v>0</v>
      </c>
      <c r="R1913" s="14"/>
      <c r="S1913" s="14"/>
      <c r="T1913" s="14"/>
      <c r="U1913" s="14"/>
      <c r="V1913" s="14"/>
      <c r="W1913" s="14"/>
    </row>
    <row r="1914" ht="31.5" customHeight="1">
      <c r="A1914" s="109" t="s">
        <v>17075</v>
      </c>
      <c r="B1914" s="110" t="s">
        <v>17076</v>
      </c>
      <c r="C1914" s="111" t="s">
        <v>17077</v>
      </c>
      <c r="D1914" s="28" t="s">
        <v>17078</v>
      </c>
      <c r="E1914" s="28" t="str">
        <f>IFERROR(__xludf.DUMMYFUNCTION("GOOGLETRANSLATE(D1914,""zh-CN"",""vi"")"),"Tôi không có bình luận gì.")</f>
        <v>Tôi không có bình luận gì.</v>
      </c>
      <c r="F1914" s="137"/>
      <c r="G1914" s="36" t="b">
        <f t="shared" si="1"/>
        <v>0</v>
      </c>
      <c r="H1914" s="35" t="b">
        <v>1</v>
      </c>
      <c r="I1914" s="35" t="b">
        <v>0</v>
      </c>
      <c r="J1914" s="35" t="b">
        <v>0</v>
      </c>
      <c r="K1914" s="35" t="b">
        <v>0</v>
      </c>
      <c r="L1914" s="35" t="b">
        <v>0</v>
      </c>
      <c r="M1914" s="35" t="b">
        <v>0</v>
      </c>
      <c r="N1914" s="35" t="b">
        <v>0</v>
      </c>
      <c r="O1914" s="35" t="b">
        <v>0</v>
      </c>
      <c r="P1914" s="35" t="b">
        <v>0</v>
      </c>
      <c r="Q1914" s="35" t="b">
        <v>0</v>
      </c>
      <c r="R1914" s="14"/>
      <c r="S1914" s="14"/>
      <c r="T1914" s="14"/>
      <c r="U1914" s="14"/>
      <c r="V1914" s="14"/>
      <c r="W1914" s="14"/>
    </row>
    <row r="1915" ht="31.5" customHeight="1">
      <c r="A1915" s="109" t="s">
        <v>17079</v>
      </c>
      <c r="B1915" s="110" t="s">
        <v>17080</v>
      </c>
      <c r="C1915" s="111" t="s">
        <v>17081</v>
      </c>
      <c r="D1915" s="28" t="s">
        <v>17082</v>
      </c>
      <c r="E1915" s="28" t="str">
        <f>IFERROR(__xludf.DUMMYFUNCTION("GOOGLETRANSLATE(D1915,""zh-CN"",""vi"")"),"Họ cảm thấy bất lực.")</f>
        <v>Họ cảm thấy bất lực.</v>
      </c>
      <c r="F1915" s="137"/>
      <c r="G1915" s="36" t="b">
        <f t="shared" si="1"/>
        <v>0</v>
      </c>
      <c r="H1915" s="35" t="b">
        <v>1</v>
      </c>
      <c r="I1915" s="35" t="b">
        <v>0</v>
      </c>
      <c r="J1915" s="35" t="b">
        <v>0</v>
      </c>
      <c r="K1915" s="35" t="b">
        <v>0</v>
      </c>
      <c r="L1915" s="35" t="b">
        <v>0</v>
      </c>
      <c r="M1915" s="35" t="b">
        <v>0</v>
      </c>
      <c r="N1915" s="35" t="b">
        <v>0</v>
      </c>
      <c r="O1915" s="35" t="b">
        <v>0</v>
      </c>
      <c r="P1915" s="35" t="b">
        <v>0</v>
      </c>
      <c r="Q1915" s="35" t="b">
        <v>0</v>
      </c>
      <c r="R1915" s="14"/>
      <c r="S1915" s="14"/>
      <c r="T1915" s="14"/>
      <c r="U1915" s="14"/>
      <c r="V1915" s="14"/>
      <c r="W1915" s="14"/>
    </row>
    <row r="1916" ht="31.5" customHeight="1">
      <c r="A1916" s="109" t="s">
        <v>17083</v>
      </c>
      <c r="B1916" s="110" t="s">
        <v>17084</v>
      </c>
      <c r="C1916" s="111" t="s">
        <v>17085</v>
      </c>
      <c r="D1916" s="28" t="s">
        <v>17086</v>
      </c>
      <c r="E1916" s="28" t="str">
        <f>IFERROR(__xludf.DUMMYFUNCTION("GOOGLETRANSLATE(D1916,""zh-CN"",""vi"")"),"Hắn là một tên lưu manh.")</f>
        <v>Hắn là một tên lưu manh.</v>
      </c>
      <c r="F1916" s="137"/>
      <c r="G1916" s="36" t="b">
        <f t="shared" si="1"/>
        <v>0</v>
      </c>
      <c r="H1916" s="35" t="b">
        <v>1</v>
      </c>
      <c r="I1916" s="35" t="b">
        <v>0</v>
      </c>
      <c r="J1916" s="35" t="b">
        <v>0</v>
      </c>
      <c r="K1916" s="35" t="b">
        <v>0</v>
      </c>
      <c r="L1916" s="35" t="b">
        <v>0</v>
      </c>
      <c r="M1916" s="35" t="b">
        <v>0</v>
      </c>
      <c r="N1916" s="35" t="b">
        <v>0</v>
      </c>
      <c r="O1916" s="35" t="b">
        <v>0</v>
      </c>
      <c r="P1916" s="35" t="b">
        <v>0</v>
      </c>
      <c r="Q1916" s="35" t="b">
        <v>0</v>
      </c>
      <c r="R1916" s="14"/>
      <c r="S1916" s="14"/>
      <c r="T1916" s="14"/>
      <c r="U1916" s="14"/>
      <c r="V1916" s="14"/>
      <c r="W1916" s="14"/>
    </row>
    <row r="1917" ht="31.5" customHeight="1">
      <c r="A1917" s="109" t="s">
        <v>17087</v>
      </c>
      <c r="B1917" s="110" t="s">
        <v>17088</v>
      </c>
      <c r="C1917" s="111" t="s">
        <v>17089</v>
      </c>
      <c r="D1917" s="28" t="s">
        <v>17090</v>
      </c>
      <c r="E1917" s="28" t="str">
        <f>IFERROR(__xludf.DUMMYFUNCTION("GOOGLETRANSLATE(D1917,""zh-CN"",""vi"")"),"Anh ta cư xử thiếu hợp lý.")</f>
        <v>Anh ta cư xử thiếu hợp lý.</v>
      </c>
      <c r="F1917" s="137"/>
      <c r="G1917" s="36" t="b">
        <f t="shared" si="1"/>
        <v>0</v>
      </c>
      <c r="H1917" s="35" t="b">
        <v>1</v>
      </c>
      <c r="I1917" s="35" t="b">
        <v>0</v>
      </c>
      <c r="J1917" s="35" t="b">
        <v>0</v>
      </c>
      <c r="K1917" s="35" t="b">
        <v>0</v>
      </c>
      <c r="L1917" s="35" t="b">
        <v>0</v>
      </c>
      <c r="M1917" s="35" t="b">
        <v>0</v>
      </c>
      <c r="N1917" s="35" t="b">
        <v>0</v>
      </c>
      <c r="O1917" s="35" t="b">
        <v>0</v>
      </c>
      <c r="P1917" s="35" t="b">
        <v>0</v>
      </c>
      <c r="Q1917" s="35" t="b">
        <v>0</v>
      </c>
      <c r="R1917" s="14"/>
      <c r="S1917" s="14"/>
      <c r="T1917" s="14"/>
      <c r="U1917" s="14"/>
      <c r="V1917" s="14"/>
      <c r="W1917" s="14"/>
    </row>
    <row r="1918" ht="31.5" customHeight="1">
      <c r="A1918" s="109" t="s">
        <v>17091</v>
      </c>
      <c r="B1918" s="110" t="s">
        <v>17092</v>
      </c>
      <c r="C1918" s="111" t="s">
        <v>17093</v>
      </c>
      <c r="D1918" s="28" t="s">
        <v>17094</v>
      </c>
      <c r="E1918" s="28" t="str">
        <f>IFERROR(__xludf.DUMMYFUNCTION("GOOGLETRANSLATE(D1918,""zh-CN"",""vi"")"),"Tôi không thể làm gì được nữa.")</f>
        <v>Tôi không thể làm gì được nữa.</v>
      </c>
      <c r="F1918" s="137"/>
      <c r="G1918" s="36" t="b">
        <f t="shared" si="1"/>
        <v>0</v>
      </c>
      <c r="H1918" s="35" t="b">
        <v>1</v>
      </c>
      <c r="I1918" s="35" t="b">
        <v>0</v>
      </c>
      <c r="J1918" s="35" t="b">
        <v>0</v>
      </c>
      <c r="K1918" s="35" t="b">
        <v>0</v>
      </c>
      <c r="L1918" s="35" t="b">
        <v>0</v>
      </c>
      <c r="M1918" s="35" t="b">
        <v>0</v>
      </c>
      <c r="N1918" s="35" t="b">
        <v>0</v>
      </c>
      <c r="O1918" s="35" t="b">
        <v>0</v>
      </c>
      <c r="P1918" s="35" t="b">
        <v>0</v>
      </c>
      <c r="Q1918" s="35" t="b">
        <v>0</v>
      </c>
      <c r="R1918" s="14"/>
      <c r="S1918" s="14"/>
      <c r="T1918" s="14"/>
      <c r="U1918" s="14"/>
      <c r="V1918" s="14"/>
      <c r="W1918" s="14"/>
    </row>
    <row r="1919" ht="31.5" customHeight="1">
      <c r="A1919" s="109" t="s">
        <v>17095</v>
      </c>
      <c r="B1919" s="110" t="s">
        <v>17096</v>
      </c>
      <c r="C1919" s="111" t="s">
        <v>17097</v>
      </c>
      <c r="D1919" s="28" t="s">
        <v>17098</v>
      </c>
      <c r="E1919" s="28" t="str">
        <f>IFERROR(__xludf.DUMMYFUNCTION("GOOGLETRANSLATE(D1919,""zh-CN"",""vi"")"),"Nội dung của cuốn sách này là vô tận.")</f>
        <v>Nội dung của cuốn sách này là vô tận.</v>
      </c>
      <c r="F1919" s="137"/>
      <c r="G1919" s="36" t="b">
        <f t="shared" si="1"/>
        <v>0</v>
      </c>
      <c r="H1919" s="35" t="b">
        <v>1</v>
      </c>
      <c r="I1919" s="35" t="b">
        <v>0</v>
      </c>
      <c r="J1919" s="35" t="b">
        <v>0</v>
      </c>
      <c r="K1919" s="35" t="b">
        <v>0</v>
      </c>
      <c r="L1919" s="35" t="b">
        <v>0</v>
      </c>
      <c r="M1919" s="35" t="b">
        <v>0</v>
      </c>
      <c r="N1919" s="35" t="b">
        <v>0</v>
      </c>
      <c r="O1919" s="35" t="b">
        <v>0</v>
      </c>
      <c r="P1919" s="35" t="b">
        <v>0</v>
      </c>
      <c r="Q1919" s="35" t="b">
        <v>0</v>
      </c>
      <c r="R1919" s="14"/>
      <c r="S1919" s="14"/>
      <c r="T1919" s="14"/>
      <c r="U1919" s="14"/>
      <c r="V1919" s="14"/>
      <c r="W1919" s="14"/>
    </row>
    <row r="1920" ht="31.5" customHeight="1">
      <c r="A1920" s="109" t="s">
        <v>17099</v>
      </c>
      <c r="B1920" s="110" t="s">
        <v>17100</v>
      </c>
      <c r="C1920" s="111" t="s">
        <v>17101</v>
      </c>
      <c r="D1920" s="28" t="s">
        <v>17102</v>
      </c>
      <c r="E1920" s="28" t="str">
        <f>IFERROR(__xludf.DUMMYFUNCTION("GOOGLETRANSLATE(D1920,""zh-CN"",""vi"")"),"Cô ấy chăm sóc anh ấy rất chu đáo.")</f>
        <v>Cô ấy chăm sóc anh ấy rất chu đáo.</v>
      </c>
      <c r="F1920" s="137"/>
      <c r="G1920" s="36" t="b">
        <f t="shared" si="1"/>
        <v>0</v>
      </c>
      <c r="H1920" s="35" t="b">
        <v>1</v>
      </c>
      <c r="I1920" s="35" t="b">
        <v>0</v>
      </c>
      <c r="J1920" s="35" t="b">
        <v>0</v>
      </c>
      <c r="K1920" s="35" t="b">
        <v>0</v>
      </c>
      <c r="L1920" s="35" t="b">
        <v>0</v>
      </c>
      <c r="M1920" s="35" t="b">
        <v>0</v>
      </c>
      <c r="N1920" s="35" t="b">
        <v>0</v>
      </c>
      <c r="O1920" s="35" t="b">
        <v>0</v>
      </c>
      <c r="P1920" s="35" t="b">
        <v>0</v>
      </c>
      <c r="Q1920" s="35" t="b">
        <v>0</v>
      </c>
      <c r="R1920" s="14"/>
      <c r="S1920" s="14"/>
      <c r="T1920" s="14"/>
      <c r="U1920" s="14"/>
      <c r="V1920" s="14"/>
      <c r="W1920" s="14"/>
    </row>
    <row r="1921" ht="31.5" customHeight="1">
      <c r="A1921" s="109" t="s">
        <v>17103</v>
      </c>
      <c r="B1921" s="110" t="s">
        <v>17104</v>
      </c>
      <c r="C1921" s="111" t="s">
        <v>17105</v>
      </c>
      <c r="D1921" s="28" t="s">
        <v>17106</v>
      </c>
      <c r="E1921" s="28" t="str">
        <f>IFERROR(__xludf.DUMMYFUNCTION("GOOGLETRANSLATE(D1921,""zh-CN"",""vi"")"),"Trẻ em nên được lớn lên trong sự vô tư.")</f>
        <v>Trẻ em nên được lớn lên trong sự vô tư.</v>
      </c>
      <c r="F1921" s="137"/>
      <c r="G1921" s="36" t="b">
        <f t="shared" si="1"/>
        <v>0</v>
      </c>
      <c r="H1921" s="35" t="b">
        <v>1</v>
      </c>
      <c r="I1921" s="35" t="b">
        <v>0</v>
      </c>
      <c r="J1921" s="35" t="b">
        <v>0</v>
      </c>
      <c r="K1921" s="35" t="b">
        <v>0</v>
      </c>
      <c r="L1921" s="35" t="b">
        <v>0</v>
      </c>
      <c r="M1921" s="35" t="b">
        <v>0</v>
      </c>
      <c r="N1921" s="35" t="b">
        <v>0</v>
      </c>
      <c r="O1921" s="35" t="b">
        <v>0</v>
      </c>
      <c r="P1921" s="35" t="b">
        <v>0</v>
      </c>
      <c r="Q1921" s="35" t="b">
        <v>0</v>
      </c>
      <c r="R1921" s="14"/>
      <c r="S1921" s="14"/>
      <c r="T1921" s="14"/>
      <c r="U1921" s="14"/>
      <c r="V1921" s="14"/>
      <c r="W1921" s="14"/>
    </row>
    <row r="1922" ht="31.5" customHeight="1">
      <c r="A1922" s="109" t="s">
        <v>17107</v>
      </c>
      <c r="B1922" s="110" t="s">
        <v>17108</v>
      </c>
      <c r="C1922" s="111" t="s">
        <v>17109</v>
      </c>
      <c r="D1922" s="28" t="s">
        <v>17110</v>
      </c>
      <c r="E1922" s="28" t="str">
        <f>IFERROR(__xludf.DUMMYFUNCTION("GOOGLETRANSLATE(D1922,""zh-CN"",""vi"")"),"Sự thiếu hiểu biết của anh ta thật đáng kinh ngạc.")</f>
        <v>Sự thiếu hiểu biết của anh ta thật đáng kinh ngạc.</v>
      </c>
      <c r="F1922" s="137"/>
      <c r="G1922" s="36" t="b">
        <f t="shared" si="1"/>
        <v>0</v>
      </c>
      <c r="H1922" s="35" t="b">
        <v>1</v>
      </c>
      <c r="I1922" s="35" t="b">
        <v>0</v>
      </c>
      <c r="J1922" s="35" t="b">
        <v>0</v>
      </c>
      <c r="K1922" s="35" t="b">
        <v>0</v>
      </c>
      <c r="L1922" s="35" t="b">
        <v>0</v>
      </c>
      <c r="M1922" s="35" t="b">
        <v>0</v>
      </c>
      <c r="N1922" s="35" t="b">
        <v>0</v>
      </c>
      <c r="O1922" s="35" t="b">
        <v>0</v>
      </c>
      <c r="P1922" s="35" t="b">
        <v>0</v>
      </c>
      <c r="Q1922" s="35" t="b">
        <v>0</v>
      </c>
      <c r="R1922" s="14"/>
      <c r="S1922" s="14"/>
      <c r="T1922" s="14"/>
      <c r="U1922" s="14"/>
      <c r="V1922" s="14"/>
      <c r="W1922" s="14"/>
    </row>
    <row r="1923" ht="31.5" customHeight="1">
      <c r="A1923" s="109" t="s">
        <v>17111</v>
      </c>
      <c r="B1923" s="110" t="s">
        <v>17112</v>
      </c>
      <c r="C1923" s="111" t="s">
        <v>17113</v>
      </c>
      <c r="D1923" s="28" t="s">
        <v>17114</v>
      </c>
      <c r="E1923" s="28" t="str">
        <f>IFERROR(__xludf.DUMMYFUNCTION("GOOGLETRANSLATE(D1923,""zh-CN"",""vi"")"),"Cô ấy yêu thích khiêu vũ từ khi còn nhỏ.")</f>
        <v>Cô ấy yêu thích khiêu vũ từ khi còn nhỏ.</v>
      </c>
      <c r="F1923" s="137"/>
      <c r="G1923" s="36" t="b">
        <f t="shared" si="1"/>
        <v>0</v>
      </c>
      <c r="H1923" s="35" t="b">
        <v>1</v>
      </c>
      <c r="I1923" s="35" t="b">
        <v>0</v>
      </c>
      <c r="J1923" s="35" t="b">
        <v>0</v>
      </c>
      <c r="K1923" s="35" t="b">
        <v>0</v>
      </c>
      <c r="L1923" s="35" t="b">
        <v>0</v>
      </c>
      <c r="M1923" s="35" t="b">
        <v>0</v>
      </c>
      <c r="N1923" s="35" t="b">
        <v>0</v>
      </c>
      <c r="O1923" s="35" t="b">
        <v>0</v>
      </c>
      <c r="P1923" s="35" t="b">
        <v>0</v>
      </c>
      <c r="Q1923" s="35" t="b">
        <v>0</v>
      </c>
      <c r="R1923" s="14"/>
      <c r="S1923" s="14"/>
      <c r="T1923" s="14"/>
      <c r="U1923" s="14"/>
      <c r="V1923" s="14"/>
      <c r="W1923" s="14"/>
    </row>
    <row r="1924" ht="31.5" customHeight="1">
      <c r="A1924" s="109" t="s">
        <v>17115</v>
      </c>
      <c r="B1924" s="110" t="s">
        <v>17116</v>
      </c>
      <c r="C1924" s="111" t="s">
        <v>17117</v>
      </c>
      <c r="D1924" s="28" t="s">
        <v>17118</v>
      </c>
      <c r="E1924" s="28" t="str">
        <f>IFERROR(__xludf.DUMMYFUNCTION("GOOGLETRANSLATE(D1924,""zh-CN"",""vi"")"),"Những lời anh ta nói đã xúc phạm tôi.")</f>
        <v>Những lời anh ta nói đã xúc phạm tôi.</v>
      </c>
      <c r="F1924" s="137"/>
      <c r="G1924" s="36" t="b">
        <f t="shared" si="1"/>
        <v>0</v>
      </c>
      <c r="H1924" s="35" t="b">
        <v>1</v>
      </c>
      <c r="I1924" s="35" t="b">
        <v>0</v>
      </c>
      <c r="J1924" s="35" t="b">
        <v>0</v>
      </c>
      <c r="K1924" s="35" t="b">
        <v>0</v>
      </c>
      <c r="L1924" s="35" t="b">
        <v>0</v>
      </c>
      <c r="M1924" s="35" t="b">
        <v>0</v>
      </c>
      <c r="N1924" s="35" t="b">
        <v>0</v>
      </c>
      <c r="O1924" s="35" t="b">
        <v>0</v>
      </c>
      <c r="P1924" s="35" t="b">
        <v>0</v>
      </c>
      <c r="Q1924" s="35" t="b">
        <v>0</v>
      </c>
      <c r="R1924" s="14"/>
      <c r="S1924" s="14"/>
      <c r="T1924" s="14"/>
      <c r="U1924" s="14"/>
      <c r="V1924" s="14"/>
      <c r="W1924" s="14"/>
    </row>
    <row r="1925" ht="31.5" customHeight="1">
      <c r="A1925" s="109" t="s">
        <v>17119</v>
      </c>
      <c r="B1925" s="110" t="s">
        <v>17120</v>
      </c>
      <c r="C1925" s="111" t="s">
        <v>17121</v>
      </c>
      <c r="D1925" s="28" t="s">
        <v>17122</v>
      </c>
      <c r="E1925" s="28" t="str">
        <f>IFERROR(__xludf.DUMMYFUNCTION("GOOGLETRANSLATE(D1925,""zh-CN"",""vi"")"),"Anh ấy thích đọc tiểu thuyết võ thuật.")</f>
        <v>Anh ấy thích đọc tiểu thuyết võ thuật.</v>
      </c>
      <c r="F1925" s="137"/>
      <c r="G1925" s="36" t="b">
        <f t="shared" si="1"/>
        <v>0</v>
      </c>
      <c r="H1925" s="35" t="b">
        <v>1</v>
      </c>
      <c r="I1925" s="35" t="b">
        <v>0</v>
      </c>
      <c r="J1925" s="35" t="b">
        <v>0</v>
      </c>
      <c r="K1925" s="35" t="b">
        <v>0</v>
      </c>
      <c r="L1925" s="35" t="b">
        <v>0</v>
      </c>
      <c r="M1925" s="35" t="b">
        <v>0</v>
      </c>
      <c r="N1925" s="35" t="b">
        <v>0</v>
      </c>
      <c r="O1925" s="35" t="b">
        <v>0</v>
      </c>
      <c r="P1925" s="35" t="b">
        <v>0</v>
      </c>
      <c r="Q1925" s="35" t="b">
        <v>0</v>
      </c>
      <c r="R1925" s="14"/>
      <c r="S1925" s="14"/>
      <c r="T1925" s="14"/>
      <c r="U1925" s="14"/>
      <c r="V1925" s="14"/>
      <c r="W1925" s="14"/>
    </row>
    <row r="1926" ht="31.5" customHeight="1">
      <c r="A1926" s="109" t="s">
        <v>17123</v>
      </c>
      <c r="B1926" s="110" t="s">
        <v>17124</v>
      </c>
      <c r="C1926" s="111" t="s">
        <v>17125</v>
      </c>
      <c r="D1926" s="28" t="s">
        <v>17126</v>
      </c>
      <c r="E1926" s="28" t="str">
        <f>IFERROR(__xludf.DUMMYFUNCTION("GOOGLETRANSLATE(D1926,""zh-CN"",""vi"")"),"Các binh lính đã tự trang bị vũ khí.")</f>
        <v>Các binh lính đã tự trang bị vũ khí.</v>
      </c>
      <c r="F1926" s="137"/>
      <c r="G1926" s="36" t="b">
        <f t="shared" si="1"/>
        <v>0</v>
      </c>
      <c r="H1926" s="35" t="b">
        <v>1</v>
      </c>
      <c r="I1926" s="35" t="b">
        <v>0</v>
      </c>
      <c r="J1926" s="35" t="b">
        <v>0</v>
      </c>
      <c r="K1926" s="35" t="b">
        <v>0</v>
      </c>
      <c r="L1926" s="35" t="b">
        <v>0</v>
      </c>
      <c r="M1926" s="35" t="b">
        <v>0</v>
      </c>
      <c r="N1926" s="35" t="b">
        <v>0</v>
      </c>
      <c r="O1926" s="35" t="b">
        <v>0</v>
      </c>
      <c r="P1926" s="35" t="b">
        <v>0</v>
      </c>
      <c r="Q1926" s="35" t="b">
        <v>0</v>
      </c>
      <c r="R1926" s="14"/>
      <c r="S1926" s="14"/>
      <c r="T1926" s="14"/>
      <c r="U1926" s="14"/>
      <c r="V1926" s="14"/>
      <c r="W1926" s="14"/>
    </row>
    <row r="1927" ht="31.5" customHeight="1">
      <c r="A1927" s="109" t="s">
        <v>12043</v>
      </c>
      <c r="B1927" s="110" t="s">
        <v>12046</v>
      </c>
      <c r="C1927" s="111" t="s">
        <v>17127</v>
      </c>
      <c r="D1927" s="28" t="s">
        <v>17128</v>
      </c>
      <c r="E1927" s="28" t="str">
        <f>IFERROR(__xludf.DUMMYFUNCTION("GOOGLETRANSLATE(D1927,""zh-CN"",""vi"")"),"Vui lòng không hút thuốc.")</f>
        <v>Vui lòng không hút thuốc.</v>
      </c>
      <c r="F1927" s="137"/>
      <c r="G1927" s="36" t="b">
        <f t="shared" si="1"/>
        <v>0</v>
      </c>
      <c r="H1927" s="35" t="b">
        <v>1</v>
      </c>
      <c r="I1927" s="35" t="b">
        <v>0</v>
      </c>
      <c r="J1927" s="35" t="b">
        <v>0</v>
      </c>
      <c r="K1927" s="35" t="b">
        <v>0</v>
      </c>
      <c r="L1927" s="35" t="b">
        <v>0</v>
      </c>
      <c r="M1927" s="35" t="b">
        <v>0</v>
      </c>
      <c r="N1927" s="35" t="b">
        <v>0</v>
      </c>
      <c r="O1927" s="35" t="b">
        <v>0</v>
      </c>
      <c r="P1927" s="35" t="b">
        <v>0</v>
      </c>
      <c r="Q1927" s="35" t="b">
        <v>0</v>
      </c>
      <c r="R1927" s="14"/>
      <c r="S1927" s="14"/>
      <c r="T1927" s="14"/>
      <c r="U1927" s="14"/>
      <c r="V1927" s="14"/>
      <c r="W1927" s="14"/>
    </row>
    <row r="1928" ht="31.5" customHeight="1">
      <c r="A1928" s="109" t="s">
        <v>17129</v>
      </c>
      <c r="B1928" s="110" t="s">
        <v>17130</v>
      </c>
      <c r="C1928" s="111" t="s">
        <v>17131</v>
      </c>
      <c r="D1928" s="28" t="s">
        <v>17132</v>
      </c>
      <c r="E1928" s="28" t="str">
        <f>IFERROR(__xludf.DUMMYFUNCTION("GOOGLETRANSLATE(D1928,""zh-CN"",""vi"")"),"Vui lòng đến đúng giờ.")</f>
        <v>Vui lòng đến đúng giờ.</v>
      </c>
      <c r="F1928" s="137"/>
      <c r="G1928" s="36" t="b">
        <f t="shared" si="1"/>
        <v>0</v>
      </c>
      <c r="H1928" s="35" t="b">
        <v>1</v>
      </c>
      <c r="I1928" s="35" t="b">
        <v>0</v>
      </c>
      <c r="J1928" s="35" t="b">
        <v>0</v>
      </c>
      <c r="K1928" s="35" t="b">
        <v>0</v>
      </c>
      <c r="L1928" s="35" t="b">
        <v>0</v>
      </c>
      <c r="M1928" s="35" t="b">
        <v>0</v>
      </c>
      <c r="N1928" s="35" t="b">
        <v>0</v>
      </c>
      <c r="O1928" s="35" t="b">
        <v>0</v>
      </c>
      <c r="P1928" s="35" t="b">
        <v>0</v>
      </c>
      <c r="Q1928" s="35" t="b">
        <v>0</v>
      </c>
      <c r="R1928" s="14"/>
      <c r="S1928" s="14"/>
      <c r="T1928" s="14"/>
      <c r="U1928" s="14"/>
      <c r="V1928" s="14"/>
      <c r="W1928" s="14"/>
    </row>
    <row r="1929" ht="31.5" customHeight="1">
      <c r="A1929" s="109" t="s">
        <v>17133</v>
      </c>
      <c r="B1929" s="110" t="s">
        <v>17134</v>
      </c>
      <c r="C1929" s="111" t="s">
        <v>17135</v>
      </c>
      <c r="D1929" s="28" t="s">
        <v>17136</v>
      </c>
      <c r="E1929" s="28" t="str">
        <f>IFERROR(__xludf.DUMMYFUNCTION("GOOGLETRANSLATE(D1929,""zh-CN"",""vi"")"),"Đây chỉ là một lỗi nhỏ.")</f>
        <v>Đây chỉ là một lỗi nhỏ.</v>
      </c>
      <c r="F1929" s="137"/>
      <c r="G1929" s="36" t="b">
        <f t="shared" si="1"/>
        <v>0</v>
      </c>
      <c r="H1929" s="35" t="b">
        <v>1</v>
      </c>
      <c r="I1929" s="35" t="b">
        <v>0</v>
      </c>
      <c r="J1929" s="35" t="b">
        <v>0</v>
      </c>
      <c r="K1929" s="35" t="b">
        <v>0</v>
      </c>
      <c r="L1929" s="35" t="b">
        <v>0</v>
      </c>
      <c r="M1929" s="35" t="b">
        <v>0</v>
      </c>
      <c r="N1929" s="35" t="b">
        <v>0</v>
      </c>
      <c r="O1929" s="35" t="b">
        <v>0</v>
      </c>
      <c r="P1929" s="35" t="b">
        <v>0</v>
      </c>
      <c r="Q1929" s="35" t="b">
        <v>0</v>
      </c>
      <c r="R1929" s="14"/>
      <c r="S1929" s="14"/>
      <c r="T1929" s="14"/>
      <c r="U1929" s="14"/>
      <c r="V1929" s="14"/>
      <c r="W1929" s="14"/>
    </row>
    <row r="1930" ht="31.5" customHeight="1">
      <c r="A1930" s="109" t="s">
        <v>17137</v>
      </c>
      <c r="B1930" s="110" t="s">
        <v>17138</v>
      </c>
      <c r="C1930" s="111" t="s">
        <v>17139</v>
      </c>
      <c r="D1930" s="28" t="s">
        <v>17140</v>
      </c>
      <c r="E1930" s="28" t="str">
        <f>IFERROR(__xludf.DUMMYFUNCTION("GOOGLETRANSLATE(D1930,""zh-CN"",""vi"")"),"Giữa chúng ta có sự hiểu lầm.")</f>
        <v>Giữa chúng ta có sự hiểu lầm.</v>
      </c>
      <c r="F1930" s="137"/>
      <c r="G1930" s="36" t="b">
        <f t="shared" si="1"/>
        <v>0</v>
      </c>
      <c r="H1930" s="35" t="b">
        <v>1</v>
      </c>
      <c r="I1930" s="35" t="b">
        <v>0</v>
      </c>
      <c r="J1930" s="35" t="b">
        <v>0</v>
      </c>
      <c r="K1930" s="35" t="b">
        <v>0</v>
      </c>
      <c r="L1930" s="35" t="b">
        <v>0</v>
      </c>
      <c r="M1930" s="35" t="b">
        <v>0</v>
      </c>
      <c r="N1930" s="35" t="b">
        <v>0</v>
      </c>
      <c r="O1930" s="35" t="b">
        <v>0</v>
      </c>
      <c r="P1930" s="35" t="b">
        <v>0</v>
      </c>
      <c r="Q1930" s="35" t="b">
        <v>0</v>
      </c>
      <c r="R1930" s="14"/>
      <c r="S1930" s="14"/>
      <c r="T1930" s="14"/>
      <c r="U1930" s="14"/>
      <c r="V1930" s="14"/>
      <c r="W1930" s="14"/>
    </row>
    <row r="1931" ht="31.5" customHeight="1">
      <c r="A1931" s="109" t="s">
        <v>17141</v>
      </c>
      <c r="B1931" s="110" t="s">
        <v>17142</v>
      </c>
      <c r="C1931" s="111" t="s">
        <v>17143</v>
      </c>
      <c r="D1931" s="28" t="s">
        <v>17144</v>
      </c>
      <c r="E1931" s="28" t="str">
        <f>IFERROR(__xludf.DUMMYFUNCTION("GOOGLETRANSLATE(D1931,""zh-CN"",""vi"")"),"Những mặt hàng này có chất lượng tốt và giá cả phải chăng.")</f>
        <v>Những mặt hàng này có chất lượng tốt và giá cả phải chăng.</v>
      </c>
      <c r="F1931" s="137"/>
      <c r="G1931" s="36" t="b">
        <f t="shared" si="1"/>
        <v>0</v>
      </c>
      <c r="H1931" s="35" t="b">
        <v>1</v>
      </c>
      <c r="I1931" s="35" t="b">
        <v>0</v>
      </c>
      <c r="J1931" s="35" t="b">
        <v>0</v>
      </c>
      <c r="K1931" s="35" t="b">
        <v>0</v>
      </c>
      <c r="L1931" s="35" t="b">
        <v>0</v>
      </c>
      <c r="M1931" s="35" t="b">
        <v>0</v>
      </c>
      <c r="N1931" s="35" t="b">
        <v>0</v>
      </c>
      <c r="O1931" s="35" t="b">
        <v>0</v>
      </c>
      <c r="P1931" s="35" t="b">
        <v>0</v>
      </c>
      <c r="Q1931" s="35" t="b">
        <v>0</v>
      </c>
      <c r="R1931" s="14"/>
      <c r="S1931" s="14"/>
      <c r="T1931" s="14"/>
      <c r="U1931" s="14"/>
      <c r="V1931" s="14"/>
      <c r="W1931" s="14"/>
    </row>
    <row r="1932" ht="31.5" customHeight="1">
      <c r="A1932" s="109" t="s">
        <v>17145</v>
      </c>
      <c r="B1932" s="110" t="s">
        <v>17146</v>
      </c>
      <c r="C1932" s="111" t="s">
        <v>17147</v>
      </c>
      <c r="D1932" s="28" t="s">
        <v>17148</v>
      </c>
      <c r="E1932" s="28" t="str">
        <f>IFERROR(__xludf.DUMMYFUNCTION("GOOGLETRANSLATE(D1932,""zh-CN"",""vi"")"),"Anh ấy là một người thực tế.")</f>
        <v>Anh ấy là một người thực tế.</v>
      </c>
      <c r="F1932" s="137"/>
      <c r="G1932" s="36" t="b">
        <f t="shared" si="1"/>
        <v>0</v>
      </c>
      <c r="H1932" s="35" t="b">
        <v>1</v>
      </c>
      <c r="I1932" s="35" t="b">
        <v>0</v>
      </c>
      <c r="J1932" s="35" t="b">
        <v>0</v>
      </c>
      <c r="K1932" s="35" t="b">
        <v>0</v>
      </c>
      <c r="L1932" s="35" t="b">
        <v>0</v>
      </c>
      <c r="M1932" s="35" t="b">
        <v>0</v>
      </c>
      <c r="N1932" s="35" t="b">
        <v>0</v>
      </c>
      <c r="O1932" s="35" t="b">
        <v>0</v>
      </c>
      <c r="P1932" s="35" t="b">
        <v>0</v>
      </c>
      <c r="Q1932" s="35" t="b">
        <v>0</v>
      </c>
      <c r="R1932" s="14"/>
      <c r="S1932" s="14"/>
      <c r="T1932" s="14"/>
      <c r="U1932" s="14"/>
      <c r="V1932" s="14"/>
      <c r="W1932" s="14"/>
    </row>
    <row r="1933" ht="31.5" customHeight="1">
      <c r="A1933" s="109" t="s">
        <v>17149</v>
      </c>
      <c r="B1933" s="110" t="s">
        <v>17150</v>
      </c>
      <c r="C1933" s="111" t="s">
        <v>17151</v>
      </c>
      <c r="D1933" s="28" t="s">
        <v>17152</v>
      </c>
      <c r="E1933" s="28" t="str">
        <f>IFERROR(__xludf.DUMMYFUNCTION("GOOGLETRANSLATE(D1933,""zh-CN"",""vi"")"),"Họ cần thêm vật tư.")</f>
        <v>Họ cần thêm vật tư.</v>
      </c>
      <c r="F1933" s="137"/>
      <c r="G1933" s="36" t="b">
        <f t="shared" si="1"/>
        <v>0</v>
      </c>
      <c r="H1933" s="35" t="b">
        <v>1</v>
      </c>
      <c r="I1933" s="35" t="b">
        <v>0</v>
      </c>
      <c r="J1933" s="35" t="b">
        <v>0</v>
      </c>
      <c r="K1933" s="35" t="b">
        <v>0</v>
      </c>
      <c r="L1933" s="35" t="b">
        <v>0</v>
      </c>
      <c r="M1933" s="35" t="b">
        <v>0</v>
      </c>
      <c r="N1933" s="35" t="b">
        <v>0</v>
      </c>
      <c r="O1933" s="35" t="b">
        <v>0</v>
      </c>
      <c r="P1933" s="35" t="b">
        <v>0</v>
      </c>
      <c r="Q1933" s="35" t="b">
        <v>0</v>
      </c>
      <c r="R1933" s="14"/>
      <c r="S1933" s="14"/>
      <c r="T1933" s="14"/>
      <c r="U1933" s="14"/>
      <c r="V1933" s="14"/>
      <c r="W1933" s="14"/>
    </row>
    <row r="1934" ht="31.5" customHeight="1">
      <c r="A1934" s="109" t="s">
        <v>17153</v>
      </c>
      <c r="B1934" s="110" t="s">
        <v>3086</v>
      </c>
      <c r="C1934" s="111" t="s">
        <v>17154</v>
      </c>
      <c r="D1934" s="28" t="s">
        <v>17155</v>
      </c>
      <c r="E1934" s="28" t="str">
        <f>IFERROR(__xludf.DUMMYFUNCTION("GOOGLETRANSLATE(D1934,""zh-CN"",""vi"")"),"Nước suối rất trong.")</f>
        <v>Nước suối rất trong.</v>
      </c>
      <c r="F1934" s="137"/>
      <c r="G1934" s="36" t="b">
        <f t="shared" si="1"/>
        <v>0</v>
      </c>
      <c r="H1934" s="35" t="b">
        <v>1</v>
      </c>
      <c r="I1934" s="35" t="b">
        <v>0</v>
      </c>
      <c r="J1934" s="35" t="b">
        <v>0</v>
      </c>
      <c r="K1934" s="35" t="b">
        <v>0</v>
      </c>
      <c r="L1934" s="35" t="b">
        <v>0</v>
      </c>
      <c r="M1934" s="35" t="b">
        <v>0</v>
      </c>
      <c r="N1934" s="35" t="b">
        <v>0</v>
      </c>
      <c r="O1934" s="35" t="b">
        <v>0</v>
      </c>
      <c r="P1934" s="35" t="b">
        <v>0</v>
      </c>
      <c r="Q1934" s="35" t="b">
        <v>0</v>
      </c>
      <c r="R1934" s="14"/>
      <c r="S1934" s="14"/>
      <c r="T1934" s="14"/>
      <c r="U1934" s="14"/>
      <c r="V1934" s="14"/>
      <c r="W1934" s="14"/>
    </row>
    <row r="1935" ht="31.5" customHeight="1">
      <c r="A1935" s="109" t="s">
        <v>17156</v>
      </c>
      <c r="B1935" s="110" t="s">
        <v>17157</v>
      </c>
      <c r="C1935" s="111" t="s">
        <v>17158</v>
      </c>
      <c r="D1935" s="28" t="s">
        <v>17159</v>
      </c>
      <c r="E1935" s="28" t="str">
        <f>IFERROR(__xludf.DUMMYFUNCTION("GOOGLETRANSLATE(D1935,""zh-CN"",""vi"")"),"Đầu gối của tôi bị thương.")</f>
        <v>Đầu gối của tôi bị thương.</v>
      </c>
      <c r="F1935" s="137"/>
      <c r="G1935" s="36" t="b">
        <f t="shared" si="1"/>
        <v>0</v>
      </c>
      <c r="H1935" s="35" t="b">
        <v>1</v>
      </c>
      <c r="I1935" s="35" t="b">
        <v>0</v>
      </c>
      <c r="J1935" s="35" t="b">
        <v>0</v>
      </c>
      <c r="K1935" s="35" t="b">
        <v>0</v>
      </c>
      <c r="L1935" s="35" t="b">
        <v>0</v>
      </c>
      <c r="M1935" s="35" t="b">
        <v>0</v>
      </c>
      <c r="N1935" s="35" t="b">
        <v>0</v>
      </c>
      <c r="O1935" s="35" t="b">
        <v>0</v>
      </c>
      <c r="P1935" s="35" t="b">
        <v>0</v>
      </c>
      <c r="Q1935" s="35" t="b">
        <v>0</v>
      </c>
      <c r="R1935" s="14"/>
      <c r="S1935" s="14"/>
      <c r="T1935" s="14"/>
      <c r="U1935" s="14"/>
      <c r="V1935" s="14"/>
      <c r="W1935" s="14"/>
    </row>
    <row r="1936" ht="31.5" customHeight="1">
      <c r="A1936" s="109" t="s">
        <v>17160</v>
      </c>
      <c r="B1936" s="110" t="s">
        <v>17161</v>
      </c>
      <c r="C1936" s="111" t="s">
        <v>17162</v>
      </c>
      <c r="D1936" s="28" t="s">
        <v>17163</v>
      </c>
      <c r="E1936" s="28" t="str">
        <f>IFERROR(__xludf.DUMMYFUNCTION("GOOGLETRANSLATE(D1936,""zh-CN"",""vi"")"),"Ngọn lửa đã tắt.")</f>
        <v>Ngọn lửa đã tắt.</v>
      </c>
      <c r="F1936" s="137"/>
      <c r="G1936" s="36" t="b">
        <f t="shared" si="1"/>
        <v>0</v>
      </c>
      <c r="H1936" s="35" t="b">
        <v>1</v>
      </c>
      <c r="I1936" s="35" t="b">
        <v>0</v>
      </c>
      <c r="J1936" s="35" t="b">
        <v>0</v>
      </c>
      <c r="K1936" s="35" t="b">
        <v>0</v>
      </c>
      <c r="L1936" s="35" t="b">
        <v>0</v>
      </c>
      <c r="M1936" s="35" t="b">
        <v>0</v>
      </c>
      <c r="N1936" s="35" t="b">
        <v>0</v>
      </c>
      <c r="O1936" s="35" t="b">
        <v>0</v>
      </c>
      <c r="P1936" s="35" t="b">
        <v>0</v>
      </c>
      <c r="Q1936" s="35" t="b">
        <v>0</v>
      </c>
      <c r="R1936" s="14"/>
      <c r="S1936" s="14"/>
      <c r="T1936" s="14"/>
      <c r="U1936" s="14"/>
      <c r="V1936" s="14"/>
      <c r="W1936" s="14"/>
    </row>
    <row r="1937" ht="31.5" customHeight="1">
      <c r="A1937" s="109" t="s">
        <v>12080</v>
      </c>
      <c r="B1937" s="110" t="s">
        <v>17164</v>
      </c>
      <c r="C1937" s="111" t="s">
        <v>17165</v>
      </c>
      <c r="D1937" s="28" t="s">
        <v>17166</v>
      </c>
      <c r="E1937" s="28" t="str">
        <f>IFERROR(__xludf.DUMMYFUNCTION("GOOGLETRANSLATE(D1937,""zh-CN"",""vi"")"),"Tôi đã học được rất nhiều điều từ cuốn sách này.")</f>
        <v>Tôi đã học được rất nhiều điều từ cuốn sách này.</v>
      </c>
      <c r="F1937" s="137"/>
      <c r="G1937" s="36" t="b">
        <f t="shared" si="1"/>
        <v>0</v>
      </c>
      <c r="H1937" s="35" t="b">
        <v>1</v>
      </c>
      <c r="I1937" s="35" t="b">
        <v>0</v>
      </c>
      <c r="J1937" s="35" t="b">
        <v>0</v>
      </c>
      <c r="K1937" s="35" t="b">
        <v>0</v>
      </c>
      <c r="L1937" s="35" t="b">
        <v>0</v>
      </c>
      <c r="M1937" s="35" t="b">
        <v>0</v>
      </c>
      <c r="N1937" s="35" t="b">
        <v>0</v>
      </c>
      <c r="O1937" s="35" t="b">
        <v>0</v>
      </c>
      <c r="P1937" s="35" t="b">
        <v>0</v>
      </c>
      <c r="Q1937" s="35" t="b">
        <v>0</v>
      </c>
      <c r="R1937" s="14"/>
      <c r="S1937" s="14"/>
      <c r="T1937" s="14"/>
      <c r="U1937" s="14"/>
      <c r="V1937" s="14"/>
      <c r="W1937" s="14"/>
    </row>
    <row r="1938" ht="31.5" customHeight="1">
      <c r="A1938" s="109" t="s">
        <v>17167</v>
      </c>
      <c r="B1938" s="110" t="s">
        <v>17168</v>
      </c>
      <c r="C1938" s="111" t="s">
        <v>17169</v>
      </c>
      <c r="D1938" s="28" t="s">
        <v>17170</v>
      </c>
      <c r="E1938" s="28" t="str">
        <f>IFERROR(__xludf.DUMMYFUNCTION("GOOGLETRANSLATE(D1938,""zh-CN"",""vi"")"),"Trước đây ông ta từng là một nhân vật quan trọng.")</f>
        <v>Trước đây ông ta từng là một nhân vật quan trọng.</v>
      </c>
      <c r="F1938" s="137"/>
      <c r="G1938" s="36" t="b">
        <f t="shared" si="1"/>
        <v>0</v>
      </c>
      <c r="H1938" s="35" t="b">
        <v>1</v>
      </c>
      <c r="I1938" s="35" t="b">
        <v>0</v>
      </c>
      <c r="J1938" s="35" t="b">
        <v>0</v>
      </c>
      <c r="K1938" s="35" t="b">
        <v>0</v>
      </c>
      <c r="L1938" s="35" t="b">
        <v>0</v>
      </c>
      <c r="M1938" s="35" t="b">
        <v>0</v>
      </c>
      <c r="N1938" s="35" t="b">
        <v>0</v>
      </c>
      <c r="O1938" s="35" t="b">
        <v>0</v>
      </c>
      <c r="P1938" s="35" t="b">
        <v>0</v>
      </c>
      <c r="Q1938" s="35" t="b">
        <v>0</v>
      </c>
      <c r="R1938" s="14"/>
      <c r="S1938" s="14"/>
      <c r="T1938" s="14"/>
      <c r="U1938" s="14"/>
      <c r="V1938" s="14"/>
      <c r="W1938" s="14"/>
    </row>
    <row r="1939" ht="31.5" customHeight="1">
      <c r="A1939" s="109" t="s">
        <v>17171</v>
      </c>
      <c r="B1939" s="110" t="s">
        <v>17172</v>
      </c>
      <c r="C1939" s="111" t="s">
        <v>17173</v>
      </c>
      <c r="D1939" s="28" t="s">
        <v>17174</v>
      </c>
      <c r="E1939" s="28" t="str">
        <f>IFERROR(__xludf.DUMMYFUNCTION("GOOGLETRANSLATE(D1939,""zh-CN"",""vi"")"),"Ông đã hy sinh bản thân vì đất nước.")</f>
        <v>Ông đã hy sinh bản thân vì đất nước.</v>
      </c>
      <c r="F1939" s="137"/>
      <c r="G1939" s="36" t="b">
        <f t="shared" si="1"/>
        <v>0</v>
      </c>
      <c r="H1939" s="35" t="b">
        <v>1</v>
      </c>
      <c r="I1939" s="35" t="b">
        <v>0</v>
      </c>
      <c r="J1939" s="35" t="b">
        <v>0</v>
      </c>
      <c r="K1939" s="35" t="b">
        <v>0</v>
      </c>
      <c r="L1939" s="35" t="b">
        <v>0</v>
      </c>
      <c r="M1939" s="35" t="b">
        <v>0</v>
      </c>
      <c r="N1939" s="35" t="b">
        <v>0</v>
      </c>
      <c r="O1939" s="35" t="b">
        <v>0</v>
      </c>
      <c r="P1939" s="35" t="b">
        <v>0</v>
      </c>
      <c r="Q1939" s="35" t="b">
        <v>0</v>
      </c>
      <c r="R1939" s="14"/>
      <c r="S1939" s="14"/>
      <c r="T1939" s="14"/>
      <c r="U1939" s="14"/>
      <c r="V1939" s="14"/>
      <c r="W1939" s="14"/>
    </row>
    <row r="1940" ht="31.5" customHeight="1">
      <c r="A1940" s="109" t="s">
        <v>17175</v>
      </c>
      <c r="B1940" s="110" t="s">
        <v>17176</v>
      </c>
      <c r="C1940" s="111" t="s">
        <v>17177</v>
      </c>
      <c r="D1940" s="28" t="s">
        <v>17178</v>
      </c>
      <c r="E1940" s="28" t="str">
        <f>IFERROR(__xludf.DUMMYFUNCTION("GOOGLETRANSLATE(D1940,""zh-CN"",""vi"")"),"Tôi thích ngắm hoàng hôn.")</f>
        <v>Tôi thích ngắm hoàng hôn.</v>
      </c>
      <c r="F1940" s="137"/>
      <c r="G1940" s="36" t="b">
        <f t="shared" si="1"/>
        <v>0</v>
      </c>
      <c r="H1940" s="35" t="b">
        <v>1</v>
      </c>
      <c r="I1940" s="35" t="b">
        <v>0</v>
      </c>
      <c r="J1940" s="35" t="b">
        <v>0</v>
      </c>
      <c r="K1940" s="35" t="b">
        <v>0</v>
      </c>
      <c r="L1940" s="35" t="b">
        <v>0</v>
      </c>
      <c r="M1940" s="35" t="b">
        <v>0</v>
      </c>
      <c r="N1940" s="35" t="b">
        <v>0</v>
      </c>
      <c r="O1940" s="35" t="b">
        <v>0</v>
      </c>
      <c r="P1940" s="35" t="b">
        <v>0</v>
      </c>
      <c r="Q1940" s="35" t="b">
        <v>0</v>
      </c>
      <c r="R1940" s="14"/>
      <c r="S1940" s="14"/>
      <c r="T1940" s="14"/>
      <c r="U1940" s="14"/>
      <c r="V1940" s="14"/>
      <c r="W1940" s="14"/>
    </row>
    <row r="1941" ht="31.5" customHeight="1">
      <c r="A1941" s="109" t="s">
        <v>17179</v>
      </c>
      <c r="B1941" s="110" t="s">
        <v>17180</v>
      </c>
      <c r="C1941" s="111" t="s">
        <v>17181</v>
      </c>
      <c r="D1941" s="28" t="s">
        <v>17182</v>
      </c>
      <c r="E1941" s="28" t="str">
        <f>IFERROR(__xludf.DUMMYFUNCTION("GOOGLETRANSLATE(D1941,""zh-CN"",""vi"")"),"Cô ấy là vợ tôi.")</f>
        <v>Cô ấy là vợ tôi.</v>
      </c>
      <c r="F1941" s="137"/>
      <c r="G1941" s="36" t="b">
        <f t="shared" si="1"/>
        <v>0</v>
      </c>
      <c r="H1941" s="35" t="b">
        <v>1</v>
      </c>
      <c r="I1941" s="35" t="b">
        <v>0</v>
      </c>
      <c r="J1941" s="35" t="b">
        <v>0</v>
      </c>
      <c r="K1941" s="35" t="b">
        <v>0</v>
      </c>
      <c r="L1941" s="35" t="b">
        <v>0</v>
      </c>
      <c r="M1941" s="35" t="b">
        <v>0</v>
      </c>
      <c r="N1941" s="35" t="b">
        <v>0</v>
      </c>
      <c r="O1941" s="35" t="b">
        <v>0</v>
      </c>
      <c r="P1941" s="35" t="b">
        <v>0</v>
      </c>
      <c r="Q1941" s="35" t="b">
        <v>0</v>
      </c>
      <c r="R1941" s="14"/>
      <c r="S1941" s="14"/>
      <c r="T1941" s="14"/>
      <c r="U1941" s="14"/>
      <c r="V1941" s="14"/>
      <c r="W1941" s="14"/>
    </row>
    <row r="1942" ht="31.5" customHeight="1">
      <c r="A1942" s="109" t="s">
        <v>17183</v>
      </c>
      <c r="B1942" s="110" t="s">
        <v>17184</v>
      </c>
      <c r="C1942" s="111" t="s">
        <v>17185</v>
      </c>
      <c r="D1942" s="28" t="s">
        <v>17186</v>
      </c>
      <c r="E1942" s="28" t="str">
        <f>IFERROR(__xludf.DUMMYFUNCTION("GOOGLETRANSLATE(D1942,""zh-CN"",""vi"")"),"Kẻ thù bất ngờ tấn công chúng tôi.")</f>
        <v>Kẻ thù bất ngờ tấn công chúng tôi.</v>
      </c>
      <c r="F1942" s="137"/>
      <c r="G1942" s="36" t="b">
        <f t="shared" si="1"/>
        <v>0</v>
      </c>
      <c r="H1942" s="35" t="b">
        <v>1</v>
      </c>
      <c r="I1942" s="35" t="b">
        <v>0</v>
      </c>
      <c r="J1942" s="35" t="b">
        <v>0</v>
      </c>
      <c r="K1942" s="35" t="b">
        <v>0</v>
      </c>
      <c r="L1942" s="35" t="b">
        <v>0</v>
      </c>
      <c r="M1942" s="35" t="b">
        <v>0</v>
      </c>
      <c r="N1942" s="35" t="b">
        <v>0</v>
      </c>
      <c r="O1942" s="35" t="b">
        <v>0</v>
      </c>
      <c r="P1942" s="35" t="b">
        <v>0</v>
      </c>
      <c r="Q1942" s="35" t="b">
        <v>0</v>
      </c>
      <c r="R1942" s="14"/>
      <c r="S1942" s="14"/>
      <c r="T1942" s="14"/>
      <c r="U1942" s="14"/>
      <c r="V1942" s="14"/>
      <c r="W1942" s="14"/>
    </row>
    <row r="1943" ht="31.5" customHeight="1">
      <c r="A1943" s="109" t="s">
        <v>17187</v>
      </c>
      <c r="B1943" s="110" t="s">
        <v>17188</v>
      </c>
      <c r="C1943" s="111" t="s">
        <v>17189</v>
      </c>
      <c r="D1943" s="28" t="s">
        <v>17190</v>
      </c>
      <c r="E1943" s="28" t="str">
        <f>IFERROR(__xludf.DUMMYFUNCTION("GOOGLETRANSLATE(D1943,""zh-CN"",""vi"")"),"Mỗi quốc gia đều có những phong tục tập quán riêng.")</f>
        <v>Mỗi quốc gia đều có những phong tục tập quán riêng.</v>
      </c>
      <c r="F1943" s="137"/>
      <c r="G1943" s="36" t="b">
        <f t="shared" si="1"/>
        <v>0</v>
      </c>
      <c r="H1943" s="35" t="b">
        <v>1</v>
      </c>
      <c r="I1943" s="35" t="b">
        <v>0</v>
      </c>
      <c r="J1943" s="35" t="b">
        <v>0</v>
      </c>
      <c r="K1943" s="35" t="b">
        <v>0</v>
      </c>
      <c r="L1943" s="35" t="b">
        <v>0</v>
      </c>
      <c r="M1943" s="35" t="b">
        <v>0</v>
      </c>
      <c r="N1943" s="35" t="b">
        <v>0</v>
      </c>
      <c r="O1943" s="35" t="b">
        <v>0</v>
      </c>
      <c r="P1943" s="35" t="b">
        <v>0</v>
      </c>
      <c r="Q1943" s="35" t="b">
        <v>0</v>
      </c>
      <c r="R1943" s="14"/>
      <c r="S1943" s="14"/>
      <c r="T1943" s="14"/>
      <c r="U1943" s="14"/>
      <c r="V1943" s="14"/>
      <c r="W1943" s="14"/>
    </row>
    <row r="1944" ht="31.5" customHeight="1">
      <c r="A1944" s="109" t="s">
        <v>17191</v>
      </c>
      <c r="B1944" s="110" t="s">
        <v>17192</v>
      </c>
      <c r="C1944" s="111" t="s">
        <v>17193</v>
      </c>
      <c r="D1944" s="28" t="s">
        <v>17194</v>
      </c>
      <c r="E1944" s="28" t="str">
        <f>IFERROR(__xludf.DUMMYFUNCTION("GOOGLETRANSLATE(D1944,""zh-CN"",""vi"")"),"Bộ phim này rất hay.")</f>
        <v>Bộ phim này rất hay.</v>
      </c>
      <c r="F1944" s="137"/>
      <c r="G1944" s="36" t="b">
        <f t="shared" si="1"/>
        <v>0</v>
      </c>
      <c r="H1944" s="35" t="b">
        <v>1</v>
      </c>
      <c r="I1944" s="35" t="b">
        <v>0</v>
      </c>
      <c r="J1944" s="35" t="b">
        <v>0</v>
      </c>
      <c r="K1944" s="35" t="b">
        <v>0</v>
      </c>
      <c r="L1944" s="35" t="b">
        <v>0</v>
      </c>
      <c r="M1944" s="35" t="b">
        <v>0</v>
      </c>
      <c r="N1944" s="35" t="b">
        <v>0</v>
      </c>
      <c r="O1944" s="35" t="b">
        <v>0</v>
      </c>
      <c r="P1944" s="35" t="b">
        <v>0</v>
      </c>
      <c r="Q1944" s="35" t="b">
        <v>0</v>
      </c>
      <c r="R1944" s="14"/>
      <c r="S1944" s="14"/>
      <c r="T1944" s="14"/>
      <c r="U1944" s="14"/>
      <c r="V1944" s="14"/>
      <c r="W1944" s="14"/>
    </row>
    <row r="1945" ht="31.5" customHeight="1">
      <c r="A1945" s="109" t="s">
        <v>17195</v>
      </c>
      <c r="B1945" s="110" t="s">
        <v>17196</v>
      </c>
      <c r="C1945" s="111" t="s">
        <v>17197</v>
      </c>
      <c r="D1945" s="28" t="s">
        <v>17198</v>
      </c>
      <c r="E1945" s="28" t="str">
        <f>IFERROR(__xludf.DUMMYFUNCTION("GOOGLETRANSLATE(D1945,""zh-CN"",""vi"")"),"Tin này khiến anh ấy rất vui.")</f>
        <v>Tin này khiến anh ấy rất vui.</v>
      </c>
      <c r="F1945" s="137"/>
      <c r="G1945" s="36" t="b">
        <f t="shared" si="1"/>
        <v>0</v>
      </c>
      <c r="H1945" s="35" t="b">
        <v>1</v>
      </c>
      <c r="I1945" s="35" t="b">
        <v>0</v>
      </c>
      <c r="J1945" s="35" t="b">
        <v>0</v>
      </c>
      <c r="K1945" s="35" t="b">
        <v>0</v>
      </c>
      <c r="L1945" s="35" t="b">
        <v>0</v>
      </c>
      <c r="M1945" s="35" t="b">
        <v>0</v>
      </c>
      <c r="N1945" s="35" t="b">
        <v>0</v>
      </c>
      <c r="O1945" s="35" t="b">
        <v>0</v>
      </c>
      <c r="P1945" s="35" t="b">
        <v>0</v>
      </c>
      <c r="Q1945" s="35" t="b">
        <v>0</v>
      </c>
      <c r="R1945" s="14"/>
      <c r="S1945" s="14"/>
      <c r="T1945" s="14"/>
      <c r="U1945" s="14"/>
      <c r="V1945" s="14"/>
      <c r="W1945" s="14"/>
    </row>
    <row r="1946" ht="31.5" customHeight="1">
      <c r="A1946" s="109" t="s">
        <v>17199</v>
      </c>
      <c r="B1946" s="110" t="s">
        <v>17200</v>
      </c>
      <c r="C1946" s="111" t="s">
        <v>17201</v>
      </c>
      <c r="D1946" s="28" t="s">
        <v>17202</v>
      </c>
      <c r="E1946" s="28" t="str">
        <f>IFERROR(__xludf.DUMMYFUNCTION("GOOGLETRANSLATE(D1946,""zh-CN"",""vi"")"),"Tế bào là đơn vị cơ bản của sự sống.")</f>
        <v>Tế bào là đơn vị cơ bản của sự sống.</v>
      </c>
      <c r="F1946" s="137"/>
      <c r="G1946" s="36" t="b">
        <f t="shared" si="1"/>
        <v>0</v>
      </c>
      <c r="H1946" s="35" t="b">
        <v>1</v>
      </c>
      <c r="I1946" s="35" t="b">
        <v>0</v>
      </c>
      <c r="J1946" s="35" t="b">
        <v>0</v>
      </c>
      <c r="K1946" s="35" t="b">
        <v>0</v>
      </c>
      <c r="L1946" s="35" t="b">
        <v>0</v>
      </c>
      <c r="M1946" s="35" t="b">
        <v>0</v>
      </c>
      <c r="N1946" s="35" t="b">
        <v>0</v>
      </c>
      <c r="O1946" s="35" t="b">
        <v>0</v>
      </c>
      <c r="P1946" s="35" t="b">
        <v>0</v>
      </c>
      <c r="Q1946" s="35" t="b">
        <v>0</v>
      </c>
      <c r="R1946" s="14"/>
      <c r="S1946" s="14"/>
      <c r="T1946" s="14"/>
      <c r="U1946" s="14"/>
      <c r="V1946" s="14"/>
      <c r="W1946" s="14"/>
    </row>
    <row r="1947" ht="31.5" customHeight="1">
      <c r="A1947" s="109" t="s">
        <v>17203</v>
      </c>
      <c r="B1947" s="110" t="s">
        <v>17204</v>
      </c>
      <c r="C1947" s="111" t="s">
        <v>17205</v>
      </c>
      <c r="D1947" s="28" t="s">
        <v>17206</v>
      </c>
      <c r="E1947" s="28" t="str">
        <f>IFERROR(__xludf.DUMMYFUNCTION("GOOGLETRANSLATE(D1947,""zh-CN"",""vi"")"),"Vi khuẩn có thể gây bệnh.")</f>
        <v>Vi khuẩn có thể gây bệnh.</v>
      </c>
      <c r="F1947" s="137"/>
      <c r="G1947" s="36" t="b">
        <f t="shared" si="1"/>
        <v>0</v>
      </c>
      <c r="H1947" s="35" t="b">
        <v>1</v>
      </c>
      <c r="I1947" s="35" t="b">
        <v>0</v>
      </c>
      <c r="J1947" s="35" t="b">
        <v>0</v>
      </c>
      <c r="K1947" s="35" t="b">
        <v>0</v>
      </c>
      <c r="L1947" s="35" t="b">
        <v>0</v>
      </c>
      <c r="M1947" s="35" t="b">
        <v>0</v>
      </c>
      <c r="N1947" s="35" t="b">
        <v>0</v>
      </c>
      <c r="O1947" s="35" t="b">
        <v>0</v>
      </c>
      <c r="P1947" s="35" t="b">
        <v>0</v>
      </c>
      <c r="Q1947" s="35" t="b">
        <v>0</v>
      </c>
      <c r="R1947" s="14"/>
      <c r="S1947" s="14"/>
      <c r="T1947" s="14"/>
      <c r="U1947" s="14"/>
      <c r="V1947" s="14"/>
      <c r="W1947" s="14"/>
    </row>
    <row r="1948" ht="31.5" customHeight="1">
      <c r="A1948" s="109" t="s">
        <v>17207</v>
      </c>
      <c r="B1948" s="110" t="s">
        <v>17208</v>
      </c>
      <c r="C1948" s="111" t="s">
        <v>17209</v>
      </c>
      <c r="D1948" s="28" t="s">
        <v>17210</v>
      </c>
      <c r="E1948" s="28" t="str">
        <f>IFERROR(__xludf.DUMMYFUNCTION("GOOGLETRANSLATE(D1948,""zh-CN"",""vi"")"),"Đây là một chuỗi các hoạt động.")</f>
        <v>Đây là một chuỗi các hoạt động.</v>
      </c>
      <c r="F1948" s="137"/>
      <c r="G1948" s="36" t="b">
        <f t="shared" si="1"/>
        <v>0</v>
      </c>
      <c r="H1948" s="35" t="b">
        <v>1</v>
      </c>
      <c r="I1948" s="35" t="b">
        <v>0</v>
      </c>
      <c r="J1948" s="35" t="b">
        <v>0</v>
      </c>
      <c r="K1948" s="35" t="b">
        <v>0</v>
      </c>
      <c r="L1948" s="35" t="b">
        <v>0</v>
      </c>
      <c r="M1948" s="35" t="b">
        <v>0</v>
      </c>
      <c r="N1948" s="35" t="b">
        <v>0</v>
      </c>
      <c r="O1948" s="35" t="b">
        <v>0</v>
      </c>
      <c r="P1948" s="35" t="b">
        <v>0</v>
      </c>
      <c r="Q1948" s="35" t="b">
        <v>0</v>
      </c>
      <c r="R1948" s="14"/>
      <c r="S1948" s="14"/>
      <c r="T1948" s="14"/>
      <c r="U1948" s="14"/>
      <c r="V1948" s="14"/>
      <c r="W1948" s="14"/>
    </row>
    <row r="1949" ht="31.5" customHeight="1">
      <c r="A1949" s="109" t="s">
        <v>17211</v>
      </c>
      <c r="B1949" s="110" t="s">
        <v>17212</v>
      </c>
      <c r="C1949" s="111" t="s">
        <v>17213</v>
      </c>
      <c r="D1949" s="28" t="s">
        <v>17214</v>
      </c>
      <c r="E1949" s="28" t="str">
        <f>IFERROR(__xludf.DUMMYFUNCTION("GOOGLETRANSLATE(D1949,""zh-CN"",""vi"")"),"Nhiệm vụ này đòi hỏi sự chú ý cao độ đến từng chi tiết.")</f>
        <v>Nhiệm vụ này đòi hỏi sự chú ý cao độ đến từng chi tiết.</v>
      </c>
      <c r="F1949" s="137"/>
      <c r="G1949" s="36" t="b">
        <f t="shared" si="1"/>
        <v>0</v>
      </c>
      <c r="H1949" s="35" t="b">
        <v>1</v>
      </c>
      <c r="I1949" s="35" t="b">
        <v>0</v>
      </c>
      <c r="J1949" s="35" t="b">
        <v>0</v>
      </c>
      <c r="K1949" s="35" t="b">
        <v>0</v>
      </c>
      <c r="L1949" s="35" t="b">
        <v>0</v>
      </c>
      <c r="M1949" s="35" t="b">
        <v>0</v>
      </c>
      <c r="N1949" s="35" t="b">
        <v>0</v>
      </c>
      <c r="O1949" s="35" t="b">
        <v>0</v>
      </c>
      <c r="P1949" s="35" t="b">
        <v>0</v>
      </c>
      <c r="Q1949" s="35" t="b">
        <v>0</v>
      </c>
      <c r="R1949" s="14"/>
      <c r="S1949" s="14"/>
      <c r="T1949" s="14"/>
      <c r="U1949" s="14"/>
      <c r="V1949" s="14"/>
      <c r="W1949" s="14"/>
    </row>
    <row r="1950" ht="31.5" customHeight="1">
      <c r="A1950" s="109" t="s">
        <v>17215</v>
      </c>
      <c r="B1950" s="110" t="s">
        <v>17216</v>
      </c>
      <c r="C1950" s="111" t="s">
        <v>17217</v>
      </c>
      <c r="D1950" s="28" t="s">
        <v>17218</v>
      </c>
      <c r="E1950" s="28" t="str">
        <f>IFERROR(__xludf.DUMMYFUNCTION("GOOGLETRANSLATE(D1950,""zh-CN"",""vi"")"),"Bầu trời chiều ngập tràn ánh sáng hoàng hôn.")</f>
        <v>Bầu trời chiều ngập tràn ánh sáng hoàng hôn.</v>
      </c>
      <c r="F1950" s="137"/>
      <c r="G1950" s="36" t="b">
        <f t="shared" si="1"/>
        <v>0</v>
      </c>
      <c r="H1950" s="35" t="b">
        <v>1</v>
      </c>
      <c r="I1950" s="35" t="b">
        <v>0</v>
      </c>
      <c r="J1950" s="35" t="b">
        <v>0</v>
      </c>
      <c r="K1950" s="35" t="b">
        <v>0</v>
      </c>
      <c r="L1950" s="35" t="b">
        <v>0</v>
      </c>
      <c r="M1950" s="35" t="b">
        <v>0</v>
      </c>
      <c r="N1950" s="35" t="b">
        <v>0</v>
      </c>
      <c r="O1950" s="35" t="b">
        <v>0</v>
      </c>
      <c r="P1950" s="35" t="b">
        <v>0</v>
      </c>
      <c r="Q1950" s="35" t="b">
        <v>0</v>
      </c>
      <c r="R1950" s="14"/>
      <c r="S1950" s="14"/>
      <c r="T1950" s="14"/>
      <c r="U1950" s="14"/>
      <c r="V1950" s="14"/>
      <c r="W1950" s="14"/>
    </row>
    <row r="1951" ht="31.5" customHeight="1">
      <c r="A1951" s="109" t="s">
        <v>17219</v>
      </c>
      <c r="B1951" s="110" t="s">
        <v>17220</v>
      </c>
      <c r="C1951" s="111" t="s">
        <v>17221</v>
      </c>
      <c r="D1951" s="28" t="s">
        <v>17222</v>
      </c>
      <c r="E1951" s="28" t="str">
        <f>IFERROR(__xludf.DUMMYFUNCTION("GOOGLETRANSLATE(D1951,""zh-CN"",""vi"")"),"Ông ta có tư duy hạn hẹp.")</f>
        <v>Ông ta có tư duy hạn hẹp.</v>
      </c>
      <c r="F1951" s="137"/>
      <c r="G1951" s="36" t="b">
        <f t="shared" si="1"/>
        <v>0</v>
      </c>
      <c r="H1951" s="35" t="b">
        <v>1</v>
      </c>
      <c r="I1951" s="35" t="b">
        <v>0</v>
      </c>
      <c r="J1951" s="35" t="b">
        <v>0</v>
      </c>
      <c r="K1951" s="35" t="b">
        <v>0</v>
      </c>
      <c r="L1951" s="35" t="b">
        <v>0</v>
      </c>
      <c r="M1951" s="35" t="b">
        <v>0</v>
      </c>
      <c r="N1951" s="35" t="b">
        <v>0</v>
      </c>
      <c r="O1951" s="35" t="b">
        <v>0</v>
      </c>
      <c r="P1951" s="35" t="b">
        <v>0</v>
      </c>
      <c r="Q1951" s="35" t="b">
        <v>0</v>
      </c>
      <c r="R1951" s="14"/>
      <c r="S1951" s="14"/>
      <c r="T1951" s="14"/>
      <c r="U1951" s="14"/>
      <c r="V1951" s="14"/>
      <c r="W1951" s="14"/>
    </row>
    <row r="1952" ht="31.5" customHeight="1">
      <c r="A1952" s="109" t="s">
        <v>17223</v>
      </c>
      <c r="B1952" s="110" t="s">
        <v>17224</v>
      </c>
      <c r="C1952" s="111" t="s">
        <v>17225</v>
      </c>
      <c r="D1952" s="28" t="s">
        <v>17226</v>
      </c>
      <c r="E1952" s="28" t="str">
        <f>IFERROR(__xludf.DUMMYFUNCTION("GOOGLETRANSLATE(D1952,""zh-CN"",""vi"")"),"Chúng tôi đã đi khám phá hẻm núi.")</f>
        <v>Chúng tôi đã đi khám phá hẻm núi.</v>
      </c>
      <c r="F1952" s="137"/>
      <c r="G1952" s="36" t="b">
        <f t="shared" si="1"/>
        <v>0</v>
      </c>
      <c r="H1952" s="35" t="b">
        <v>1</v>
      </c>
      <c r="I1952" s="35" t="b">
        <v>0</v>
      </c>
      <c r="J1952" s="35" t="b">
        <v>0</v>
      </c>
      <c r="K1952" s="35" t="b">
        <v>0</v>
      </c>
      <c r="L1952" s="35" t="b">
        <v>0</v>
      </c>
      <c r="M1952" s="35" t="b">
        <v>0</v>
      </c>
      <c r="N1952" s="35" t="b">
        <v>0</v>
      </c>
      <c r="O1952" s="35" t="b">
        <v>0</v>
      </c>
      <c r="P1952" s="35" t="b">
        <v>0</v>
      </c>
      <c r="Q1952" s="35" t="b">
        <v>0</v>
      </c>
      <c r="R1952" s="14"/>
      <c r="S1952" s="14"/>
      <c r="T1952" s="14"/>
      <c r="U1952" s="14"/>
      <c r="V1952" s="14"/>
      <c r="W1952" s="14"/>
    </row>
    <row r="1953" ht="31.5" customHeight="1">
      <c r="A1953" s="109" t="s">
        <v>17227</v>
      </c>
      <c r="B1953" s="110" t="s">
        <v>17228</v>
      </c>
      <c r="C1953" s="111" t="s">
        <v>17229</v>
      </c>
      <c r="D1953" s="28" t="s">
        <v>17230</v>
      </c>
      <c r="E1953" s="28" t="str">
        <f>IFERROR(__xludf.DUMMYFUNCTION("GOOGLETRANSLATE(D1953,""zh-CN"",""vi"")"),"Con đường này rất hẹp.")</f>
        <v>Con đường này rất hẹp.</v>
      </c>
      <c r="F1953" s="137"/>
      <c r="G1953" s="36" t="b">
        <f t="shared" si="1"/>
        <v>0</v>
      </c>
      <c r="H1953" s="35" t="b">
        <v>1</v>
      </c>
      <c r="I1953" s="35" t="b">
        <v>0</v>
      </c>
      <c r="J1953" s="35" t="b">
        <v>0</v>
      </c>
      <c r="K1953" s="35" t="b">
        <v>0</v>
      </c>
      <c r="L1953" s="35" t="b">
        <v>0</v>
      </c>
      <c r="M1953" s="35" t="b">
        <v>0</v>
      </c>
      <c r="N1953" s="35" t="b">
        <v>0</v>
      </c>
      <c r="O1953" s="35" t="b">
        <v>0</v>
      </c>
      <c r="P1953" s="35" t="b">
        <v>0</v>
      </c>
      <c r="Q1953" s="35" t="b">
        <v>0</v>
      </c>
      <c r="R1953" s="14"/>
      <c r="S1953" s="14"/>
      <c r="T1953" s="14"/>
      <c r="U1953" s="14"/>
      <c r="V1953" s="14"/>
      <c r="W1953" s="14"/>
    </row>
    <row r="1954" ht="31.5" customHeight="1">
      <c r="A1954" s="109" t="s">
        <v>12160</v>
      </c>
      <c r="B1954" s="110" t="s">
        <v>17231</v>
      </c>
      <c r="C1954" s="111" t="s">
        <v>17232</v>
      </c>
      <c r="D1954" s="28" t="s">
        <v>17233</v>
      </c>
      <c r="E1954" s="28" t="str">
        <f>IFERROR(__xludf.DUMMYFUNCTION("GOOGLETRANSLATE(D1954,""zh-CN"",""vi"")"),"Trại hè cung cấp rất nhiều hoạt động đa dạng.")</f>
        <v>Trại hè cung cấp rất nhiều hoạt động đa dạng.</v>
      </c>
      <c r="F1954" s="137"/>
      <c r="G1954" s="36" t="b">
        <f t="shared" si="1"/>
        <v>0</v>
      </c>
      <c r="H1954" s="35" t="b">
        <v>0</v>
      </c>
      <c r="I1954" s="35" t="b">
        <v>0</v>
      </c>
      <c r="J1954" s="35" t="b">
        <v>0</v>
      </c>
      <c r="K1954" s="35" t="b">
        <v>0</v>
      </c>
      <c r="L1954" s="35" t="b">
        <v>0</v>
      </c>
      <c r="M1954" s="35" t="b">
        <v>0</v>
      </c>
      <c r="N1954" s="35" t="b">
        <v>0</v>
      </c>
      <c r="O1954" s="35" t="b">
        <v>0</v>
      </c>
      <c r="P1954" s="35" t="b">
        <v>0</v>
      </c>
      <c r="Q1954" s="35" t="b">
        <v>0</v>
      </c>
      <c r="R1954" s="14"/>
      <c r="S1954" s="14"/>
      <c r="T1954" s="14"/>
      <c r="U1954" s="14"/>
      <c r="V1954" s="14"/>
      <c r="W1954" s="14"/>
    </row>
    <row r="1955" ht="31.5" customHeight="1">
      <c r="A1955" s="109" t="s">
        <v>17234</v>
      </c>
      <c r="B1955" s="110" t="s">
        <v>17235</v>
      </c>
      <c r="C1955" s="111" t="s">
        <v>17236</v>
      </c>
      <c r="D1955" s="28" t="s">
        <v>17237</v>
      </c>
      <c r="E1955" s="28" t="str">
        <f>IFERROR(__xludf.DUMMYFUNCTION("GOOGLETRANSLATE(D1955,""zh-CN"",""vi"")"),"Anh ta là cấp dưới của tôi.")</f>
        <v>Anh ta là cấp dưới của tôi.</v>
      </c>
      <c r="F1955" s="137"/>
      <c r="G1955" s="36" t="b">
        <f t="shared" si="1"/>
        <v>0</v>
      </c>
      <c r="H1955" s="35" t="b">
        <v>0</v>
      </c>
      <c r="I1955" s="35" t="b">
        <v>0</v>
      </c>
      <c r="J1955" s="35" t="b">
        <v>0</v>
      </c>
      <c r="K1955" s="35" t="b">
        <v>0</v>
      </c>
      <c r="L1955" s="35" t="b">
        <v>0</v>
      </c>
      <c r="M1955" s="35" t="b">
        <v>0</v>
      </c>
      <c r="N1955" s="35" t="b">
        <v>0</v>
      </c>
      <c r="O1955" s="35" t="b">
        <v>0</v>
      </c>
      <c r="P1955" s="35" t="b">
        <v>0</v>
      </c>
      <c r="Q1955" s="35" t="b">
        <v>0</v>
      </c>
      <c r="R1955" s="14"/>
      <c r="S1955" s="14"/>
      <c r="T1955" s="14"/>
      <c r="U1955" s="14"/>
      <c r="V1955" s="14"/>
      <c r="W1955" s="14"/>
    </row>
    <row r="1956" ht="31.5" customHeight="1">
      <c r="A1956" s="109" t="s">
        <v>17238</v>
      </c>
      <c r="B1956" s="110" t="s">
        <v>17239</v>
      </c>
      <c r="C1956" s="111" t="s">
        <v>17240</v>
      </c>
      <c r="D1956" s="28" t="s">
        <v>17241</v>
      </c>
      <c r="E1956" s="28" t="str">
        <f>IFERROR(__xludf.DUMMYFUNCTION("GOOGLETRANSLATE(D1956,""zh-CN"",""vi"")"),"Đây là một công nghệ tiên tiến.")</f>
        <v>Đây là một công nghệ tiên tiến.</v>
      </c>
      <c r="F1956" s="137"/>
      <c r="G1956" s="36" t="b">
        <f t="shared" si="1"/>
        <v>0</v>
      </c>
      <c r="H1956" s="35" t="b">
        <v>0</v>
      </c>
      <c r="I1956" s="35" t="b">
        <v>0</v>
      </c>
      <c r="J1956" s="35" t="b">
        <v>0</v>
      </c>
      <c r="K1956" s="35" t="b">
        <v>0</v>
      </c>
      <c r="L1956" s="35" t="b">
        <v>0</v>
      </c>
      <c r="M1956" s="35" t="b">
        <v>0</v>
      </c>
      <c r="N1956" s="35" t="b">
        <v>0</v>
      </c>
      <c r="O1956" s="35" t="b">
        <v>0</v>
      </c>
      <c r="P1956" s="35" t="b">
        <v>0</v>
      </c>
      <c r="Q1956" s="35" t="b">
        <v>0</v>
      </c>
      <c r="R1956" s="14"/>
      <c r="S1956" s="14"/>
      <c r="T1956" s="14"/>
      <c r="U1956" s="14"/>
      <c r="V1956" s="14"/>
      <c r="W1956" s="14"/>
    </row>
    <row r="1957" ht="31.5" customHeight="1">
      <c r="A1957" s="109" t="s">
        <v>17242</v>
      </c>
      <c r="B1957" s="110" t="s">
        <v>17243</v>
      </c>
      <c r="C1957" s="111" t="s">
        <v>17244</v>
      </c>
      <c r="D1957" s="28" t="s">
        <v>17245</v>
      </c>
      <c r="E1957" s="28" t="str">
        <f>IFERROR(__xludf.DUMMYFUNCTION("GOOGLETRANSLATE(D1957,""zh-CN"",""vi"")"),"Quan điểm của ông ấy rất rõ ràng.")</f>
        <v>Quan điểm của ông ấy rất rõ ràng.</v>
      </c>
      <c r="F1957" s="137"/>
      <c r="G1957" s="36" t="b">
        <f t="shared" si="1"/>
        <v>0</v>
      </c>
      <c r="H1957" s="35" t="b">
        <v>0</v>
      </c>
      <c r="I1957" s="35" t="b">
        <v>0</v>
      </c>
      <c r="J1957" s="35" t="b">
        <v>0</v>
      </c>
      <c r="K1957" s="35" t="b">
        <v>0</v>
      </c>
      <c r="L1957" s="35" t="b">
        <v>0</v>
      </c>
      <c r="M1957" s="35" t="b">
        <v>0</v>
      </c>
      <c r="N1957" s="35" t="b">
        <v>0</v>
      </c>
      <c r="O1957" s="35" t="b">
        <v>0</v>
      </c>
      <c r="P1957" s="35" t="b">
        <v>0</v>
      </c>
      <c r="Q1957" s="35" t="b">
        <v>0</v>
      </c>
      <c r="R1957" s="14"/>
      <c r="S1957" s="14"/>
      <c r="T1957" s="14"/>
      <c r="U1957" s="14"/>
      <c r="V1957" s="14"/>
      <c r="W1957" s="14"/>
    </row>
    <row r="1958" ht="31.5" customHeight="1">
      <c r="A1958" s="109" t="s">
        <v>17246</v>
      </c>
      <c r="B1958" s="110" t="s">
        <v>17247</v>
      </c>
      <c r="C1958" s="111" t="s">
        <v>17248</v>
      </c>
      <c r="D1958" s="28" t="s">
        <v>17249</v>
      </c>
      <c r="E1958" s="28" t="str">
        <f>IFERROR(__xludf.DUMMYFUNCTION("GOOGLETRANSLATE(D1958,""zh-CN"",""vi"")"),"Ông ta đã khơi mào một cuộc cách mạng.")</f>
        <v>Ông ta đã khơi mào một cuộc cách mạng.</v>
      </c>
      <c r="F1958" s="137"/>
      <c r="G1958" s="36" t="b">
        <f t="shared" si="1"/>
        <v>0</v>
      </c>
      <c r="H1958" s="35" t="b">
        <v>0</v>
      </c>
      <c r="I1958" s="35" t="b">
        <v>0</v>
      </c>
      <c r="J1958" s="35" t="b">
        <v>0</v>
      </c>
      <c r="K1958" s="35" t="b">
        <v>0</v>
      </c>
      <c r="L1958" s="35" t="b">
        <v>0</v>
      </c>
      <c r="M1958" s="35" t="b">
        <v>0</v>
      </c>
      <c r="N1958" s="35" t="b">
        <v>0</v>
      </c>
      <c r="O1958" s="35" t="b">
        <v>0</v>
      </c>
      <c r="P1958" s="35" t="b">
        <v>0</v>
      </c>
      <c r="Q1958" s="35" t="b">
        <v>0</v>
      </c>
      <c r="R1958" s="14"/>
      <c r="S1958" s="14"/>
      <c r="T1958" s="14"/>
      <c r="U1958" s="14"/>
      <c r="V1958" s="14"/>
      <c r="W1958" s="14"/>
    </row>
    <row r="1959" ht="31.5" customHeight="1">
      <c r="A1959" s="109" t="s">
        <v>17250</v>
      </c>
      <c r="B1959" s="110" t="s">
        <v>17251</v>
      </c>
      <c r="C1959" s="111" t="s">
        <v>17252</v>
      </c>
      <c r="D1959" s="28" t="s">
        <v>17253</v>
      </c>
      <c r="E1959" s="28" t="str">
        <f>IFERROR(__xludf.DUMMYFUNCTION("GOOGLETRANSLATE(D1959,""zh-CN"",""vi"")"),"Kế hoạch trước đó cần được sửa đổi.")</f>
        <v>Kế hoạch trước đó cần được sửa đổi.</v>
      </c>
      <c r="F1959" s="137"/>
      <c r="G1959" s="36" t="b">
        <f t="shared" si="1"/>
        <v>0</v>
      </c>
      <c r="H1959" s="35" t="b">
        <v>0</v>
      </c>
      <c r="I1959" s="35" t="b">
        <v>0</v>
      </c>
      <c r="J1959" s="35" t="b">
        <v>0</v>
      </c>
      <c r="K1959" s="35" t="b">
        <v>0</v>
      </c>
      <c r="L1959" s="35" t="b">
        <v>0</v>
      </c>
      <c r="M1959" s="35" t="b">
        <v>0</v>
      </c>
      <c r="N1959" s="35" t="b">
        <v>0</v>
      </c>
      <c r="O1959" s="35" t="b">
        <v>0</v>
      </c>
      <c r="P1959" s="35" t="b">
        <v>0</v>
      </c>
      <c r="Q1959" s="35" t="b">
        <v>0</v>
      </c>
      <c r="R1959" s="14"/>
      <c r="S1959" s="14"/>
      <c r="T1959" s="14"/>
      <c r="U1959" s="14"/>
      <c r="V1959" s="14"/>
      <c r="W1959" s="14"/>
    </row>
    <row r="1960" ht="31.5" customHeight="1">
      <c r="A1960" s="109" t="s">
        <v>17254</v>
      </c>
      <c r="B1960" s="110" t="s">
        <v>17255</v>
      </c>
      <c r="C1960" s="111" t="s">
        <v>17256</v>
      </c>
      <c r="D1960" s="28" t="s">
        <v>17257</v>
      </c>
      <c r="E1960" s="28" t="str">
        <f>IFERROR(__xludf.DUMMYFUNCTION("GOOGLETRANSLATE(D1960,""zh-CN"",""vi"")"),"Rau củ rất giàu chất xơ.")</f>
        <v>Rau củ rất giàu chất xơ.</v>
      </c>
      <c r="F1960" s="137"/>
      <c r="G1960" s="36" t="b">
        <f t="shared" si="1"/>
        <v>0</v>
      </c>
      <c r="H1960" s="35" t="b">
        <v>0</v>
      </c>
      <c r="I1960" s="35" t="b">
        <v>0</v>
      </c>
      <c r="J1960" s="35" t="b">
        <v>0</v>
      </c>
      <c r="K1960" s="35" t="b">
        <v>0</v>
      </c>
      <c r="L1960" s="35" t="b">
        <v>0</v>
      </c>
      <c r="M1960" s="35" t="b">
        <v>0</v>
      </c>
      <c r="N1960" s="35" t="b">
        <v>0</v>
      </c>
      <c r="O1960" s="35" t="b">
        <v>0</v>
      </c>
      <c r="P1960" s="35" t="b">
        <v>0</v>
      </c>
      <c r="Q1960" s="35" t="b">
        <v>0</v>
      </c>
      <c r="R1960" s="14"/>
      <c r="S1960" s="14"/>
      <c r="T1960" s="14"/>
      <c r="U1960" s="14"/>
      <c r="V1960" s="14"/>
      <c r="W1960" s="14"/>
    </row>
    <row r="1961" ht="31.5" customHeight="1">
      <c r="A1961" s="109" t="s">
        <v>17258</v>
      </c>
      <c r="B1961" s="110" t="s">
        <v>4112</v>
      </c>
      <c r="C1961" s="111" t="s">
        <v>17259</v>
      </c>
      <c r="D1961" s="28" t="s">
        <v>17260</v>
      </c>
      <c r="E1961" s="28" t="str">
        <f>IFERROR(__xludf.DUMMYFUNCTION("GOOGLETRANSLATE(D1961,""zh-CN"",""vi"")"),"Đàn guitar có sáu dây.")</f>
        <v>Đàn guitar có sáu dây.</v>
      </c>
      <c r="F1961" s="137"/>
      <c r="G1961" s="36" t="b">
        <f t="shared" si="1"/>
        <v>0</v>
      </c>
      <c r="H1961" s="35" t="b">
        <v>0</v>
      </c>
      <c r="I1961" s="35" t="b">
        <v>0</v>
      </c>
      <c r="J1961" s="35" t="b">
        <v>0</v>
      </c>
      <c r="K1961" s="35" t="b">
        <v>0</v>
      </c>
      <c r="L1961" s="35" t="b">
        <v>0</v>
      </c>
      <c r="M1961" s="35" t="b">
        <v>0</v>
      </c>
      <c r="N1961" s="35" t="b">
        <v>0</v>
      </c>
      <c r="O1961" s="35" t="b">
        <v>0</v>
      </c>
      <c r="P1961" s="35" t="b">
        <v>0</v>
      </c>
      <c r="Q1961" s="35" t="b">
        <v>0</v>
      </c>
      <c r="R1961" s="14"/>
      <c r="S1961" s="14"/>
      <c r="T1961" s="14"/>
      <c r="U1961" s="14"/>
      <c r="V1961" s="14"/>
      <c r="W1961" s="14"/>
    </row>
    <row r="1962" ht="31.5" customHeight="1">
      <c r="A1962" s="109" t="s">
        <v>17261</v>
      </c>
      <c r="B1962" s="110" t="s">
        <v>4112</v>
      </c>
      <c r="C1962" s="111" t="s">
        <v>17262</v>
      </c>
      <c r="D1962" s="28" t="s">
        <v>17263</v>
      </c>
      <c r="E1962" s="28" t="str">
        <f>IFERROR(__xludf.DUMMYFUNCTION("GOOGLETRANSLATE(D1962,""zh-CN"",""vi"")"),"Tôi thấy hành vi của anh ta thật đáng ghê tởm.")</f>
        <v>Tôi thấy hành vi của anh ta thật đáng ghê tởm.</v>
      </c>
      <c r="F1962" s="137"/>
      <c r="G1962" s="36" t="b">
        <f t="shared" si="1"/>
        <v>0</v>
      </c>
      <c r="H1962" s="35" t="b">
        <v>0</v>
      </c>
      <c r="I1962" s="35" t="b">
        <v>0</v>
      </c>
      <c r="J1962" s="35" t="b">
        <v>0</v>
      </c>
      <c r="K1962" s="35" t="b">
        <v>0</v>
      </c>
      <c r="L1962" s="35" t="b">
        <v>0</v>
      </c>
      <c r="M1962" s="35" t="b">
        <v>0</v>
      </c>
      <c r="N1962" s="35" t="b">
        <v>0</v>
      </c>
      <c r="O1962" s="35" t="b">
        <v>0</v>
      </c>
      <c r="P1962" s="35" t="b">
        <v>0</v>
      </c>
      <c r="Q1962" s="35" t="b">
        <v>0</v>
      </c>
      <c r="R1962" s="14"/>
      <c r="S1962" s="14"/>
      <c r="T1962" s="14"/>
      <c r="U1962" s="14"/>
      <c r="V1962" s="14"/>
      <c r="W1962" s="14"/>
    </row>
    <row r="1963" ht="31.5" customHeight="1">
      <c r="A1963" s="109" t="s">
        <v>17264</v>
      </c>
      <c r="B1963" s="110" t="s">
        <v>17265</v>
      </c>
      <c r="C1963" s="111" t="s">
        <v>17266</v>
      </c>
      <c r="D1963" s="28" t="s">
        <v>17267</v>
      </c>
      <c r="E1963" s="28" t="str">
        <f>IFERROR(__xludf.DUMMYFUNCTION("GOOGLETRANSLATE(D1963,""zh-CN"",""vi"")"),"Thôi không nói chuyện phiếm nữa, bắt tay vào việc thôi.")</f>
        <v>Thôi không nói chuyện phiếm nữa, bắt tay vào việc thôi.</v>
      </c>
      <c r="F1963" s="137"/>
      <c r="G1963" s="36" t="b">
        <f t="shared" si="1"/>
        <v>0</v>
      </c>
      <c r="H1963" s="35" t="b">
        <v>0</v>
      </c>
      <c r="I1963" s="35" t="b">
        <v>0</v>
      </c>
      <c r="J1963" s="35" t="b">
        <v>0</v>
      </c>
      <c r="K1963" s="35" t="b">
        <v>0</v>
      </c>
      <c r="L1963" s="35" t="b">
        <v>0</v>
      </c>
      <c r="M1963" s="35" t="b">
        <v>0</v>
      </c>
      <c r="N1963" s="35" t="b">
        <v>0</v>
      </c>
      <c r="O1963" s="35" t="b">
        <v>0</v>
      </c>
      <c r="P1963" s="35" t="b">
        <v>0</v>
      </c>
      <c r="Q1963" s="35" t="b">
        <v>0</v>
      </c>
      <c r="R1963" s="14"/>
      <c r="S1963" s="14"/>
      <c r="T1963" s="14"/>
      <c r="U1963" s="14"/>
      <c r="V1963" s="14"/>
      <c r="W1963" s="14"/>
    </row>
    <row r="1964" ht="31.5" customHeight="1">
      <c r="A1964" s="109" t="s">
        <v>17268</v>
      </c>
      <c r="B1964" s="110" t="s">
        <v>17269</v>
      </c>
      <c r="C1964" s="111" t="s">
        <v>17270</v>
      </c>
      <c r="D1964" s="28" t="s">
        <v>17271</v>
      </c>
      <c r="E1964" s="28" t="str">
        <f>IFERROR(__xludf.DUMMYFUNCTION("GOOGLETRANSLATE(D1964,""zh-CN"",""vi"")"),"Cô ấy là một người vợ đức hạnh.")</f>
        <v>Cô ấy là một người vợ đức hạnh.</v>
      </c>
      <c r="F1964" s="137"/>
      <c r="G1964" s="36" t="b">
        <f t="shared" si="1"/>
        <v>0</v>
      </c>
      <c r="H1964" s="35" t="b">
        <v>0</v>
      </c>
      <c r="I1964" s="35" t="b">
        <v>0</v>
      </c>
      <c r="J1964" s="35" t="b">
        <v>0</v>
      </c>
      <c r="K1964" s="35" t="b">
        <v>0</v>
      </c>
      <c r="L1964" s="35" t="b">
        <v>0</v>
      </c>
      <c r="M1964" s="35" t="b">
        <v>0</v>
      </c>
      <c r="N1964" s="35" t="b">
        <v>0</v>
      </c>
      <c r="O1964" s="35" t="b">
        <v>0</v>
      </c>
      <c r="P1964" s="35" t="b">
        <v>0</v>
      </c>
      <c r="Q1964" s="35" t="b">
        <v>0</v>
      </c>
      <c r="R1964" s="14"/>
      <c r="S1964" s="14"/>
      <c r="T1964" s="14"/>
      <c r="U1964" s="14"/>
      <c r="V1964" s="14"/>
      <c r="W1964" s="14"/>
    </row>
    <row r="1965" ht="31.5" customHeight="1">
      <c r="A1965" s="109" t="s">
        <v>17272</v>
      </c>
      <c r="B1965" s="110" t="s">
        <v>17273</v>
      </c>
      <c r="C1965" s="111" t="s">
        <v>17274</v>
      </c>
      <c r="D1965" s="28" t="s">
        <v>17275</v>
      </c>
      <c r="E1965" s="28" t="str">
        <f>IFERROR(__xludf.DUMMYFUNCTION("GOOGLETRANSLATE(D1965,""zh-CN"",""vi"")"),"Hai đoạn mã này cần được kết nối với nhau.")</f>
        <v>Hai đoạn mã này cần được kết nối với nhau.</v>
      </c>
      <c r="F1965" s="137"/>
      <c r="G1965" s="36" t="b">
        <f t="shared" si="1"/>
        <v>0</v>
      </c>
      <c r="H1965" s="35" t="b">
        <v>0</v>
      </c>
      <c r="I1965" s="35" t="b">
        <v>0</v>
      </c>
      <c r="J1965" s="35" t="b">
        <v>0</v>
      </c>
      <c r="K1965" s="35" t="b">
        <v>0</v>
      </c>
      <c r="L1965" s="35" t="b">
        <v>0</v>
      </c>
      <c r="M1965" s="35" t="b">
        <v>0</v>
      </c>
      <c r="N1965" s="35" t="b">
        <v>0</v>
      </c>
      <c r="O1965" s="35" t="b">
        <v>0</v>
      </c>
      <c r="P1965" s="35" t="b">
        <v>0</v>
      </c>
      <c r="Q1965" s="35" t="b">
        <v>0</v>
      </c>
      <c r="R1965" s="14"/>
      <c r="S1965" s="14"/>
      <c r="T1965" s="14"/>
      <c r="U1965" s="14"/>
      <c r="V1965" s="14"/>
      <c r="W1965" s="14"/>
    </row>
    <row r="1966" ht="31.5" customHeight="1">
      <c r="A1966" s="109" t="s">
        <v>17276</v>
      </c>
      <c r="B1966" s="110" t="s">
        <v>17277</v>
      </c>
      <c r="C1966" s="111" t="s">
        <v>17278</v>
      </c>
      <c r="D1966" s="28" t="s">
        <v>17279</v>
      </c>
      <c r="E1966" s="28" t="str">
        <f>IFERROR(__xludf.DUMMYFUNCTION("GOOGLETRANSLATE(D1966,""zh-CN"",""vi"")"),"Anh ta là nghi phạm.")</f>
        <v>Anh ta là nghi phạm.</v>
      </c>
      <c r="F1966" s="137"/>
      <c r="G1966" s="36" t="b">
        <f t="shared" si="1"/>
        <v>0</v>
      </c>
      <c r="H1966" s="35" t="b">
        <v>0</v>
      </c>
      <c r="I1966" s="35" t="b">
        <v>0</v>
      </c>
      <c r="J1966" s="35" t="b">
        <v>0</v>
      </c>
      <c r="K1966" s="35" t="b">
        <v>0</v>
      </c>
      <c r="L1966" s="35" t="b">
        <v>0</v>
      </c>
      <c r="M1966" s="35" t="b">
        <v>0</v>
      </c>
      <c r="N1966" s="35" t="b">
        <v>0</v>
      </c>
      <c r="O1966" s="35" t="b">
        <v>0</v>
      </c>
      <c r="P1966" s="35" t="b">
        <v>0</v>
      </c>
      <c r="Q1966" s="35" t="b">
        <v>0</v>
      </c>
      <c r="R1966" s="14"/>
      <c r="S1966" s="14"/>
      <c r="T1966" s="14"/>
      <c r="U1966" s="14"/>
      <c r="V1966" s="14"/>
      <c r="W1966" s="14"/>
    </row>
    <row r="1967" ht="31.5" customHeight="1">
      <c r="A1967" s="109" t="s">
        <v>17280</v>
      </c>
      <c r="B1967" s="110" t="s">
        <v>17281</v>
      </c>
      <c r="C1967" s="111" t="s">
        <v>17282</v>
      </c>
      <c r="D1967" s="28" t="s">
        <v>17283</v>
      </c>
      <c r="E1967" s="28" t="str">
        <f>IFERROR(__xludf.DUMMYFUNCTION("GOOGLETRANSLATE(D1967,""zh-CN"",""vi"")"),"Từ này xuất hiện rất nhiều trong bài báo.")</f>
        <v>Từ này xuất hiện rất nhiều trong bài báo.</v>
      </c>
      <c r="F1967" s="137"/>
      <c r="G1967" s="36" t="b">
        <f t="shared" si="1"/>
        <v>0</v>
      </c>
      <c r="H1967" s="35" t="b">
        <v>0</v>
      </c>
      <c r="I1967" s="35" t="b">
        <v>0</v>
      </c>
      <c r="J1967" s="35" t="b">
        <v>0</v>
      </c>
      <c r="K1967" s="35" t="b">
        <v>0</v>
      </c>
      <c r="L1967" s="35" t="b">
        <v>0</v>
      </c>
      <c r="M1967" s="35" t="b">
        <v>0</v>
      </c>
      <c r="N1967" s="35" t="b">
        <v>0</v>
      </c>
      <c r="O1967" s="35" t="b">
        <v>0</v>
      </c>
      <c r="P1967" s="35" t="b">
        <v>0</v>
      </c>
      <c r="Q1967" s="35" t="b">
        <v>0</v>
      </c>
      <c r="R1967" s="14"/>
      <c r="S1967" s="14"/>
      <c r="T1967" s="14"/>
      <c r="U1967" s="14"/>
      <c r="V1967" s="14"/>
      <c r="W1967" s="14"/>
    </row>
    <row r="1968" ht="31.5" customHeight="1">
      <c r="A1968" s="109" t="s">
        <v>17284</v>
      </c>
      <c r="B1968" s="110" t="s">
        <v>17285</v>
      </c>
      <c r="C1968" s="111" t="s">
        <v>17286</v>
      </c>
      <c r="D1968" s="28" t="s">
        <v>17287</v>
      </c>
      <c r="E1968" s="28" t="str">
        <f>IFERROR(__xludf.DUMMYFUNCTION("GOOGLETRANSLATE(D1968,""zh-CN"",""vi"")"),"Đây là hiện trường vụ tai nạn.")</f>
        <v>Đây là hiện trường vụ tai nạn.</v>
      </c>
      <c r="F1968" s="137"/>
      <c r="G1968" s="36" t="b">
        <f t="shared" si="1"/>
        <v>0</v>
      </c>
      <c r="H1968" s="35" t="b">
        <v>0</v>
      </c>
      <c r="I1968" s="35" t="b">
        <v>0</v>
      </c>
      <c r="J1968" s="35" t="b">
        <v>0</v>
      </c>
      <c r="K1968" s="35" t="b">
        <v>0</v>
      </c>
      <c r="L1968" s="35" t="b">
        <v>0</v>
      </c>
      <c r="M1968" s="35" t="b">
        <v>0</v>
      </c>
      <c r="N1968" s="35" t="b">
        <v>0</v>
      </c>
      <c r="O1968" s="35" t="b">
        <v>0</v>
      </c>
      <c r="P1968" s="35" t="b">
        <v>0</v>
      </c>
      <c r="Q1968" s="35" t="b">
        <v>0</v>
      </c>
      <c r="R1968" s="14"/>
      <c r="S1968" s="14"/>
      <c r="T1968" s="14"/>
      <c r="U1968" s="14"/>
      <c r="V1968" s="14"/>
      <c r="W1968" s="14"/>
    </row>
    <row r="1969" ht="31.5" customHeight="1">
      <c r="A1969" s="109" t="s">
        <v>17288</v>
      </c>
      <c r="B1969" s="110" t="s">
        <v>17289</v>
      </c>
      <c r="C1969" s="111" t="s">
        <v>17290</v>
      </c>
      <c r="D1969" s="28" t="s">
        <v>17291</v>
      </c>
      <c r="E1969" s="28" t="str">
        <f>IFERROR(__xludf.DUMMYFUNCTION("GOOGLETRANSLATE(D1969,""zh-CN"",""vi"")"),"Giải pháp này đã có sẵn.")</f>
        <v>Giải pháp này đã có sẵn.</v>
      </c>
      <c r="F1969" s="137"/>
      <c r="G1969" s="36" t="b">
        <f t="shared" si="1"/>
        <v>0</v>
      </c>
      <c r="H1969" s="35" t="b">
        <v>0</v>
      </c>
      <c r="I1969" s="35" t="b">
        <v>0</v>
      </c>
      <c r="J1969" s="35" t="b">
        <v>0</v>
      </c>
      <c r="K1969" s="35" t="b">
        <v>0</v>
      </c>
      <c r="L1969" s="35" t="b">
        <v>0</v>
      </c>
      <c r="M1969" s="35" t="b">
        <v>0</v>
      </c>
      <c r="N1969" s="35" t="b">
        <v>0</v>
      </c>
      <c r="O1969" s="35" t="b">
        <v>0</v>
      </c>
      <c r="P1969" s="35" t="b">
        <v>0</v>
      </c>
      <c r="Q1969" s="35" t="b">
        <v>0</v>
      </c>
      <c r="R1969" s="14"/>
      <c r="S1969" s="14"/>
      <c r="T1969" s="14"/>
      <c r="U1969" s="14"/>
      <c r="V1969" s="14"/>
      <c r="W1969" s="14"/>
    </row>
    <row r="1970" ht="31.5" customHeight="1">
      <c r="A1970" s="109" t="s">
        <v>17292</v>
      </c>
      <c r="B1970" s="110" t="s">
        <v>17293</v>
      </c>
      <c r="C1970" s="111" t="s">
        <v>17294</v>
      </c>
      <c r="D1970" s="28" t="s">
        <v>17295</v>
      </c>
      <c r="E1970" s="28" t="str">
        <f>IFERROR(__xludf.DUMMYFUNCTION("GOOGLETRANSLATE(D1970,""zh-CN"",""vi"")"),"Chúng ta phải tuân thủ Hiến pháp.")</f>
        <v>Chúng ta phải tuân thủ Hiến pháp.</v>
      </c>
      <c r="F1970" s="137"/>
      <c r="G1970" s="36" t="b">
        <f t="shared" si="1"/>
        <v>0</v>
      </c>
      <c r="H1970" s="35" t="b">
        <v>0</v>
      </c>
      <c r="I1970" s="35" t="b">
        <v>0</v>
      </c>
      <c r="J1970" s="35" t="b">
        <v>0</v>
      </c>
      <c r="K1970" s="35" t="b">
        <v>0</v>
      </c>
      <c r="L1970" s="35" t="b">
        <v>0</v>
      </c>
      <c r="M1970" s="35" t="b">
        <v>0</v>
      </c>
      <c r="N1970" s="35" t="b">
        <v>0</v>
      </c>
      <c r="O1970" s="35" t="b">
        <v>0</v>
      </c>
      <c r="P1970" s="35" t="b">
        <v>0</v>
      </c>
      <c r="Q1970" s="35" t="b">
        <v>0</v>
      </c>
      <c r="R1970" s="14"/>
      <c r="S1970" s="14"/>
      <c r="T1970" s="14"/>
      <c r="U1970" s="14"/>
      <c r="V1970" s="14"/>
      <c r="W1970" s="14"/>
    </row>
    <row r="1971" ht="31.5" customHeight="1">
      <c r="A1971" s="109" t="s">
        <v>17296</v>
      </c>
      <c r="B1971" s="110" t="s">
        <v>17297</v>
      </c>
      <c r="C1971" s="111" t="s">
        <v>17298</v>
      </c>
      <c r="D1971" s="28" t="s">
        <v>17299</v>
      </c>
      <c r="E1971" s="28" t="str">
        <f>IFERROR(__xludf.DUMMYFUNCTION("GOOGLETRANSLATE(D1971,""zh-CN"",""vi"")"),"Anh ta bị gài bẫy.")</f>
        <v>Anh ta bị gài bẫy.</v>
      </c>
      <c r="F1971" s="137"/>
      <c r="G1971" s="36" t="b">
        <f t="shared" si="1"/>
        <v>0</v>
      </c>
      <c r="H1971" s="35" t="b">
        <v>0</v>
      </c>
      <c r="I1971" s="35" t="b">
        <v>0</v>
      </c>
      <c r="J1971" s="35" t="b">
        <v>0</v>
      </c>
      <c r="K1971" s="35" t="b">
        <v>0</v>
      </c>
      <c r="L1971" s="35" t="b">
        <v>0</v>
      </c>
      <c r="M1971" s="35" t="b">
        <v>0</v>
      </c>
      <c r="N1971" s="35" t="b">
        <v>0</v>
      </c>
      <c r="O1971" s="35" t="b">
        <v>0</v>
      </c>
      <c r="P1971" s="35" t="b">
        <v>0</v>
      </c>
      <c r="Q1971" s="35" t="b">
        <v>0</v>
      </c>
      <c r="R1971" s="14"/>
      <c r="S1971" s="14"/>
      <c r="T1971" s="14"/>
      <c r="U1971" s="14"/>
      <c r="V1971" s="14"/>
      <c r="W1971" s="14"/>
    </row>
    <row r="1972" ht="31.5" customHeight="1">
      <c r="A1972" s="109" t="s">
        <v>17300</v>
      </c>
      <c r="B1972" s="110" t="s">
        <v>17301</v>
      </c>
      <c r="C1972" s="111" t="s">
        <v>17302</v>
      </c>
      <c r="D1972" s="28" t="s">
        <v>17303</v>
      </c>
      <c r="E1972" s="28" t="str">
        <f>IFERROR(__xludf.DUMMYFUNCTION("GOOGLETRANSLATE(D1972,""zh-CN"",""vi"")"),"Tôi thích ăn bánh kếp nhân.")</f>
        <v>Tôi thích ăn bánh kếp nhân.</v>
      </c>
      <c r="F1972" s="137"/>
      <c r="G1972" s="36" t="b">
        <f t="shared" si="1"/>
        <v>0</v>
      </c>
      <c r="H1972" s="35" t="b">
        <v>0</v>
      </c>
      <c r="I1972" s="35" t="b">
        <v>0</v>
      </c>
      <c r="J1972" s="35" t="b">
        <v>0</v>
      </c>
      <c r="K1972" s="35" t="b">
        <v>0</v>
      </c>
      <c r="L1972" s="35" t="b">
        <v>0</v>
      </c>
      <c r="M1972" s="35" t="b">
        <v>0</v>
      </c>
      <c r="N1972" s="35" t="b">
        <v>0</v>
      </c>
      <c r="O1972" s="35" t="b">
        <v>0</v>
      </c>
      <c r="P1972" s="35" t="b">
        <v>0</v>
      </c>
      <c r="Q1972" s="35" t="b">
        <v>0</v>
      </c>
      <c r="R1972" s="14"/>
      <c r="S1972" s="14"/>
      <c r="T1972" s="14"/>
      <c r="U1972" s="14"/>
      <c r="V1972" s="14"/>
      <c r="W1972" s="14"/>
    </row>
    <row r="1973" ht="31.5" customHeight="1">
      <c r="A1973" s="109" t="s">
        <v>17304</v>
      </c>
      <c r="B1973" s="110" t="s">
        <v>17305</v>
      </c>
      <c r="C1973" s="111" t="s">
        <v>17306</v>
      </c>
      <c r="D1973" s="28" t="s">
        <v>17307</v>
      </c>
      <c r="E1973" s="28" t="str">
        <f>IFERROR(__xludf.DUMMYFUNCTION("GOOGLETRANSLATE(D1973,""zh-CN"",""vi"")"),"Cô ấy đang gặp rắc rối.")</f>
        <v>Cô ấy đang gặp rắc rối.</v>
      </c>
      <c r="F1973" s="137"/>
      <c r="G1973" s="36" t="b">
        <f t="shared" si="1"/>
        <v>0</v>
      </c>
      <c r="H1973" s="35" t="b">
        <v>0</v>
      </c>
      <c r="I1973" s="35" t="b">
        <v>0</v>
      </c>
      <c r="J1973" s="35" t="b">
        <v>0</v>
      </c>
      <c r="K1973" s="35" t="b">
        <v>0</v>
      </c>
      <c r="L1973" s="35" t="b">
        <v>0</v>
      </c>
      <c r="M1973" s="35" t="b">
        <v>0</v>
      </c>
      <c r="N1973" s="35" t="b">
        <v>0</v>
      </c>
      <c r="O1973" s="35" t="b">
        <v>0</v>
      </c>
      <c r="P1973" s="35" t="b">
        <v>0</v>
      </c>
      <c r="Q1973" s="35" t="b">
        <v>0</v>
      </c>
      <c r="R1973" s="14"/>
      <c r="S1973" s="14"/>
      <c r="T1973" s="14"/>
      <c r="U1973" s="14"/>
      <c r="V1973" s="14"/>
      <c r="W1973" s="14"/>
    </row>
    <row r="1974" ht="31.5" customHeight="1">
      <c r="A1974" s="109" t="s">
        <v>17308</v>
      </c>
      <c r="B1974" s="110" t="s">
        <v>17309</v>
      </c>
      <c r="C1974" s="111" t="s">
        <v>17310</v>
      </c>
      <c r="D1974" s="28" t="s">
        <v>17311</v>
      </c>
      <c r="E1974" s="28" t="str">
        <f>IFERROR(__xludf.DUMMYFUNCTION("GOOGLETRANSLATE(D1974,""zh-CN"",""vi"")"),"Chúng tôi đã tìm thấy một số manh mối.")</f>
        <v>Chúng tôi đã tìm thấy một số manh mối.</v>
      </c>
      <c r="F1974" s="137"/>
      <c r="G1974" s="36" t="b">
        <f t="shared" si="1"/>
        <v>0</v>
      </c>
      <c r="H1974" s="35" t="b">
        <v>0</v>
      </c>
      <c r="I1974" s="35" t="b">
        <v>0</v>
      </c>
      <c r="J1974" s="35" t="b">
        <v>0</v>
      </c>
      <c r="K1974" s="35" t="b">
        <v>0</v>
      </c>
      <c r="L1974" s="35" t="b">
        <v>0</v>
      </c>
      <c r="M1974" s="35" t="b">
        <v>0</v>
      </c>
      <c r="N1974" s="35" t="b">
        <v>0</v>
      </c>
      <c r="O1974" s="35" t="b">
        <v>0</v>
      </c>
      <c r="P1974" s="35" t="b">
        <v>0</v>
      </c>
      <c r="Q1974" s="35" t="b">
        <v>0</v>
      </c>
      <c r="R1974" s="14"/>
      <c r="S1974" s="14"/>
      <c r="T1974" s="14"/>
      <c r="U1974" s="14"/>
      <c r="V1974" s="14"/>
      <c r="W1974" s="14"/>
    </row>
    <row r="1975" ht="31.5" customHeight="1">
      <c r="A1975" s="109" t="s">
        <v>17312</v>
      </c>
      <c r="B1975" s="110" t="s">
        <v>17313</v>
      </c>
      <c r="C1975" s="111" t="s">
        <v>17314</v>
      </c>
      <c r="D1975" s="28" t="s">
        <v>17315</v>
      </c>
      <c r="E1975" s="28" t="str">
        <f>IFERROR(__xludf.DUMMYFUNCTION("GOOGLETRANSLATE(D1975,""zh-CN"",""vi"")"),"Chúng ta cần hiểu rõ tình hình hiện tại.")</f>
        <v>Chúng ta cần hiểu rõ tình hình hiện tại.</v>
      </c>
      <c r="F1975" s="137"/>
      <c r="G1975" s="36" t="b">
        <f t="shared" si="1"/>
        <v>0</v>
      </c>
      <c r="H1975" s="35" t="b">
        <v>0</v>
      </c>
      <c r="I1975" s="35" t="b">
        <v>0</v>
      </c>
      <c r="J1975" s="35" t="b">
        <v>0</v>
      </c>
      <c r="K1975" s="35" t="b">
        <v>0</v>
      </c>
      <c r="L1975" s="35" t="b">
        <v>0</v>
      </c>
      <c r="M1975" s="35" t="b">
        <v>0</v>
      </c>
      <c r="N1975" s="35" t="b">
        <v>0</v>
      </c>
      <c r="O1975" s="35" t="b">
        <v>0</v>
      </c>
      <c r="P1975" s="35" t="b">
        <v>0</v>
      </c>
      <c r="Q1975" s="35" t="b">
        <v>0</v>
      </c>
      <c r="R1975" s="14"/>
      <c r="S1975" s="14"/>
      <c r="T1975" s="14"/>
      <c r="U1975" s="14"/>
      <c r="V1975" s="14"/>
      <c r="W1975" s="14"/>
    </row>
    <row r="1976" ht="31.5" customHeight="1">
      <c r="A1976" s="109" t="s">
        <v>17316</v>
      </c>
      <c r="B1976" s="110" t="s">
        <v>17317</v>
      </c>
      <c r="C1976" s="111" t="s">
        <v>17318</v>
      </c>
      <c r="D1976" s="28" t="s">
        <v>17319</v>
      </c>
      <c r="E1976" s="28" t="str">
        <f>IFERROR(__xludf.DUMMYFUNCTION("GOOGLETRANSLATE(D1976,""zh-CN"",""vi"")"),"Sự khác biệt giữa chúng là đáng kể.")</f>
        <v>Sự khác biệt giữa chúng là đáng kể.</v>
      </c>
      <c r="F1976" s="137"/>
      <c r="G1976" s="36" t="b">
        <f t="shared" si="1"/>
        <v>0</v>
      </c>
      <c r="H1976" s="35" t="b">
        <v>0</v>
      </c>
      <c r="I1976" s="35" t="b">
        <v>0</v>
      </c>
      <c r="J1976" s="35" t="b">
        <v>0</v>
      </c>
      <c r="K1976" s="35" t="b">
        <v>0</v>
      </c>
      <c r="L1976" s="35" t="b">
        <v>0</v>
      </c>
      <c r="M1976" s="35" t="b">
        <v>0</v>
      </c>
      <c r="N1976" s="35" t="b">
        <v>0</v>
      </c>
      <c r="O1976" s="35" t="b">
        <v>0</v>
      </c>
      <c r="P1976" s="35" t="b">
        <v>0</v>
      </c>
      <c r="Q1976" s="35" t="b">
        <v>0</v>
      </c>
      <c r="R1976" s="14"/>
      <c r="S1976" s="14"/>
      <c r="T1976" s="14"/>
      <c r="U1976" s="14"/>
      <c r="V1976" s="14"/>
      <c r="W1976" s="14"/>
    </row>
    <row r="1977" ht="31.5" customHeight="1">
      <c r="A1977" s="109" t="s">
        <v>17320</v>
      </c>
      <c r="B1977" s="110" t="s">
        <v>17321</v>
      </c>
      <c r="C1977" s="111" t="s">
        <v>17322</v>
      </c>
      <c r="D1977" s="28" t="s">
        <v>17323</v>
      </c>
      <c r="E1977" s="28" t="str">
        <f>IFERROR(__xludf.DUMMYFUNCTION("GOOGLETRANSLATE(D1977,""zh-CN"",""vi"")"),"Chúng bằng nhau.")</f>
        <v>Chúng bằng nhau.</v>
      </c>
      <c r="F1977" s="137"/>
      <c r="G1977" s="36" t="b">
        <f t="shared" si="1"/>
        <v>0</v>
      </c>
      <c r="H1977" s="35" t="b">
        <v>0</v>
      </c>
      <c r="I1977" s="35" t="b">
        <v>0</v>
      </c>
      <c r="J1977" s="35" t="b">
        <v>0</v>
      </c>
      <c r="K1977" s="35" t="b">
        <v>0</v>
      </c>
      <c r="L1977" s="35" t="b">
        <v>0</v>
      </c>
      <c r="M1977" s="35" t="b">
        <v>0</v>
      </c>
      <c r="N1977" s="35" t="b">
        <v>0</v>
      </c>
      <c r="O1977" s="35" t="b">
        <v>0</v>
      </c>
      <c r="P1977" s="35" t="b">
        <v>0</v>
      </c>
      <c r="Q1977" s="35" t="b">
        <v>0</v>
      </c>
      <c r="R1977" s="14"/>
      <c r="S1977" s="14"/>
      <c r="T1977" s="14"/>
      <c r="U1977" s="14"/>
      <c r="V1977" s="14"/>
      <c r="W1977" s="14"/>
    </row>
    <row r="1978" ht="31.5" customHeight="1">
      <c r="A1978" s="109" t="s">
        <v>17324</v>
      </c>
      <c r="B1978" s="110" t="s">
        <v>17325</v>
      </c>
      <c r="C1978" s="111" t="s">
        <v>17326</v>
      </c>
      <c r="D1978" s="28" t="s">
        <v>17327</v>
      </c>
      <c r="E1978" s="28" t="str">
        <f>IFERROR(__xludf.DUMMYFUNCTION("GOOGLETRANSLATE(D1978,""zh-CN"",""vi"")"),"Lý thuyết và thực hành cần bổ sung cho nhau.")</f>
        <v>Lý thuyết và thực hành cần bổ sung cho nhau.</v>
      </c>
      <c r="F1978" s="137"/>
      <c r="G1978" s="36" t="b">
        <f t="shared" si="1"/>
        <v>0</v>
      </c>
      <c r="H1978" s="35" t="b">
        <v>0</v>
      </c>
      <c r="I1978" s="35" t="b">
        <v>0</v>
      </c>
      <c r="J1978" s="35" t="b">
        <v>0</v>
      </c>
      <c r="K1978" s="35" t="b">
        <v>0</v>
      </c>
      <c r="L1978" s="35" t="b">
        <v>0</v>
      </c>
      <c r="M1978" s="35" t="b">
        <v>0</v>
      </c>
      <c r="N1978" s="35" t="b">
        <v>0</v>
      </c>
      <c r="O1978" s="35" t="b">
        <v>0</v>
      </c>
      <c r="P1978" s="35" t="b">
        <v>0</v>
      </c>
      <c r="Q1978" s="35" t="b">
        <v>0</v>
      </c>
      <c r="R1978" s="14"/>
      <c r="S1978" s="14"/>
      <c r="T1978" s="14"/>
      <c r="U1978" s="14"/>
      <c r="V1978" s="14"/>
      <c r="W1978" s="14"/>
    </row>
    <row r="1979" ht="31.5" customHeight="1">
      <c r="A1979" s="109" t="s">
        <v>17328</v>
      </c>
      <c r="B1979" s="110" t="s">
        <v>17329</v>
      </c>
      <c r="C1979" s="111" t="s">
        <v>17330</v>
      </c>
      <c r="D1979" s="28" t="s">
        <v>17331</v>
      </c>
      <c r="E1979" s="28" t="str">
        <f>IFERROR(__xludf.DUMMYFUNCTION("GOOGLETRANSLATE(D1979,""zh-CN"",""vi"")"),"Bức tường được khảm những viên gạch tuyệt đẹp.")</f>
        <v>Bức tường được khảm những viên gạch tuyệt đẹp.</v>
      </c>
      <c r="F1979" s="137"/>
      <c r="G1979" s="36" t="b">
        <f t="shared" si="1"/>
        <v>0</v>
      </c>
      <c r="H1979" s="35" t="b">
        <v>0</v>
      </c>
      <c r="I1979" s="35" t="b">
        <v>0</v>
      </c>
      <c r="J1979" s="35" t="b">
        <v>0</v>
      </c>
      <c r="K1979" s="35" t="b">
        <v>0</v>
      </c>
      <c r="L1979" s="35" t="b">
        <v>0</v>
      </c>
      <c r="M1979" s="35" t="b">
        <v>0</v>
      </c>
      <c r="N1979" s="35" t="b">
        <v>0</v>
      </c>
      <c r="O1979" s="35" t="b">
        <v>0</v>
      </c>
      <c r="P1979" s="35" t="b">
        <v>0</v>
      </c>
      <c r="Q1979" s="35" t="b">
        <v>0</v>
      </c>
      <c r="R1979" s="14"/>
      <c r="S1979" s="14"/>
      <c r="T1979" s="14"/>
      <c r="U1979" s="14"/>
      <c r="V1979" s="14"/>
      <c r="W1979" s="14"/>
    </row>
    <row r="1980" ht="31.5" customHeight="1">
      <c r="A1980" s="109" t="s">
        <v>17332</v>
      </c>
      <c r="B1980" s="110" t="s">
        <v>17333</v>
      </c>
      <c r="C1980" s="111" t="s">
        <v>17334</v>
      </c>
      <c r="D1980" s="28" t="s">
        <v>17335</v>
      </c>
      <c r="E1980" s="28" t="str">
        <f>IFERROR(__xludf.DUMMYFUNCTION("GOOGLETRANSLATE(D1980,""zh-CN"",""vi"")"),"Chúng ta cần có những biện pháp thích hợp.")</f>
        <v>Chúng ta cần có những biện pháp thích hợp.</v>
      </c>
      <c r="F1980" s="137"/>
      <c r="G1980" s="36" t="b">
        <f t="shared" si="1"/>
        <v>0</v>
      </c>
      <c r="H1980" s="35" t="b">
        <v>0</v>
      </c>
      <c r="I1980" s="35" t="b">
        <v>0</v>
      </c>
      <c r="J1980" s="35" t="b">
        <v>0</v>
      </c>
      <c r="K1980" s="35" t="b">
        <v>0</v>
      </c>
      <c r="L1980" s="35" t="b">
        <v>0</v>
      </c>
      <c r="M1980" s="35" t="b">
        <v>0</v>
      </c>
      <c r="N1980" s="35" t="b">
        <v>0</v>
      </c>
      <c r="O1980" s="35" t="b">
        <v>0</v>
      </c>
      <c r="P1980" s="35" t="b">
        <v>0</v>
      </c>
      <c r="Q1980" s="35" t="b">
        <v>0</v>
      </c>
      <c r="R1980" s="14"/>
      <c r="S1980" s="14"/>
      <c r="T1980" s="14"/>
      <c r="U1980" s="14"/>
      <c r="V1980" s="14"/>
      <c r="W1980" s="14"/>
    </row>
    <row r="1981" ht="31.5" customHeight="1">
      <c r="A1981" s="109" t="s">
        <v>17336</v>
      </c>
      <c r="B1981" s="110" t="s">
        <v>17337</v>
      </c>
      <c r="C1981" s="111" t="s">
        <v>17338</v>
      </c>
      <c r="D1981" s="28" t="s">
        <v>17339</v>
      </c>
      <c r="E1981" s="28" t="str">
        <f>IFERROR(__xludf.DUMMYFUNCTION("GOOGLETRANSLATE(D1981,""zh-CN"",""vi"")"),"Anh ấy đến từ một thị trấn nhỏ.")</f>
        <v>Anh ấy đến từ một thị trấn nhỏ.</v>
      </c>
      <c r="F1981" s="137"/>
      <c r="G1981" s="36" t="b">
        <f t="shared" si="1"/>
        <v>0</v>
      </c>
      <c r="H1981" s="35" t="b">
        <v>0</v>
      </c>
      <c r="I1981" s="35" t="b">
        <v>0</v>
      </c>
      <c r="J1981" s="35" t="b">
        <v>0</v>
      </c>
      <c r="K1981" s="35" t="b">
        <v>0</v>
      </c>
      <c r="L1981" s="35" t="b">
        <v>0</v>
      </c>
      <c r="M1981" s="35" t="b">
        <v>0</v>
      </c>
      <c r="N1981" s="35" t="b">
        <v>0</v>
      </c>
      <c r="O1981" s="35" t="b">
        <v>0</v>
      </c>
      <c r="P1981" s="35" t="b">
        <v>0</v>
      </c>
      <c r="Q1981" s="35" t="b">
        <v>0</v>
      </c>
      <c r="R1981" s="14"/>
      <c r="S1981" s="14"/>
      <c r="T1981" s="14"/>
      <c r="U1981" s="14"/>
      <c r="V1981" s="14"/>
      <c r="W1981" s="14"/>
    </row>
    <row r="1982" ht="31.5" customHeight="1">
      <c r="A1982" s="109" t="s">
        <v>17340</v>
      </c>
      <c r="B1982" s="110" t="s">
        <v>17341</v>
      </c>
      <c r="C1982" s="111" t="s">
        <v>17342</v>
      </c>
      <c r="D1982" s="28" t="s">
        <v>17343</v>
      </c>
      <c r="E1982" s="28" t="str">
        <f>IFERROR(__xludf.DUMMYFUNCTION("GOOGLETRANSLATE(D1982,""zh-CN"",""vi"")"),"Chúng ta cần tìm cách giải quyết vấn đề này.")</f>
        <v>Chúng ta cần tìm cách giải quyết vấn đề này.</v>
      </c>
      <c r="F1982" s="137"/>
      <c r="G1982" s="36" t="b">
        <f t="shared" si="1"/>
        <v>0</v>
      </c>
      <c r="H1982" s="35" t="b">
        <v>0</v>
      </c>
      <c r="I1982" s="35" t="b">
        <v>0</v>
      </c>
      <c r="J1982" s="35" t="b">
        <v>0</v>
      </c>
      <c r="K1982" s="35" t="b">
        <v>0</v>
      </c>
      <c r="L1982" s="35" t="b">
        <v>0</v>
      </c>
      <c r="M1982" s="35" t="b">
        <v>0</v>
      </c>
      <c r="N1982" s="35" t="b">
        <v>0</v>
      </c>
      <c r="O1982" s="35" t="b">
        <v>0</v>
      </c>
      <c r="P1982" s="35" t="b">
        <v>0</v>
      </c>
      <c r="Q1982" s="35" t="b">
        <v>0</v>
      </c>
      <c r="R1982" s="14"/>
      <c r="S1982" s="14"/>
      <c r="T1982" s="14"/>
      <c r="U1982" s="14"/>
      <c r="V1982" s="14"/>
      <c r="W1982" s="14"/>
    </row>
    <row r="1983" ht="31.5" customHeight="1">
      <c r="A1983" s="109" t="s">
        <v>17344</v>
      </c>
      <c r="B1983" s="110" t="s">
        <v>17345</v>
      </c>
      <c r="C1983" s="111" t="s">
        <v>17346</v>
      </c>
      <c r="D1983" s="28" t="s">
        <v>17347</v>
      </c>
      <c r="E1983" s="28" t="str">
        <f>IFERROR(__xludf.DUMMYFUNCTION("GOOGLETRANSLATE(D1983,""zh-CN"",""vi"")"),"Giọng anh ấy rất to.")</f>
        <v>Giọng anh ấy rất to.</v>
      </c>
      <c r="F1983" s="137"/>
      <c r="G1983" s="36" t="b">
        <f t="shared" si="1"/>
        <v>0</v>
      </c>
      <c r="H1983" s="35" t="b">
        <v>0</v>
      </c>
      <c r="I1983" s="35" t="b">
        <v>0</v>
      </c>
      <c r="J1983" s="35" t="b">
        <v>0</v>
      </c>
      <c r="K1983" s="35" t="b">
        <v>0</v>
      </c>
      <c r="L1983" s="35" t="b">
        <v>0</v>
      </c>
      <c r="M1983" s="35" t="b">
        <v>0</v>
      </c>
      <c r="N1983" s="35" t="b">
        <v>0</v>
      </c>
      <c r="O1983" s="35" t="b">
        <v>0</v>
      </c>
      <c r="P1983" s="35" t="b">
        <v>0</v>
      </c>
      <c r="Q1983" s="35" t="b">
        <v>0</v>
      </c>
      <c r="R1983" s="14"/>
      <c r="S1983" s="14"/>
      <c r="T1983" s="14"/>
      <c r="U1983" s="14"/>
      <c r="V1983" s="14"/>
      <c r="W1983" s="14"/>
    </row>
    <row r="1984" ht="31.5" customHeight="1">
      <c r="A1984" s="109" t="s">
        <v>17348</v>
      </c>
      <c r="B1984" s="110" t="s">
        <v>17349</v>
      </c>
      <c r="C1984" s="111" t="s">
        <v>17350</v>
      </c>
      <c r="D1984" s="28" t="s">
        <v>17351</v>
      </c>
      <c r="E1984" s="28" t="str">
        <f>IFERROR(__xludf.DUMMYFUNCTION("GOOGLETRANSLATE(D1984,""zh-CN"",""vi"")"),"Chúng ta phải chủ động đáp lại lời kêu gọi đó.")</f>
        <v>Chúng ta phải chủ động đáp lại lời kêu gọi đó.</v>
      </c>
      <c r="F1984" s="137"/>
      <c r="G1984" s="36" t="b">
        <f t="shared" si="1"/>
        <v>0</v>
      </c>
      <c r="H1984" s="35" t="b">
        <v>0</v>
      </c>
      <c r="I1984" s="35" t="b">
        <v>0</v>
      </c>
      <c r="J1984" s="35" t="b">
        <v>0</v>
      </c>
      <c r="K1984" s="35" t="b">
        <v>0</v>
      </c>
      <c r="L1984" s="35" t="b">
        <v>0</v>
      </c>
      <c r="M1984" s="35" t="b">
        <v>0</v>
      </c>
      <c r="N1984" s="35" t="b">
        <v>0</v>
      </c>
      <c r="O1984" s="35" t="b">
        <v>0</v>
      </c>
      <c r="P1984" s="35" t="b">
        <v>0</v>
      </c>
      <c r="Q1984" s="35" t="b">
        <v>0</v>
      </c>
      <c r="R1984" s="14"/>
      <c r="S1984" s="14"/>
      <c r="T1984" s="14"/>
      <c r="U1984" s="14"/>
      <c r="V1984" s="14"/>
      <c r="W1984" s="14"/>
    </row>
    <row r="1985" ht="31.5" customHeight="1">
      <c r="A1985" s="109" t="s">
        <v>17352</v>
      </c>
      <c r="B1985" s="110" t="s">
        <v>2433</v>
      </c>
      <c r="C1985" s="111" t="s">
        <v>17353</v>
      </c>
      <c r="D1985" s="28" t="s">
        <v>17354</v>
      </c>
      <c r="E1985" s="28" t="str">
        <f>IFERROR(__xludf.DUMMYFUNCTION("GOOGLETRANSLATE(D1985,""zh-CN"",""vi"")"),"Con hẻm này rất hẹp.")</f>
        <v>Con hẻm này rất hẹp.</v>
      </c>
      <c r="F1985" s="137"/>
      <c r="G1985" s="36" t="b">
        <f t="shared" si="1"/>
        <v>0</v>
      </c>
      <c r="H1985" s="35" t="b">
        <v>0</v>
      </c>
      <c r="I1985" s="35" t="b">
        <v>0</v>
      </c>
      <c r="J1985" s="35" t="b">
        <v>0</v>
      </c>
      <c r="K1985" s="35" t="b">
        <v>0</v>
      </c>
      <c r="L1985" s="35" t="b">
        <v>0</v>
      </c>
      <c r="M1985" s="35" t="b">
        <v>0</v>
      </c>
      <c r="N1985" s="35" t="b">
        <v>0</v>
      </c>
      <c r="O1985" s="35" t="b">
        <v>0</v>
      </c>
      <c r="P1985" s="35" t="b">
        <v>0</v>
      </c>
      <c r="Q1985" s="35" t="b">
        <v>0</v>
      </c>
      <c r="R1985" s="14"/>
      <c r="S1985" s="14"/>
      <c r="T1985" s="14"/>
      <c r="U1985" s="14"/>
      <c r="V1985" s="14"/>
      <c r="W1985" s="14"/>
    </row>
    <row r="1986" ht="31.5" customHeight="1">
      <c r="A1986" s="109" t="s">
        <v>12343</v>
      </c>
      <c r="B1986" s="110" t="s">
        <v>2433</v>
      </c>
      <c r="C1986" s="111" t="s">
        <v>17355</v>
      </c>
      <c r="D1986" s="28" t="s">
        <v>17356</v>
      </c>
      <c r="E1986" s="28" t="str">
        <f>IFERROR(__xludf.DUMMYFUNCTION("GOOGLETRANSLATE(D1986,""zh-CN"",""vi"")"),"Đây là một điều khoản pháp lý.")</f>
        <v>Đây là một điều khoản pháp lý.</v>
      </c>
      <c r="F1986" s="137"/>
      <c r="G1986" s="36" t="b">
        <f t="shared" si="1"/>
        <v>0</v>
      </c>
      <c r="H1986" s="35" t="b">
        <v>0</v>
      </c>
      <c r="I1986" s="35" t="b">
        <v>0</v>
      </c>
      <c r="J1986" s="35" t="b">
        <v>0</v>
      </c>
      <c r="K1986" s="35" t="b">
        <v>0</v>
      </c>
      <c r="L1986" s="35" t="b">
        <v>0</v>
      </c>
      <c r="M1986" s="35" t="b">
        <v>0</v>
      </c>
      <c r="N1986" s="35" t="b">
        <v>0</v>
      </c>
      <c r="O1986" s="35" t="b">
        <v>0</v>
      </c>
      <c r="P1986" s="35" t="b">
        <v>0</v>
      </c>
      <c r="Q1986" s="35" t="b">
        <v>0</v>
      </c>
      <c r="R1986" s="14"/>
      <c r="S1986" s="14"/>
      <c r="T1986" s="14"/>
      <c r="U1986" s="14"/>
      <c r="V1986" s="14"/>
      <c r="W1986" s="14"/>
    </row>
    <row r="1987" ht="31.5" customHeight="1">
      <c r="A1987" s="109" t="s">
        <v>17357</v>
      </c>
      <c r="B1987" s="110" t="s">
        <v>17358</v>
      </c>
      <c r="C1987" s="111" t="s">
        <v>17359</v>
      </c>
      <c r="D1987" s="28" t="s">
        <v>17360</v>
      </c>
      <c r="E1987" s="28" t="str">
        <f>IFERROR(__xludf.DUMMYFUNCTION("GOOGLETRANSLATE(D1987,""zh-CN"",""vi"")"),"Anh ấy là người dẫn đường cho chúng ta.")</f>
        <v>Anh ấy là người dẫn đường cho chúng ta.</v>
      </c>
      <c r="F1987" s="137"/>
      <c r="G1987" s="36" t="b">
        <f t="shared" si="1"/>
        <v>0</v>
      </c>
      <c r="H1987" s="35" t="b">
        <v>0</v>
      </c>
      <c r="I1987" s="35" t="b">
        <v>0</v>
      </c>
      <c r="J1987" s="35" t="b">
        <v>0</v>
      </c>
      <c r="K1987" s="35" t="b">
        <v>0</v>
      </c>
      <c r="L1987" s="35" t="b">
        <v>0</v>
      </c>
      <c r="M1987" s="35" t="b">
        <v>0</v>
      </c>
      <c r="N1987" s="35" t="b">
        <v>0</v>
      </c>
      <c r="O1987" s="35" t="b">
        <v>0</v>
      </c>
      <c r="P1987" s="35" t="b">
        <v>0</v>
      </c>
      <c r="Q1987" s="35" t="b">
        <v>0</v>
      </c>
      <c r="R1987" s="14"/>
      <c r="S1987" s="14"/>
      <c r="T1987" s="14"/>
      <c r="U1987" s="14"/>
      <c r="V1987" s="14"/>
      <c r="W1987" s="14"/>
    </row>
    <row r="1988" ht="31.5" customHeight="1">
      <c r="A1988" s="109" t="s">
        <v>17361</v>
      </c>
      <c r="B1988" s="110" t="s">
        <v>17362</v>
      </c>
      <c r="C1988" s="111" t="s">
        <v>13658</v>
      </c>
      <c r="D1988" s="28" t="s">
        <v>17363</v>
      </c>
      <c r="E1988" s="28" t="str">
        <f>IFERROR(__xludf.DUMMYFUNCTION("GOOGLETRANSLATE(D1988,""zh-CN"",""vi"")"),"Anh ấy luôn luôn rất đúng giờ.")</f>
        <v>Anh ấy luôn luôn rất đúng giờ.</v>
      </c>
      <c r="F1988" s="137"/>
      <c r="G1988" s="36" t="b">
        <f t="shared" si="1"/>
        <v>0</v>
      </c>
      <c r="H1988" s="35" t="b">
        <v>0</v>
      </c>
      <c r="I1988" s="35" t="b">
        <v>0</v>
      </c>
      <c r="J1988" s="35" t="b">
        <v>0</v>
      </c>
      <c r="K1988" s="35" t="b">
        <v>0</v>
      </c>
      <c r="L1988" s="35" t="b">
        <v>0</v>
      </c>
      <c r="M1988" s="35" t="b">
        <v>0</v>
      </c>
      <c r="N1988" s="35" t="b">
        <v>0</v>
      </c>
      <c r="O1988" s="35" t="b">
        <v>0</v>
      </c>
      <c r="P1988" s="35" t="b">
        <v>0</v>
      </c>
      <c r="Q1988" s="35" t="b">
        <v>0</v>
      </c>
      <c r="R1988" s="14"/>
      <c r="S1988" s="14"/>
      <c r="T1988" s="14"/>
      <c r="U1988" s="14"/>
      <c r="V1988" s="14"/>
      <c r="W1988" s="14"/>
    </row>
    <row r="1989" ht="31.5" customHeight="1">
      <c r="A1989" s="109" t="s">
        <v>17364</v>
      </c>
      <c r="B1989" s="110" t="s">
        <v>17365</v>
      </c>
      <c r="C1989" s="111" t="s">
        <v>17366</v>
      </c>
      <c r="D1989" s="28" t="s">
        <v>17367</v>
      </c>
      <c r="E1989" s="28" t="str">
        <f>IFERROR(__xludf.DUMMYFUNCTION("GOOGLETRANSLATE(D1989,""zh-CN"",""vi"")"),"Cô ấy khao khát một cuộc sống tự do.")</f>
        <v>Cô ấy khao khát một cuộc sống tự do.</v>
      </c>
      <c r="F1989" s="137"/>
      <c r="G1989" s="36" t="b">
        <f t="shared" si="1"/>
        <v>0</v>
      </c>
      <c r="H1989" s="35" t="b">
        <v>0</v>
      </c>
      <c r="I1989" s="35" t="b">
        <v>0</v>
      </c>
      <c r="J1989" s="35" t="b">
        <v>0</v>
      </c>
      <c r="K1989" s="35" t="b">
        <v>0</v>
      </c>
      <c r="L1989" s="35" t="b">
        <v>0</v>
      </c>
      <c r="M1989" s="35" t="b">
        <v>0</v>
      </c>
      <c r="N1989" s="35" t="b">
        <v>0</v>
      </c>
      <c r="O1989" s="35" t="b">
        <v>0</v>
      </c>
      <c r="P1989" s="35" t="b">
        <v>0</v>
      </c>
      <c r="Q1989" s="35" t="b">
        <v>0</v>
      </c>
      <c r="R1989" s="14"/>
      <c r="S1989" s="14"/>
      <c r="T1989" s="14"/>
      <c r="U1989" s="14"/>
      <c r="V1989" s="14"/>
      <c r="W1989" s="14"/>
    </row>
    <row r="1990" ht="31.5" customHeight="1">
      <c r="A1990" s="109" t="s">
        <v>17368</v>
      </c>
      <c r="B1990" s="110" t="s">
        <v>17369</v>
      </c>
      <c r="C1990" s="111" t="s">
        <v>16521</v>
      </c>
      <c r="D1990" s="28" t="s">
        <v>17370</v>
      </c>
      <c r="E1990" s="28" t="str">
        <f>IFERROR(__xludf.DUMMYFUNCTION("GOOGLETRANSLATE(D1990,""zh-CN"",""vi"")"),"Chúng ta cần xóa bỏ những hiểu lầm.")</f>
        <v>Chúng ta cần xóa bỏ những hiểu lầm.</v>
      </c>
      <c r="F1990" s="137"/>
      <c r="G1990" s="36" t="b">
        <f t="shared" si="1"/>
        <v>0</v>
      </c>
      <c r="H1990" s="35" t="b">
        <v>0</v>
      </c>
      <c r="I1990" s="35" t="b">
        <v>0</v>
      </c>
      <c r="J1990" s="35" t="b">
        <v>0</v>
      </c>
      <c r="K1990" s="35" t="b">
        <v>0</v>
      </c>
      <c r="L1990" s="35" t="b">
        <v>0</v>
      </c>
      <c r="M1990" s="35" t="b">
        <v>0</v>
      </c>
      <c r="N1990" s="35" t="b">
        <v>0</v>
      </c>
      <c r="O1990" s="35" t="b">
        <v>0</v>
      </c>
      <c r="P1990" s="35" t="b">
        <v>0</v>
      </c>
      <c r="Q1990" s="35" t="b">
        <v>0</v>
      </c>
      <c r="R1990" s="14"/>
      <c r="S1990" s="14"/>
      <c r="T1990" s="14"/>
      <c r="U1990" s="14"/>
      <c r="V1990" s="14"/>
      <c r="W1990" s="14"/>
    </row>
    <row r="1991" ht="31.5" customHeight="1">
      <c r="A1991" s="109" t="s">
        <v>17371</v>
      </c>
      <c r="B1991" s="110" t="s">
        <v>17372</v>
      </c>
      <c r="C1991" s="111" t="s">
        <v>17373</v>
      </c>
      <c r="D1991" s="28" t="s">
        <v>17374</v>
      </c>
      <c r="E1991" s="28" t="str">
        <f>IFERROR(__xludf.DUMMYFUNCTION("GOOGLETRANSLATE(D1991,""zh-CN"",""vi"")"),"Anh ấy đang khử trùng vết thương.")</f>
        <v>Anh ấy đang khử trùng vết thương.</v>
      </c>
      <c r="F1991" s="137"/>
      <c r="G1991" s="36" t="b">
        <f t="shared" si="1"/>
        <v>0</v>
      </c>
      <c r="H1991" s="35" t="b">
        <v>0</v>
      </c>
      <c r="I1991" s="35" t="b">
        <v>0</v>
      </c>
      <c r="J1991" s="35" t="b">
        <v>0</v>
      </c>
      <c r="K1991" s="35" t="b">
        <v>0</v>
      </c>
      <c r="L1991" s="35" t="b">
        <v>0</v>
      </c>
      <c r="M1991" s="35" t="b">
        <v>0</v>
      </c>
      <c r="N1991" s="35" t="b">
        <v>0</v>
      </c>
      <c r="O1991" s="35" t="b">
        <v>0</v>
      </c>
      <c r="P1991" s="35" t="b">
        <v>0</v>
      </c>
      <c r="Q1991" s="35" t="b">
        <v>0</v>
      </c>
      <c r="R1991" s="14"/>
      <c r="S1991" s="14"/>
      <c r="T1991" s="14"/>
      <c r="U1991" s="14"/>
      <c r="V1991" s="14"/>
      <c r="W1991" s="14"/>
    </row>
    <row r="1992" ht="31.5" customHeight="1">
      <c r="A1992" s="109" t="s">
        <v>17375</v>
      </c>
      <c r="B1992" s="110" t="s">
        <v>17376</v>
      </c>
      <c r="C1992" s="111" t="s">
        <v>17377</v>
      </c>
      <c r="D1992" s="28" t="s">
        <v>17378</v>
      </c>
      <c r="E1992" s="28" t="str">
        <f>IFERROR(__xludf.DUMMYFUNCTION("GOOGLETRANSLATE(D1992,""zh-CN"",""vi"")"),"Họ đang tiến hành diễn tập phòng cháy chữa cháy.")</f>
        <v>Họ đang tiến hành diễn tập phòng cháy chữa cháy.</v>
      </c>
      <c r="F1992" s="137"/>
      <c r="G1992" s="36" t="b">
        <f t="shared" si="1"/>
        <v>0</v>
      </c>
      <c r="H1992" s="35" t="b">
        <v>0</v>
      </c>
      <c r="I1992" s="35" t="b">
        <v>0</v>
      </c>
      <c r="J1992" s="35" t="b">
        <v>0</v>
      </c>
      <c r="K1992" s="35" t="b">
        <v>0</v>
      </c>
      <c r="L1992" s="35" t="b">
        <v>0</v>
      </c>
      <c r="M1992" s="35" t="b">
        <v>0</v>
      </c>
      <c r="N1992" s="35" t="b">
        <v>0</v>
      </c>
      <c r="O1992" s="35" t="b">
        <v>0</v>
      </c>
      <c r="P1992" s="35" t="b">
        <v>0</v>
      </c>
      <c r="Q1992" s="35" t="b">
        <v>0</v>
      </c>
      <c r="R1992" s="14"/>
      <c r="S1992" s="14"/>
      <c r="T1992" s="14"/>
      <c r="U1992" s="14"/>
      <c r="V1992" s="14"/>
      <c r="W1992" s="14"/>
    </row>
    <row r="1993" ht="31.5" customHeight="1">
      <c r="A1993" s="109" t="s">
        <v>17379</v>
      </c>
      <c r="B1993" s="110" t="s">
        <v>17380</v>
      </c>
      <c r="C1993" s="111" t="s">
        <v>17381</v>
      </c>
      <c r="D1993" s="28" t="s">
        <v>17382</v>
      </c>
      <c r="E1993" s="28" t="str">
        <f>IFERROR(__xludf.DUMMYFUNCTION("GOOGLETRANSLATE(D1993,""zh-CN"",""vi"")"),"Máy này tiêu thụ rất nhiều điện.")</f>
        <v>Máy này tiêu thụ rất nhiều điện.</v>
      </c>
      <c r="F1993" s="137"/>
      <c r="G1993" s="36" t="b">
        <f t="shared" si="1"/>
        <v>0</v>
      </c>
      <c r="H1993" s="35" t="b">
        <v>0</v>
      </c>
      <c r="I1993" s="35" t="b">
        <v>0</v>
      </c>
      <c r="J1993" s="35" t="b">
        <v>0</v>
      </c>
      <c r="K1993" s="35" t="b">
        <v>0</v>
      </c>
      <c r="L1993" s="35" t="b">
        <v>0</v>
      </c>
      <c r="M1993" s="35" t="b">
        <v>0</v>
      </c>
      <c r="N1993" s="35" t="b">
        <v>0</v>
      </c>
      <c r="O1993" s="35" t="b">
        <v>0</v>
      </c>
      <c r="P1993" s="35" t="b">
        <v>0</v>
      </c>
      <c r="Q1993" s="35" t="b">
        <v>0</v>
      </c>
      <c r="R1993" s="14"/>
      <c r="S1993" s="14"/>
      <c r="T1993" s="14"/>
      <c r="U1993" s="14"/>
      <c r="V1993" s="14"/>
      <c r="W1993" s="14"/>
    </row>
    <row r="1994" ht="31.5" customHeight="1">
      <c r="A1994" s="109" t="s">
        <v>17383</v>
      </c>
      <c r="B1994" s="110" t="s">
        <v>17384</v>
      </c>
      <c r="C1994" s="111" t="s">
        <v>17385</v>
      </c>
      <c r="D1994" s="28" t="s">
        <v>17386</v>
      </c>
      <c r="E1994" s="28" t="str">
        <f>IFERROR(__xludf.DUMMYFUNCTION("GOOGLETRANSLATE(D1994,""zh-CN"",""vi"")"),"Tài liệu này đã bị tiêu hủy.")</f>
        <v>Tài liệu này đã bị tiêu hủy.</v>
      </c>
      <c r="F1994" s="137"/>
      <c r="G1994" s="36" t="b">
        <f t="shared" si="1"/>
        <v>0</v>
      </c>
      <c r="H1994" s="35" t="b">
        <v>0</v>
      </c>
      <c r="I1994" s="35" t="b">
        <v>0</v>
      </c>
      <c r="J1994" s="35" t="b">
        <v>0</v>
      </c>
      <c r="K1994" s="35" t="b">
        <v>0</v>
      </c>
      <c r="L1994" s="35" t="b">
        <v>0</v>
      </c>
      <c r="M1994" s="35" t="b">
        <v>0</v>
      </c>
      <c r="N1994" s="35" t="b">
        <v>0</v>
      </c>
      <c r="O1994" s="35" t="b">
        <v>0</v>
      </c>
      <c r="P1994" s="35" t="b">
        <v>0</v>
      </c>
      <c r="Q1994" s="35" t="b">
        <v>0</v>
      </c>
      <c r="R1994" s="14"/>
      <c r="S1994" s="14"/>
      <c r="T1994" s="14"/>
      <c r="U1994" s="14"/>
      <c r="V1994" s="14"/>
      <c r="W1994" s="14"/>
    </row>
    <row r="1995" ht="31.5" customHeight="1">
      <c r="A1995" s="109" t="s">
        <v>12416</v>
      </c>
      <c r="B1995" s="110" t="s">
        <v>17387</v>
      </c>
      <c r="C1995" s="111" t="s">
        <v>17388</v>
      </c>
      <c r="D1995" s="28" t="s">
        <v>17389</v>
      </c>
      <c r="E1995" s="28" t="str">
        <f>IFERROR(__xludf.DUMMYFUNCTION("GOOGLETRANSLATE(D1995,""zh-CN"",""vi"")"),"Anh ấy có cái nhìn bi quan về cuộc sống.")</f>
        <v>Anh ấy có cái nhìn bi quan về cuộc sống.</v>
      </c>
      <c r="F1995" s="137"/>
      <c r="G1995" s="36" t="b">
        <f t="shared" si="1"/>
        <v>0</v>
      </c>
      <c r="H1995" s="35" t="b">
        <v>0</v>
      </c>
      <c r="I1995" s="35" t="b">
        <v>0</v>
      </c>
      <c r="J1995" s="35" t="b">
        <v>0</v>
      </c>
      <c r="K1995" s="35" t="b">
        <v>0</v>
      </c>
      <c r="L1995" s="35" t="b">
        <v>0</v>
      </c>
      <c r="M1995" s="35" t="b">
        <v>0</v>
      </c>
      <c r="N1995" s="35" t="b">
        <v>0</v>
      </c>
      <c r="O1995" s="35" t="b">
        <v>0</v>
      </c>
      <c r="P1995" s="35" t="b">
        <v>0</v>
      </c>
      <c r="Q1995" s="35" t="b">
        <v>0</v>
      </c>
      <c r="R1995" s="14"/>
      <c r="S1995" s="14"/>
      <c r="T1995" s="14"/>
      <c r="U1995" s="14"/>
      <c r="V1995" s="14"/>
      <c r="W1995" s="14"/>
    </row>
    <row r="1996" ht="31.5" customHeight="1">
      <c r="A1996" s="109" t="s">
        <v>12450</v>
      </c>
      <c r="B1996" s="110" t="s">
        <v>17390</v>
      </c>
      <c r="C1996" s="111" t="s">
        <v>13814</v>
      </c>
      <c r="D1996" s="28" t="s">
        <v>17391</v>
      </c>
      <c r="E1996" s="28" t="str">
        <f>IFERROR(__xludf.DUMMYFUNCTION("GOOGLETRANSLATE(D1996,""zh-CN"",""vi"")"),"Ông ta rất keo kiệt và không bao giờ mời ai đi ăn.")</f>
        <v>Ông ta rất keo kiệt và không bao giờ mời ai đi ăn.</v>
      </c>
      <c r="F1996" s="137"/>
      <c r="G1996" s="36" t="b">
        <f t="shared" si="1"/>
        <v>0</v>
      </c>
      <c r="H1996" s="35" t="b">
        <v>0</v>
      </c>
      <c r="I1996" s="35" t="b">
        <v>0</v>
      </c>
      <c r="J1996" s="35" t="b">
        <v>0</v>
      </c>
      <c r="K1996" s="35" t="b">
        <v>0</v>
      </c>
      <c r="L1996" s="35" t="b">
        <v>0</v>
      </c>
      <c r="M1996" s="35" t="b">
        <v>0</v>
      </c>
      <c r="N1996" s="35" t="b">
        <v>0</v>
      </c>
      <c r="O1996" s="35" t="b">
        <v>0</v>
      </c>
      <c r="P1996" s="35" t="b">
        <v>0</v>
      </c>
      <c r="Q1996" s="35" t="b">
        <v>0</v>
      </c>
      <c r="R1996" s="14"/>
      <c r="S1996" s="14"/>
      <c r="T1996" s="14"/>
      <c r="U1996" s="14"/>
      <c r="V1996" s="14"/>
      <c r="W1996" s="14"/>
    </row>
    <row r="1997" ht="31.5" customHeight="1">
      <c r="A1997" s="109" t="s">
        <v>17392</v>
      </c>
      <c r="B1997" s="110" t="s">
        <v>17393</v>
      </c>
      <c r="C1997" s="111" t="s">
        <v>17394</v>
      </c>
      <c r="D1997" s="28" t="s">
        <v>17395</v>
      </c>
      <c r="E1997" s="28" t="str">
        <f>IFERROR(__xludf.DUMMYFUNCTION("GOOGLETRANSLATE(D1997,""zh-CN"",""vi"")"),"Cô ấy luôn rất cẩn thận trong mọi việc mình làm.")</f>
        <v>Cô ấy luôn rất cẩn thận trong mọi việc mình làm.</v>
      </c>
      <c r="F1997" s="137"/>
      <c r="G1997" s="36" t="b">
        <f t="shared" si="1"/>
        <v>0</v>
      </c>
      <c r="H1997" s="35" t="b">
        <v>0</v>
      </c>
      <c r="I1997" s="35" t="b">
        <v>0</v>
      </c>
      <c r="J1997" s="35" t="b">
        <v>0</v>
      </c>
      <c r="K1997" s="35" t="b">
        <v>0</v>
      </c>
      <c r="L1997" s="35" t="b">
        <v>0</v>
      </c>
      <c r="M1997" s="35" t="b">
        <v>0</v>
      </c>
      <c r="N1997" s="35" t="b">
        <v>0</v>
      </c>
      <c r="O1997" s="35" t="b">
        <v>0</v>
      </c>
      <c r="P1997" s="35" t="b">
        <v>0</v>
      </c>
      <c r="Q1997" s="35" t="b">
        <v>0</v>
      </c>
      <c r="R1997" s="14"/>
      <c r="S1997" s="14"/>
      <c r="T1997" s="14"/>
      <c r="U1997" s="14"/>
      <c r="V1997" s="14"/>
      <c r="W1997" s="14"/>
    </row>
    <row r="1998" ht="31.5" customHeight="1">
      <c r="A1998" s="109" t="s">
        <v>12460</v>
      </c>
      <c r="B1998" s="110" t="s">
        <v>17396</v>
      </c>
      <c r="C1998" s="111" t="s">
        <v>17397</v>
      </c>
      <c r="D1998" s="28" t="s">
        <v>17398</v>
      </c>
      <c r="E1998" s="28" t="str">
        <f>IFERROR(__xludf.DUMMYFUNCTION("GOOGLETRANSLATE(D1998,""zh-CN"",""vi"")"),"Hiếu thảo là một đức tính truyền thống của dân tộc Trung Hoa.")</f>
        <v>Hiếu thảo là một đức tính truyền thống của dân tộc Trung Hoa.</v>
      </c>
      <c r="F1998" s="137"/>
      <c r="G1998" s="36" t="b">
        <f t="shared" si="1"/>
        <v>0</v>
      </c>
      <c r="H1998" s="35" t="b">
        <v>1</v>
      </c>
      <c r="I1998" s="35" t="b">
        <v>0</v>
      </c>
      <c r="J1998" s="35" t="b">
        <v>0</v>
      </c>
      <c r="K1998" s="35" t="b">
        <v>0</v>
      </c>
      <c r="L1998" s="35" t="b">
        <v>0</v>
      </c>
      <c r="M1998" s="35" t="b">
        <v>0</v>
      </c>
      <c r="N1998" s="35" t="b">
        <v>0</v>
      </c>
      <c r="O1998" s="35" t="b">
        <v>0</v>
      </c>
      <c r="P1998" s="35" t="b">
        <v>0</v>
      </c>
      <c r="Q1998" s="35" t="b">
        <v>0</v>
      </c>
      <c r="R1998" s="14"/>
      <c r="S1998" s="14"/>
      <c r="T1998" s="14"/>
      <c r="U1998" s="14"/>
      <c r="V1998" s="14"/>
      <c r="W1998" s="14"/>
    </row>
    <row r="1999" ht="31.5" customHeight="1">
      <c r="A1999" s="109" t="s">
        <v>17399</v>
      </c>
      <c r="B1999" s="110" t="s">
        <v>17400</v>
      </c>
      <c r="C1999" s="111" t="s">
        <v>17401</v>
      </c>
      <c r="D1999" s="28" t="s">
        <v>17402</v>
      </c>
      <c r="E1999" s="28" t="str">
        <f>IFERROR(__xludf.DUMMYFUNCTION("GOOGLETRANSLATE(D1999,""zh-CN"",""vi"")"),"Đây là một bức chân dung.")</f>
        <v>Đây là một bức chân dung.</v>
      </c>
      <c r="F1999" s="137"/>
      <c r="G1999" s="36" t="b">
        <f t="shared" si="1"/>
        <v>0</v>
      </c>
      <c r="H1999" s="35" t="b">
        <v>1</v>
      </c>
      <c r="I1999" s="35" t="b">
        <v>0</v>
      </c>
      <c r="J1999" s="35" t="b">
        <v>0</v>
      </c>
      <c r="K1999" s="35" t="b">
        <v>0</v>
      </c>
      <c r="L1999" s="35" t="b">
        <v>0</v>
      </c>
      <c r="M1999" s="35" t="b">
        <v>0</v>
      </c>
      <c r="N1999" s="35" t="b">
        <v>0</v>
      </c>
      <c r="O1999" s="35" t="b">
        <v>0</v>
      </c>
      <c r="P1999" s="35" t="b">
        <v>0</v>
      </c>
      <c r="Q1999" s="35" t="b">
        <v>0</v>
      </c>
      <c r="R1999" s="14"/>
      <c r="S1999" s="14"/>
      <c r="T1999" s="14"/>
      <c r="U1999" s="14"/>
      <c r="V1999" s="14"/>
      <c r="W1999" s="14"/>
    </row>
    <row r="2000" ht="31.5" customHeight="1">
      <c r="A2000" s="124" t="s">
        <v>17403</v>
      </c>
      <c r="B2000" s="125" t="s">
        <v>17404</v>
      </c>
      <c r="C2000" s="126" t="s">
        <v>17405</v>
      </c>
      <c r="D2000" s="127" t="s">
        <v>17406</v>
      </c>
      <c r="E2000" s="28" t="str">
        <f>IFERROR(__xludf.DUMMYFUNCTION("GOOGLETRANSLATE(D2000,""zh-CN"",""vi"")"),"Dự án này rất hiệu quả.")</f>
        <v>Dự án này rất hiệu quả.</v>
      </c>
      <c r="F2000" s="137"/>
      <c r="G2000" s="36" t="b">
        <f t="shared" si="1"/>
        <v>0</v>
      </c>
      <c r="H2000" s="35" t="b">
        <v>1</v>
      </c>
      <c r="I2000" s="35" t="b">
        <v>0</v>
      </c>
      <c r="J2000" s="35" t="b">
        <v>0</v>
      </c>
      <c r="K2000" s="35" t="b">
        <v>0</v>
      </c>
      <c r="L2000" s="35" t="b">
        <v>0</v>
      </c>
      <c r="M2000" s="35" t="b">
        <v>0</v>
      </c>
      <c r="N2000" s="35" t="b">
        <v>0</v>
      </c>
      <c r="O2000" s="35" t="b">
        <v>0</v>
      </c>
      <c r="P2000" s="35" t="b">
        <v>0</v>
      </c>
      <c r="Q2000" s="35" t="b">
        <v>0</v>
      </c>
      <c r="R2000" s="156"/>
      <c r="S2000" s="156"/>
      <c r="T2000" s="156"/>
      <c r="U2000" s="156"/>
      <c r="V2000" s="156"/>
      <c r="W2000" s="156"/>
    </row>
    <row r="2001" ht="31.5" customHeight="1">
      <c r="A2001" s="124" t="s">
        <v>17407</v>
      </c>
      <c r="B2001" s="125" t="s">
        <v>17408</v>
      </c>
      <c r="C2001" s="126" t="s">
        <v>17409</v>
      </c>
      <c r="D2001" s="127" t="s">
        <v>17410</v>
      </c>
      <c r="E2001" s="28" t="str">
        <f>IFERROR(__xludf.DUMMYFUNCTION("GOOGLETRANSLATE(D2001,""zh-CN"",""vi"")"),"Vui lòng luôn mang theo hộ chiếu bên mình.")</f>
        <v>Vui lòng luôn mang theo hộ chiếu bên mình.</v>
      </c>
      <c r="F2001" s="137"/>
      <c r="G2001" s="36" t="b">
        <f t="shared" si="1"/>
        <v>0</v>
      </c>
      <c r="H2001" s="35" t="b">
        <v>1</v>
      </c>
      <c r="I2001" s="35" t="b">
        <v>0</v>
      </c>
      <c r="J2001" s="35" t="b">
        <v>0</v>
      </c>
      <c r="K2001" s="35" t="b">
        <v>0</v>
      </c>
      <c r="L2001" s="35" t="b">
        <v>0</v>
      </c>
      <c r="M2001" s="35" t="b">
        <v>0</v>
      </c>
      <c r="N2001" s="35" t="b">
        <v>0</v>
      </c>
      <c r="O2001" s="35" t="b">
        <v>0</v>
      </c>
      <c r="P2001" s="35" t="b">
        <v>0</v>
      </c>
      <c r="Q2001" s="35" t="b">
        <v>0</v>
      </c>
      <c r="R2001" s="14"/>
      <c r="S2001" s="14"/>
      <c r="T2001" s="14"/>
      <c r="U2001" s="14"/>
      <c r="V2001" s="14"/>
      <c r="W2001" s="14"/>
    </row>
    <row r="2002" ht="31.5" customHeight="1">
      <c r="A2002" s="124" t="s">
        <v>17411</v>
      </c>
      <c r="B2002" s="125" t="s">
        <v>17412</v>
      </c>
      <c r="C2002" s="126" t="s">
        <v>17413</v>
      </c>
      <c r="D2002" s="127" t="s">
        <v>17414</v>
      </c>
      <c r="E2002" s="28" t="str">
        <f>IFERROR(__xludf.DUMMYFUNCTION("GOOGLETRANSLATE(D2002,""zh-CN"",""vi"")"),"Ông ấy là thành viên của hiệp hội này.")</f>
        <v>Ông ấy là thành viên của hiệp hội này.</v>
      </c>
      <c r="F2002" s="137"/>
      <c r="G2002" s="36" t="b">
        <f t="shared" si="1"/>
        <v>0</v>
      </c>
      <c r="H2002" s="35" t="b">
        <v>1</v>
      </c>
      <c r="I2002" s="35" t="b">
        <v>0</v>
      </c>
      <c r="J2002" s="35" t="b">
        <v>0</v>
      </c>
      <c r="K2002" s="35" t="b">
        <v>0</v>
      </c>
      <c r="L2002" s="35" t="b">
        <v>0</v>
      </c>
      <c r="M2002" s="35" t="b">
        <v>0</v>
      </c>
      <c r="N2002" s="35" t="b">
        <v>0</v>
      </c>
      <c r="O2002" s="35" t="b">
        <v>0</v>
      </c>
      <c r="P2002" s="35" t="b">
        <v>0</v>
      </c>
      <c r="Q2002" s="35" t="b">
        <v>0</v>
      </c>
      <c r="R2002" s="14"/>
      <c r="S2002" s="14"/>
      <c r="T2002" s="14"/>
      <c r="U2002" s="14"/>
      <c r="V2002" s="14"/>
      <c r="W2002" s="14"/>
    </row>
    <row r="2003" ht="31.5" customHeight="1">
      <c r="A2003" s="124" t="s">
        <v>17415</v>
      </c>
      <c r="B2003" s="125" t="s">
        <v>17416</v>
      </c>
      <c r="C2003" s="126" t="s">
        <v>17417</v>
      </c>
      <c r="D2003" s="127" t="s">
        <v>17418</v>
      </c>
      <c r="E2003" s="28" t="str">
        <f>IFERROR(__xludf.DUMMYFUNCTION("GOOGLETRANSLATE(D2003,""zh-CN"",""vi"")"),"Chúng ta cần giải quyết vấn đề này thông qua đàm phán.")</f>
        <v>Chúng ta cần giải quyết vấn đề này thông qua đàm phán.</v>
      </c>
      <c r="F2003" s="137"/>
      <c r="G2003" s="36" t="b">
        <f t="shared" si="1"/>
        <v>0</v>
      </c>
      <c r="H2003" s="35" t="b">
        <v>1</v>
      </c>
      <c r="I2003" s="35" t="b">
        <v>0</v>
      </c>
      <c r="J2003" s="35" t="b">
        <v>0</v>
      </c>
      <c r="K2003" s="35" t="b">
        <v>0</v>
      </c>
      <c r="L2003" s="35" t="b">
        <v>0</v>
      </c>
      <c r="M2003" s="35" t="b">
        <v>0</v>
      </c>
      <c r="N2003" s="35" t="b">
        <v>0</v>
      </c>
      <c r="O2003" s="35" t="b">
        <v>0</v>
      </c>
      <c r="P2003" s="35" t="b">
        <v>0</v>
      </c>
      <c r="Q2003" s="35" t="b">
        <v>0</v>
      </c>
      <c r="R2003" s="14"/>
      <c r="S2003" s="14"/>
      <c r="T2003" s="14"/>
      <c r="U2003" s="14"/>
      <c r="V2003" s="14"/>
      <c r="W2003" s="14"/>
    </row>
    <row r="2004" ht="31.5" customHeight="1">
      <c r="A2004" s="124" t="s">
        <v>17419</v>
      </c>
      <c r="B2004" s="125" t="s">
        <v>17420</v>
      </c>
      <c r="C2004" s="126" t="s">
        <v>17421</v>
      </c>
      <c r="D2004" s="127" t="s">
        <v>15279</v>
      </c>
      <c r="E2004" s="28" t="str">
        <f>IFERROR(__xludf.DUMMYFUNCTION("GOOGLETRANSLATE(D2004,""zh-CN"",""vi"")"),"Hai bên đã ký kết một thỏa thuận.")</f>
        <v>Hai bên đã ký kết một thỏa thuận.</v>
      </c>
      <c r="F2004" s="137"/>
      <c r="G2004" s="36" t="b">
        <f t="shared" si="1"/>
        <v>0</v>
      </c>
      <c r="H2004" s="35" t="b">
        <v>1</v>
      </c>
      <c r="I2004" s="35" t="b">
        <v>0</v>
      </c>
      <c r="J2004" s="35" t="b">
        <v>0</v>
      </c>
      <c r="K2004" s="35" t="b">
        <v>0</v>
      </c>
      <c r="L2004" s="35" t="b">
        <v>0</v>
      </c>
      <c r="M2004" s="35" t="b">
        <v>0</v>
      </c>
      <c r="N2004" s="35" t="b">
        <v>0</v>
      </c>
      <c r="O2004" s="35" t="b">
        <v>0</v>
      </c>
      <c r="P2004" s="35" t="b">
        <v>0</v>
      </c>
      <c r="Q2004" s="35" t="b">
        <v>0</v>
      </c>
      <c r="R2004" s="14"/>
      <c r="S2004" s="14"/>
      <c r="T2004" s="14"/>
      <c r="U2004" s="14"/>
      <c r="V2004" s="14"/>
      <c r="W2004" s="14"/>
    </row>
    <row r="2005" ht="31.5" customHeight="1">
      <c r="A2005" s="124" t="s">
        <v>17422</v>
      </c>
      <c r="B2005" s="125" t="s">
        <v>17423</v>
      </c>
      <c r="C2005" s="126" t="s">
        <v>17424</v>
      </c>
      <c r="D2005" s="127" t="s">
        <v>17425</v>
      </c>
      <c r="E2005" s="28" t="str">
        <f>IFERROR(__xludf.DUMMYFUNCTION("GOOGLETRANSLATE(D2005,""zh-CN"",""vi"")"),"Anh ấy đã giúp chúng tôi hoàn thành nhiệm vụ.")</f>
        <v>Anh ấy đã giúp chúng tôi hoàn thành nhiệm vụ.</v>
      </c>
      <c r="F2005" s="137"/>
      <c r="G2005" s="36" t="b">
        <f t="shared" si="1"/>
        <v>0</v>
      </c>
      <c r="H2005" s="35" t="b">
        <v>1</v>
      </c>
      <c r="I2005" s="35" t="b">
        <v>0</v>
      </c>
      <c r="J2005" s="35" t="b">
        <v>0</v>
      </c>
      <c r="K2005" s="35" t="b">
        <v>0</v>
      </c>
      <c r="L2005" s="35" t="b">
        <v>0</v>
      </c>
      <c r="M2005" s="35" t="b">
        <v>0</v>
      </c>
      <c r="N2005" s="35" t="b">
        <v>0</v>
      </c>
      <c r="O2005" s="35" t="b">
        <v>0</v>
      </c>
      <c r="P2005" s="35" t="b">
        <v>0</v>
      </c>
      <c r="Q2005" s="35" t="b">
        <v>0</v>
      </c>
      <c r="R2005" s="14"/>
      <c r="S2005" s="14"/>
      <c r="T2005" s="14"/>
      <c r="U2005" s="14"/>
      <c r="V2005" s="14"/>
      <c r="W2005" s="14"/>
    </row>
    <row r="2006" ht="31.5" customHeight="1">
      <c r="A2006" s="124" t="s">
        <v>12491</v>
      </c>
      <c r="B2006" s="125" t="s">
        <v>17426</v>
      </c>
      <c r="C2006" s="126" t="s">
        <v>17427</v>
      </c>
      <c r="D2006" s="127" t="s">
        <v>17428</v>
      </c>
      <c r="E2006" s="28" t="str">
        <f>IFERROR(__xludf.DUMMYFUNCTION("GOOGLETRANSLATE(D2006,""zh-CN"",""vi"")"),"Cô ấy thích viết lách.")</f>
        <v>Cô ấy thích viết lách.</v>
      </c>
      <c r="F2006" s="137"/>
      <c r="G2006" s="36" t="b">
        <f t="shared" si="1"/>
        <v>0</v>
      </c>
      <c r="H2006" s="35" t="b">
        <v>1</v>
      </c>
      <c r="I2006" s="35" t="b">
        <v>0</v>
      </c>
      <c r="J2006" s="35" t="b">
        <v>0</v>
      </c>
      <c r="K2006" s="35" t="b">
        <v>0</v>
      </c>
      <c r="L2006" s="35" t="b">
        <v>0</v>
      </c>
      <c r="M2006" s="35" t="b">
        <v>0</v>
      </c>
      <c r="N2006" s="35" t="b">
        <v>0</v>
      </c>
      <c r="O2006" s="35" t="b">
        <v>0</v>
      </c>
      <c r="P2006" s="35" t="b">
        <v>0</v>
      </c>
      <c r="Q2006" s="35" t="b">
        <v>0</v>
      </c>
      <c r="R2006" s="14"/>
      <c r="S2006" s="14"/>
      <c r="T2006" s="14"/>
      <c r="U2006" s="14"/>
      <c r="V2006" s="14"/>
      <c r="W2006" s="14"/>
    </row>
    <row r="2007" ht="31.5" customHeight="1">
      <c r="A2007" s="124" t="s">
        <v>17429</v>
      </c>
      <c r="B2007" s="125" t="s">
        <v>17430</v>
      </c>
      <c r="C2007" s="126" t="s">
        <v>17431</v>
      </c>
      <c r="D2007" s="127" t="s">
        <v>17432</v>
      </c>
      <c r="E2007" s="28" t="str">
        <f>IFERROR(__xludf.DUMMYFUNCTION("GOOGLETRANSLATE(D2007,""zh-CN"",""vi"")"),"Đây là chuyện nhỏ nhặt, không đáng để nhắc đến.")</f>
        <v>Đây là chuyện nhỏ nhặt, không đáng để nhắc đến.</v>
      </c>
      <c r="F2007" s="137"/>
      <c r="G2007" s="36" t="b">
        <f t="shared" si="1"/>
        <v>0</v>
      </c>
      <c r="H2007" s="35" t="b">
        <v>1</v>
      </c>
      <c r="I2007" s="35" t="b">
        <v>0</v>
      </c>
      <c r="J2007" s="35" t="b">
        <v>0</v>
      </c>
      <c r="K2007" s="35" t="b">
        <v>0</v>
      </c>
      <c r="L2007" s="35" t="b">
        <v>0</v>
      </c>
      <c r="M2007" s="35" t="b">
        <v>0</v>
      </c>
      <c r="N2007" s="35" t="b">
        <v>0</v>
      </c>
      <c r="O2007" s="35" t="b">
        <v>0</v>
      </c>
      <c r="P2007" s="35" t="b">
        <v>0</v>
      </c>
      <c r="Q2007" s="35" t="b">
        <v>0</v>
      </c>
      <c r="R2007" s="14"/>
      <c r="S2007" s="14"/>
      <c r="T2007" s="14"/>
      <c r="U2007" s="14"/>
      <c r="V2007" s="14"/>
      <c r="W2007" s="14"/>
    </row>
    <row r="2008" ht="31.5" customHeight="1">
      <c r="A2008" s="124" t="s">
        <v>17433</v>
      </c>
      <c r="B2008" s="125" t="s">
        <v>17434</v>
      </c>
      <c r="C2008" s="126" t="s">
        <v>17435</v>
      </c>
      <c r="D2008" s="127" t="s">
        <v>17436</v>
      </c>
      <c r="E2008" s="28" t="str">
        <f>IFERROR(__xludf.DUMMYFUNCTION("GOOGLETRANSLATE(D2008,""zh-CN"",""vi"")"),"Vui lòng không chào bán sản phẩm.")</f>
        <v>Vui lòng không chào bán sản phẩm.</v>
      </c>
      <c r="F2008" s="137"/>
      <c r="G2008" s="36" t="b">
        <f t="shared" si="1"/>
        <v>0</v>
      </c>
      <c r="H2008" s="35" t="b">
        <v>1</v>
      </c>
      <c r="I2008" s="35" t="b">
        <v>0</v>
      </c>
      <c r="J2008" s="35" t="b">
        <v>0</v>
      </c>
      <c r="K2008" s="35" t="b">
        <v>0</v>
      </c>
      <c r="L2008" s="35" t="b">
        <v>0</v>
      </c>
      <c r="M2008" s="35" t="b">
        <v>0</v>
      </c>
      <c r="N2008" s="35" t="b">
        <v>0</v>
      </c>
      <c r="O2008" s="35" t="b">
        <v>0</v>
      </c>
      <c r="P2008" s="35" t="b">
        <v>0</v>
      </c>
      <c r="Q2008" s="35" t="b">
        <v>0</v>
      </c>
      <c r="R2008" s="14"/>
      <c r="S2008" s="14"/>
      <c r="T2008" s="14"/>
      <c r="U2008" s="14"/>
      <c r="V2008" s="14"/>
      <c r="W2008" s="14"/>
    </row>
    <row r="2009" ht="31.5" customHeight="1">
      <c r="A2009" s="124" t="s">
        <v>17437</v>
      </c>
      <c r="B2009" s="125" t="s">
        <v>17438</v>
      </c>
      <c r="C2009" s="126" t="s">
        <v>17439</v>
      </c>
      <c r="D2009" s="127" t="s">
        <v>17440</v>
      </c>
      <c r="E2009" s="28" t="str">
        <f>IFERROR(__xludf.DUMMYFUNCTION("GOOGLETRANSLATE(D2009,""zh-CN"",""vi"")"),"Xin đừng tiết lộ bí mật.")</f>
        <v>Xin đừng tiết lộ bí mật.</v>
      </c>
      <c r="F2009" s="137"/>
      <c r="G2009" s="36" t="b">
        <f t="shared" si="1"/>
        <v>0</v>
      </c>
      <c r="H2009" s="35" t="b">
        <v>1</v>
      </c>
      <c r="I2009" s="35" t="b">
        <v>0</v>
      </c>
      <c r="J2009" s="35" t="b">
        <v>0</v>
      </c>
      <c r="K2009" s="35" t="b">
        <v>0</v>
      </c>
      <c r="L2009" s="35" t="b">
        <v>0</v>
      </c>
      <c r="M2009" s="35" t="b">
        <v>0</v>
      </c>
      <c r="N2009" s="35" t="b">
        <v>0</v>
      </c>
      <c r="O2009" s="35" t="b">
        <v>0</v>
      </c>
      <c r="P2009" s="35" t="b">
        <v>0</v>
      </c>
      <c r="Q2009" s="35" t="b">
        <v>0</v>
      </c>
      <c r="R2009" s="14"/>
      <c r="S2009" s="14"/>
      <c r="T2009" s="14"/>
      <c r="U2009" s="14"/>
      <c r="V2009" s="14"/>
      <c r="W2009" s="14"/>
    </row>
    <row r="2010" ht="31.5" customHeight="1">
      <c r="A2010" s="124" t="s">
        <v>17441</v>
      </c>
      <c r="B2010" s="125" t="s">
        <v>17442</v>
      </c>
      <c r="C2010" s="126" t="s">
        <v>17443</v>
      </c>
      <c r="D2010" s="127" t="s">
        <v>17444</v>
      </c>
      <c r="E2010" s="28" t="str">
        <f>IFERROR(__xludf.DUMMYFUNCTION("GOOGLETRANSLATE(D2010,""zh-CN"",""vi"")"),"Anh ấy không hề nản lòng khi gặp khó khăn.")</f>
        <v>Anh ấy không hề nản lòng khi gặp khó khăn.</v>
      </c>
      <c r="F2010" s="137"/>
      <c r="G2010" s="36" t="b">
        <f t="shared" si="1"/>
        <v>0</v>
      </c>
      <c r="H2010" s="35" t="b">
        <v>1</v>
      </c>
      <c r="I2010" s="35" t="b">
        <v>0</v>
      </c>
      <c r="J2010" s="35" t="b">
        <v>0</v>
      </c>
      <c r="K2010" s="35" t="b">
        <v>0</v>
      </c>
      <c r="L2010" s="35" t="b">
        <v>0</v>
      </c>
      <c r="M2010" s="35" t="b">
        <v>0</v>
      </c>
      <c r="N2010" s="35" t="b">
        <v>0</v>
      </c>
      <c r="O2010" s="35" t="b">
        <v>0</v>
      </c>
      <c r="P2010" s="35" t="b">
        <v>0</v>
      </c>
      <c r="Q2010" s="35" t="b">
        <v>0</v>
      </c>
      <c r="R2010" s="14"/>
      <c r="S2010" s="14"/>
      <c r="T2010" s="14"/>
      <c r="U2010" s="14"/>
      <c r="V2010" s="14"/>
      <c r="W2010" s="14"/>
    </row>
    <row r="2011" ht="31.5" customHeight="1">
      <c r="A2011" s="124" t="s">
        <v>17445</v>
      </c>
      <c r="B2011" s="125" t="s">
        <v>17446</v>
      </c>
      <c r="C2011" s="126" t="s">
        <v>17447</v>
      </c>
      <c r="D2011" s="127" t="s">
        <v>17448</v>
      </c>
      <c r="E2011" s="28" t="str">
        <f>IFERROR(__xludf.DUMMYFUNCTION("GOOGLETRANSLATE(D2011,""zh-CN"",""vi"")"),"Quá trình trao đổi chất rất quan trọng đối với sức khỏe.")</f>
        <v>Quá trình trao đổi chất rất quan trọng đối với sức khỏe.</v>
      </c>
      <c r="F2011" s="137"/>
      <c r="G2011" s="36" t="b">
        <f t="shared" si="1"/>
        <v>0</v>
      </c>
      <c r="H2011" s="35" t="b">
        <v>1</v>
      </c>
      <c r="I2011" s="35" t="b">
        <v>0</v>
      </c>
      <c r="J2011" s="35" t="b">
        <v>0</v>
      </c>
      <c r="K2011" s="35" t="b">
        <v>0</v>
      </c>
      <c r="L2011" s="35" t="b">
        <v>0</v>
      </c>
      <c r="M2011" s="35" t="b">
        <v>0</v>
      </c>
      <c r="N2011" s="35" t="b">
        <v>0</v>
      </c>
      <c r="O2011" s="35" t="b">
        <v>0</v>
      </c>
      <c r="P2011" s="35" t="b">
        <v>0</v>
      </c>
      <c r="Q2011" s="35" t="b">
        <v>0</v>
      </c>
      <c r="R2011" s="14"/>
      <c r="S2011" s="14"/>
      <c r="T2011" s="14"/>
      <c r="U2011" s="14"/>
      <c r="V2011" s="14"/>
      <c r="W2011" s="14"/>
    </row>
    <row r="2012" ht="31.5" customHeight="1">
      <c r="A2012" s="124" t="s">
        <v>17449</v>
      </c>
      <c r="B2012" s="125" t="s">
        <v>17450</v>
      </c>
      <c r="C2012" s="126" t="s">
        <v>17451</v>
      </c>
      <c r="D2012" s="127" t="s">
        <v>17452</v>
      </c>
      <c r="E2012" s="28" t="str">
        <f>IFERROR(__xludf.DUMMYFUNCTION("GOOGLETRANSLATE(D2012,""zh-CN"",""vi"")"),"Tôi đã viết một bài báo về kinh nghiệm giảng dạy của mình.")</f>
        <v>Tôi đã viết một bài báo về kinh nghiệm giảng dạy của mình.</v>
      </c>
      <c r="F2012" s="137"/>
      <c r="G2012" s="36" t="b">
        <f t="shared" si="1"/>
        <v>0</v>
      </c>
      <c r="H2012" s="35" t="b">
        <v>1</v>
      </c>
      <c r="I2012" s="35" t="b">
        <v>0</v>
      </c>
      <c r="J2012" s="35" t="b">
        <v>0</v>
      </c>
      <c r="K2012" s="35" t="b">
        <v>0</v>
      </c>
      <c r="L2012" s="35" t="b">
        <v>0</v>
      </c>
      <c r="M2012" s="35" t="b">
        <v>0</v>
      </c>
      <c r="N2012" s="35" t="b">
        <v>0</v>
      </c>
      <c r="O2012" s="35" t="b">
        <v>0</v>
      </c>
      <c r="P2012" s="35" t="b">
        <v>0</v>
      </c>
      <c r="Q2012" s="35" t="b">
        <v>0</v>
      </c>
      <c r="R2012" s="14"/>
      <c r="S2012" s="14"/>
      <c r="T2012" s="14"/>
      <c r="U2012" s="14"/>
      <c r="V2012" s="14"/>
      <c r="W2012" s="14"/>
    </row>
    <row r="2013" ht="31.5" customHeight="1">
      <c r="A2013" s="124" t="s">
        <v>17453</v>
      </c>
      <c r="B2013" s="125" t="s">
        <v>17454</v>
      </c>
      <c r="C2013" s="126" t="s">
        <v>17455</v>
      </c>
      <c r="D2013" s="127" t="s">
        <v>17456</v>
      </c>
      <c r="E2013" s="28" t="str">
        <f>IFERROR(__xludf.DUMMYFUNCTION("GOOGLETRANSLATE(D2013,""zh-CN"",""vi"")"),"Cô dâu và chú rể đứng cạnh nhau.")</f>
        <v>Cô dâu và chú rể đứng cạnh nhau.</v>
      </c>
      <c r="F2013" s="137"/>
      <c r="G2013" s="36" t="b">
        <f t="shared" si="1"/>
        <v>0</v>
      </c>
      <c r="H2013" s="35" t="b">
        <v>1</v>
      </c>
      <c r="I2013" s="35" t="b">
        <v>0</v>
      </c>
      <c r="J2013" s="35" t="b">
        <v>0</v>
      </c>
      <c r="K2013" s="35" t="b">
        <v>0</v>
      </c>
      <c r="L2013" s="35" t="b">
        <v>0</v>
      </c>
      <c r="M2013" s="35" t="b">
        <v>0</v>
      </c>
      <c r="N2013" s="35" t="b">
        <v>0</v>
      </c>
      <c r="O2013" s="35" t="b">
        <v>0</v>
      </c>
      <c r="P2013" s="35" t="b">
        <v>0</v>
      </c>
      <c r="Q2013" s="35" t="b">
        <v>0</v>
      </c>
      <c r="R2013" s="14"/>
      <c r="S2013" s="14"/>
      <c r="T2013" s="14"/>
      <c r="U2013" s="14"/>
      <c r="V2013" s="14"/>
      <c r="W2013" s="14"/>
    </row>
    <row r="2014" ht="31.5" customHeight="1">
      <c r="A2014" s="124" t="s">
        <v>17457</v>
      </c>
      <c r="B2014" s="125" t="s">
        <v>17458</v>
      </c>
      <c r="C2014" s="126" t="s">
        <v>17459</v>
      </c>
      <c r="D2014" s="127" t="s">
        <v>17460</v>
      </c>
      <c r="E2014" s="28" t="str">
        <f>IFERROR(__xludf.DUMMYFUNCTION("GOOGLETRANSLATE(D2014,""zh-CN"",""vi"")"),"Tâm hồn anh ấy rất trong sáng.")</f>
        <v>Tâm hồn anh ấy rất trong sáng.</v>
      </c>
      <c r="F2014" s="137"/>
      <c r="G2014" s="36" t="b">
        <f t="shared" si="1"/>
        <v>0</v>
      </c>
      <c r="H2014" s="35" t="b">
        <v>1</v>
      </c>
      <c r="I2014" s="35" t="b">
        <v>0</v>
      </c>
      <c r="J2014" s="35" t="b">
        <v>0</v>
      </c>
      <c r="K2014" s="35" t="b">
        <v>0</v>
      </c>
      <c r="L2014" s="35" t="b">
        <v>0</v>
      </c>
      <c r="M2014" s="35" t="b">
        <v>0</v>
      </c>
      <c r="N2014" s="35" t="b">
        <v>0</v>
      </c>
      <c r="O2014" s="35" t="b">
        <v>0</v>
      </c>
      <c r="P2014" s="35" t="b">
        <v>0</v>
      </c>
      <c r="Q2014" s="35" t="b">
        <v>0</v>
      </c>
      <c r="R2014" s="14"/>
      <c r="S2014" s="14"/>
      <c r="T2014" s="14"/>
      <c r="U2014" s="14"/>
      <c r="V2014" s="14"/>
      <c r="W2014" s="14"/>
    </row>
    <row r="2015" ht="31.5" customHeight="1">
      <c r="A2015" s="124" t="s">
        <v>17461</v>
      </c>
      <c r="B2015" s="125" t="s">
        <v>17462</v>
      </c>
      <c r="C2015" s="126" t="s">
        <v>17463</v>
      </c>
      <c r="D2015" s="127" t="s">
        <v>17464</v>
      </c>
      <c r="E2015" s="28" t="str">
        <f>IFERROR(__xludf.DUMMYFUNCTION("GOOGLETRANSLATE(D2015,""zh-CN"",""vi"")"),"Cô dâu mặc một chiếc váy cưới tuyệt đẹp.")</f>
        <v>Cô dâu mặc một chiếc váy cưới tuyệt đẹp.</v>
      </c>
      <c r="F2015" s="137"/>
      <c r="G2015" s="36" t="b">
        <f t="shared" si="1"/>
        <v>0</v>
      </c>
      <c r="H2015" s="35" t="b">
        <v>1</v>
      </c>
      <c r="I2015" s="35" t="b">
        <v>0</v>
      </c>
      <c r="J2015" s="35" t="b">
        <v>0</v>
      </c>
      <c r="K2015" s="35" t="b">
        <v>0</v>
      </c>
      <c r="L2015" s="35" t="b">
        <v>0</v>
      </c>
      <c r="M2015" s="35" t="b">
        <v>0</v>
      </c>
      <c r="N2015" s="35" t="b">
        <v>0</v>
      </c>
      <c r="O2015" s="35" t="b">
        <v>0</v>
      </c>
      <c r="P2015" s="35" t="b">
        <v>0</v>
      </c>
      <c r="Q2015" s="35" t="b">
        <v>0</v>
      </c>
      <c r="R2015" s="14"/>
      <c r="S2015" s="14"/>
      <c r="T2015" s="14"/>
      <c r="U2015" s="14"/>
      <c r="V2015" s="14"/>
      <c r="W2015" s="14"/>
    </row>
    <row r="2016" ht="31.5" customHeight="1">
      <c r="A2016" s="124" t="s">
        <v>17465</v>
      </c>
      <c r="B2016" s="125" t="s">
        <v>17466</v>
      </c>
      <c r="C2016" s="126" t="s">
        <v>17467</v>
      </c>
      <c r="D2016" s="127" t="s">
        <v>17468</v>
      </c>
      <c r="E2016" s="28" t="str">
        <f>IFERROR(__xludf.DUMMYFUNCTION("GOOGLETRANSLATE(D2016,""zh-CN"",""vi"")"),"Lao động chăm chỉ sẽ mang lại mùa màng bội thu.")</f>
        <v>Lao động chăm chỉ sẽ mang lại mùa màng bội thu.</v>
      </c>
      <c r="F2016" s="137"/>
      <c r="G2016" s="36" t="b">
        <f t="shared" si="1"/>
        <v>0</v>
      </c>
      <c r="H2016" s="35" t="b">
        <v>1</v>
      </c>
      <c r="I2016" s="35" t="b">
        <v>0</v>
      </c>
      <c r="J2016" s="35" t="b">
        <v>0</v>
      </c>
      <c r="K2016" s="35" t="b">
        <v>0</v>
      </c>
      <c r="L2016" s="35" t="b">
        <v>0</v>
      </c>
      <c r="M2016" s="35" t="b">
        <v>0</v>
      </c>
      <c r="N2016" s="35" t="b">
        <v>0</v>
      </c>
      <c r="O2016" s="35" t="b">
        <v>0</v>
      </c>
      <c r="P2016" s="35" t="b">
        <v>0</v>
      </c>
      <c r="Q2016" s="35" t="b">
        <v>0</v>
      </c>
      <c r="R2016" s="14"/>
      <c r="S2016" s="14"/>
      <c r="T2016" s="14"/>
      <c r="U2016" s="14"/>
      <c r="V2016" s="14"/>
      <c r="W2016" s="14"/>
    </row>
    <row r="2017" ht="31.5" customHeight="1">
      <c r="A2017" s="124" t="s">
        <v>17469</v>
      </c>
      <c r="B2017" s="125" t="s">
        <v>17470</v>
      </c>
      <c r="C2017" s="126" t="s">
        <v>17471</v>
      </c>
      <c r="D2017" s="127" t="s">
        <v>17472</v>
      </c>
      <c r="E2017" s="28" t="str">
        <f>IFERROR(__xludf.DUMMYFUNCTION("GOOGLETRANSLATE(D2017,""zh-CN"",""vi"")"),"Công ty trả lương hàng tháng.")</f>
        <v>Công ty trả lương hàng tháng.</v>
      </c>
      <c r="F2017" s="137"/>
      <c r="G2017" s="36" t="b">
        <f t="shared" si="1"/>
        <v>0</v>
      </c>
      <c r="H2017" s="35" t="b">
        <v>1</v>
      </c>
      <c r="I2017" s="35" t="b">
        <v>0</v>
      </c>
      <c r="J2017" s="35" t="b">
        <v>0</v>
      </c>
      <c r="K2017" s="35" t="b">
        <v>0</v>
      </c>
      <c r="L2017" s="35" t="b">
        <v>0</v>
      </c>
      <c r="M2017" s="35" t="b">
        <v>0</v>
      </c>
      <c r="N2017" s="35" t="b">
        <v>0</v>
      </c>
      <c r="O2017" s="35" t="b">
        <v>0</v>
      </c>
      <c r="P2017" s="35" t="b">
        <v>0</v>
      </c>
      <c r="Q2017" s="35" t="b">
        <v>0</v>
      </c>
      <c r="R2017" s="14"/>
      <c r="S2017" s="14"/>
      <c r="T2017" s="14"/>
      <c r="U2017" s="14"/>
      <c r="V2017" s="14"/>
      <c r="W2017" s="14"/>
    </row>
    <row r="2018" ht="31.5" customHeight="1">
      <c r="A2018" s="124" t="s">
        <v>17473</v>
      </c>
      <c r="B2018" s="125" t="s">
        <v>17474</v>
      </c>
      <c r="C2018" s="126" t="s">
        <v>17475</v>
      </c>
      <c r="D2018" s="127" t="s">
        <v>17476</v>
      </c>
      <c r="E2018" s="28" t="str">
        <f>IFERROR(__xludf.DUMMYFUNCTION("GOOGLETRANSLATE(D2018,""zh-CN"",""vi"")"),"Duy trì thái độ tích cực là điều quan trọng.")</f>
        <v>Duy trì thái độ tích cực là điều quan trọng.</v>
      </c>
      <c r="F2018" s="137"/>
      <c r="G2018" s="36" t="b">
        <f t="shared" si="1"/>
        <v>0</v>
      </c>
      <c r="H2018" s="35" t="b">
        <v>1</v>
      </c>
      <c r="I2018" s="35" t="b">
        <v>0</v>
      </c>
      <c r="J2018" s="35" t="b">
        <v>0</v>
      </c>
      <c r="K2018" s="35" t="b">
        <v>0</v>
      </c>
      <c r="L2018" s="35" t="b">
        <v>0</v>
      </c>
      <c r="M2018" s="35" t="b">
        <v>0</v>
      </c>
      <c r="N2018" s="35" t="b">
        <v>0</v>
      </c>
      <c r="O2018" s="35" t="b">
        <v>0</v>
      </c>
      <c r="P2018" s="35" t="b">
        <v>0</v>
      </c>
      <c r="Q2018" s="35" t="b">
        <v>0</v>
      </c>
      <c r="R2018" s="14"/>
      <c r="S2018" s="14"/>
      <c r="T2018" s="14"/>
      <c r="U2018" s="14"/>
      <c r="V2018" s="14"/>
      <c r="W2018" s="14"/>
    </row>
    <row r="2019" ht="31.5" customHeight="1">
      <c r="A2019" s="124" t="s">
        <v>17477</v>
      </c>
      <c r="B2019" s="125" t="s">
        <v>17478</v>
      </c>
      <c r="C2019" s="126" t="s">
        <v>17479</v>
      </c>
      <c r="D2019" s="127" t="s">
        <v>17480</v>
      </c>
      <c r="E2019" s="28" t="str">
        <f>IFERROR(__xludf.DUMMYFUNCTION("GOOGLETRANSLATE(D2019,""zh-CN"",""vi"")"),"Anh ấy rất đau lòng khi thấy đứa trẻ bị thương.")</f>
        <v>Anh ấy rất đau lòng khi thấy đứa trẻ bị thương.</v>
      </c>
      <c r="F2019" s="137"/>
      <c r="G2019" s="36" t="b">
        <f t="shared" si="1"/>
        <v>0</v>
      </c>
      <c r="H2019" s="35" t="b">
        <v>1</v>
      </c>
      <c r="I2019" s="35" t="b">
        <v>0</v>
      </c>
      <c r="J2019" s="35" t="b">
        <v>0</v>
      </c>
      <c r="K2019" s="35" t="b">
        <v>0</v>
      </c>
      <c r="L2019" s="35" t="b">
        <v>0</v>
      </c>
      <c r="M2019" s="35" t="b">
        <v>0</v>
      </c>
      <c r="N2019" s="35" t="b">
        <v>0</v>
      </c>
      <c r="O2019" s="35" t="b">
        <v>0</v>
      </c>
      <c r="P2019" s="35" t="b">
        <v>0</v>
      </c>
      <c r="Q2019" s="35" t="b">
        <v>0</v>
      </c>
      <c r="R2019" s="14"/>
      <c r="S2019" s="14"/>
      <c r="T2019" s="14"/>
      <c r="U2019" s="14"/>
      <c r="V2019" s="14"/>
      <c r="W2019" s="14"/>
    </row>
    <row r="2020" ht="31.5" customHeight="1">
      <c r="A2020" s="124" t="s">
        <v>17481</v>
      </c>
      <c r="B2020" s="125" t="s">
        <v>17482</v>
      </c>
      <c r="C2020" s="126" t="s">
        <v>17483</v>
      </c>
      <c r="D2020" s="127" t="s">
        <v>17484</v>
      </c>
      <c r="E2020" s="28" t="str">
        <f>IFERROR(__xludf.DUMMYFUNCTION("GOOGLETRANSLATE(D2020,""zh-CN"",""vi"")"),"Ông ấy hài lòng với kết quả.")</f>
        <v>Ông ấy hài lòng với kết quả.</v>
      </c>
      <c r="F2020" s="137"/>
      <c r="G2020" s="36" t="b">
        <f t="shared" si="1"/>
        <v>0</v>
      </c>
      <c r="H2020" s="35" t="b">
        <v>1</v>
      </c>
      <c r="I2020" s="35" t="b">
        <v>0</v>
      </c>
      <c r="J2020" s="35" t="b">
        <v>0</v>
      </c>
      <c r="K2020" s="35" t="b">
        <v>0</v>
      </c>
      <c r="L2020" s="35" t="b">
        <v>0</v>
      </c>
      <c r="M2020" s="35" t="b">
        <v>0</v>
      </c>
      <c r="N2020" s="35" t="b">
        <v>0</v>
      </c>
      <c r="O2020" s="35" t="b">
        <v>0</v>
      </c>
      <c r="P2020" s="35" t="b">
        <v>0</v>
      </c>
      <c r="Q2020" s="35" t="b">
        <v>0</v>
      </c>
      <c r="R2020" s="14"/>
      <c r="S2020" s="14"/>
      <c r="T2020" s="14"/>
      <c r="U2020" s="14"/>
      <c r="V2020" s="14"/>
      <c r="W2020" s="14"/>
    </row>
    <row r="2021" ht="31.5" customHeight="1">
      <c r="A2021" s="124" t="s">
        <v>17485</v>
      </c>
      <c r="B2021" s="125" t="s">
        <v>17486</v>
      </c>
      <c r="C2021" s="126" t="s">
        <v>17487</v>
      </c>
      <c r="D2021" s="127" t="s">
        <v>17488</v>
      </c>
      <c r="E2021" s="28" t="str">
        <f>IFERROR(__xludf.DUMMYFUNCTION("GOOGLETRANSLATE(D2021,""zh-CN"",""vi"")"),"Nền kinh tế xã hội đang phát triển mạnh mẽ.")</f>
        <v>Nền kinh tế xã hội đang phát triển mạnh mẽ.</v>
      </c>
      <c r="F2021" s="137"/>
      <c r="G2021" s="36" t="b">
        <f t="shared" si="1"/>
        <v>0</v>
      </c>
      <c r="H2021" s="35" t="b">
        <v>1</v>
      </c>
      <c r="I2021" s="35" t="b">
        <v>0</v>
      </c>
      <c r="J2021" s="35" t="b">
        <v>0</v>
      </c>
      <c r="K2021" s="35" t="b">
        <v>0</v>
      </c>
      <c r="L2021" s="35" t="b">
        <v>0</v>
      </c>
      <c r="M2021" s="35" t="b">
        <v>0</v>
      </c>
      <c r="N2021" s="35" t="b">
        <v>0</v>
      </c>
      <c r="O2021" s="35" t="b">
        <v>0</v>
      </c>
      <c r="P2021" s="35" t="b">
        <v>0</v>
      </c>
      <c r="Q2021" s="35" t="b">
        <v>0</v>
      </c>
      <c r="R2021" s="14"/>
      <c r="S2021" s="14"/>
      <c r="T2021" s="14"/>
      <c r="U2021" s="14"/>
      <c r="V2021" s="14"/>
      <c r="W2021" s="14"/>
    </row>
    <row r="2022" ht="31.5" customHeight="1">
      <c r="A2022" s="124" t="s">
        <v>17489</v>
      </c>
      <c r="B2022" s="125" t="s">
        <v>17490</v>
      </c>
      <c r="C2022" s="126" t="s">
        <v>17491</v>
      </c>
      <c r="D2022" s="127" t="s">
        <v>17492</v>
      </c>
      <c r="E2022" s="28" t="str">
        <f>IFERROR(__xludf.DUMMYFUNCTION("GOOGLETRANSLATE(D2022,""zh-CN"",""vi"")"),"Anh ấy đã bỏ rất nhiều công sức vào dự án này.")</f>
        <v>Anh ấy đã bỏ rất nhiều công sức vào dự án này.</v>
      </c>
      <c r="F2022" s="137"/>
      <c r="G2022" s="36" t="b">
        <f t="shared" si="1"/>
        <v>0</v>
      </c>
      <c r="H2022" s="35" t="b">
        <v>1</v>
      </c>
      <c r="I2022" s="35" t="b">
        <v>0</v>
      </c>
      <c r="J2022" s="35" t="b">
        <v>0</v>
      </c>
      <c r="K2022" s="35" t="b">
        <v>0</v>
      </c>
      <c r="L2022" s="35" t="b">
        <v>0</v>
      </c>
      <c r="M2022" s="35" t="b">
        <v>0</v>
      </c>
      <c r="N2022" s="35" t="b">
        <v>0</v>
      </c>
      <c r="O2022" s="35" t="b">
        <v>0</v>
      </c>
      <c r="P2022" s="35" t="b">
        <v>0</v>
      </c>
      <c r="Q2022" s="35" t="b">
        <v>0</v>
      </c>
      <c r="R2022" s="14"/>
      <c r="S2022" s="14"/>
      <c r="T2022" s="14"/>
      <c r="U2022" s="14"/>
      <c r="V2022" s="14"/>
      <c r="W2022" s="14"/>
    </row>
    <row r="2023" ht="31.5" customHeight="1">
      <c r="A2023" s="124" t="s">
        <v>17493</v>
      </c>
      <c r="B2023" s="125" t="s">
        <v>17494</v>
      </c>
      <c r="C2023" s="126" t="s">
        <v>17495</v>
      </c>
      <c r="D2023" s="127" t="s">
        <v>17496</v>
      </c>
      <c r="E2023" s="28" t="str">
        <f>IFERROR(__xludf.DUMMYFUNCTION("GOOGLETRANSLATE(D2023,""zh-CN"",""vi"")"),"Anh ấy có một trái tim nhân hậu và luôn giúp đỡ người khác.")</f>
        <v>Anh ấy có một trái tim nhân hậu và luôn giúp đỡ người khác.</v>
      </c>
      <c r="F2023" s="137"/>
      <c r="G2023" s="36" t="b">
        <f t="shared" si="1"/>
        <v>0</v>
      </c>
      <c r="H2023" s="35" t="b">
        <v>1</v>
      </c>
      <c r="I2023" s="35" t="b">
        <v>0</v>
      </c>
      <c r="J2023" s="35" t="b">
        <v>0</v>
      </c>
      <c r="K2023" s="35" t="b">
        <v>0</v>
      </c>
      <c r="L2023" s="35" t="b">
        <v>0</v>
      </c>
      <c r="M2023" s="35" t="b">
        <v>0</v>
      </c>
      <c r="N2023" s="35" t="b">
        <v>0</v>
      </c>
      <c r="O2023" s="35" t="b">
        <v>0</v>
      </c>
      <c r="P2023" s="35" t="b">
        <v>0</v>
      </c>
      <c r="Q2023" s="35" t="b">
        <v>0</v>
      </c>
      <c r="R2023" s="14"/>
      <c r="S2023" s="14"/>
      <c r="T2023" s="14"/>
      <c r="U2023" s="14"/>
      <c r="V2023" s="14"/>
      <c r="W2023" s="14"/>
    </row>
    <row r="2024" ht="31.5" customHeight="1">
      <c r="A2024" s="124" t="s">
        <v>17497</v>
      </c>
      <c r="B2024" s="125" t="s">
        <v>17498</v>
      </c>
      <c r="C2024" s="126" t="s">
        <v>17499</v>
      </c>
      <c r="D2024" s="127" t="s">
        <v>17500</v>
      </c>
      <c r="E2024" s="28" t="str">
        <f>IFERROR(__xludf.DUMMYFUNCTION("GOOGLETRANSLATE(D2024,""zh-CN"",""vi"")"),"Thiết kế này rất sáng tạo.")</f>
        <v>Thiết kế này rất sáng tạo.</v>
      </c>
      <c r="F2024" s="137"/>
      <c r="G2024" s="36" t="b">
        <f t="shared" si="1"/>
        <v>0</v>
      </c>
      <c r="H2024" s="35" t="b">
        <v>1</v>
      </c>
      <c r="I2024" s="35" t="b">
        <v>0</v>
      </c>
      <c r="J2024" s="35" t="b">
        <v>0</v>
      </c>
      <c r="K2024" s="35" t="b">
        <v>0</v>
      </c>
      <c r="L2024" s="35" t="b">
        <v>0</v>
      </c>
      <c r="M2024" s="35" t="b">
        <v>0</v>
      </c>
      <c r="N2024" s="35" t="b">
        <v>0</v>
      </c>
      <c r="O2024" s="35" t="b">
        <v>0</v>
      </c>
      <c r="P2024" s="35" t="b">
        <v>0</v>
      </c>
      <c r="Q2024" s="35" t="b">
        <v>0</v>
      </c>
      <c r="R2024" s="14"/>
      <c r="S2024" s="14"/>
      <c r="T2024" s="14"/>
      <c r="U2024" s="14"/>
      <c r="V2024" s="14"/>
      <c r="W2024" s="14"/>
    </row>
    <row r="2025" ht="31.5" customHeight="1">
      <c r="A2025" s="124" t="s">
        <v>17501</v>
      </c>
      <c r="B2025" s="125" t="s">
        <v>17502</v>
      </c>
      <c r="C2025" s="126" t="s">
        <v>17503</v>
      </c>
      <c r="D2025" s="127" t="s">
        <v>17504</v>
      </c>
      <c r="E2025" s="28" t="str">
        <f>IFERROR(__xludf.DUMMYFUNCTION("GOOGLETRANSLATE(D2025,""zh-CN"",""vi"")"),"Tôi rất tin tưởng vào khả năng của anh ấy.")</f>
        <v>Tôi rất tin tưởng vào khả năng của anh ấy.</v>
      </c>
      <c r="F2025" s="137"/>
      <c r="G2025" s="36" t="b">
        <f t="shared" si="1"/>
        <v>0</v>
      </c>
      <c r="H2025" s="35" t="b">
        <v>1</v>
      </c>
      <c r="I2025" s="35" t="b">
        <v>0</v>
      </c>
      <c r="J2025" s="35" t="b">
        <v>0</v>
      </c>
      <c r="K2025" s="35" t="b">
        <v>0</v>
      </c>
      <c r="L2025" s="35" t="b">
        <v>0</v>
      </c>
      <c r="M2025" s="35" t="b">
        <v>0</v>
      </c>
      <c r="N2025" s="35" t="b">
        <v>0</v>
      </c>
      <c r="O2025" s="35" t="b">
        <v>0</v>
      </c>
      <c r="P2025" s="35" t="b">
        <v>0</v>
      </c>
      <c r="Q2025" s="35" t="b">
        <v>0</v>
      </c>
      <c r="R2025" s="14"/>
      <c r="S2025" s="14"/>
      <c r="T2025" s="14"/>
      <c r="U2025" s="14"/>
      <c r="V2025" s="14"/>
      <c r="W2025" s="14"/>
    </row>
    <row r="2026" ht="31.5" customHeight="1">
      <c r="A2026" s="124" t="s">
        <v>17505</v>
      </c>
      <c r="B2026" s="125" t="s">
        <v>17506</v>
      </c>
      <c r="C2026" s="126" t="s">
        <v>17507</v>
      </c>
      <c r="D2026" s="127" t="s">
        <v>17508</v>
      </c>
      <c r="E2026" s="28" t="str">
        <f>IFERROR(__xludf.DUMMYFUNCTION("GOOGLETRANSLATE(D2026,""zh-CN"",""vi"")"),"Niềm tin là trụ cột của cuộc sống.")</f>
        <v>Niềm tin là trụ cột của cuộc sống.</v>
      </c>
      <c r="F2026" s="137"/>
      <c r="G2026" s="36" t="b">
        <f t="shared" si="1"/>
        <v>0</v>
      </c>
      <c r="H2026" s="35" t="b">
        <v>1</v>
      </c>
      <c r="I2026" s="35" t="b">
        <v>0</v>
      </c>
      <c r="J2026" s="35" t="b">
        <v>0</v>
      </c>
      <c r="K2026" s="35" t="b">
        <v>0</v>
      </c>
      <c r="L2026" s="35" t="b">
        <v>0</v>
      </c>
      <c r="M2026" s="35" t="b">
        <v>0</v>
      </c>
      <c r="N2026" s="35" t="b">
        <v>0</v>
      </c>
      <c r="O2026" s="35" t="b">
        <v>0</v>
      </c>
      <c r="P2026" s="35" t="b">
        <v>0</v>
      </c>
      <c r="Q2026" s="35" t="b">
        <v>0</v>
      </c>
      <c r="R2026" s="14"/>
      <c r="S2026" s="14"/>
      <c r="T2026" s="14"/>
      <c r="U2026" s="14"/>
      <c r="V2026" s="14"/>
      <c r="W2026" s="14"/>
    </row>
    <row r="2027" ht="31.5" customHeight="1">
      <c r="A2027" s="124" t="s">
        <v>17509</v>
      </c>
      <c r="B2027" s="125" t="s">
        <v>17510</v>
      </c>
      <c r="C2027" s="126" t="s">
        <v>17511</v>
      </c>
      <c r="D2027" s="127" t="s">
        <v>17512</v>
      </c>
      <c r="E2027" s="28" t="str">
        <f>IFERROR(__xludf.DUMMYFUNCTION("GOOGLETRANSLATE(D2027,""zh-CN"",""vi"")"),"Anh ấy là một người theo đạo Cơ đốc.")</f>
        <v>Anh ấy là một người theo đạo Cơ đốc.</v>
      </c>
      <c r="F2027" s="137"/>
      <c r="G2027" s="36" t="b">
        <f t="shared" si="1"/>
        <v>0</v>
      </c>
      <c r="H2027" s="35" t="b">
        <v>1</v>
      </c>
      <c r="I2027" s="35" t="b">
        <v>0</v>
      </c>
      <c r="J2027" s="35" t="b">
        <v>0</v>
      </c>
      <c r="K2027" s="35" t="b">
        <v>0</v>
      </c>
      <c r="L2027" s="35" t="b">
        <v>0</v>
      </c>
      <c r="M2027" s="35" t="b">
        <v>0</v>
      </c>
      <c r="N2027" s="35" t="b">
        <v>0</v>
      </c>
      <c r="O2027" s="35" t="b">
        <v>0</v>
      </c>
      <c r="P2027" s="35" t="b">
        <v>0</v>
      </c>
      <c r="Q2027" s="35" t="b">
        <v>0</v>
      </c>
      <c r="R2027" s="14"/>
      <c r="S2027" s="14"/>
      <c r="T2027" s="14"/>
      <c r="U2027" s="14"/>
      <c r="V2027" s="14"/>
      <c r="W2027" s="14"/>
    </row>
    <row r="2028" ht="31.5" customHeight="1">
      <c r="A2028" s="124" t="s">
        <v>17513</v>
      </c>
      <c r="B2028" s="125" t="s">
        <v>17514</v>
      </c>
      <c r="C2028" s="126" t="s">
        <v>16934</v>
      </c>
      <c r="D2028" s="127" t="s">
        <v>17515</v>
      </c>
      <c r="E2028" s="28" t="str">
        <f>IFERROR(__xludf.DUMMYFUNCTION("GOOGLETRANSLATE(D2028,""zh-CN"",""vi"")"),"Thương hiệu này có uy tín rất tốt.")</f>
        <v>Thương hiệu này có uy tín rất tốt.</v>
      </c>
      <c r="F2028" s="137"/>
      <c r="G2028" s="36" t="b">
        <f t="shared" si="1"/>
        <v>0</v>
      </c>
      <c r="H2028" s="35" t="b">
        <v>1</v>
      </c>
      <c r="I2028" s="35" t="b">
        <v>0</v>
      </c>
      <c r="J2028" s="35" t="b">
        <v>0</v>
      </c>
      <c r="K2028" s="35" t="b">
        <v>0</v>
      </c>
      <c r="L2028" s="35" t="b">
        <v>0</v>
      </c>
      <c r="M2028" s="35" t="b">
        <v>0</v>
      </c>
      <c r="N2028" s="35" t="b">
        <v>0</v>
      </c>
      <c r="O2028" s="35" t="b">
        <v>0</v>
      </c>
      <c r="P2028" s="35" t="b">
        <v>0</v>
      </c>
      <c r="Q2028" s="35" t="b">
        <v>0</v>
      </c>
      <c r="R2028" s="14"/>
      <c r="S2028" s="14"/>
      <c r="T2028" s="14"/>
      <c r="U2028" s="14"/>
      <c r="V2028" s="14"/>
      <c r="W2028" s="14"/>
    </row>
    <row r="2029" ht="31.5" customHeight="1">
      <c r="A2029" s="124" t="s">
        <v>17516</v>
      </c>
      <c r="B2029" s="125" t="s">
        <v>17517</v>
      </c>
      <c r="C2029" s="126" t="s">
        <v>17518</v>
      </c>
      <c r="D2029" s="127" t="s">
        <v>17519</v>
      </c>
      <c r="E2029" s="28" t="str">
        <f>IFERROR(__xludf.DUMMYFUNCTION("GOOGLETRANSLATE(D2029,""zh-CN"",""vi"")"),"Loại cá này có mùi tanh rất nồng.")</f>
        <v>Loại cá này có mùi tanh rất nồng.</v>
      </c>
      <c r="F2029" s="137"/>
      <c r="G2029" s="36" t="b">
        <f t="shared" si="1"/>
        <v>0</v>
      </c>
      <c r="H2029" s="35" t="b">
        <v>1</v>
      </c>
      <c r="I2029" s="35" t="b">
        <v>0</v>
      </c>
      <c r="J2029" s="35" t="b">
        <v>0</v>
      </c>
      <c r="K2029" s="35" t="b">
        <v>0</v>
      </c>
      <c r="L2029" s="35" t="b">
        <v>0</v>
      </c>
      <c r="M2029" s="35" t="b">
        <v>0</v>
      </c>
      <c r="N2029" s="35" t="b">
        <v>0</v>
      </c>
      <c r="O2029" s="35" t="b">
        <v>0</v>
      </c>
      <c r="P2029" s="35" t="b">
        <v>0</v>
      </c>
      <c r="Q2029" s="35" t="b">
        <v>0</v>
      </c>
      <c r="R2029" s="14"/>
      <c r="S2029" s="14"/>
      <c r="T2029" s="14"/>
      <c r="U2029" s="14"/>
      <c r="V2029" s="14"/>
      <c r="W2029" s="14"/>
    </row>
    <row r="2030" ht="31.5" customHeight="1">
      <c r="A2030" s="124" t="s">
        <v>17520</v>
      </c>
      <c r="B2030" s="125" t="s">
        <v>17521</v>
      </c>
      <c r="C2030" s="126" t="s">
        <v>17522</v>
      </c>
      <c r="D2030" s="127" t="s">
        <v>17523</v>
      </c>
      <c r="E2030" s="28" t="str">
        <f>IFERROR(__xludf.DUMMYFUNCTION("GOOGLETRANSLATE(D2030,""zh-CN"",""vi"")"),"Các em nhỏ chơi đùa vui vẻ.")</f>
        <v>Các em nhỏ chơi đùa vui vẻ.</v>
      </c>
      <c r="F2030" s="137"/>
      <c r="G2030" s="36" t="b">
        <f t="shared" si="1"/>
        <v>0</v>
      </c>
      <c r="H2030" s="35" t="b">
        <v>1</v>
      </c>
      <c r="I2030" s="35" t="b">
        <v>0</v>
      </c>
      <c r="J2030" s="35" t="b">
        <v>0</v>
      </c>
      <c r="K2030" s="35" t="b">
        <v>0</v>
      </c>
      <c r="L2030" s="35" t="b">
        <v>0</v>
      </c>
      <c r="M2030" s="35" t="b">
        <v>0</v>
      </c>
      <c r="N2030" s="35" t="b">
        <v>0</v>
      </c>
      <c r="O2030" s="35" t="b">
        <v>0</v>
      </c>
      <c r="P2030" s="35" t="b">
        <v>0</v>
      </c>
      <c r="Q2030" s="35" t="b">
        <v>0</v>
      </c>
      <c r="R2030" s="14"/>
      <c r="S2030" s="14"/>
      <c r="T2030" s="14"/>
      <c r="U2030" s="14"/>
      <c r="V2030" s="14"/>
      <c r="W2030" s="14"/>
    </row>
    <row r="2031" ht="31.5" customHeight="1">
      <c r="A2031" s="124" t="s">
        <v>17524</v>
      </c>
      <c r="B2031" s="125" t="s">
        <v>17525</v>
      </c>
      <c r="C2031" s="126" t="s">
        <v>17526</v>
      </c>
      <c r="D2031" s="127" t="s">
        <v>17527</v>
      </c>
      <c r="E2031" s="28" t="str">
        <f>IFERROR(__xludf.DUMMYFUNCTION("GOOGLETRANSLATE(D2031,""zh-CN"",""vi"")"),"Thị trường này rất phát đạt.")</f>
        <v>Thị trường này rất phát đạt.</v>
      </c>
      <c r="F2031" s="137"/>
      <c r="G2031" s="36" t="b">
        <f t="shared" si="1"/>
        <v>0</v>
      </c>
      <c r="H2031" s="35" t="b">
        <v>1</v>
      </c>
      <c r="I2031" s="35" t="b">
        <v>0</v>
      </c>
      <c r="J2031" s="35" t="b">
        <v>0</v>
      </c>
      <c r="K2031" s="35" t="b">
        <v>0</v>
      </c>
      <c r="L2031" s="35" t="b">
        <v>0</v>
      </c>
      <c r="M2031" s="35" t="b">
        <v>0</v>
      </c>
      <c r="N2031" s="35" t="b">
        <v>0</v>
      </c>
      <c r="O2031" s="35" t="b">
        <v>0</v>
      </c>
      <c r="P2031" s="35" t="b">
        <v>0</v>
      </c>
      <c r="Q2031" s="35" t="b">
        <v>0</v>
      </c>
      <c r="R2031" s="14"/>
      <c r="S2031" s="14"/>
      <c r="T2031" s="14"/>
      <c r="U2031" s="14"/>
      <c r="V2031" s="14"/>
      <c r="W2031" s="14"/>
    </row>
    <row r="2032" ht="31.5" customHeight="1">
      <c r="A2032" s="124" t="s">
        <v>17528</v>
      </c>
      <c r="B2032" s="125" t="s">
        <v>17529</v>
      </c>
      <c r="C2032" s="126" t="s">
        <v>17530</v>
      </c>
      <c r="D2032" s="127" t="s">
        <v>17531</v>
      </c>
      <c r="E2032" s="28" t="str">
        <f>IFERROR(__xludf.DUMMYFUNCTION("GOOGLETRANSLATE(D2032,""zh-CN"",""vi"")"),"Công việc kinh doanh của anh ấy rất phát đạt.")</f>
        <v>Công việc kinh doanh của anh ấy rất phát đạt.</v>
      </c>
      <c r="F2032" s="137"/>
      <c r="G2032" s="36" t="b">
        <f t="shared" si="1"/>
        <v>0</v>
      </c>
      <c r="H2032" s="35" t="b">
        <v>1</v>
      </c>
      <c r="I2032" s="35" t="b">
        <v>0</v>
      </c>
      <c r="J2032" s="35" t="b">
        <v>0</v>
      </c>
      <c r="K2032" s="35" t="b">
        <v>0</v>
      </c>
      <c r="L2032" s="35" t="b">
        <v>0</v>
      </c>
      <c r="M2032" s="35" t="b">
        <v>0</v>
      </c>
      <c r="N2032" s="35" t="b">
        <v>0</v>
      </c>
      <c r="O2032" s="35" t="b">
        <v>0</v>
      </c>
      <c r="P2032" s="35" t="b">
        <v>0</v>
      </c>
      <c r="Q2032" s="35" t="b">
        <v>0</v>
      </c>
      <c r="R2032" s="14"/>
      <c r="S2032" s="14"/>
      <c r="T2032" s="14"/>
      <c r="U2032" s="14"/>
      <c r="V2032" s="14"/>
      <c r="W2032" s="14"/>
    </row>
    <row r="2033" ht="31.5" customHeight="1">
      <c r="A2033" s="124" t="s">
        <v>17532</v>
      </c>
      <c r="B2033" s="125" t="s">
        <v>17533</v>
      </c>
      <c r="C2033" s="126" t="s">
        <v>17534</v>
      </c>
      <c r="D2033" s="127" t="s">
        <v>17535</v>
      </c>
      <c r="E2033" s="28" t="str">
        <f>IFERROR(__xludf.DUMMYFUNCTION("GOOGLETRANSLATE(D2033,""zh-CN"",""vi"")"),"Anh ta bị kết án vì một tội hình sự.")</f>
        <v>Anh ta bị kết án vì một tội hình sự.</v>
      </c>
      <c r="F2033" s="137"/>
      <c r="G2033" s="36" t="b">
        <f t="shared" si="1"/>
        <v>0</v>
      </c>
      <c r="H2033" s="35" t="b">
        <v>1</v>
      </c>
      <c r="I2033" s="35" t="b">
        <v>0</v>
      </c>
      <c r="J2033" s="35" t="b">
        <v>0</v>
      </c>
      <c r="K2033" s="35" t="b">
        <v>0</v>
      </c>
      <c r="L2033" s="35" t="b">
        <v>0</v>
      </c>
      <c r="M2033" s="35" t="b">
        <v>0</v>
      </c>
      <c r="N2033" s="35" t="b">
        <v>0</v>
      </c>
      <c r="O2033" s="35" t="b">
        <v>0</v>
      </c>
      <c r="P2033" s="35" t="b">
        <v>0</v>
      </c>
      <c r="Q2033" s="35" t="b">
        <v>0</v>
      </c>
      <c r="R2033" s="14"/>
      <c r="S2033" s="14"/>
      <c r="T2033" s="14"/>
      <c r="U2033" s="14"/>
      <c r="V2033" s="14"/>
      <c r="W2033" s="14"/>
    </row>
    <row r="2034" ht="31.5" customHeight="1">
      <c r="A2034" s="124" t="s">
        <v>17536</v>
      </c>
      <c r="B2034" s="125" t="s">
        <v>17537</v>
      </c>
      <c r="C2034" s="126" t="s">
        <v>17538</v>
      </c>
      <c r="D2034" s="127" t="s">
        <v>17539</v>
      </c>
      <c r="E2034" s="28" t="str">
        <f>IFERROR(__xludf.DUMMYFUNCTION("GOOGLETRANSLATE(D2034,""zh-CN"",""vi"")"),"Loại cây này có hình dạng độc đáo.")</f>
        <v>Loại cây này có hình dạng độc đáo.</v>
      </c>
      <c r="F2034" s="137"/>
      <c r="G2034" s="36" t="b">
        <f t="shared" si="1"/>
        <v>0</v>
      </c>
      <c r="H2034" s="35" t="b">
        <v>1</v>
      </c>
      <c r="I2034" s="35" t="b">
        <v>0</v>
      </c>
      <c r="J2034" s="35" t="b">
        <v>0</v>
      </c>
      <c r="K2034" s="35" t="b">
        <v>0</v>
      </c>
      <c r="L2034" s="35" t="b">
        <v>0</v>
      </c>
      <c r="M2034" s="35" t="b">
        <v>0</v>
      </c>
      <c r="N2034" s="35" t="b">
        <v>0</v>
      </c>
      <c r="O2034" s="35" t="b">
        <v>0</v>
      </c>
      <c r="P2034" s="35" t="b">
        <v>0</v>
      </c>
      <c r="Q2034" s="35" t="b">
        <v>0</v>
      </c>
      <c r="R2034" s="14"/>
      <c r="S2034" s="14"/>
      <c r="T2034" s="14"/>
      <c r="U2034" s="14"/>
      <c r="V2034" s="14"/>
      <c r="W2034" s="14"/>
    </row>
    <row r="2035" ht="31.5" customHeight="1">
      <c r="A2035" s="124" t="s">
        <v>17540</v>
      </c>
      <c r="B2035" s="125" t="s">
        <v>17541</v>
      </c>
      <c r="C2035" s="126" t="s">
        <v>17542</v>
      </c>
      <c r="D2035" s="127" t="s">
        <v>17543</v>
      </c>
      <c r="E2035" s="28" t="str">
        <f>IFERROR(__xludf.DUMMYFUNCTION("GOOGLETRANSLATE(D2035,""zh-CN"",""vi"")"),"Anh ấy làm việc trong bộ phận hành chính.")</f>
        <v>Anh ấy làm việc trong bộ phận hành chính.</v>
      </c>
      <c r="F2035" s="137"/>
      <c r="G2035" s="36" t="b">
        <f t="shared" si="1"/>
        <v>0</v>
      </c>
      <c r="H2035" s="35" t="b">
        <v>1</v>
      </c>
      <c r="I2035" s="35" t="b">
        <v>0</v>
      </c>
      <c r="J2035" s="35" t="b">
        <v>0</v>
      </c>
      <c r="K2035" s="35" t="b">
        <v>0</v>
      </c>
      <c r="L2035" s="35" t="b">
        <v>0</v>
      </c>
      <c r="M2035" s="35" t="b">
        <v>0</v>
      </c>
      <c r="N2035" s="35" t="b">
        <v>0</v>
      </c>
      <c r="O2035" s="35" t="b">
        <v>0</v>
      </c>
      <c r="P2035" s="35" t="b">
        <v>0</v>
      </c>
      <c r="Q2035" s="35" t="b">
        <v>0</v>
      </c>
      <c r="R2035" s="14"/>
      <c r="S2035" s="14"/>
      <c r="T2035" s="14"/>
      <c r="U2035" s="14"/>
      <c r="V2035" s="14"/>
      <c r="W2035" s="14"/>
    </row>
    <row r="2036" ht="31.5" customHeight="1">
      <c r="A2036" s="124" t="s">
        <v>17544</v>
      </c>
      <c r="B2036" s="125" t="s">
        <v>17545</v>
      </c>
      <c r="C2036" s="126" t="s">
        <v>17546</v>
      </c>
      <c r="D2036" s="127" t="s">
        <v>17547</v>
      </c>
      <c r="E2036" s="28" t="str">
        <f>IFERROR(__xludf.DUMMYFUNCTION("GOOGLETRANSLATE(D2036,""zh-CN"",""vi"")"),"Ngôi sao này rất quyến rũ.")</f>
        <v>Ngôi sao này rất quyến rũ.</v>
      </c>
      <c r="F2036" s="137"/>
      <c r="G2036" s="36" t="b">
        <f t="shared" si="1"/>
        <v>0</v>
      </c>
      <c r="H2036" s="35" t="b">
        <v>1</v>
      </c>
      <c r="I2036" s="35" t="b">
        <v>0</v>
      </c>
      <c r="J2036" s="35" t="b">
        <v>0</v>
      </c>
      <c r="K2036" s="35" t="b">
        <v>0</v>
      </c>
      <c r="L2036" s="35" t="b">
        <v>0</v>
      </c>
      <c r="M2036" s="35" t="b">
        <v>0</v>
      </c>
      <c r="N2036" s="35" t="b">
        <v>0</v>
      </c>
      <c r="O2036" s="35" t="b">
        <v>0</v>
      </c>
      <c r="P2036" s="35" t="b">
        <v>0</v>
      </c>
      <c r="Q2036" s="35" t="b">
        <v>0</v>
      </c>
      <c r="R2036" s="14"/>
      <c r="S2036" s="14"/>
      <c r="T2036" s="14"/>
      <c r="U2036" s="14"/>
      <c r="V2036" s="14"/>
      <c r="W2036" s="14"/>
    </row>
    <row r="2037" ht="31.5" customHeight="1">
      <c r="A2037" s="124" t="s">
        <v>17548</v>
      </c>
      <c r="B2037" s="125" t="s">
        <v>17549</v>
      </c>
      <c r="C2037" s="126" t="s">
        <v>17550</v>
      </c>
      <c r="D2037" s="127" t="s">
        <v>17551</v>
      </c>
      <c r="E2037" s="28" t="str">
        <f>IFERROR(__xludf.DUMMYFUNCTION("GOOGLETRANSLATE(D2037,""zh-CN"",""vi"")"),"May mắn thay, anh ấy đã đến kịp thời.")</f>
        <v>May mắn thay, anh ấy đã đến kịp thời.</v>
      </c>
      <c r="F2037" s="137"/>
      <c r="G2037" s="36" t="b">
        <f t="shared" si="1"/>
        <v>0</v>
      </c>
      <c r="H2037" s="35" t="b">
        <v>1</v>
      </c>
      <c r="I2037" s="35" t="b">
        <v>0</v>
      </c>
      <c r="J2037" s="35" t="b">
        <v>0</v>
      </c>
      <c r="K2037" s="35" t="b">
        <v>0</v>
      </c>
      <c r="L2037" s="35" t="b">
        <v>0</v>
      </c>
      <c r="M2037" s="35" t="b">
        <v>0</v>
      </c>
      <c r="N2037" s="35" t="b">
        <v>0</v>
      </c>
      <c r="O2037" s="35" t="b">
        <v>0</v>
      </c>
      <c r="P2037" s="35" t="b">
        <v>0</v>
      </c>
      <c r="Q2037" s="35" t="b">
        <v>0</v>
      </c>
      <c r="R2037" s="14"/>
      <c r="S2037" s="14"/>
      <c r="T2037" s="14"/>
      <c r="U2037" s="14"/>
      <c r="V2037" s="14"/>
      <c r="W2037" s="14"/>
    </row>
    <row r="2038" ht="31.5" customHeight="1">
      <c r="A2038" s="124" t="s">
        <v>17552</v>
      </c>
      <c r="B2038" s="125" t="s">
        <v>17553</v>
      </c>
      <c r="C2038" s="126" t="s">
        <v>17554</v>
      </c>
      <c r="D2038" s="127" t="s">
        <v>17555</v>
      </c>
      <c r="E2038" s="28" t="str">
        <f>IFERROR(__xludf.DUMMYFUNCTION("GOOGLETRANSLATE(D2038,""zh-CN"",""vi"")"),"Mạng sống của anh ấy đã được cứu.")</f>
        <v>Mạng sống của anh ấy đã được cứu.</v>
      </c>
      <c r="F2038" s="137"/>
      <c r="G2038" s="36" t="b">
        <f t="shared" si="1"/>
        <v>0</v>
      </c>
      <c r="H2038" s="35" t="b">
        <v>1</v>
      </c>
      <c r="I2038" s="35" t="b">
        <v>0</v>
      </c>
      <c r="J2038" s="35" t="b">
        <v>0</v>
      </c>
      <c r="K2038" s="35" t="b">
        <v>0</v>
      </c>
      <c r="L2038" s="35" t="b">
        <v>0</v>
      </c>
      <c r="M2038" s="35" t="b">
        <v>0</v>
      </c>
      <c r="N2038" s="35" t="b">
        <v>0</v>
      </c>
      <c r="O2038" s="35" t="b">
        <v>0</v>
      </c>
      <c r="P2038" s="35" t="b">
        <v>0</v>
      </c>
      <c r="Q2038" s="35" t="b">
        <v>0</v>
      </c>
      <c r="R2038" s="14"/>
      <c r="S2038" s="14"/>
      <c r="T2038" s="14"/>
      <c r="U2038" s="14"/>
      <c r="V2038" s="14"/>
      <c r="W2038" s="14"/>
    </row>
    <row r="2039" ht="31.5" customHeight="1">
      <c r="A2039" s="124" t="s">
        <v>17556</v>
      </c>
      <c r="B2039" s="125" t="s">
        <v>17557</v>
      </c>
      <c r="C2039" s="126" t="s">
        <v>17558</v>
      </c>
      <c r="D2039" s="127" t="s">
        <v>17559</v>
      </c>
      <c r="E2039" s="28" t="str">
        <f>IFERROR(__xludf.DUMMYFUNCTION("GOOGLETRANSLATE(D2039,""zh-CN"",""vi"")"),"Máy này hoạt động rất tốt.")</f>
        <v>Máy này hoạt động rất tốt.</v>
      </c>
      <c r="F2039" s="137"/>
      <c r="G2039" s="36" t="b">
        <f t="shared" si="1"/>
        <v>0</v>
      </c>
      <c r="H2039" s="35" t="b">
        <v>1</v>
      </c>
      <c r="I2039" s="35" t="b">
        <v>0</v>
      </c>
      <c r="J2039" s="35" t="b">
        <v>0</v>
      </c>
      <c r="K2039" s="35" t="b">
        <v>0</v>
      </c>
      <c r="L2039" s="35" t="b">
        <v>0</v>
      </c>
      <c r="M2039" s="35" t="b">
        <v>0</v>
      </c>
      <c r="N2039" s="35" t="b">
        <v>0</v>
      </c>
      <c r="O2039" s="35" t="b">
        <v>0</v>
      </c>
      <c r="P2039" s="35" t="b">
        <v>0</v>
      </c>
      <c r="Q2039" s="35" t="b">
        <v>0</v>
      </c>
      <c r="R2039" s="14"/>
      <c r="S2039" s="14"/>
      <c r="T2039" s="14"/>
      <c r="U2039" s="14"/>
      <c r="V2039" s="14"/>
      <c r="W2039" s="14"/>
    </row>
    <row r="2040" ht="31.5" customHeight="1">
      <c r="A2040" s="124" t="s">
        <v>17560</v>
      </c>
      <c r="B2040" s="125" t="s">
        <v>17561</v>
      </c>
      <c r="C2040" s="126" t="s">
        <v>17562</v>
      </c>
      <c r="D2040" s="127" t="s">
        <v>17563</v>
      </c>
      <c r="E2040" s="28" t="str">
        <f>IFERROR(__xludf.DUMMYFUNCTION("GOOGLETRANSLATE(D2040,""zh-CN"",""vi"")"),"Anh ấy có tính khí rất hiền lành.")</f>
        <v>Anh ấy có tính khí rất hiền lành.</v>
      </c>
      <c r="F2040" s="137"/>
      <c r="G2040" s="36" t="b">
        <f t="shared" si="1"/>
        <v>0</v>
      </c>
      <c r="H2040" s="35" t="b">
        <v>1</v>
      </c>
      <c r="I2040" s="35" t="b">
        <v>0</v>
      </c>
      <c r="J2040" s="35" t="b">
        <v>0</v>
      </c>
      <c r="K2040" s="35" t="b">
        <v>0</v>
      </c>
      <c r="L2040" s="35" t="b">
        <v>0</v>
      </c>
      <c r="M2040" s="35" t="b">
        <v>0</v>
      </c>
      <c r="N2040" s="35" t="b">
        <v>0</v>
      </c>
      <c r="O2040" s="35" t="b">
        <v>0</v>
      </c>
      <c r="P2040" s="35" t="b">
        <v>0</v>
      </c>
      <c r="Q2040" s="35" t="b">
        <v>0</v>
      </c>
      <c r="R2040" s="14"/>
      <c r="S2040" s="14"/>
      <c r="T2040" s="14"/>
      <c r="U2040" s="14"/>
      <c r="V2040" s="14"/>
      <c r="W2040" s="14"/>
    </row>
    <row r="2041" ht="31.5" customHeight="1">
      <c r="A2041" s="124" t="s">
        <v>17564</v>
      </c>
      <c r="B2041" s="125" t="s">
        <v>17565</v>
      </c>
      <c r="C2041" s="126" t="s">
        <v>17566</v>
      </c>
      <c r="D2041" s="127" t="s">
        <v>17567</v>
      </c>
      <c r="E2041" s="28" t="str">
        <f>IFERROR(__xludf.DUMMYFUNCTION("GOOGLETRANSLATE(D2041,""zh-CN"",""vi"")"),"Ông ấy rất quan tâm đến sự kiện đó.")</f>
        <v>Ông ấy rất quan tâm đến sự kiện đó.</v>
      </c>
      <c r="F2041" s="137"/>
      <c r="G2041" s="36" t="b">
        <f t="shared" si="1"/>
        <v>0</v>
      </c>
      <c r="H2041" s="35" t="b">
        <v>1</v>
      </c>
      <c r="I2041" s="35" t="b">
        <v>0</v>
      </c>
      <c r="J2041" s="35" t="b">
        <v>0</v>
      </c>
      <c r="K2041" s="35" t="b">
        <v>0</v>
      </c>
      <c r="L2041" s="35" t="b">
        <v>0</v>
      </c>
      <c r="M2041" s="35" t="b">
        <v>0</v>
      </c>
      <c r="N2041" s="35" t="b">
        <v>0</v>
      </c>
      <c r="O2041" s="35" t="b">
        <v>0</v>
      </c>
      <c r="P2041" s="35" t="b">
        <v>0</v>
      </c>
      <c r="Q2041" s="35" t="b">
        <v>0</v>
      </c>
      <c r="R2041" s="14"/>
      <c r="S2041" s="14"/>
      <c r="T2041" s="14"/>
      <c r="U2041" s="14"/>
      <c r="V2041" s="14"/>
      <c r="W2041" s="14"/>
    </row>
    <row r="2042" ht="31.5" customHeight="1">
      <c r="A2042" s="124" t="s">
        <v>17568</v>
      </c>
      <c r="B2042" s="125" t="s">
        <v>17569</v>
      </c>
      <c r="C2042" s="126" t="s">
        <v>17570</v>
      </c>
      <c r="D2042" s="127" t="s">
        <v>17571</v>
      </c>
      <c r="E2042" s="28" t="str">
        <f>IFERROR(__xludf.DUMMYFUNCTION("GOOGLETRANSLATE(D2042,""zh-CN"",""vi"")"),"Ánh mắt hắn dữ tợn.")</f>
        <v>Ánh mắt hắn dữ tợn.</v>
      </c>
      <c r="F2042" s="137"/>
      <c r="G2042" s="36" t="b">
        <f t="shared" si="1"/>
        <v>0</v>
      </c>
      <c r="H2042" s="35" t="b">
        <v>1</v>
      </c>
      <c r="I2042" s="35" t="b">
        <v>0</v>
      </c>
      <c r="J2042" s="35" t="b">
        <v>0</v>
      </c>
      <c r="K2042" s="35" t="b">
        <v>0</v>
      </c>
      <c r="L2042" s="35" t="b">
        <v>0</v>
      </c>
      <c r="M2042" s="35" t="b">
        <v>0</v>
      </c>
      <c r="N2042" s="35" t="b">
        <v>0</v>
      </c>
      <c r="O2042" s="35" t="b">
        <v>0</v>
      </c>
      <c r="P2042" s="35" t="b">
        <v>0</v>
      </c>
      <c r="Q2042" s="35" t="b">
        <v>0</v>
      </c>
      <c r="R2042" s="14"/>
      <c r="S2042" s="14"/>
      <c r="T2042" s="14"/>
      <c r="U2042" s="14"/>
      <c r="V2042" s="14"/>
      <c r="W2042" s="14"/>
    </row>
    <row r="2043" ht="31.5" customHeight="1">
      <c r="A2043" s="124" t="s">
        <v>17572</v>
      </c>
      <c r="B2043" s="125" t="s">
        <v>17573</v>
      </c>
      <c r="C2043" s="126" t="s">
        <v>17574</v>
      </c>
      <c r="D2043" s="127" t="s">
        <v>17575</v>
      </c>
      <c r="E2043" s="28" t="str">
        <f>IFERROR(__xludf.DUMMYFUNCTION("GOOGLETRANSLATE(D2043,""zh-CN"",""vi"")"),"Ông ấy có tư duy rộng mở.")</f>
        <v>Ông ấy có tư duy rộng mở.</v>
      </c>
      <c r="F2043" s="137"/>
      <c r="G2043" s="36" t="b">
        <f t="shared" si="1"/>
        <v>0</v>
      </c>
      <c r="H2043" s="35" t="b">
        <v>1</v>
      </c>
      <c r="I2043" s="35" t="b">
        <v>0</v>
      </c>
      <c r="J2043" s="35" t="b">
        <v>0</v>
      </c>
      <c r="K2043" s="35" t="b">
        <v>0</v>
      </c>
      <c r="L2043" s="35" t="b">
        <v>0</v>
      </c>
      <c r="M2043" s="35" t="b">
        <v>0</v>
      </c>
      <c r="N2043" s="35" t="b">
        <v>0</v>
      </c>
      <c r="O2043" s="35" t="b">
        <v>0</v>
      </c>
      <c r="P2043" s="35" t="b">
        <v>0</v>
      </c>
      <c r="Q2043" s="35" t="b">
        <v>0</v>
      </c>
      <c r="R2043" s="14"/>
      <c r="S2043" s="14"/>
      <c r="T2043" s="14"/>
      <c r="U2043" s="14"/>
      <c r="V2043" s="14"/>
      <c r="W2043" s="14"/>
    </row>
    <row r="2044" ht="31.5" customHeight="1">
      <c r="A2044" s="124" t="s">
        <v>17576</v>
      </c>
      <c r="B2044" s="125" t="s">
        <v>17577</v>
      </c>
      <c r="C2044" s="126" t="s">
        <v>17578</v>
      </c>
      <c r="D2044" s="127" t="s">
        <v>17579</v>
      </c>
      <c r="E2044" s="28" t="str">
        <f>IFERROR(__xludf.DUMMYFUNCTION("GOOGLETRANSLATE(D2044,""zh-CN"",""vi"")"),"Cảnh sát đã bắt được hung thủ.")</f>
        <v>Cảnh sát đã bắt được hung thủ.</v>
      </c>
      <c r="F2044" s="137"/>
      <c r="G2044" s="36" t="b">
        <f t="shared" si="1"/>
        <v>0</v>
      </c>
      <c r="H2044" s="35" t="b">
        <v>1</v>
      </c>
      <c r="I2044" s="35" t="b">
        <v>0</v>
      </c>
      <c r="J2044" s="35" t="b">
        <v>0</v>
      </c>
      <c r="K2044" s="35" t="b">
        <v>0</v>
      </c>
      <c r="L2044" s="35" t="b">
        <v>0</v>
      </c>
      <c r="M2044" s="35" t="b">
        <v>0</v>
      </c>
      <c r="N2044" s="35" t="b">
        <v>0</v>
      </c>
      <c r="O2044" s="35" t="b">
        <v>0</v>
      </c>
      <c r="P2044" s="35" t="b">
        <v>0</v>
      </c>
      <c r="Q2044" s="35" t="b">
        <v>0</v>
      </c>
      <c r="R2044" s="14"/>
      <c r="S2044" s="14"/>
      <c r="T2044" s="14"/>
      <c r="U2044" s="14"/>
      <c r="V2044" s="14"/>
      <c r="W2044" s="14"/>
    </row>
    <row r="2045" ht="31.5" customHeight="1">
      <c r="A2045" s="124" t="s">
        <v>17580</v>
      </c>
      <c r="B2045" s="125" t="s">
        <v>17581</v>
      </c>
      <c r="C2045" s="126" t="s">
        <v>17582</v>
      </c>
      <c r="D2045" s="127" t="s">
        <v>17583</v>
      </c>
      <c r="E2045" s="28" t="str">
        <f>IFERROR(__xludf.DUMMYFUNCTION("GOOGLETRANSLATE(D2045,""zh-CN"",""vi"")"),"Anh ta ưỡn ngực lên.")</f>
        <v>Anh ta ưỡn ngực lên.</v>
      </c>
      <c r="F2045" s="137"/>
      <c r="G2045" s="36" t="b">
        <f t="shared" si="1"/>
        <v>0</v>
      </c>
      <c r="H2045" s="35" t="b">
        <v>1</v>
      </c>
      <c r="I2045" s="35" t="b">
        <v>0</v>
      </c>
      <c r="J2045" s="35" t="b">
        <v>0</v>
      </c>
      <c r="K2045" s="35" t="b">
        <v>0</v>
      </c>
      <c r="L2045" s="35" t="b">
        <v>0</v>
      </c>
      <c r="M2045" s="35" t="b">
        <v>0</v>
      </c>
      <c r="N2045" s="35" t="b">
        <v>0</v>
      </c>
      <c r="O2045" s="35" t="b">
        <v>0</v>
      </c>
      <c r="P2045" s="35" t="b">
        <v>0</v>
      </c>
      <c r="Q2045" s="35" t="b">
        <v>0</v>
      </c>
      <c r="R2045" s="14"/>
      <c r="S2045" s="14"/>
      <c r="T2045" s="14"/>
      <c r="U2045" s="14"/>
      <c r="V2045" s="14"/>
      <c r="W2045" s="14"/>
    </row>
    <row r="2046" ht="31.5" customHeight="1">
      <c r="A2046" s="124" t="s">
        <v>17584</v>
      </c>
      <c r="B2046" s="125" t="s">
        <v>17585</v>
      </c>
      <c r="C2046" s="126" t="s">
        <v>17586</v>
      </c>
      <c r="D2046" s="127" t="s">
        <v>17587</v>
      </c>
      <c r="E2046" s="28" t="str">
        <f>IFERROR(__xludf.DUMMYFUNCTION("GOOGLETRANSLATE(D2046,""zh-CN"",""vi"")"),"Công ty có nguồn vốn dồi dào.")</f>
        <v>Công ty có nguồn vốn dồi dào.</v>
      </c>
      <c r="F2046" s="137"/>
      <c r="G2046" s="36" t="b">
        <f t="shared" si="1"/>
        <v>0</v>
      </c>
      <c r="H2046" s="35" t="b">
        <v>1</v>
      </c>
      <c r="I2046" s="35" t="b">
        <v>0</v>
      </c>
      <c r="J2046" s="35" t="b">
        <v>0</v>
      </c>
      <c r="K2046" s="35" t="b">
        <v>0</v>
      </c>
      <c r="L2046" s="35" t="b">
        <v>0</v>
      </c>
      <c r="M2046" s="35" t="b">
        <v>0</v>
      </c>
      <c r="N2046" s="35" t="b">
        <v>0</v>
      </c>
      <c r="O2046" s="35" t="b">
        <v>0</v>
      </c>
      <c r="P2046" s="35" t="b">
        <v>0</v>
      </c>
      <c r="Q2046" s="35" t="b">
        <v>0</v>
      </c>
      <c r="R2046" s="14"/>
      <c r="S2046" s="14"/>
      <c r="T2046" s="14"/>
      <c r="U2046" s="14"/>
      <c r="V2046" s="14"/>
      <c r="W2046" s="14"/>
    </row>
    <row r="2047" ht="31.5" customHeight="1">
      <c r="A2047" s="124" t="s">
        <v>17588</v>
      </c>
      <c r="B2047" s="125" t="s">
        <v>17589</v>
      </c>
      <c r="C2047" s="126" t="s">
        <v>17590</v>
      </c>
      <c r="D2047" s="127" t="s">
        <v>17591</v>
      </c>
      <c r="E2047" s="28" t="str">
        <f>IFERROR(__xludf.DUMMYFUNCTION("GOOGLETRANSLATE(D2047,""zh-CN"",""vi"")"),"Anh ta cảm thấy vô cùng xấu hổ.")</f>
        <v>Anh ta cảm thấy vô cùng xấu hổ.</v>
      </c>
      <c r="F2047" s="137"/>
      <c r="G2047" s="36" t="b">
        <f t="shared" si="1"/>
        <v>0</v>
      </c>
      <c r="H2047" s="35" t="b">
        <v>1</v>
      </c>
      <c r="I2047" s="35" t="b">
        <v>0</v>
      </c>
      <c r="J2047" s="35" t="b">
        <v>0</v>
      </c>
      <c r="K2047" s="35" t="b">
        <v>0</v>
      </c>
      <c r="L2047" s="35" t="b">
        <v>0</v>
      </c>
      <c r="M2047" s="35" t="b">
        <v>0</v>
      </c>
      <c r="N2047" s="35" t="b">
        <v>0</v>
      </c>
      <c r="O2047" s="35" t="b">
        <v>0</v>
      </c>
      <c r="P2047" s="35" t="b">
        <v>0</v>
      </c>
      <c r="Q2047" s="35" t="b">
        <v>0</v>
      </c>
      <c r="R2047" s="14"/>
      <c r="S2047" s="14"/>
      <c r="T2047" s="14"/>
      <c r="U2047" s="14"/>
      <c r="V2047" s="14"/>
      <c r="W2047" s="14"/>
    </row>
    <row r="2048" ht="31.5" customHeight="1">
      <c r="A2048" s="124" t="s">
        <v>17592</v>
      </c>
      <c r="B2048" s="125" t="s">
        <v>17593</v>
      </c>
      <c r="C2048" s="126" t="s">
        <v>17594</v>
      </c>
      <c r="D2048" s="127" t="s">
        <v>17595</v>
      </c>
      <c r="E2048" s="28" t="str">
        <f>IFERROR(__xludf.DUMMYFUNCTION("GOOGLETRANSLATE(D2048,""zh-CN"",""vi"")"),"Tòa nhà cổ đã được phục dựng.")</f>
        <v>Tòa nhà cổ đã được phục dựng.</v>
      </c>
      <c r="F2048" s="137"/>
      <c r="G2048" s="36" t="b">
        <f t="shared" si="1"/>
        <v>0</v>
      </c>
      <c r="H2048" s="35" t="b">
        <v>1</v>
      </c>
      <c r="I2048" s="35" t="b">
        <v>0</v>
      </c>
      <c r="J2048" s="35" t="b">
        <v>0</v>
      </c>
      <c r="K2048" s="35" t="b">
        <v>0</v>
      </c>
      <c r="L2048" s="35" t="b">
        <v>0</v>
      </c>
      <c r="M2048" s="35" t="b">
        <v>0</v>
      </c>
      <c r="N2048" s="35" t="b">
        <v>0</v>
      </c>
      <c r="O2048" s="35" t="b">
        <v>0</v>
      </c>
      <c r="P2048" s="35" t="b">
        <v>0</v>
      </c>
      <c r="Q2048" s="35" t="b">
        <v>0</v>
      </c>
      <c r="R2048" s="14"/>
      <c r="S2048" s="14"/>
      <c r="T2048" s="14"/>
      <c r="U2048" s="14"/>
      <c r="V2048" s="14"/>
      <c r="W2048" s="14"/>
    </row>
    <row r="2049" ht="31.5" customHeight="1">
      <c r="A2049" s="124" t="s">
        <v>17596</v>
      </c>
      <c r="B2049" s="125" t="s">
        <v>17597</v>
      </c>
      <c r="C2049" s="126" t="s">
        <v>17598</v>
      </c>
      <c r="D2049" s="127" t="s">
        <v>17599</v>
      </c>
      <c r="E2049" s="28" t="str">
        <f>IFERROR(__xludf.DUMMYFUNCTION("GOOGLETRANSLATE(D2049,""zh-CN"",""vi"")"),"Họ đang xây dựng một trường học mới.")</f>
        <v>Họ đang xây dựng một trường học mới.</v>
      </c>
      <c r="F2049" s="137"/>
      <c r="G2049" s="36" t="b">
        <f t="shared" si="1"/>
        <v>0</v>
      </c>
      <c r="H2049" s="35" t="b">
        <v>1</v>
      </c>
      <c r="I2049" s="35" t="b">
        <v>0</v>
      </c>
      <c r="J2049" s="35" t="b">
        <v>0</v>
      </c>
      <c r="K2049" s="35" t="b">
        <v>0</v>
      </c>
      <c r="L2049" s="35" t="b">
        <v>0</v>
      </c>
      <c r="M2049" s="35" t="b">
        <v>0</v>
      </c>
      <c r="N2049" s="35" t="b">
        <v>0</v>
      </c>
      <c r="O2049" s="35" t="b">
        <v>0</v>
      </c>
      <c r="P2049" s="35" t="b">
        <v>0</v>
      </c>
      <c r="Q2049" s="35" t="b">
        <v>0</v>
      </c>
      <c r="R2049" s="14"/>
      <c r="S2049" s="14"/>
      <c r="T2049" s="14"/>
      <c r="U2049" s="14"/>
      <c r="V2049" s="14"/>
      <c r="W2049" s="14"/>
    </row>
    <row r="2050" ht="31.5" customHeight="1">
      <c r="A2050" s="124" t="s">
        <v>4212</v>
      </c>
      <c r="B2050" s="125" t="s">
        <v>17600</v>
      </c>
      <c r="C2050" s="126" t="s">
        <v>17601</v>
      </c>
      <c r="D2050" s="127" t="s">
        <v>17602</v>
      </c>
      <c r="E2050" s="28" t="str">
        <f>IFERROR(__xludf.DUMMYFUNCTION("GOOGLETRANSLATE(D2050,""zh-CN"",""vi"")"),"Xe đạp của tôi cần sửa chữa.")</f>
        <v>Xe đạp của tôi cần sửa chữa.</v>
      </c>
      <c r="F2050" s="137"/>
      <c r="G2050" s="36" t="b">
        <f t="shared" si="1"/>
        <v>0</v>
      </c>
      <c r="H2050" s="35" t="b">
        <v>1</v>
      </c>
      <c r="I2050" s="35" t="b">
        <v>0</v>
      </c>
      <c r="J2050" s="35" t="b">
        <v>0</v>
      </c>
      <c r="K2050" s="35" t="b">
        <v>0</v>
      </c>
      <c r="L2050" s="35" t="b">
        <v>0</v>
      </c>
      <c r="M2050" s="35" t="b">
        <v>0</v>
      </c>
      <c r="N2050" s="35" t="b">
        <v>0</v>
      </c>
      <c r="O2050" s="35" t="b">
        <v>0</v>
      </c>
      <c r="P2050" s="35" t="b">
        <v>0</v>
      </c>
      <c r="Q2050" s="35" t="b">
        <v>0</v>
      </c>
      <c r="R2050" s="14"/>
      <c r="S2050" s="14"/>
      <c r="T2050" s="14"/>
      <c r="U2050" s="14"/>
      <c r="V2050" s="14"/>
      <c r="W2050" s="14"/>
    </row>
    <row r="2051" ht="31.5" customHeight="1">
      <c r="A2051" s="124" t="s">
        <v>17603</v>
      </c>
      <c r="B2051" s="125" t="s">
        <v>17604</v>
      </c>
      <c r="C2051" s="126" t="s">
        <v>17605</v>
      </c>
      <c r="D2051" s="127" t="s">
        <v>17606</v>
      </c>
      <c r="E2051" s="28" t="str">
        <f>IFERROR(__xludf.DUMMYFUNCTION("GOOGLETRANSLATE(D2051,""zh-CN"",""vi"")"),"Anh ấy rất chú trọng đến việc tu dưỡng bản thân.")</f>
        <v>Anh ấy rất chú trọng đến việc tu dưỡng bản thân.</v>
      </c>
      <c r="F2051" s="137"/>
      <c r="G2051" s="36" t="b">
        <f t="shared" si="1"/>
        <v>0</v>
      </c>
      <c r="H2051" s="35" t="b">
        <v>1</v>
      </c>
      <c r="I2051" s="35" t="b">
        <v>0</v>
      </c>
      <c r="J2051" s="35" t="b">
        <v>0</v>
      </c>
      <c r="K2051" s="35" t="b">
        <v>0</v>
      </c>
      <c r="L2051" s="35" t="b">
        <v>0</v>
      </c>
      <c r="M2051" s="35" t="b">
        <v>0</v>
      </c>
      <c r="N2051" s="35" t="b">
        <v>0</v>
      </c>
      <c r="O2051" s="35" t="b">
        <v>0</v>
      </c>
      <c r="P2051" s="35" t="b">
        <v>0</v>
      </c>
      <c r="Q2051" s="35" t="b">
        <v>0</v>
      </c>
      <c r="R2051" s="14"/>
      <c r="S2051" s="14"/>
      <c r="T2051" s="14"/>
      <c r="U2051" s="14"/>
      <c r="V2051" s="14"/>
      <c r="W2051" s="14"/>
    </row>
    <row r="2052" ht="31.5" customHeight="1">
      <c r="A2052" s="124" t="s">
        <v>17607</v>
      </c>
      <c r="B2052" s="125" t="s">
        <v>17608</v>
      </c>
      <c r="C2052" s="126" t="s">
        <v>17609</v>
      </c>
      <c r="D2052" s="127" t="s">
        <v>17610</v>
      </c>
      <c r="E2052" s="28" t="str">
        <f>IFERROR(__xludf.DUMMYFUNCTION("GOOGLETRANSLATE(D2052,""zh-CN"",""vi"")"),"Cô ấy thêu hoa lên chiếc khăn tay.")</f>
        <v>Cô ấy thêu hoa lên chiếc khăn tay.</v>
      </c>
      <c r="F2052" s="137"/>
      <c r="G2052" s="36" t="b">
        <f t="shared" si="1"/>
        <v>0</v>
      </c>
      <c r="H2052" s="35" t="b">
        <v>1</v>
      </c>
      <c r="I2052" s="35" t="b">
        <v>0</v>
      </c>
      <c r="J2052" s="35" t="b">
        <v>0</v>
      </c>
      <c r="K2052" s="35" t="b">
        <v>0</v>
      </c>
      <c r="L2052" s="35" t="b">
        <v>0</v>
      </c>
      <c r="M2052" s="35" t="b">
        <v>0</v>
      </c>
      <c r="N2052" s="35" t="b">
        <v>0</v>
      </c>
      <c r="O2052" s="35" t="b">
        <v>0</v>
      </c>
      <c r="P2052" s="35" t="b">
        <v>0</v>
      </c>
      <c r="Q2052" s="35" t="b">
        <v>0</v>
      </c>
      <c r="R2052" s="14"/>
      <c r="S2052" s="14"/>
      <c r="T2052" s="14"/>
      <c r="U2052" s="14"/>
      <c r="V2052" s="14"/>
      <c r="W2052" s="14"/>
    </row>
    <row r="2053" ht="31.5" customHeight="1">
      <c r="A2053" s="124" t="s">
        <v>17611</v>
      </c>
      <c r="B2053" s="125" t="s">
        <v>17612</v>
      </c>
      <c r="C2053" s="126" t="s">
        <v>17613</v>
      </c>
      <c r="D2053" s="127" t="s">
        <v>17614</v>
      </c>
      <c r="E2053" s="28" t="str">
        <f>IFERROR(__xludf.DUMMYFUNCTION("GOOGLETRANSLATE(D2053,""zh-CN"",""vi"")"),"Chó có khứu giác cực kỳ nhạy bén.")</f>
        <v>Chó có khứu giác cực kỳ nhạy bén.</v>
      </c>
      <c r="F2053" s="137"/>
      <c r="G2053" s="36" t="b">
        <f t="shared" si="1"/>
        <v>0</v>
      </c>
      <c r="H2053" s="35" t="b">
        <v>1</v>
      </c>
      <c r="I2053" s="35" t="b">
        <v>0</v>
      </c>
      <c r="J2053" s="35" t="b">
        <v>0</v>
      </c>
      <c r="K2053" s="35" t="b">
        <v>0</v>
      </c>
      <c r="L2053" s="35" t="b">
        <v>0</v>
      </c>
      <c r="M2053" s="35" t="b">
        <v>0</v>
      </c>
      <c r="N2053" s="35" t="b">
        <v>0</v>
      </c>
      <c r="O2053" s="35" t="b">
        <v>0</v>
      </c>
      <c r="P2053" s="35" t="b">
        <v>0</v>
      </c>
      <c r="Q2053" s="35" t="b">
        <v>0</v>
      </c>
      <c r="R2053" s="14"/>
      <c r="S2053" s="14"/>
      <c r="T2053" s="14"/>
      <c r="U2053" s="14"/>
      <c r="V2053" s="14"/>
      <c r="W2053" s="14"/>
    </row>
    <row r="2054" ht="31.5" customHeight="1">
      <c r="A2054" s="124" t="s">
        <v>17615</v>
      </c>
      <c r="B2054" s="125" t="s">
        <v>17616</v>
      </c>
      <c r="C2054" s="126" t="s">
        <v>17617</v>
      </c>
      <c r="D2054" s="127" t="s">
        <v>17618</v>
      </c>
      <c r="E2054" s="28" t="str">
        <f>IFERROR(__xludf.DUMMYFUNCTION("GOOGLETRANSLATE(D2054,""zh-CN"",""vi"")"),"Câu chuyện này có phần bịa đặt.")</f>
        <v>Câu chuyện này có phần bịa đặt.</v>
      </c>
      <c r="F2054" s="137"/>
      <c r="G2054" s="36" t="b">
        <f t="shared" si="1"/>
        <v>0</v>
      </c>
      <c r="H2054" s="35" t="b">
        <v>1</v>
      </c>
      <c r="I2054" s="35" t="b">
        <v>0</v>
      </c>
      <c r="J2054" s="35" t="b">
        <v>0</v>
      </c>
      <c r="K2054" s="35" t="b">
        <v>0</v>
      </c>
      <c r="L2054" s="35" t="b">
        <v>0</v>
      </c>
      <c r="M2054" s="35" t="b">
        <v>0</v>
      </c>
      <c r="N2054" s="35" t="b">
        <v>0</v>
      </c>
      <c r="O2054" s="35" t="b">
        <v>0</v>
      </c>
      <c r="P2054" s="35" t="b">
        <v>0</v>
      </c>
      <c r="Q2054" s="35" t="b">
        <v>0</v>
      </c>
      <c r="R2054" s="14"/>
      <c r="S2054" s="14"/>
      <c r="T2054" s="14"/>
      <c r="U2054" s="14"/>
      <c r="V2054" s="14"/>
      <c r="W2054" s="14"/>
    </row>
    <row r="2055" ht="31.5" customHeight="1">
      <c r="A2055" s="124" t="s">
        <v>17619</v>
      </c>
      <c r="B2055" s="125" t="s">
        <v>17620</v>
      </c>
      <c r="C2055" s="126" t="s">
        <v>17621</v>
      </c>
      <c r="D2055" s="127" t="s">
        <v>17622</v>
      </c>
      <c r="E2055" s="28" t="str">
        <f>IFERROR(__xludf.DUMMYFUNCTION("GOOGLETRANSLATE(D2055,""zh-CN"",""vi"")"),"Nhu cầu của công ty liên tục tăng lên.")</f>
        <v>Nhu cầu của công ty liên tục tăng lên.</v>
      </c>
      <c r="F2055" s="137"/>
      <c r="G2055" s="36" t="b">
        <f t="shared" si="1"/>
        <v>0</v>
      </c>
      <c r="H2055" s="35" t="b">
        <v>1</v>
      </c>
      <c r="I2055" s="35" t="b">
        <v>0</v>
      </c>
      <c r="J2055" s="35" t="b">
        <v>0</v>
      </c>
      <c r="K2055" s="35" t="b">
        <v>0</v>
      </c>
      <c r="L2055" s="35" t="b">
        <v>0</v>
      </c>
      <c r="M2055" s="35" t="b">
        <v>0</v>
      </c>
      <c r="N2055" s="35" t="b">
        <v>0</v>
      </c>
      <c r="O2055" s="35" t="b">
        <v>0</v>
      </c>
      <c r="P2055" s="35" t="b">
        <v>0</v>
      </c>
      <c r="Q2055" s="35" t="b">
        <v>0</v>
      </c>
      <c r="R2055" s="14"/>
      <c r="S2055" s="14"/>
      <c r="T2055" s="14"/>
      <c r="U2055" s="14"/>
      <c r="V2055" s="14"/>
      <c r="W2055" s="14"/>
    </row>
    <row r="2056" ht="31.5" customHeight="1">
      <c r="A2056" s="124" t="s">
        <v>17623</v>
      </c>
      <c r="B2056" s="125" t="s">
        <v>17624</v>
      </c>
      <c r="C2056" s="126" t="s">
        <v>17625</v>
      </c>
      <c r="D2056" s="127" t="s">
        <v>17626</v>
      </c>
      <c r="E2056" s="28" t="str">
        <f>IFERROR(__xludf.DUMMYFUNCTION("GOOGLETRANSLATE(D2056,""zh-CN"",""vi"")"),"Anh ta hơi tự phụ.")</f>
        <v>Anh ta hơi tự phụ.</v>
      </c>
      <c r="F2056" s="137"/>
      <c r="G2056" s="36" t="b">
        <f t="shared" si="1"/>
        <v>0</v>
      </c>
      <c r="H2056" s="35" t="b">
        <v>1</v>
      </c>
      <c r="I2056" s="35" t="b">
        <v>0</v>
      </c>
      <c r="J2056" s="35" t="b">
        <v>0</v>
      </c>
      <c r="K2056" s="35" t="b">
        <v>0</v>
      </c>
      <c r="L2056" s="35" t="b">
        <v>0</v>
      </c>
      <c r="M2056" s="35" t="b">
        <v>0</v>
      </c>
      <c r="N2056" s="35" t="b">
        <v>0</v>
      </c>
      <c r="O2056" s="35" t="b">
        <v>0</v>
      </c>
      <c r="P2056" s="35" t="b">
        <v>0</v>
      </c>
      <c r="Q2056" s="35" t="b">
        <v>0</v>
      </c>
      <c r="R2056" s="14"/>
      <c r="S2056" s="14"/>
      <c r="T2056" s="14"/>
      <c r="U2056" s="14"/>
      <c r="V2056" s="14"/>
      <c r="W2056" s="14"/>
    </row>
    <row r="2057" ht="31.5" customHeight="1">
      <c r="A2057" s="124" t="s">
        <v>17627</v>
      </c>
      <c r="B2057" s="125" t="s">
        <v>17628</v>
      </c>
      <c r="C2057" s="126" t="s">
        <v>17629</v>
      </c>
      <c r="D2057" s="127" t="s">
        <v>17630</v>
      </c>
      <c r="E2057" s="28" t="str">
        <f>IFERROR(__xludf.DUMMYFUNCTION("GOOGLETRANSLATE(D2057,""zh-CN"",""vi"")"),"Tôi ghét những người đạo đức giả.")</f>
        <v>Tôi ghét những người đạo đức giả.</v>
      </c>
      <c r="F2057" s="137"/>
      <c r="G2057" s="36" t="b">
        <f t="shared" si="1"/>
        <v>0</v>
      </c>
      <c r="H2057" s="35" t="b">
        <v>1</v>
      </c>
      <c r="I2057" s="35" t="b">
        <v>0</v>
      </c>
      <c r="J2057" s="35" t="b">
        <v>0</v>
      </c>
      <c r="K2057" s="35" t="b">
        <v>0</v>
      </c>
      <c r="L2057" s="35" t="b">
        <v>0</v>
      </c>
      <c r="M2057" s="35" t="b">
        <v>0</v>
      </c>
      <c r="N2057" s="35" t="b">
        <v>0</v>
      </c>
      <c r="O2057" s="35" t="b">
        <v>0</v>
      </c>
      <c r="P2057" s="35" t="b">
        <v>0</v>
      </c>
      <c r="Q2057" s="35" t="b">
        <v>0</v>
      </c>
      <c r="R2057" s="14"/>
      <c r="S2057" s="14"/>
      <c r="T2057" s="14"/>
      <c r="U2057" s="14"/>
      <c r="V2057" s="14"/>
      <c r="W2057" s="14"/>
    </row>
    <row r="2058" ht="31.5" customHeight="1">
      <c r="A2058" s="124" t="s">
        <v>17631</v>
      </c>
      <c r="B2058" s="125" t="s">
        <v>17632</v>
      </c>
      <c r="C2058" s="126" t="s">
        <v>17633</v>
      </c>
      <c r="D2058" s="127" t="s">
        <v>17634</v>
      </c>
      <c r="E2058" s="28" t="str">
        <f>IFERROR(__xludf.DUMMYFUNCTION("GOOGLETRANSLATE(D2058,""zh-CN"",""vi"")"),"Mẫu đơn đăng ký có kèm theo hướng dẫn.")</f>
        <v>Mẫu đơn đăng ký có kèm theo hướng dẫn.</v>
      </c>
      <c r="F2058" s="137"/>
      <c r="G2058" s="36" t="b">
        <f t="shared" si="1"/>
        <v>0</v>
      </c>
      <c r="H2058" s="35" t="b">
        <v>1</v>
      </c>
      <c r="I2058" s="35" t="b">
        <v>0</v>
      </c>
      <c r="J2058" s="35" t="b">
        <v>0</v>
      </c>
      <c r="K2058" s="35" t="b">
        <v>0</v>
      </c>
      <c r="L2058" s="35" t="b">
        <v>0</v>
      </c>
      <c r="M2058" s="35" t="b">
        <v>0</v>
      </c>
      <c r="N2058" s="35" t="b">
        <v>0</v>
      </c>
      <c r="O2058" s="35" t="b">
        <v>0</v>
      </c>
      <c r="P2058" s="35" t="b">
        <v>0</v>
      </c>
      <c r="Q2058" s="35" t="b">
        <v>0</v>
      </c>
      <c r="R2058" s="14"/>
      <c r="S2058" s="14"/>
      <c r="T2058" s="14"/>
      <c r="U2058" s="14"/>
      <c r="V2058" s="14"/>
      <c r="W2058" s="14"/>
    </row>
    <row r="2059" ht="31.5" customHeight="1">
      <c r="A2059" s="124" t="s">
        <v>17635</v>
      </c>
      <c r="B2059" s="125" t="s">
        <v>17636</v>
      </c>
      <c r="C2059" s="126" t="s">
        <v>17637</v>
      </c>
      <c r="D2059" s="127" t="s">
        <v>17638</v>
      </c>
      <c r="E2059" s="28" t="str">
        <f>IFERROR(__xludf.DUMMYFUNCTION("GOOGLETRANSLATE(D2059,""zh-CN"",""vi"")"),"Hoạt động này cần có sự cho phép.")</f>
        <v>Hoạt động này cần có sự cho phép.</v>
      </c>
      <c r="F2059" s="137"/>
      <c r="G2059" s="36" t="b">
        <f t="shared" si="1"/>
        <v>0</v>
      </c>
      <c r="H2059" s="35" t="b">
        <v>1</v>
      </c>
      <c r="I2059" s="35" t="b">
        <v>0</v>
      </c>
      <c r="J2059" s="35" t="b">
        <v>0</v>
      </c>
      <c r="K2059" s="35" t="b">
        <v>0</v>
      </c>
      <c r="L2059" s="35" t="b">
        <v>0</v>
      </c>
      <c r="M2059" s="35" t="b">
        <v>0</v>
      </c>
      <c r="N2059" s="35" t="b">
        <v>0</v>
      </c>
      <c r="O2059" s="35" t="b">
        <v>0</v>
      </c>
      <c r="P2059" s="35" t="b">
        <v>0</v>
      </c>
      <c r="Q2059" s="35" t="b">
        <v>0</v>
      </c>
      <c r="R2059" s="14"/>
      <c r="S2059" s="14"/>
      <c r="T2059" s="14"/>
      <c r="U2059" s="14"/>
      <c r="V2059" s="14"/>
      <c r="W2059" s="14"/>
    </row>
    <row r="2060" ht="31.5" customHeight="1">
      <c r="A2060" s="124" t="s">
        <v>17639</v>
      </c>
      <c r="B2060" s="125" t="s">
        <v>17640</v>
      </c>
      <c r="C2060" s="126" t="s">
        <v>17641</v>
      </c>
      <c r="D2060" s="127" t="s">
        <v>17642</v>
      </c>
      <c r="E2060" s="28" t="str">
        <f>IFERROR(__xludf.DUMMYFUNCTION("GOOGLETRANSLATE(D2060,""zh-CN"",""vi"")"),"Ông ta là người nghiện rượu.")</f>
        <v>Ông ta là người nghiện rượu.</v>
      </c>
      <c r="F2060" s="137"/>
      <c r="G2060" s="36" t="b">
        <f t="shared" si="1"/>
        <v>0</v>
      </c>
      <c r="H2060" s="35" t="b">
        <v>1</v>
      </c>
      <c r="I2060" s="35" t="b">
        <v>0</v>
      </c>
      <c r="J2060" s="35" t="b">
        <v>0</v>
      </c>
      <c r="K2060" s="35" t="b">
        <v>0</v>
      </c>
      <c r="L2060" s="35" t="b">
        <v>0</v>
      </c>
      <c r="M2060" s="35" t="b">
        <v>0</v>
      </c>
      <c r="N2060" s="35" t="b">
        <v>0</v>
      </c>
      <c r="O2060" s="35" t="b">
        <v>0</v>
      </c>
      <c r="P2060" s="35" t="b">
        <v>0</v>
      </c>
      <c r="Q2060" s="35" t="b">
        <v>0</v>
      </c>
      <c r="R2060" s="14"/>
      <c r="S2060" s="14"/>
      <c r="T2060" s="14"/>
      <c r="U2060" s="14"/>
      <c r="V2060" s="14"/>
      <c r="W2060" s="14"/>
    </row>
    <row r="2061" ht="31.5" customHeight="1">
      <c r="A2061" s="124" t="s">
        <v>17643</v>
      </c>
      <c r="B2061" s="125" t="s">
        <v>17644</v>
      </c>
      <c r="C2061" s="126" t="s">
        <v>16355</v>
      </c>
      <c r="D2061" s="127" t="s">
        <v>17645</v>
      </c>
      <c r="E2061" s="28" t="str">
        <f>IFERROR(__xludf.DUMMYFUNCTION("GOOGLETRANSLATE(D2061,""zh-CN"",""vi"")"),"Khu vực này chủ yếu dựa vào chăn nuôi.")</f>
        <v>Khu vực này chủ yếu dựa vào chăn nuôi.</v>
      </c>
      <c r="F2061" s="137"/>
      <c r="G2061" s="36" t="b">
        <f t="shared" si="1"/>
        <v>0</v>
      </c>
      <c r="H2061" s="35" t="b">
        <v>1</v>
      </c>
      <c r="I2061" s="35" t="b">
        <v>0</v>
      </c>
      <c r="J2061" s="35" t="b">
        <v>0</v>
      </c>
      <c r="K2061" s="35" t="b">
        <v>0</v>
      </c>
      <c r="L2061" s="35" t="b">
        <v>0</v>
      </c>
      <c r="M2061" s="35" t="b">
        <v>0</v>
      </c>
      <c r="N2061" s="35" t="b">
        <v>0</v>
      </c>
      <c r="O2061" s="35" t="b">
        <v>0</v>
      </c>
      <c r="P2061" s="35" t="b">
        <v>0</v>
      </c>
      <c r="Q2061" s="35" t="b">
        <v>0</v>
      </c>
      <c r="R2061" s="14"/>
      <c r="S2061" s="14"/>
      <c r="T2061" s="14"/>
      <c r="U2061" s="14"/>
      <c r="V2061" s="14"/>
      <c r="W2061" s="14"/>
    </row>
    <row r="2062" ht="31.5" customHeight="1">
      <c r="A2062" s="124" t="s">
        <v>17646</v>
      </c>
      <c r="B2062" s="125" t="s">
        <v>17647</v>
      </c>
      <c r="C2062" s="126" t="s">
        <v>17648</v>
      </c>
      <c r="D2062" s="127" t="s">
        <v>17649</v>
      </c>
      <c r="E2062" s="28" t="str">
        <f>IFERROR(__xludf.DUMMYFUNCTION("GOOGLETRANSLATE(D2062,""zh-CN"",""vi"")"),"Lời tựa rất quan trọng.")</f>
        <v>Lời tựa rất quan trọng.</v>
      </c>
      <c r="F2062" s="137"/>
      <c r="G2062" s="36" t="b">
        <f t="shared" si="1"/>
        <v>0</v>
      </c>
      <c r="H2062" s="35" t="b">
        <v>1</v>
      </c>
      <c r="I2062" s="35" t="b">
        <v>0</v>
      </c>
      <c r="J2062" s="35" t="b">
        <v>0</v>
      </c>
      <c r="K2062" s="35" t="b">
        <v>0</v>
      </c>
      <c r="L2062" s="35" t="b">
        <v>0</v>
      </c>
      <c r="M2062" s="35" t="b">
        <v>0</v>
      </c>
      <c r="N2062" s="35" t="b">
        <v>0</v>
      </c>
      <c r="O2062" s="35" t="b">
        <v>0</v>
      </c>
      <c r="P2062" s="35" t="b">
        <v>0</v>
      </c>
      <c r="Q2062" s="35" t="b">
        <v>0</v>
      </c>
      <c r="R2062" s="14"/>
      <c r="S2062" s="14"/>
      <c r="T2062" s="14"/>
      <c r="U2062" s="14"/>
      <c r="V2062" s="14"/>
      <c r="W2062" s="14"/>
    </row>
    <row r="2063" ht="31.5" customHeight="1">
      <c r="A2063" s="124" t="s">
        <v>17650</v>
      </c>
      <c r="B2063" s="125" t="s">
        <v>17651</v>
      </c>
      <c r="C2063" s="126" t="s">
        <v>17652</v>
      </c>
      <c r="D2063" s="127" t="s">
        <v>17653</v>
      </c>
      <c r="E2063" s="28" t="str">
        <f>IFERROR(__xludf.DUMMYFUNCTION("GOOGLETRANSLATE(D2063,""zh-CN"",""vi"")"),"Ông ta đã tuyên thệ nhậm chức tại tòa án.")</f>
        <v>Ông ta đã tuyên thệ nhậm chức tại tòa án.</v>
      </c>
      <c r="F2063" s="137"/>
      <c r="G2063" s="36" t="b">
        <f t="shared" si="1"/>
        <v>0</v>
      </c>
      <c r="H2063" s="35" t="b">
        <v>1</v>
      </c>
      <c r="I2063" s="35" t="b">
        <v>0</v>
      </c>
      <c r="J2063" s="35" t="b">
        <v>0</v>
      </c>
      <c r="K2063" s="35" t="b">
        <v>0</v>
      </c>
      <c r="L2063" s="35" t="b">
        <v>0</v>
      </c>
      <c r="M2063" s="35" t="b">
        <v>0</v>
      </c>
      <c r="N2063" s="35" t="b">
        <v>0</v>
      </c>
      <c r="O2063" s="35" t="b">
        <v>0</v>
      </c>
      <c r="P2063" s="35" t="b">
        <v>0</v>
      </c>
      <c r="Q2063" s="35" t="b">
        <v>0</v>
      </c>
      <c r="R2063" s="14"/>
      <c r="S2063" s="14"/>
      <c r="T2063" s="14"/>
      <c r="U2063" s="14"/>
      <c r="V2063" s="14"/>
      <c r="W2063" s="14"/>
    </row>
    <row r="2064" ht="31.5" customHeight="1">
      <c r="A2064" s="124" t="s">
        <v>17654</v>
      </c>
      <c r="B2064" s="125" t="s">
        <v>17655</v>
      </c>
      <c r="C2064" s="126" t="s">
        <v>17656</v>
      </c>
      <c r="D2064" s="127" t="s">
        <v>17657</v>
      </c>
      <c r="E2064" s="28" t="str">
        <f>IFERROR(__xludf.DUMMYFUNCTION("GOOGLETRANSLATE(D2064,""zh-CN"",""vi"")"),"Họ đang quảng bá chính sách mới.")</f>
        <v>Họ đang quảng bá chính sách mới.</v>
      </c>
      <c r="F2064" s="137"/>
      <c r="G2064" s="36" t="b">
        <f t="shared" si="1"/>
        <v>0</v>
      </c>
      <c r="H2064" s="35" t="b">
        <v>1</v>
      </c>
      <c r="I2064" s="35" t="b">
        <v>0</v>
      </c>
      <c r="J2064" s="35" t="b">
        <v>0</v>
      </c>
      <c r="K2064" s="35" t="b">
        <v>0</v>
      </c>
      <c r="L2064" s="35" t="b">
        <v>0</v>
      </c>
      <c r="M2064" s="35" t="b">
        <v>0</v>
      </c>
      <c r="N2064" s="35" t="b">
        <v>0</v>
      </c>
      <c r="O2064" s="35" t="b">
        <v>0</v>
      </c>
      <c r="P2064" s="35" t="b">
        <v>0</v>
      </c>
      <c r="Q2064" s="35" t="b">
        <v>0</v>
      </c>
      <c r="R2064" s="14"/>
      <c r="S2064" s="14"/>
      <c r="T2064" s="14"/>
      <c r="U2064" s="14"/>
      <c r="V2064" s="14"/>
      <c r="W2064" s="14"/>
    </row>
    <row r="2065" ht="31.5" customHeight="1">
      <c r="A2065" s="124" t="s">
        <v>17658</v>
      </c>
      <c r="B2065" s="125" t="s">
        <v>17659</v>
      </c>
      <c r="C2065" s="126" t="s">
        <v>17660</v>
      </c>
      <c r="D2065" s="127" t="s">
        <v>17661</v>
      </c>
      <c r="E2065" s="28" t="str">
        <f>IFERROR(__xludf.DUMMYFUNCTION("GOOGLETRANSLATE(D2065,""zh-CN"",""vi"")"),"Tôi đã treo một bức tranh lên tường.")</f>
        <v>Tôi đã treo một bức tranh lên tường.</v>
      </c>
      <c r="F2065" s="137"/>
      <c r="G2065" s="36" t="b">
        <f t="shared" si="1"/>
        <v>0</v>
      </c>
      <c r="H2065" s="35" t="b">
        <v>1</v>
      </c>
      <c r="I2065" s="35" t="b">
        <v>0</v>
      </c>
      <c r="J2065" s="35" t="b">
        <v>0</v>
      </c>
      <c r="K2065" s="35" t="b">
        <v>0</v>
      </c>
      <c r="L2065" s="35" t="b">
        <v>0</v>
      </c>
      <c r="M2065" s="35" t="b">
        <v>0</v>
      </c>
      <c r="N2065" s="35" t="b">
        <v>0</v>
      </c>
      <c r="O2065" s="35" t="b">
        <v>0</v>
      </c>
      <c r="P2065" s="35" t="b">
        <v>0</v>
      </c>
      <c r="Q2065" s="35" t="b">
        <v>0</v>
      </c>
      <c r="R2065" s="14"/>
      <c r="S2065" s="14"/>
      <c r="T2065" s="14"/>
      <c r="U2065" s="14"/>
      <c r="V2065" s="14"/>
      <c r="W2065" s="14"/>
    </row>
    <row r="2066" ht="31.5" customHeight="1">
      <c r="A2066" s="124" t="s">
        <v>17662</v>
      </c>
      <c r="B2066" s="125" t="s">
        <v>17663</v>
      </c>
      <c r="C2066" s="126" t="s">
        <v>17664</v>
      </c>
      <c r="D2066" s="127" t="s">
        <v>17665</v>
      </c>
      <c r="E2066" s="28" t="str">
        <f>IFERROR(__xludf.DUMMYFUNCTION("GOOGLETRANSLATE(D2066,""zh-CN"",""vi"")"),"Giai điệu bài hát này rất hay.")</f>
        <v>Giai điệu bài hát này rất hay.</v>
      </c>
      <c r="F2066" s="137"/>
      <c r="G2066" s="36" t="b">
        <f t="shared" si="1"/>
        <v>0</v>
      </c>
      <c r="H2066" s="35" t="b">
        <v>1</v>
      </c>
      <c r="I2066" s="35" t="b">
        <v>0</v>
      </c>
      <c r="J2066" s="35" t="b">
        <v>0</v>
      </c>
      <c r="K2066" s="35" t="b">
        <v>0</v>
      </c>
      <c r="L2066" s="35" t="b">
        <v>0</v>
      </c>
      <c r="M2066" s="35" t="b">
        <v>0</v>
      </c>
      <c r="N2066" s="35" t="b">
        <v>0</v>
      </c>
      <c r="O2066" s="35" t="b">
        <v>0</v>
      </c>
      <c r="P2066" s="35" t="b">
        <v>0</v>
      </c>
      <c r="Q2066" s="35" t="b">
        <v>0</v>
      </c>
      <c r="R2066" s="14"/>
      <c r="S2066" s="14"/>
      <c r="T2066" s="14"/>
      <c r="U2066" s="14"/>
      <c r="V2066" s="14"/>
      <c r="W2066" s="14"/>
    </row>
    <row r="2067" ht="31.5" customHeight="1">
      <c r="A2067" s="124" t="s">
        <v>17666</v>
      </c>
      <c r="B2067" s="125" t="s">
        <v>17667</v>
      </c>
      <c r="C2067" s="126" t="s">
        <v>17668</v>
      </c>
      <c r="D2067" s="127" t="s">
        <v>17669</v>
      </c>
      <c r="E2067" s="28" t="str">
        <f>IFERROR(__xludf.DUMMYFUNCTION("GOOGLETRANSLATE(D2067,""zh-CN"",""vi"")"),"Anh ấy giữ cho cái kết luôn trong trạng thái hồi hộp.")</f>
        <v>Anh ấy giữ cho cái kết luôn trong trạng thái hồi hộp.</v>
      </c>
      <c r="F2067" s="137"/>
      <c r="G2067" s="36" t="b">
        <f t="shared" si="1"/>
        <v>0</v>
      </c>
      <c r="H2067" s="35" t="b">
        <v>1</v>
      </c>
      <c r="I2067" s="35" t="b">
        <v>0</v>
      </c>
      <c r="J2067" s="35" t="b">
        <v>0</v>
      </c>
      <c r="K2067" s="35" t="b">
        <v>0</v>
      </c>
      <c r="L2067" s="35" t="b">
        <v>0</v>
      </c>
      <c r="M2067" s="35" t="b">
        <v>0</v>
      </c>
      <c r="N2067" s="35" t="b">
        <v>0</v>
      </c>
      <c r="O2067" s="35" t="b">
        <v>0</v>
      </c>
      <c r="P2067" s="35" t="b">
        <v>0</v>
      </c>
      <c r="Q2067" s="35" t="b">
        <v>0</v>
      </c>
      <c r="R2067" s="14"/>
      <c r="S2067" s="14"/>
      <c r="T2067" s="14"/>
      <c r="U2067" s="14"/>
      <c r="V2067" s="14"/>
      <c r="W2067" s="14"/>
    </row>
    <row r="2068" ht="31.5" customHeight="1">
      <c r="A2068" s="124" t="s">
        <v>17670</v>
      </c>
      <c r="B2068" s="125" t="s">
        <v>17671</v>
      </c>
      <c r="C2068" s="126" t="s">
        <v>17672</v>
      </c>
      <c r="D2068" s="127" t="s">
        <v>17673</v>
      </c>
      <c r="E2068" s="28" t="str">
        <f>IFERROR(__xludf.DUMMYFUNCTION("GOOGLETRANSLATE(D2068,""zh-CN"",""vi"")"),"Đỉnh núi và vách đá.")</f>
        <v>Đỉnh núi và vách đá.</v>
      </c>
      <c r="F2068" s="137"/>
      <c r="G2068" s="36" t="b">
        <f t="shared" si="1"/>
        <v>0</v>
      </c>
      <c r="H2068" s="35" t="b">
        <v>1</v>
      </c>
      <c r="I2068" s="35" t="b">
        <v>0</v>
      </c>
      <c r="J2068" s="35" t="b">
        <v>0</v>
      </c>
      <c r="K2068" s="35" t="b">
        <v>0</v>
      </c>
      <c r="L2068" s="35" t="b">
        <v>0</v>
      </c>
      <c r="M2068" s="35" t="b">
        <v>0</v>
      </c>
      <c r="N2068" s="35" t="b">
        <v>0</v>
      </c>
      <c r="O2068" s="35" t="b">
        <v>0</v>
      </c>
      <c r="P2068" s="35" t="b">
        <v>0</v>
      </c>
      <c r="Q2068" s="35" t="b">
        <v>0</v>
      </c>
      <c r="R2068" s="14"/>
      <c r="S2068" s="14"/>
      <c r="T2068" s="14"/>
      <c r="U2068" s="14"/>
      <c r="V2068" s="14"/>
      <c r="W2068" s="14"/>
    </row>
    <row r="2069" ht="31.5" customHeight="1">
      <c r="A2069" s="124" t="s">
        <v>17674</v>
      </c>
      <c r="B2069" s="125" t="s">
        <v>17675</v>
      </c>
      <c r="C2069" s="126" t="s">
        <v>17676</v>
      </c>
      <c r="D2069" s="127" t="s">
        <v>17677</v>
      </c>
      <c r="E2069" s="28" t="str">
        <f>IFERROR(__xludf.DUMMYFUNCTION("GOOGLETRANSLATE(D2069,""zh-CN"",""vi"")"),"Đồ chơi này có thể xoay được.")</f>
        <v>Đồ chơi này có thể xoay được.</v>
      </c>
      <c r="F2069" s="137"/>
      <c r="G2069" s="36" t="b">
        <f t="shared" si="1"/>
        <v>0</v>
      </c>
      <c r="H2069" s="35" t="b">
        <v>1</v>
      </c>
      <c r="I2069" s="35" t="b">
        <v>0</v>
      </c>
      <c r="J2069" s="35" t="b">
        <v>0</v>
      </c>
      <c r="K2069" s="35" t="b">
        <v>0</v>
      </c>
      <c r="L2069" s="35" t="b">
        <v>0</v>
      </c>
      <c r="M2069" s="35" t="b">
        <v>0</v>
      </c>
      <c r="N2069" s="35" t="b">
        <v>0</v>
      </c>
      <c r="O2069" s="35" t="b">
        <v>0</v>
      </c>
      <c r="P2069" s="35" t="b">
        <v>0</v>
      </c>
      <c r="Q2069" s="35" t="b">
        <v>0</v>
      </c>
      <c r="R2069" s="14"/>
      <c r="S2069" s="14"/>
      <c r="T2069" s="14"/>
      <c r="U2069" s="14"/>
      <c r="V2069" s="14"/>
      <c r="W2069" s="14"/>
    </row>
    <row r="2070" ht="31.5" customHeight="1">
      <c r="A2070" s="124" t="s">
        <v>17678</v>
      </c>
      <c r="B2070" s="125" t="s">
        <v>17679</v>
      </c>
      <c r="C2070" s="126" t="s">
        <v>17680</v>
      </c>
      <c r="D2070" s="127" t="s">
        <v>17681</v>
      </c>
      <c r="E2070" s="28" t="str">
        <f>IFERROR(__xludf.DUMMYFUNCTION("GOOGLETRANSLATE(D2070,""zh-CN"",""vi"")"),"Chúng tôi hiện đang tuyển chọn nhân tài.")</f>
        <v>Chúng tôi hiện đang tuyển chọn nhân tài.</v>
      </c>
      <c r="F2070" s="137"/>
      <c r="G2070" s="36" t="b">
        <f t="shared" si="1"/>
        <v>0</v>
      </c>
      <c r="H2070" s="35" t="b">
        <v>1</v>
      </c>
      <c r="I2070" s="35" t="b">
        <v>0</v>
      </c>
      <c r="J2070" s="35" t="b">
        <v>0</v>
      </c>
      <c r="K2070" s="35" t="b">
        <v>0</v>
      </c>
      <c r="L2070" s="35" t="b">
        <v>0</v>
      </c>
      <c r="M2070" s="35" t="b">
        <v>0</v>
      </c>
      <c r="N2070" s="35" t="b">
        <v>0</v>
      </c>
      <c r="O2070" s="35" t="b">
        <v>0</v>
      </c>
      <c r="P2070" s="35" t="b">
        <v>0</v>
      </c>
      <c r="Q2070" s="35" t="b">
        <v>0</v>
      </c>
      <c r="R2070" s="14"/>
      <c r="S2070" s="14"/>
      <c r="T2070" s="14"/>
      <c r="U2070" s="14"/>
      <c r="V2070" s="14"/>
      <c r="W2070" s="14"/>
    </row>
    <row r="2071" ht="31.5" customHeight="1">
      <c r="A2071" s="124" t="s">
        <v>17682</v>
      </c>
      <c r="B2071" s="125" t="s">
        <v>17683</v>
      </c>
      <c r="C2071" s="126" t="s">
        <v>17684</v>
      </c>
      <c r="D2071" s="127" t="s">
        <v>17685</v>
      </c>
      <c r="E2071" s="28" t="str">
        <f>IFERROR(__xludf.DUMMYFUNCTION("GOOGLETRANSLATE(D2071,""zh-CN"",""vi"")"),"Anh ấy là một cầu thủ xuất sắc.")</f>
        <v>Anh ấy là một cầu thủ xuất sắc.</v>
      </c>
      <c r="F2071" s="137"/>
      <c r="G2071" s="36" t="b">
        <f t="shared" si="1"/>
        <v>0</v>
      </c>
      <c r="H2071" s="35" t="b">
        <v>1</v>
      </c>
      <c r="I2071" s="35" t="b">
        <v>0</v>
      </c>
      <c r="J2071" s="35" t="b">
        <v>0</v>
      </c>
      <c r="K2071" s="35" t="b">
        <v>0</v>
      </c>
      <c r="L2071" s="35" t="b">
        <v>0</v>
      </c>
      <c r="M2071" s="35" t="b">
        <v>0</v>
      </c>
      <c r="N2071" s="35" t="b">
        <v>0</v>
      </c>
      <c r="O2071" s="35" t="b">
        <v>0</v>
      </c>
      <c r="P2071" s="35" t="b">
        <v>0</v>
      </c>
      <c r="Q2071" s="35" t="b">
        <v>0</v>
      </c>
      <c r="R2071" s="14"/>
      <c r="S2071" s="14"/>
      <c r="T2071" s="14"/>
      <c r="U2071" s="14"/>
      <c r="V2071" s="14"/>
      <c r="W2071" s="14"/>
    </row>
    <row r="2072" ht="31.5" customHeight="1">
      <c r="A2072" s="124" t="s">
        <v>17686</v>
      </c>
      <c r="B2072" s="125" t="s">
        <v>17687</v>
      </c>
      <c r="C2072" s="126" t="s">
        <v>17688</v>
      </c>
      <c r="D2072" s="127" t="s">
        <v>17689</v>
      </c>
      <c r="E2072" s="28" t="str">
        <f>IFERROR(__xludf.DUMMYFUNCTION("GOOGLETRANSLATE(D2072,""zh-CN"",""vi"")"),"Sức mạnh của họ đã suy yếu.")</f>
        <v>Sức mạnh của họ đã suy yếu.</v>
      </c>
      <c r="F2072" s="137"/>
      <c r="G2072" s="36" t="b">
        <f t="shared" si="1"/>
        <v>0</v>
      </c>
      <c r="H2072" s="35" t="b">
        <v>1</v>
      </c>
      <c r="I2072" s="35" t="b">
        <v>0</v>
      </c>
      <c r="J2072" s="35" t="b">
        <v>0</v>
      </c>
      <c r="K2072" s="35" t="b">
        <v>0</v>
      </c>
      <c r="L2072" s="35" t="b">
        <v>0</v>
      </c>
      <c r="M2072" s="35" t="b">
        <v>0</v>
      </c>
      <c r="N2072" s="35" t="b">
        <v>0</v>
      </c>
      <c r="O2072" s="35" t="b">
        <v>0</v>
      </c>
      <c r="P2072" s="35" t="b">
        <v>0</v>
      </c>
      <c r="Q2072" s="35" t="b">
        <v>0</v>
      </c>
      <c r="R2072" s="14"/>
      <c r="S2072" s="14"/>
      <c r="T2072" s="14"/>
      <c r="U2072" s="14"/>
      <c r="V2072" s="14"/>
      <c r="W2072" s="14"/>
    </row>
    <row r="2073" ht="31.5" customHeight="1">
      <c r="A2073" s="124" t="s">
        <v>12733</v>
      </c>
      <c r="B2073" s="125" t="s">
        <v>17690</v>
      </c>
      <c r="C2073" s="126" t="s">
        <v>17691</v>
      </c>
      <c r="D2073" s="127" t="s">
        <v>17692</v>
      </c>
      <c r="E2073" s="28" t="str">
        <f>IFERROR(__xludf.DUMMYFUNCTION("GOOGLETRANSLATE(D2073,""zh-CN"",""vi"")"),"Cô ấy có trình độ học vấn cao.")</f>
        <v>Cô ấy có trình độ học vấn cao.</v>
      </c>
      <c r="F2073" s="137"/>
      <c r="G2073" s="36" t="b">
        <f t="shared" si="1"/>
        <v>0</v>
      </c>
      <c r="H2073" s="35" t="b">
        <v>1</v>
      </c>
      <c r="I2073" s="35" t="b">
        <v>0</v>
      </c>
      <c r="J2073" s="35" t="b">
        <v>0</v>
      </c>
      <c r="K2073" s="35" t="b">
        <v>0</v>
      </c>
      <c r="L2073" s="35" t="b">
        <v>0</v>
      </c>
      <c r="M2073" s="35" t="b">
        <v>0</v>
      </c>
      <c r="N2073" s="35" t="b">
        <v>0</v>
      </c>
      <c r="O2073" s="35" t="b">
        <v>0</v>
      </c>
      <c r="P2073" s="35" t="b">
        <v>0</v>
      </c>
      <c r="Q2073" s="35" t="b">
        <v>0</v>
      </c>
      <c r="R2073" s="14"/>
      <c r="S2073" s="14"/>
      <c r="T2073" s="14"/>
      <c r="U2073" s="14"/>
      <c r="V2073" s="14"/>
      <c r="W2073" s="14"/>
    </row>
    <row r="2074" ht="31.5" customHeight="1">
      <c r="A2074" s="124" t="s">
        <v>17693</v>
      </c>
      <c r="B2074" s="125" t="s">
        <v>17694</v>
      </c>
      <c r="C2074" s="126" t="s">
        <v>17695</v>
      </c>
      <c r="D2074" s="127" t="s">
        <v>17696</v>
      </c>
      <c r="E2074" s="28" t="str">
        <f>IFERROR(__xludf.DUMMYFUNCTION("GOOGLETRANSLATE(D2074,""zh-CN"",""vi"")"),"Đây là một lý thuyết mới.")</f>
        <v>Đây là một lý thuyết mới.</v>
      </c>
      <c r="F2074" s="137"/>
      <c r="G2074" s="36" t="b">
        <f t="shared" si="1"/>
        <v>0</v>
      </c>
      <c r="H2074" s="35" t="b">
        <v>1</v>
      </c>
      <c r="I2074" s="35" t="b">
        <v>0</v>
      </c>
      <c r="J2074" s="35" t="b">
        <v>0</v>
      </c>
      <c r="K2074" s="35" t="b">
        <v>0</v>
      </c>
      <c r="L2074" s="35" t="b">
        <v>0</v>
      </c>
      <c r="M2074" s="35" t="b">
        <v>0</v>
      </c>
      <c r="N2074" s="35" t="b">
        <v>0</v>
      </c>
      <c r="O2074" s="35" t="b">
        <v>0</v>
      </c>
      <c r="P2074" s="35" t="b">
        <v>0</v>
      </c>
      <c r="Q2074" s="35" t="b">
        <v>0</v>
      </c>
      <c r="R2074" s="14"/>
      <c r="S2074" s="14"/>
      <c r="T2074" s="14"/>
      <c r="U2074" s="14"/>
      <c r="V2074" s="14"/>
      <c r="W2074" s="14"/>
    </row>
    <row r="2075" ht="31.5" customHeight="1">
      <c r="A2075" s="124" t="s">
        <v>17697</v>
      </c>
      <c r="B2075" s="125" t="s">
        <v>17698</v>
      </c>
      <c r="C2075" s="126" t="s">
        <v>17699</v>
      </c>
      <c r="D2075" s="127" t="s">
        <v>17700</v>
      </c>
      <c r="E2075" s="28" t="str">
        <f>IFERROR(__xludf.DUMMYFUNCTION("GOOGLETRANSLATE(D2075,""zh-CN"",""vi"")"),"Anh ấy đã lấy bằng thạc sĩ.")</f>
        <v>Anh ấy đã lấy bằng thạc sĩ.</v>
      </c>
      <c r="F2075" s="137"/>
      <c r="G2075" s="36" t="b">
        <f t="shared" si="1"/>
        <v>0</v>
      </c>
      <c r="H2075" s="35" t="b">
        <v>1</v>
      </c>
      <c r="I2075" s="35" t="b">
        <v>0</v>
      </c>
      <c r="J2075" s="35" t="b">
        <v>0</v>
      </c>
      <c r="K2075" s="35" t="b">
        <v>0</v>
      </c>
      <c r="L2075" s="35" t="b">
        <v>0</v>
      </c>
      <c r="M2075" s="35" t="b">
        <v>0</v>
      </c>
      <c r="N2075" s="35" t="b">
        <v>0</v>
      </c>
      <c r="O2075" s="35" t="b">
        <v>0</v>
      </c>
      <c r="P2075" s="35" t="b">
        <v>0</v>
      </c>
      <c r="Q2075" s="35" t="b">
        <v>0</v>
      </c>
      <c r="R2075" s="14"/>
      <c r="S2075" s="14"/>
      <c r="T2075" s="14"/>
      <c r="U2075" s="14"/>
      <c r="V2075" s="14"/>
      <c r="W2075" s="14"/>
    </row>
    <row r="2076" ht="31.5" customHeight="1">
      <c r="A2076" s="124" t="s">
        <v>17701</v>
      </c>
      <c r="B2076" s="125" t="s">
        <v>17702</v>
      </c>
      <c r="C2076" s="126" t="s">
        <v>17703</v>
      </c>
      <c r="D2076" s="127" t="s">
        <v>17704</v>
      </c>
      <c r="E2076" s="28" t="str">
        <f>IFERROR(__xludf.DUMMYFUNCTION("GOOGLETRANSLATE(D2076,""zh-CN"",""vi"")"),"Tình hình của anh ấy thực sự trở nên tồi tệ hơn.")</f>
        <v>Tình hình của anh ấy thực sự trở nên tồi tệ hơn.</v>
      </c>
      <c r="F2076" s="137"/>
      <c r="G2076" s="36" t="b">
        <f t="shared" si="1"/>
        <v>0</v>
      </c>
      <c r="H2076" s="35" t="b">
        <v>1</v>
      </c>
      <c r="I2076" s="35" t="b">
        <v>0</v>
      </c>
      <c r="J2076" s="35" t="b">
        <v>0</v>
      </c>
      <c r="K2076" s="35" t="b">
        <v>0</v>
      </c>
      <c r="L2076" s="35" t="b">
        <v>0</v>
      </c>
      <c r="M2076" s="35" t="b">
        <v>0</v>
      </c>
      <c r="N2076" s="35" t="b">
        <v>0</v>
      </c>
      <c r="O2076" s="35" t="b">
        <v>0</v>
      </c>
      <c r="P2076" s="35" t="b">
        <v>0</v>
      </c>
      <c r="Q2076" s="35" t="b">
        <v>0</v>
      </c>
      <c r="R2076" s="14"/>
      <c r="S2076" s="14"/>
      <c r="T2076" s="14"/>
      <c r="U2076" s="14"/>
      <c r="V2076" s="14"/>
      <c r="W2076" s="14"/>
    </row>
    <row r="2077" ht="31.5" customHeight="1">
      <c r="A2077" s="124" t="s">
        <v>17705</v>
      </c>
      <c r="B2077" s="125" t="s">
        <v>17706</v>
      </c>
      <c r="C2077" s="126" t="s">
        <v>17707</v>
      </c>
      <c r="D2077" s="127" t="s">
        <v>17708</v>
      </c>
      <c r="E2077" s="28" t="str">
        <f>IFERROR(__xludf.DUMMYFUNCTION("GOOGLETRANSLATE(D2077,""zh-CN"",""vi"")"),"Huyết áp của anh ấy rất cao.")</f>
        <v>Huyết áp của anh ấy rất cao.</v>
      </c>
      <c r="F2077" s="137"/>
      <c r="G2077" s="36" t="b">
        <f t="shared" si="1"/>
        <v>0</v>
      </c>
      <c r="H2077" s="35" t="b">
        <v>1</v>
      </c>
      <c r="I2077" s="35" t="b">
        <v>0</v>
      </c>
      <c r="J2077" s="35" t="b">
        <v>0</v>
      </c>
      <c r="K2077" s="35" t="b">
        <v>0</v>
      </c>
      <c r="L2077" s="35" t="b">
        <v>0</v>
      </c>
      <c r="M2077" s="35" t="b">
        <v>0</v>
      </c>
      <c r="N2077" s="35" t="b">
        <v>0</v>
      </c>
      <c r="O2077" s="35" t="b">
        <v>0</v>
      </c>
      <c r="P2077" s="35" t="b">
        <v>0</v>
      </c>
      <c r="Q2077" s="35" t="b">
        <v>0</v>
      </c>
      <c r="R2077" s="14"/>
      <c r="S2077" s="14"/>
      <c r="T2077" s="14"/>
      <c r="U2077" s="14"/>
      <c r="V2077" s="14"/>
      <c r="W2077" s="14"/>
    </row>
    <row r="2078" ht="31.5" customHeight="1">
      <c r="A2078" s="124" t="s">
        <v>17709</v>
      </c>
      <c r="B2078" s="125" t="s">
        <v>17710</v>
      </c>
      <c r="C2078" s="126" t="s">
        <v>17711</v>
      </c>
      <c r="D2078" s="127" t="s">
        <v>17712</v>
      </c>
      <c r="E2078" s="28" t="str">
        <f>IFERROR(__xludf.DUMMYFUNCTION("GOOGLETRANSLATE(D2078,""zh-CN"",""vi"")"),"Trẻ em lớn lên dưới ảnh hưởng của cha mẹ.")</f>
        <v>Trẻ em lớn lên dưới ảnh hưởng của cha mẹ.</v>
      </c>
      <c r="F2078" s="137"/>
      <c r="G2078" s="36" t="b">
        <f t="shared" si="1"/>
        <v>0</v>
      </c>
      <c r="H2078" s="35" t="b">
        <v>1</v>
      </c>
      <c r="I2078" s="35" t="b">
        <v>0</v>
      </c>
      <c r="J2078" s="35" t="b">
        <v>0</v>
      </c>
      <c r="K2078" s="35" t="b">
        <v>0</v>
      </c>
      <c r="L2078" s="35" t="b">
        <v>0</v>
      </c>
      <c r="M2078" s="35" t="b">
        <v>0</v>
      </c>
      <c r="N2078" s="35" t="b">
        <v>0</v>
      </c>
      <c r="O2078" s="35" t="b">
        <v>0</v>
      </c>
      <c r="P2078" s="35" t="b">
        <v>0</v>
      </c>
      <c r="Q2078" s="35" t="b">
        <v>0</v>
      </c>
      <c r="R2078" s="14"/>
      <c r="S2078" s="14"/>
      <c r="T2078" s="14"/>
      <c r="U2078" s="14"/>
      <c r="V2078" s="14"/>
      <c r="W2078" s="14"/>
    </row>
    <row r="2079" ht="31.5" customHeight="1">
      <c r="A2079" s="124" t="s">
        <v>17713</v>
      </c>
      <c r="B2079" s="125" t="s">
        <v>17714</v>
      </c>
      <c r="C2079" s="126" t="s">
        <v>17715</v>
      </c>
      <c r="D2079" s="127" t="s">
        <v>17716</v>
      </c>
      <c r="E2079" s="28" t="str">
        <f>IFERROR(__xludf.DUMMYFUNCTION("GOOGLETRANSLATE(D2079,""zh-CN"",""vi"")"),"Quá trình này là một chu kỳ.")</f>
        <v>Quá trình này là một chu kỳ.</v>
      </c>
      <c r="F2079" s="137"/>
      <c r="G2079" s="36" t="b">
        <f t="shared" si="1"/>
        <v>0</v>
      </c>
      <c r="H2079" s="35" t="b">
        <v>1</v>
      </c>
      <c r="I2079" s="35" t="b">
        <v>0</v>
      </c>
      <c r="J2079" s="35" t="b">
        <v>0</v>
      </c>
      <c r="K2079" s="35" t="b">
        <v>0</v>
      </c>
      <c r="L2079" s="35" t="b">
        <v>0</v>
      </c>
      <c r="M2079" s="35" t="b">
        <v>0</v>
      </c>
      <c r="N2079" s="35" t="b">
        <v>0</v>
      </c>
      <c r="O2079" s="35" t="b">
        <v>0</v>
      </c>
      <c r="P2079" s="35" t="b">
        <v>0</v>
      </c>
      <c r="Q2079" s="35" t="b">
        <v>0</v>
      </c>
      <c r="R2079" s="14"/>
      <c r="S2079" s="14"/>
      <c r="T2079" s="14"/>
      <c r="U2079" s="14"/>
      <c r="V2079" s="14"/>
      <c r="W2079" s="14"/>
    </row>
    <row r="2080" ht="31.5" customHeight="1">
      <c r="A2080" s="124" t="s">
        <v>17717</v>
      </c>
      <c r="B2080" s="125" t="s">
        <v>17718</v>
      </c>
      <c r="C2080" s="126" t="s">
        <v>17719</v>
      </c>
      <c r="D2080" s="127" t="s">
        <v>17720</v>
      </c>
      <c r="E2080" s="28" t="str">
        <f>IFERROR(__xludf.DUMMYFUNCTION("GOOGLETRANSLATE(D2080,""zh-CN"",""vi"")"),"Cảnh sát đang tuần tra.")</f>
        <v>Cảnh sát đang tuần tra.</v>
      </c>
      <c r="F2080" s="137"/>
      <c r="G2080" s="36" t="b">
        <f t="shared" si="1"/>
        <v>0</v>
      </c>
      <c r="H2080" s="35" t="b">
        <v>1</v>
      </c>
      <c r="I2080" s="35" t="b">
        <v>0</v>
      </c>
      <c r="J2080" s="35" t="b">
        <v>0</v>
      </c>
      <c r="K2080" s="35" t="b">
        <v>0</v>
      </c>
      <c r="L2080" s="35" t="b">
        <v>0</v>
      </c>
      <c r="M2080" s="35" t="b">
        <v>0</v>
      </c>
      <c r="N2080" s="35" t="b">
        <v>0</v>
      </c>
      <c r="O2080" s="35" t="b">
        <v>0</v>
      </c>
      <c r="P2080" s="35" t="b">
        <v>0</v>
      </c>
      <c r="Q2080" s="35" t="b">
        <v>0</v>
      </c>
      <c r="R2080" s="14"/>
      <c r="S2080" s="14"/>
      <c r="T2080" s="14"/>
      <c r="U2080" s="14"/>
      <c r="V2080" s="14"/>
      <c r="W2080" s="14"/>
    </row>
    <row r="2081" ht="31.5" customHeight="1">
      <c r="A2081" s="124" t="s">
        <v>17721</v>
      </c>
      <c r="B2081" s="125" t="s">
        <v>17722</v>
      </c>
      <c r="C2081" s="126" t="s">
        <v>16370</v>
      </c>
      <c r="D2081" s="127" t="s">
        <v>17723</v>
      </c>
      <c r="E2081" s="28" t="str">
        <f>IFERROR(__xludf.DUMMYFUNCTION("GOOGLETRANSLATE(D2081,""zh-CN"",""vi"")"),"Anh ấy đang tìm kiếm những cơ hội mới.")</f>
        <v>Anh ấy đang tìm kiếm những cơ hội mới.</v>
      </c>
      <c r="F2081" s="137"/>
      <c r="G2081" s="36" t="b">
        <f t="shared" si="1"/>
        <v>0</v>
      </c>
      <c r="H2081" s="35" t="b">
        <v>1</v>
      </c>
      <c r="I2081" s="35" t="b">
        <v>0</v>
      </c>
      <c r="J2081" s="35" t="b">
        <v>0</v>
      </c>
      <c r="K2081" s="35" t="b">
        <v>0</v>
      </c>
      <c r="L2081" s="35" t="b">
        <v>0</v>
      </c>
      <c r="M2081" s="35" t="b">
        <v>0</v>
      </c>
      <c r="N2081" s="35" t="b">
        <v>0</v>
      </c>
      <c r="O2081" s="35" t="b">
        <v>0</v>
      </c>
      <c r="P2081" s="35" t="b">
        <v>0</v>
      </c>
      <c r="Q2081" s="35" t="b">
        <v>0</v>
      </c>
      <c r="R2081" s="14"/>
      <c r="S2081" s="14"/>
      <c r="T2081" s="14"/>
      <c r="U2081" s="14"/>
      <c r="V2081" s="14"/>
      <c r="W2081" s="14"/>
    </row>
    <row r="2082" ht="31.5" customHeight="1">
      <c r="A2082" s="124" t="s">
        <v>17724</v>
      </c>
      <c r="B2082" s="125" t="s">
        <v>17725</v>
      </c>
      <c r="C2082" s="126" t="s">
        <v>17726</v>
      </c>
      <c r="D2082" s="127" t="s">
        <v>17727</v>
      </c>
      <c r="E2082" s="28" t="str">
        <f>IFERROR(__xludf.DUMMYFUNCTION("GOOGLETRANSLATE(D2082,""zh-CN"",""vi"")"),"Việc học hỏi đòi hỏi một phương pháp từng bước.")</f>
        <v>Việc học hỏi đòi hỏi một phương pháp từng bước.</v>
      </c>
      <c r="F2082" s="137"/>
      <c r="G2082" s="36" t="b">
        <f t="shared" si="1"/>
        <v>0</v>
      </c>
      <c r="H2082" s="35" t="b">
        <v>1</v>
      </c>
      <c r="I2082" s="35" t="b">
        <v>0</v>
      </c>
      <c r="J2082" s="35" t="b">
        <v>0</v>
      </c>
      <c r="K2082" s="35" t="b">
        <v>0</v>
      </c>
      <c r="L2082" s="35" t="b">
        <v>0</v>
      </c>
      <c r="M2082" s="35" t="b">
        <v>0</v>
      </c>
      <c r="N2082" s="35" t="b">
        <v>0</v>
      </c>
      <c r="O2082" s="35" t="b">
        <v>0</v>
      </c>
      <c r="P2082" s="35" t="b">
        <v>0</v>
      </c>
      <c r="Q2082" s="35" t="b">
        <v>0</v>
      </c>
      <c r="R2082" s="14"/>
      <c r="S2082" s="14"/>
      <c r="T2082" s="14"/>
      <c r="U2082" s="14"/>
      <c r="V2082" s="14"/>
      <c r="W2082" s="14"/>
    </row>
    <row r="2083" ht="31.5" customHeight="1">
      <c r="A2083" s="124" t="s">
        <v>12798</v>
      </c>
      <c r="B2083" s="125" t="s">
        <v>17728</v>
      </c>
      <c r="C2083" s="126" t="s">
        <v>17729</v>
      </c>
      <c r="D2083" s="127" t="s">
        <v>17730</v>
      </c>
      <c r="E2083" s="28" t="str">
        <f>IFERROR(__xludf.DUMMYFUNCTION("GOOGLETRANSLATE(D2083,""zh-CN"",""vi"")"),"Khách hàng cần đặt cọc khi nhận bàn giao nhà.")</f>
        <v>Khách hàng cần đặt cọc khi nhận bàn giao nhà.</v>
      </c>
      <c r="F2083" s="137"/>
      <c r="G2083" s="36" t="b">
        <f t="shared" si="1"/>
        <v>0</v>
      </c>
      <c r="H2083" s="35" t="b">
        <v>1</v>
      </c>
      <c r="I2083" s="35" t="b">
        <v>0</v>
      </c>
      <c r="J2083" s="35" t="b">
        <v>0</v>
      </c>
      <c r="K2083" s="35" t="b">
        <v>0</v>
      </c>
      <c r="L2083" s="35" t="b">
        <v>0</v>
      </c>
      <c r="M2083" s="35" t="b">
        <v>0</v>
      </c>
      <c r="N2083" s="35" t="b">
        <v>0</v>
      </c>
      <c r="O2083" s="35" t="b">
        <v>0</v>
      </c>
      <c r="P2083" s="35" t="b">
        <v>0</v>
      </c>
      <c r="Q2083" s="35" t="b">
        <v>0</v>
      </c>
      <c r="R2083" s="14"/>
      <c r="S2083" s="14"/>
      <c r="T2083" s="14"/>
      <c r="U2083" s="14"/>
      <c r="V2083" s="14"/>
      <c r="W2083" s="14"/>
    </row>
    <row r="2084" ht="31.5" customHeight="1">
      <c r="A2084" s="124" t="s">
        <v>17731</v>
      </c>
      <c r="B2084" s="125" t="s">
        <v>17732</v>
      </c>
      <c r="C2084" s="126" t="s">
        <v>17733</v>
      </c>
      <c r="D2084" s="127" t="s">
        <v>17734</v>
      </c>
      <c r="E2084" s="28" t="str">
        <f>IFERROR(__xludf.DUMMYFUNCTION("GOOGLETRANSLATE(D2084,""zh-CN"",""vi"")"),"Anh ấy cảm thấy bị áp bức.")</f>
        <v>Anh ấy cảm thấy bị áp bức.</v>
      </c>
      <c r="F2084" s="137"/>
      <c r="G2084" s="36" t="b">
        <f t="shared" si="1"/>
        <v>0</v>
      </c>
      <c r="H2084" s="35" t="b">
        <v>1</v>
      </c>
      <c r="I2084" s="35" t="b">
        <v>0</v>
      </c>
      <c r="J2084" s="35" t="b">
        <v>0</v>
      </c>
      <c r="K2084" s="35" t="b">
        <v>0</v>
      </c>
      <c r="L2084" s="35" t="b">
        <v>0</v>
      </c>
      <c r="M2084" s="35" t="b">
        <v>0</v>
      </c>
      <c r="N2084" s="35" t="b">
        <v>0</v>
      </c>
      <c r="O2084" s="35" t="b">
        <v>0</v>
      </c>
      <c r="P2084" s="35" t="b">
        <v>0</v>
      </c>
      <c r="Q2084" s="35" t="b">
        <v>0</v>
      </c>
      <c r="R2084" s="14"/>
      <c r="S2084" s="14"/>
      <c r="T2084" s="14"/>
      <c r="U2084" s="14"/>
      <c r="V2084" s="14"/>
      <c r="W2084" s="14"/>
    </row>
    <row r="2085" ht="31.5" customHeight="1">
      <c r="A2085" s="124" t="s">
        <v>17735</v>
      </c>
      <c r="B2085" s="125" t="s">
        <v>17736</v>
      </c>
      <c r="C2085" s="126" t="s">
        <v>17737</v>
      </c>
      <c r="D2085" s="127" t="s">
        <v>17738</v>
      </c>
      <c r="E2085" s="28" t="str">
        <f>IFERROR(__xludf.DUMMYFUNCTION("GOOGLETRANSLATE(D2085,""zh-CN"",""vi"")"),"Trẻ em nhận được lì xì trong dịp Tết Nguyên Đán.")</f>
        <v>Trẻ em nhận được lì xì trong dịp Tết Nguyên Đán.</v>
      </c>
      <c r="F2085" s="137"/>
      <c r="G2085" s="36" t="b">
        <f t="shared" si="1"/>
        <v>0</v>
      </c>
      <c r="H2085" s="35" t="b">
        <v>1</v>
      </c>
      <c r="I2085" s="35" t="b">
        <v>0</v>
      </c>
      <c r="J2085" s="35" t="b">
        <v>0</v>
      </c>
      <c r="K2085" s="35" t="b">
        <v>0</v>
      </c>
      <c r="L2085" s="35" t="b">
        <v>0</v>
      </c>
      <c r="M2085" s="35" t="b">
        <v>0</v>
      </c>
      <c r="N2085" s="35" t="b">
        <v>0</v>
      </c>
      <c r="O2085" s="35" t="b">
        <v>0</v>
      </c>
      <c r="P2085" s="35" t="b">
        <v>0</v>
      </c>
      <c r="Q2085" s="35" t="b">
        <v>0</v>
      </c>
      <c r="R2085" s="14"/>
      <c r="S2085" s="14"/>
      <c r="T2085" s="14"/>
      <c r="U2085" s="14"/>
      <c r="V2085" s="14"/>
      <c r="W2085" s="14"/>
    </row>
    <row r="2086" ht="31.5" customHeight="1">
      <c r="A2086" s="124" t="s">
        <v>17739</v>
      </c>
      <c r="B2086" s="125" t="s">
        <v>17740</v>
      </c>
      <c r="C2086" s="126" t="s">
        <v>17741</v>
      </c>
      <c r="D2086" s="127" t="s">
        <v>17742</v>
      </c>
      <c r="E2086" s="28" t="str">
        <f>IFERROR(__xludf.DUMMYFUNCTION("GOOGLETRANSLATE(D2086,""zh-CN"",""vi"")"),"Chúng ta cần nén kích thước tệp.")</f>
        <v>Chúng ta cần nén kích thước tệp.</v>
      </c>
      <c r="F2086" s="137"/>
      <c r="G2086" s="36" t="b">
        <f t="shared" si="1"/>
        <v>0</v>
      </c>
      <c r="H2086" s="35" t="b">
        <v>1</v>
      </c>
      <c r="I2086" s="35" t="b">
        <v>0</v>
      </c>
      <c r="J2086" s="35" t="b">
        <v>0</v>
      </c>
      <c r="K2086" s="35" t="b">
        <v>0</v>
      </c>
      <c r="L2086" s="35" t="b">
        <v>0</v>
      </c>
      <c r="M2086" s="35" t="b">
        <v>0</v>
      </c>
      <c r="N2086" s="35" t="b">
        <v>0</v>
      </c>
      <c r="O2086" s="35" t="b">
        <v>0</v>
      </c>
      <c r="P2086" s="35" t="b">
        <v>0</v>
      </c>
      <c r="Q2086" s="35" t="b">
        <v>0</v>
      </c>
      <c r="R2086" s="14"/>
      <c r="S2086" s="14"/>
      <c r="T2086" s="14"/>
      <c r="U2086" s="14"/>
      <c r="V2086" s="14"/>
      <c r="W2086" s="14"/>
    </row>
    <row r="2087" ht="31.5" customHeight="1">
      <c r="A2087" s="124" t="s">
        <v>17743</v>
      </c>
      <c r="B2087" s="125" t="s">
        <v>17744</v>
      </c>
      <c r="C2087" s="126" t="s">
        <v>17745</v>
      </c>
      <c r="D2087" s="127" t="s">
        <v>17746</v>
      </c>
      <c r="E2087" s="28" t="str">
        <f>IFERROR(__xludf.DUMMYFUNCTION("GOOGLETRANSLATE(D2087,""zh-CN"",""vi"")"),"Anh ấy cảm thấy vô cùng chán nản.")</f>
        <v>Anh ấy cảm thấy vô cùng chán nản.</v>
      </c>
      <c r="F2087" s="137"/>
      <c r="G2087" s="36" t="b">
        <f t="shared" si="1"/>
        <v>0</v>
      </c>
      <c r="H2087" s="35" t="b">
        <v>1</v>
      </c>
      <c r="I2087" s="35" t="b">
        <v>0</v>
      </c>
      <c r="J2087" s="35" t="b">
        <v>0</v>
      </c>
      <c r="K2087" s="35" t="b">
        <v>0</v>
      </c>
      <c r="L2087" s="35" t="b">
        <v>0</v>
      </c>
      <c r="M2087" s="35" t="b">
        <v>0</v>
      </c>
      <c r="N2087" s="35" t="b">
        <v>0</v>
      </c>
      <c r="O2087" s="35" t="b">
        <v>0</v>
      </c>
      <c r="P2087" s="35" t="b">
        <v>0</v>
      </c>
      <c r="Q2087" s="35" t="b">
        <v>0</v>
      </c>
      <c r="R2087" s="14"/>
      <c r="S2087" s="14"/>
      <c r="T2087" s="14"/>
      <c r="U2087" s="14"/>
      <c r="V2087" s="14"/>
      <c r="W2087" s="14"/>
    </row>
    <row r="2088" ht="31.5" customHeight="1">
      <c r="A2088" s="124" t="s">
        <v>17747</v>
      </c>
      <c r="B2088" s="125" t="s">
        <v>17748</v>
      </c>
      <c r="C2088" s="126" t="s">
        <v>17749</v>
      </c>
      <c r="D2088" s="127" t="s">
        <v>17750</v>
      </c>
      <c r="E2088" s="28" t="str">
        <f>IFERROR(__xludf.DUMMYFUNCTION("GOOGLETRANSLATE(D2088,""zh-CN"",""vi"")"),"Chúng ta không thể bóc lột nhân viên của mình.")</f>
        <v>Chúng ta không thể bóc lột nhân viên của mình.</v>
      </c>
      <c r="F2088" s="137"/>
      <c r="G2088" s="36" t="b">
        <f t="shared" si="1"/>
        <v>0</v>
      </c>
      <c r="H2088" s="35" t="b">
        <v>1</v>
      </c>
      <c r="I2088" s="35" t="b">
        <v>0</v>
      </c>
      <c r="J2088" s="35" t="b">
        <v>0</v>
      </c>
      <c r="K2088" s="35" t="b">
        <v>0</v>
      </c>
      <c r="L2088" s="35" t="b">
        <v>0</v>
      </c>
      <c r="M2088" s="35" t="b">
        <v>0</v>
      </c>
      <c r="N2088" s="35" t="b">
        <v>0</v>
      </c>
      <c r="O2088" s="35" t="b">
        <v>0</v>
      </c>
      <c r="P2088" s="35" t="b">
        <v>0</v>
      </c>
      <c r="Q2088" s="35" t="b">
        <v>0</v>
      </c>
      <c r="R2088" s="14"/>
      <c r="S2088" s="14"/>
      <c r="T2088" s="14"/>
      <c r="U2088" s="14"/>
      <c r="V2088" s="14"/>
      <c r="W2088" s="14"/>
    </row>
    <row r="2089" ht="31.5" customHeight="1">
      <c r="A2089" s="124" t="s">
        <v>17751</v>
      </c>
      <c r="B2089" s="125" t="s">
        <v>17752</v>
      </c>
      <c r="C2089" s="126" t="s">
        <v>17753</v>
      </c>
      <c r="D2089" s="127" t="s">
        <v>17754</v>
      </c>
      <c r="E2089" s="28" t="str">
        <f>IFERROR(__xludf.DUMMYFUNCTION("GOOGLETRANSLATE(D2089,""zh-CN"",""vi"")"),"Ông ta đã bị đàn áp.")</f>
        <v>Ông ta đã bị đàn áp.</v>
      </c>
      <c r="F2089" s="137"/>
      <c r="G2089" s="36" t="b">
        <f t="shared" si="1"/>
        <v>0</v>
      </c>
      <c r="H2089" s="35" t="b">
        <v>1</v>
      </c>
      <c r="I2089" s="35" t="b">
        <v>0</v>
      </c>
      <c r="J2089" s="35" t="b">
        <v>0</v>
      </c>
      <c r="K2089" s="35" t="b">
        <v>0</v>
      </c>
      <c r="L2089" s="35" t="b">
        <v>0</v>
      </c>
      <c r="M2089" s="35" t="b">
        <v>0</v>
      </c>
      <c r="N2089" s="35" t="b">
        <v>0</v>
      </c>
      <c r="O2089" s="35" t="b">
        <v>0</v>
      </c>
      <c r="P2089" s="35" t="b">
        <v>0</v>
      </c>
      <c r="Q2089" s="35" t="b">
        <v>0</v>
      </c>
      <c r="R2089" s="14"/>
      <c r="S2089" s="14"/>
      <c r="T2089" s="14"/>
      <c r="U2089" s="14"/>
      <c r="V2089" s="14"/>
      <c r="W2089" s="14"/>
    </row>
    <row r="2090" ht="31.5" customHeight="1">
      <c r="A2090" s="124" t="s">
        <v>17755</v>
      </c>
      <c r="B2090" s="125" t="s">
        <v>17756</v>
      </c>
      <c r="C2090" s="126" t="s">
        <v>17757</v>
      </c>
      <c r="D2090" s="127" t="s">
        <v>17758</v>
      </c>
      <c r="E2090" s="28" t="str">
        <f>IFERROR(__xludf.DUMMYFUNCTION("GOOGLETRANSLATE(D2090,""zh-CN"",""vi"")"),"Cô ấy giành được vị trí thứ hai.")</f>
        <v>Cô ấy giành được vị trí thứ hai.</v>
      </c>
      <c r="F2090" s="137"/>
      <c r="G2090" s="36" t="b">
        <f t="shared" si="1"/>
        <v>0</v>
      </c>
      <c r="H2090" s="35" t="b">
        <v>1</v>
      </c>
      <c r="I2090" s="35" t="b">
        <v>0</v>
      </c>
      <c r="J2090" s="35" t="b">
        <v>0</v>
      </c>
      <c r="K2090" s="35" t="b">
        <v>0</v>
      </c>
      <c r="L2090" s="35" t="b">
        <v>0</v>
      </c>
      <c r="M2090" s="35" t="b">
        <v>0</v>
      </c>
      <c r="N2090" s="35" t="b">
        <v>0</v>
      </c>
      <c r="O2090" s="35" t="b">
        <v>0</v>
      </c>
      <c r="P2090" s="35" t="b">
        <v>0</v>
      </c>
      <c r="Q2090" s="35" t="b">
        <v>0</v>
      </c>
      <c r="R2090" s="14"/>
      <c r="S2090" s="14"/>
      <c r="T2090" s="14"/>
      <c r="U2090" s="14"/>
      <c r="V2090" s="14"/>
      <c r="W2090" s="14"/>
    </row>
    <row r="2091" ht="31.5" customHeight="1">
      <c r="A2091" s="124" t="s">
        <v>17759</v>
      </c>
      <c r="B2091" s="125" t="s">
        <v>17760</v>
      </c>
      <c r="C2091" s="126" t="s">
        <v>17761</v>
      </c>
      <c r="D2091" s="127" t="s">
        <v>17762</v>
      </c>
      <c r="E2091" s="28" t="str">
        <f>IFERROR(__xludf.DUMMYFUNCTION("GOOGLETRANSLATE(D2091,""zh-CN"",""vi"")"),"Trong dịp Tết Nguyên Đán, chúng tôi thích đốt pháo hoa và pháo nổ.")</f>
        <v>Trong dịp Tết Nguyên Đán, chúng tôi thích đốt pháo hoa và pháo nổ.</v>
      </c>
      <c r="F2091" s="137"/>
      <c r="G2091" s="36" t="b">
        <f t="shared" si="1"/>
        <v>0</v>
      </c>
      <c r="H2091" s="35" t="b">
        <v>1</v>
      </c>
      <c r="I2091" s="35" t="b">
        <v>0</v>
      </c>
      <c r="J2091" s="35" t="b">
        <v>0</v>
      </c>
      <c r="K2091" s="35" t="b">
        <v>0</v>
      </c>
      <c r="L2091" s="35" t="b">
        <v>0</v>
      </c>
      <c r="M2091" s="35" t="b">
        <v>0</v>
      </c>
      <c r="N2091" s="35" t="b">
        <v>0</v>
      </c>
      <c r="O2091" s="35" t="b">
        <v>0</v>
      </c>
      <c r="P2091" s="35" t="b">
        <v>0</v>
      </c>
      <c r="Q2091" s="35" t="b">
        <v>0</v>
      </c>
      <c r="R2091" s="14"/>
      <c r="S2091" s="14"/>
      <c r="T2091" s="14"/>
      <c r="U2091" s="14"/>
      <c r="V2091" s="14"/>
      <c r="W2091" s="14"/>
    </row>
    <row r="2092" ht="31.5" customHeight="1">
      <c r="A2092" s="124" t="s">
        <v>17763</v>
      </c>
      <c r="B2092" s="125" t="s">
        <v>17764</v>
      </c>
      <c r="C2092" s="126" t="s">
        <v>17765</v>
      </c>
      <c r="D2092" s="127" t="s">
        <v>17766</v>
      </c>
      <c r="E2092" s="28" t="str">
        <f>IFERROR(__xludf.DUMMYFUNCTION("GOOGLETRANSLATE(D2092,""zh-CN"",""vi"")"),"Ngôi làng đã bị nhấn chìm trong nước lũ.")</f>
        <v>Ngôi làng đã bị nhấn chìm trong nước lũ.</v>
      </c>
      <c r="F2092" s="137"/>
      <c r="G2092" s="36" t="b">
        <f t="shared" si="1"/>
        <v>0</v>
      </c>
      <c r="H2092" s="35" t="b">
        <v>1</v>
      </c>
      <c r="I2092" s="35" t="b">
        <v>0</v>
      </c>
      <c r="J2092" s="35" t="b">
        <v>0</v>
      </c>
      <c r="K2092" s="35" t="b">
        <v>0</v>
      </c>
      <c r="L2092" s="35" t="b">
        <v>0</v>
      </c>
      <c r="M2092" s="35" t="b">
        <v>0</v>
      </c>
      <c r="N2092" s="35" t="b">
        <v>0</v>
      </c>
      <c r="O2092" s="35" t="b">
        <v>0</v>
      </c>
      <c r="P2092" s="35" t="b">
        <v>0</v>
      </c>
      <c r="Q2092" s="35" t="b">
        <v>0</v>
      </c>
      <c r="R2092" s="14"/>
      <c r="S2092" s="14"/>
      <c r="T2092" s="14"/>
      <c r="U2092" s="14"/>
      <c r="V2092" s="14"/>
      <c r="W2092" s="14"/>
    </row>
    <row r="2093" ht="31.5" customHeight="1">
      <c r="A2093" s="124" t="s">
        <v>17767</v>
      </c>
      <c r="B2093" s="125" t="s">
        <v>17768</v>
      </c>
      <c r="C2093" s="126" t="s">
        <v>17769</v>
      </c>
      <c r="D2093" s="127" t="s">
        <v>17770</v>
      </c>
      <c r="E2093" s="28" t="str">
        <f>IFERROR(__xludf.DUMMYFUNCTION("GOOGLETRANSLATE(D2093,""zh-CN"",""vi"")"),"Thành phố này nằm trên bờ biển.")</f>
        <v>Thành phố này nằm trên bờ biển.</v>
      </c>
      <c r="F2093" s="137"/>
      <c r="G2093" s="36" t="b">
        <f t="shared" si="1"/>
        <v>0</v>
      </c>
      <c r="H2093" s="35" t="b">
        <v>1</v>
      </c>
      <c r="I2093" s="35" t="b">
        <v>0</v>
      </c>
      <c r="J2093" s="35" t="b">
        <v>0</v>
      </c>
      <c r="K2093" s="35" t="b">
        <v>0</v>
      </c>
      <c r="L2093" s="35" t="b">
        <v>0</v>
      </c>
      <c r="M2093" s="35" t="b">
        <v>0</v>
      </c>
      <c r="N2093" s="35" t="b">
        <v>0</v>
      </c>
      <c r="O2093" s="35" t="b">
        <v>0</v>
      </c>
      <c r="P2093" s="35" t="b">
        <v>0</v>
      </c>
      <c r="Q2093" s="35" t="b">
        <v>0</v>
      </c>
      <c r="R2093" s="14"/>
      <c r="S2093" s="14"/>
      <c r="T2093" s="14"/>
      <c r="U2093" s="14"/>
      <c r="V2093" s="14"/>
      <c r="W2093" s="14"/>
    </row>
    <row r="2094" ht="31.5" customHeight="1">
      <c r="A2094" s="124" t="s">
        <v>17771</v>
      </c>
      <c r="B2094" s="125" t="s">
        <v>17772</v>
      </c>
      <c r="C2094" s="126" t="s">
        <v>17773</v>
      </c>
      <c r="D2094" s="127" t="s">
        <v>17774</v>
      </c>
      <c r="E2094" s="28" t="str">
        <f>IFERROR(__xludf.DUMMYFUNCTION("GOOGLETRANSLATE(D2094,""zh-CN"",""vi"")"),"Mùa đông ở đây cực kỳ lạnh.")</f>
        <v>Mùa đông ở đây cực kỳ lạnh.</v>
      </c>
      <c r="F2094" s="137"/>
      <c r="G2094" s="36" t="b">
        <f t="shared" si="1"/>
        <v>0</v>
      </c>
      <c r="H2094" s="35" t="b">
        <v>1</v>
      </c>
      <c r="I2094" s="35" t="b">
        <v>0</v>
      </c>
      <c r="J2094" s="35" t="b">
        <v>0</v>
      </c>
      <c r="K2094" s="35" t="b">
        <v>0</v>
      </c>
      <c r="L2094" s="35" t="b">
        <v>0</v>
      </c>
      <c r="M2094" s="35" t="b">
        <v>0</v>
      </c>
      <c r="N2094" s="35" t="b">
        <v>0</v>
      </c>
      <c r="O2094" s="35" t="b">
        <v>0</v>
      </c>
      <c r="P2094" s="35" t="b">
        <v>0</v>
      </c>
      <c r="Q2094" s="35" t="b">
        <v>0</v>
      </c>
      <c r="R2094" s="14"/>
      <c r="S2094" s="14"/>
      <c r="T2094" s="14"/>
      <c r="U2094" s="14"/>
      <c r="V2094" s="14"/>
      <c r="W2094" s="14"/>
    </row>
    <row r="2095" ht="31.5" customHeight="1">
      <c r="A2095" s="124" t="s">
        <v>17775</v>
      </c>
      <c r="B2095" s="125" t="s">
        <v>17776</v>
      </c>
      <c r="C2095" s="126" t="s">
        <v>17777</v>
      </c>
      <c r="D2095" s="127" t="s">
        <v>17778</v>
      </c>
      <c r="E2095" s="28" t="str">
        <f>IFERROR(__xludf.DUMMYFUNCTION("GOOGLETRANSLATE(D2095,""zh-CN"",""vi"")"),"Nghiêm cấm hút thuốc.")</f>
        <v>Nghiêm cấm hút thuốc.</v>
      </c>
      <c r="F2095" s="137"/>
      <c r="G2095" s="36" t="b">
        <f t="shared" si="1"/>
        <v>0</v>
      </c>
      <c r="H2095" s="35" t="b">
        <v>1</v>
      </c>
      <c r="I2095" s="35" t="b">
        <v>0</v>
      </c>
      <c r="J2095" s="35" t="b">
        <v>0</v>
      </c>
      <c r="K2095" s="35" t="b">
        <v>0</v>
      </c>
      <c r="L2095" s="35" t="b">
        <v>0</v>
      </c>
      <c r="M2095" s="35" t="b">
        <v>0</v>
      </c>
      <c r="N2095" s="35" t="b">
        <v>0</v>
      </c>
      <c r="O2095" s="35" t="b">
        <v>0</v>
      </c>
      <c r="P2095" s="35" t="b">
        <v>0</v>
      </c>
      <c r="Q2095" s="35" t="b">
        <v>0</v>
      </c>
      <c r="R2095" s="14"/>
      <c r="S2095" s="14"/>
      <c r="T2095" s="14"/>
      <c r="U2095" s="14"/>
      <c r="V2095" s="14"/>
      <c r="W2095" s="14"/>
    </row>
    <row r="2096" ht="31.5" customHeight="1">
      <c r="A2096" s="124" t="s">
        <v>17779</v>
      </c>
      <c r="B2096" s="125" t="s">
        <v>17780</v>
      </c>
      <c r="C2096" s="126" t="s">
        <v>17781</v>
      </c>
      <c r="D2096" s="127" t="s">
        <v>17782</v>
      </c>
      <c r="E2096" s="28" t="str">
        <f>IFERROR(__xludf.DUMMYFUNCTION("GOOGLETRANSLATE(D2096,""zh-CN"",""vi"")"),"Anh ấy đang phải đối mặt với những thách thức nghiêm trọng.")</f>
        <v>Anh ấy đang phải đối mặt với những thách thức nghiêm trọng.</v>
      </c>
      <c r="F2096" s="137"/>
      <c r="G2096" s="36" t="b">
        <f t="shared" si="1"/>
        <v>0</v>
      </c>
      <c r="H2096" s="35" t="b">
        <v>1</v>
      </c>
      <c r="I2096" s="35" t="b">
        <v>0</v>
      </c>
      <c r="J2096" s="35" t="b">
        <v>0</v>
      </c>
      <c r="K2096" s="35" t="b">
        <v>0</v>
      </c>
      <c r="L2096" s="35" t="b">
        <v>0</v>
      </c>
      <c r="M2096" s="35" t="b">
        <v>0</v>
      </c>
      <c r="N2096" s="35" t="b">
        <v>0</v>
      </c>
      <c r="O2096" s="35" t="b">
        <v>0</v>
      </c>
      <c r="P2096" s="35" t="b">
        <v>0</v>
      </c>
      <c r="Q2096" s="35" t="b">
        <v>0</v>
      </c>
      <c r="R2096" s="14"/>
      <c r="S2096" s="14"/>
      <c r="T2096" s="14"/>
      <c r="U2096" s="14"/>
      <c r="V2096" s="14"/>
      <c r="W2096" s="14"/>
    </row>
    <row r="2097" ht="31.5" customHeight="1">
      <c r="A2097" s="124" t="s">
        <v>17783</v>
      </c>
      <c r="B2097" s="125" t="s">
        <v>17784</v>
      </c>
      <c r="C2097" s="126" t="s">
        <v>17785</v>
      </c>
      <c r="D2097" s="127" t="s">
        <v>17786</v>
      </c>
      <c r="E2097" s="28" t="str">
        <f>IFERROR(__xludf.DUMMYFUNCTION("GOOGLETRANSLATE(D2097,""zh-CN"",""vi"")"),"Cô giáo rất nghiêm khắc với học sinh.")</f>
        <v>Cô giáo rất nghiêm khắc với học sinh.</v>
      </c>
      <c r="F2097" s="137"/>
      <c r="G2097" s="36" t="b">
        <f t="shared" si="1"/>
        <v>0</v>
      </c>
      <c r="H2097" s="35" t="b">
        <v>1</v>
      </c>
      <c r="I2097" s="35" t="b">
        <v>0</v>
      </c>
      <c r="J2097" s="35" t="b">
        <v>0</v>
      </c>
      <c r="K2097" s="35" t="b">
        <v>0</v>
      </c>
      <c r="L2097" s="35" t="b">
        <v>0</v>
      </c>
      <c r="M2097" s="35" t="b">
        <v>0</v>
      </c>
      <c r="N2097" s="35" t="b">
        <v>0</v>
      </c>
      <c r="O2097" s="35" t="b">
        <v>0</v>
      </c>
      <c r="P2097" s="35" t="b">
        <v>0</v>
      </c>
      <c r="Q2097" s="35" t="b">
        <v>0</v>
      </c>
      <c r="R2097" s="14"/>
      <c r="S2097" s="14"/>
      <c r="T2097" s="14"/>
      <c r="U2097" s="14"/>
      <c r="V2097" s="14"/>
      <c r="W2097" s="14"/>
    </row>
    <row r="2098" ht="31.5" customHeight="1">
      <c r="A2098" s="124" t="s">
        <v>17787</v>
      </c>
      <c r="B2098" s="125" t="s">
        <v>17788</v>
      </c>
      <c r="C2098" s="126" t="s">
        <v>17789</v>
      </c>
      <c r="D2098" s="127" t="s">
        <v>17790</v>
      </c>
      <c r="E2098" s="28" t="str">
        <f>IFERROR(__xludf.DUMMYFUNCTION("GOOGLETRANSLATE(D2098,""zh-CN"",""vi"")"),"Chúng ta phải tôn trọng quyền tự do ngôn luận.")</f>
        <v>Chúng ta phải tôn trọng quyền tự do ngôn luận.</v>
      </c>
      <c r="F2098" s="137"/>
      <c r="G2098" s="36" t="b">
        <f t="shared" si="1"/>
        <v>0</v>
      </c>
      <c r="H2098" s="35" t="b">
        <v>1</v>
      </c>
      <c r="I2098" s="35" t="b">
        <v>0</v>
      </c>
      <c r="J2098" s="35" t="b">
        <v>0</v>
      </c>
      <c r="K2098" s="35" t="b">
        <v>0</v>
      </c>
      <c r="L2098" s="35" t="b">
        <v>0</v>
      </c>
      <c r="M2098" s="35" t="b">
        <v>0</v>
      </c>
      <c r="N2098" s="35" t="b">
        <v>0</v>
      </c>
      <c r="O2098" s="35" t="b">
        <v>0</v>
      </c>
      <c r="P2098" s="35" t="b">
        <v>0</v>
      </c>
      <c r="Q2098" s="35" t="b">
        <v>0</v>
      </c>
      <c r="R2098" s="14"/>
      <c r="S2098" s="14"/>
      <c r="T2098" s="14"/>
      <c r="U2098" s="14"/>
      <c r="V2098" s="14"/>
      <c r="W2098" s="14"/>
    </row>
    <row r="2099" ht="31.5" customHeight="1">
      <c r="A2099" s="124" t="s">
        <v>17791</v>
      </c>
      <c r="B2099" s="125" t="s">
        <v>17792</v>
      </c>
      <c r="C2099" s="126" t="s">
        <v>17793</v>
      </c>
      <c r="D2099" s="127" t="s">
        <v>17794</v>
      </c>
      <c r="E2099" s="28" t="str">
        <f>IFERROR(__xludf.DUMMYFUNCTION("GOOGLETRANSLATE(D2099,""zh-CN"",""vi"")"),"Chúng ta cần tiến hành phân tích kỹ lưỡng vấn đề này.")</f>
        <v>Chúng ta cần tiến hành phân tích kỹ lưỡng vấn đề này.</v>
      </c>
      <c r="F2099" s="137"/>
      <c r="G2099" s="36" t="b">
        <f t="shared" si="1"/>
        <v>0</v>
      </c>
      <c r="H2099" s="35" t="b">
        <v>1</v>
      </c>
      <c r="I2099" s="35" t="b">
        <v>0</v>
      </c>
      <c r="J2099" s="35" t="b">
        <v>0</v>
      </c>
      <c r="K2099" s="35" t="b">
        <v>0</v>
      </c>
      <c r="L2099" s="35" t="b">
        <v>0</v>
      </c>
      <c r="M2099" s="35" t="b">
        <v>0</v>
      </c>
      <c r="N2099" s="35" t="b">
        <v>0</v>
      </c>
      <c r="O2099" s="35" t="b">
        <v>0</v>
      </c>
      <c r="P2099" s="35" t="b">
        <v>0</v>
      </c>
      <c r="Q2099" s="35" t="b">
        <v>0</v>
      </c>
      <c r="R2099" s="14"/>
      <c r="S2099" s="14"/>
      <c r="T2099" s="14"/>
      <c r="U2099" s="14"/>
      <c r="V2099" s="14"/>
      <c r="W2099" s="14"/>
    </row>
    <row r="2100" ht="31.5" customHeight="1">
      <c r="A2100" s="124" t="s">
        <v>17795</v>
      </c>
      <c r="B2100" s="125" t="s">
        <v>17796</v>
      </c>
      <c r="C2100" s="126" t="s">
        <v>17797</v>
      </c>
      <c r="D2100" s="127" t="s">
        <v>17798</v>
      </c>
      <c r="E2100" s="28" t="str">
        <f>IFERROR(__xludf.DUMMYFUNCTION("GOOGLETRANSLATE(D2100,""zh-CN"",""vi"")"),"Cuộc họp đã bị hoãn lại.")</f>
        <v>Cuộc họp đã bị hoãn lại.</v>
      </c>
      <c r="F2100" s="137"/>
      <c r="G2100" s="36" t="b">
        <f t="shared" si="1"/>
        <v>0</v>
      </c>
      <c r="H2100" s="35" t="b">
        <v>1</v>
      </c>
      <c r="I2100" s="35" t="b">
        <v>0</v>
      </c>
      <c r="J2100" s="35" t="b">
        <v>0</v>
      </c>
      <c r="K2100" s="35" t="b">
        <v>0</v>
      </c>
      <c r="L2100" s="35" t="b">
        <v>0</v>
      </c>
      <c r="M2100" s="35" t="b">
        <v>0</v>
      </c>
      <c r="N2100" s="35" t="b">
        <v>0</v>
      </c>
      <c r="O2100" s="35" t="b">
        <v>0</v>
      </c>
      <c r="P2100" s="35" t="b">
        <v>0</v>
      </c>
      <c r="Q2100" s="35" t="b">
        <v>0</v>
      </c>
      <c r="R2100" s="14"/>
      <c r="S2100" s="14"/>
      <c r="T2100" s="14"/>
      <c r="U2100" s="14"/>
      <c r="V2100" s="14"/>
      <c r="W2100" s="14"/>
    </row>
    <row r="2101" ht="31.5" customHeight="1">
      <c r="A2101" s="124" t="s">
        <v>17799</v>
      </c>
      <c r="B2101" s="125" t="s">
        <v>17800</v>
      </c>
      <c r="C2101" s="126" t="s">
        <v>17801</v>
      </c>
      <c r="D2101" s="127" t="s">
        <v>17802</v>
      </c>
      <c r="E2101" s="28" t="str">
        <f>IFERROR(__xludf.DUMMYFUNCTION("GOOGLETRANSLATE(D2101,""zh-CN"",""vi"")"),"Cái nóng oi bức của mùa hè thật khó chịu.")</f>
        <v>Cái nóng oi bức của mùa hè thật khó chịu.</v>
      </c>
      <c r="F2101" s="137"/>
      <c r="G2101" s="36" t="b">
        <f t="shared" si="1"/>
        <v>0</v>
      </c>
      <c r="H2101" s="35" t="b">
        <v>1</v>
      </c>
      <c r="I2101" s="35" t="b">
        <v>0</v>
      </c>
      <c r="J2101" s="35" t="b">
        <v>0</v>
      </c>
      <c r="K2101" s="35" t="b">
        <v>0</v>
      </c>
      <c r="L2101" s="35" t="b">
        <v>0</v>
      </c>
      <c r="M2101" s="35" t="b">
        <v>0</v>
      </c>
      <c r="N2101" s="35" t="b">
        <v>0</v>
      </c>
      <c r="O2101" s="35" t="b">
        <v>0</v>
      </c>
      <c r="P2101" s="35" t="b">
        <v>0</v>
      </c>
      <c r="Q2101" s="35" t="b">
        <v>0</v>
      </c>
      <c r="R2101" s="14"/>
      <c r="S2101" s="14"/>
      <c r="T2101" s="14"/>
      <c r="U2101" s="14"/>
      <c r="V2101" s="14"/>
      <c r="W2101" s="14"/>
    </row>
    <row r="2102" ht="31.5" customHeight="1">
      <c r="A2102" s="124" t="s">
        <v>17803</v>
      </c>
      <c r="B2102" s="125" t="s">
        <v>17804</v>
      </c>
      <c r="C2102" s="126" t="s">
        <v>17805</v>
      </c>
      <c r="D2102" s="127" t="s">
        <v>17806</v>
      </c>
      <c r="E2102" s="28" t="str">
        <f>IFERROR(__xludf.DUMMYFUNCTION("GOOGLETRANSLATE(D2102,""zh-CN"",""vi"")"),"Dòng sông trải dài đến tận chân trời.")</f>
        <v>Dòng sông trải dài đến tận chân trời.</v>
      </c>
      <c r="F2102" s="137"/>
      <c r="G2102" s="36" t="b">
        <f t="shared" si="1"/>
        <v>0</v>
      </c>
      <c r="H2102" s="35" t="b">
        <v>1</v>
      </c>
      <c r="I2102" s="35" t="b">
        <v>0</v>
      </c>
      <c r="J2102" s="35" t="b">
        <v>0</v>
      </c>
      <c r="K2102" s="35" t="b">
        <v>0</v>
      </c>
      <c r="L2102" s="35" t="b">
        <v>0</v>
      </c>
      <c r="M2102" s="35" t="b">
        <v>0</v>
      </c>
      <c r="N2102" s="35" t="b">
        <v>0</v>
      </c>
      <c r="O2102" s="35" t="b">
        <v>0</v>
      </c>
      <c r="P2102" s="35" t="b">
        <v>0</v>
      </c>
      <c r="Q2102" s="35" t="b">
        <v>0</v>
      </c>
      <c r="R2102" s="14"/>
      <c r="S2102" s="14"/>
      <c r="T2102" s="14"/>
      <c r="U2102" s="14"/>
      <c r="V2102" s="14"/>
      <c r="W2102" s="14"/>
    </row>
    <row r="2103" ht="31.5" customHeight="1">
      <c r="A2103" s="124" t="s">
        <v>17807</v>
      </c>
      <c r="B2103" s="125" t="s">
        <v>17808</v>
      </c>
      <c r="C2103" s="126" t="s">
        <v>17809</v>
      </c>
      <c r="D2103" s="127" t="s">
        <v>17810</v>
      </c>
      <c r="E2103" s="28" t="str">
        <f>IFERROR(__xludf.DUMMYFUNCTION("GOOGLETRANSLATE(D2103,""zh-CN"",""vi"")"),"Loại đá này rất cứng.")</f>
        <v>Loại đá này rất cứng.</v>
      </c>
      <c r="F2103" s="137"/>
      <c r="G2103" s="36" t="b">
        <f t="shared" si="1"/>
        <v>0</v>
      </c>
      <c r="H2103" s="35" t="b">
        <v>1</v>
      </c>
      <c r="I2103" s="35" t="b">
        <v>0</v>
      </c>
      <c r="J2103" s="35" t="b">
        <v>0</v>
      </c>
      <c r="K2103" s="35" t="b">
        <v>0</v>
      </c>
      <c r="L2103" s="35" t="b">
        <v>0</v>
      </c>
      <c r="M2103" s="35" t="b">
        <v>0</v>
      </c>
      <c r="N2103" s="35" t="b">
        <v>0</v>
      </c>
      <c r="O2103" s="35" t="b">
        <v>0</v>
      </c>
      <c r="P2103" s="35" t="b">
        <v>0</v>
      </c>
      <c r="Q2103" s="35" t="b">
        <v>0</v>
      </c>
      <c r="R2103" s="14"/>
      <c r="S2103" s="14"/>
      <c r="T2103" s="14"/>
      <c r="U2103" s="14"/>
      <c r="V2103" s="14"/>
      <c r="W2103" s="14"/>
    </row>
    <row r="2104" ht="31.5" customHeight="1">
      <c r="A2104" s="124" t="s">
        <v>17811</v>
      </c>
      <c r="B2104" s="125" t="s">
        <v>17812</v>
      </c>
      <c r="C2104" s="126" t="s">
        <v>17813</v>
      </c>
      <c r="D2104" s="127" t="s">
        <v>17814</v>
      </c>
      <c r="E2104" s="28" t="str">
        <f>IFERROR(__xludf.DUMMYFUNCTION("GOOGLETRANSLATE(D2104,""zh-CN"",""vi"")"),"Truyền thống này đã được duy trì trong hàng trăm năm.")</f>
        <v>Truyền thống này đã được duy trì trong hàng trăm năm.</v>
      </c>
      <c r="F2104" s="137"/>
      <c r="G2104" s="36" t="b">
        <f t="shared" si="1"/>
        <v>0</v>
      </c>
      <c r="H2104" s="35" t="b">
        <v>0</v>
      </c>
      <c r="I2104" s="35" t="b">
        <v>0</v>
      </c>
      <c r="J2104" s="35" t="b">
        <v>0</v>
      </c>
      <c r="K2104" s="35" t="b">
        <v>0</v>
      </c>
      <c r="L2104" s="35" t="b">
        <v>0</v>
      </c>
      <c r="M2104" s="35" t="b">
        <v>0</v>
      </c>
      <c r="N2104" s="35" t="b">
        <v>0</v>
      </c>
      <c r="O2104" s="35" t="b">
        <v>0</v>
      </c>
      <c r="P2104" s="35" t="b">
        <v>0</v>
      </c>
      <c r="Q2104" s="35" t="b">
        <v>0</v>
      </c>
      <c r="R2104" s="14"/>
      <c r="S2104" s="14"/>
      <c r="T2104" s="14"/>
      <c r="U2104" s="14"/>
      <c r="V2104" s="14"/>
      <c r="W2104" s="14"/>
    </row>
    <row r="2105" ht="31.5" customHeight="1">
      <c r="A2105" s="124" t="s">
        <v>17815</v>
      </c>
      <c r="B2105" s="125" t="s">
        <v>17816</v>
      </c>
      <c r="C2105" s="126" t="s">
        <v>17817</v>
      </c>
      <c r="D2105" s="127" t="s">
        <v>17818</v>
      </c>
      <c r="E2105" s="28" t="str">
        <f>IFERROR(__xludf.DUMMYFUNCTION("GOOGLETRANSLATE(D2105,""zh-CN"",""vi"")"),"Hình thái của động vật có thể tiến hóa theo thời gian.")</f>
        <v>Hình thái của động vật có thể tiến hóa theo thời gian.</v>
      </c>
      <c r="F2105" s="137"/>
      <c r="G2105" s="36" t="b">
        <f t="shared" si="1"/>
        <v>0</v>
      </c>
      <c r="H2105" s="35" t="b">
        <v>0</v>
      </c>
      <c r="I2105" s="35" t="b">
        <v>0</v>
      </c>
      <c r="J2105" s="35" t="b">
        <v>0</v>
      </c>
      <c r="K2105" s="35" t="b">
        <v>0</v>
      </c>
      <c r="L2105" s="35" t="b">
        <v>0</v>
      </c>
      <c r="M2105" s="35" t="b">
        <v>0</v>
      </c>
      <c r="N2105" s="35" t="b">
        <v>0</v>
      </c>
      <c r="O2105" s="35" t="b">
        <v>0</v>
      </c>
      <c r="P2105" s="35" t="b">
        <v>0</v>
      </c>
      <c r="Q2105" s="35" t="b">
        <v>0</v>
      </c>
      <c r="R2105" s="14"/>
      <c r="S2105" s="14"/>
      <c r="T2105" s="14"/>
      <c r="U2105" s="14"/>
      <c r="V2105" s="14"/>
      <c r="W2105" s="14"/>
    </row>
    <row r="2106" ht="31.5" customHeight="1">
      <c r="A2106" s="124" t="s">
        <v>17819</v>
      </c>
      <c r="B2106" s="125" t="s">
        <v>17820</v>
      </c>
      <c r="C2106" s="126" t="s">
        <v>17821</v>
      </c>
      <c r="D2106" s="127" t="s">
        <v>17822</v>
      </c>
      <c r="E2106" s="28" t="str">
        <f>IFERROR(__xludf.DUMMYFUNCTION("GOOGLETRANSLATE(D2106,""zh-CN"",""vi"")"),"Ông ta đã cố gắng che đậy những sai lầm của mình.")</f>
        <v>Ông ta đã cố gắng che đậy những sai lầm của mình.</v>
      </c>
      <c r="F2106" s="137"/>
      <c r="G2106" s="36" t="b">
        <f t="shared" si="1"/>
        <v>0</v>
      </c>
      <c r="H2106" s="35" t="b">
        <v>0</v>
      </c>
      <c r="I2106" s="35" t="b">
        <v>0</v>
      </c>
      <c r="J2106" s="35" t="b">
        <v>0</v>
      </c>
      <c r="K2106" s="35" t="b">
        <v>0</v>
      </c>
      <c r="L2106" s="35" t="b">
        <v>0</v>
      </c>
      <c r="M2106" s="35" t="b">
        <v>0</v>
      </c>
      <c r="N2106" s="35" t="b">
        <v>0</v>
      </c>
      <c r="O2106" s="35" t="b">
        <v>0</v>
      </c>
      <c r="P2106" s="35" t="b">
        <v>0</v>
      </c>
      <c r="Q2106" s="35" t="b">
        <v>0</v>
      </c>
      <c r="R2106" s="14"/>
      <c r="S2106" s="14"/>
      <c r="T2106" s="14"/>
      <c r="U2106" s="14"/>
      <c r="V2106" s="14"/>
      <c r="W2106" s="14"/>
    </row>
    <row r="2107" ht="31.5" customHeight="1">
      <c r="A2107" s="124" t="s">
        <v>17823</v>
      </c>
      <c r="B2107" s="125" t="s">
        <v>17824</v>
      </c>
      <c r="C2107" s="126" t="s">
        <v>14621</v>
      </c>
      <c r="D2107" s="127" t="s">
        <v>17825</v>
      </c>
      <c r="E2107" s="28" t="str">
        <f>IFERROR(__xludf.DUMMYFUNCTION("GOOGLETRANSLATE(D2107,""zh-CN"",""vi"")"),"Cô ấy có một góc nhìn rất độc đáo.")</f>
        <v>Cô ấy có một góc nhìn rất độc đáo.</v>
      </c>
      <c r="F2107" s="137"/>
      <c r="G2107" s="36" t="b">
        <f t="shared" si="1"/>
        <v>0</v>
      </c>
      <c r="H2107" s="35" t="b">
        <v>0</v>
      </c>
      <c r="I2107" s="35" t="b">
        <v>0</v>
      </c>
      <c r="J2107" s="35" t="b">
        <v>0</v>
      </c>
      <c r="K2107" s="35" t="b">
        <v>0</v>
      </c>
      <c r="L2107" s="35" t="b">
        <v>0</v>
      </c>
      <c r="M2107" s="35" t="b">
        <v>0</v>
      </c>
      <c r="N2107" s="35" t="b">
        <v>0</v>
      </c>
      <c r="O2107" s="35" t="b">
        <v>0</v>
      </c>
      <c r="P2107" s="35" t="b">
        <v>0</v>
      </c>
      <c r="Q2107" s="35" t="b">
        <v>0</v>
      </c>
      <c r="R2107" s="14"/>
      <c r="S2107" s="14"/>
      <c r="T2107" s="14"/>
      <c r="U2107" s="14"/>
      <c r="V2107" s="14"/>
      <c r="W2107" s="14"/>
    </row>
    <row r="2108" ht="31.5" customHeight="1">
      <c r="A2108" s="124" t="s">
        <v>17826</v>
      </c>
      <c r="B2108" s="125" t="s">
        <v>17827</v>
      </c>
      <c r="C2108" s="126" t="s">
        <v>17828</v>
      </c>
      <c r="D2108" s="127" t="s">
        <v>17829</v>
      </c>
      <c r="E2108" s="28" t="str">
        <f>IFERROR(__xludf.DUMMYFUNCTION("GOOGLETRANSLATE(D2108,""zh-CN"",""vi"")"),"Các binh sĩ che chắn cho nhau.")</f>
        <v>Các binh sĩ che chắn cho nhau.</v>
      </c>
      <c r="F2108" s="137"/>
      <c r="G2108" s="36" t="b">
        <f t="shared" si="1"/>
        <v>0</v>
      </c>
      <c r="H2108" s="35" t="b">
        <v>0</v>
      </c>
      <c r="I2108" s="35" t="b">
        <v>0</v>
      </c>
      <c r="J2108" s="35" t="b">
        <v>0</v>
      </c>
      <c r="K2108" s="35" t="b">
        <v>0</v>
      </c>
      <c r="L2108" s="35" t="b">
        <v>0</v>
      </c>
      <c r="M2108" s="35" t="b">
        <v>0</v>
      </c>
      <c r="N2108" s="35" t="b">
        <v>0</v>
      </c>
      <c r="O2108" s="35" t="b">
        <v>0</v>
      </c>
      <c r="P2108" s="35" t="b">
        <v>0</v>
      </c>
      <c r="Q2108" s="35" t="b">
        <v>0</v>
      </c>
      <c r="R2108" s="14"/>
      <c r="S2108" s="14"/>
      <c r="T2108" s="14"/>
      <c r="U2108" s="14"/>
      <c r="V2108" s="14"/>
      <c r="W2108" s="14"/>
    </row>
    <row r="2109" ht="31.5" customHeight="1">
      <c r="A2109" s="124" t="s">
        <v>12836</v>
      </c>
      <c r="B2109" s="125" t="s">
        <v>17830</v>
      </c>
      <c r="C2109" s="126" t="s">
        <v>17831</v>
      </c>
      <c r="D2109" s="127" t="s">
        <v>17832</v>
      </c>
      <c r="E2109" s="28" t="str">
        <f>IFERROR(__xludf.DUMMYFUNCTION("GOOGLETRANSLATE(D2109,""zh-CN"",""vi"")"),"Bài phát biểu của ông ấy rất xuất sắc.")</f>
        <v>Bài phát biểu của ông ấy rất xuất sắc.</v>
      </c>
      <c r="F2109" s="137"/>
      <c r="G2109" s="36" t="b">
        <f t="shared" si="1"/>
        <v>0</v>
      </c>
      <c r="H2109" s="35" t="b">
        <v>0</v>
      </c>
      <c r="I2109" s="35" t="b">
        <v>0</v>
      </c>
      <c r="J2109" s="35" t="b">
        <v>0</v>
      </c>
      <c r="K2109" s="35" t="b">
        <v>0</v>
      </c>
      <c r="L2109" s="35" t="b">
        <v>0</v>
      </c>
      <c r="M2109" s="35" t="b">
        <v>0</v>
      </c>
      <c r="N2109" s="35" t="b">
        <v>0</v>
      </c>
      <c r="O2109" s="35" t="b">
        <v>0</v>
      </c>
      <c r="P2109" s="35" t="b">
        <v>0</v>
      </c>
      <c r="Q2109" s="35" t="b">
        <v>0</v>
      </c>
      <c r="R2109" s="14"/>
      <c r="S2109" s="14"/>
      <c r="T2109" s="14"/>
      <c r="U2109" s="14"/>
      <c r="V2109" s="14"/>
      <c r="W2109" s="14"/>
    </row>
    <row r="2110" ht="31.5" customHeight="1">
      <c r="A2110" s="124" t="s">
        <v>17833</v>
      </c>
      <c r="B2110" s="125" t="s">
        <v>17834</v>
      </c>
      <c r="C2110" s="126" t="s">
        <v>17835</v>
      </c>
      <c r="D2110" s="127" t="s">
        <v>17836</v>
      </c>
      <c r="E2110" s="28" t="str">
        <f>IFERROR(__xludf.DUMMYFUNCTION("GOOGLETRANSLATE(D2110,""zh-CN"",""vi"")"),"Cô ấy nháy mắt với anh ta.")</f>
        <v>Cô ấy nháy mắt với anh ta.</v>
      </c>
      <c r="F2110" s="137"/>
      <c r="G2110" s="36" t="b">
        <f t="shared" si="1"/>
        <v>0</v>
      </c>
      <c r="H2110" s="35" t="b">
        <v>0</v>
      </c>
      <c r="I2110" s="35" t="b">
        <v>0</v>
      </c>
      <c r="J2110" s="35" t="b">
        <v>0</v>
      </c>
      <c r="K2110" s="35" t="b">
        <v>0</v>
      </c>
      <c r="L2110" s="35" t="b">
        <v>0</v>
      </c>
      <c r="M2110" s="35" t="b">
        <v>0</v>
      </c>
      <c r="N2110" s="35" t="b">
        <v>0</v>
      </c>
      <c r="O2110" s="35" t="b">
        <v>0</v>
      </c>
      <c r="P2110" s="35" t="b">
        <v>0</v>
      </c>
      <c r="Q2110" s="35" t="b">
        <v>0</v>
      </c>
      <c r="R2110" s="14"/>
      <c r="S2110" s="14"/>
      <c r="T2110" s="14"/>
      <c r="U2110" s="14"/>
      <c r="V2110" s="14"/>
      <c r="W2110" s="14"/>
    </row>
    <row r="2111" ht="31.5" customHeight="1">
      <c r="A2111" s="124" t="s">
        <v>17837</v>
      </c>
      <c r="B2111" s="125" t="s">
        <v>17838</v>
      </c>
      <c r="C2111" s="126" t="s">
        <v>17839</v>
      </c>
      <c r="D2111" s="127" t="s">
        <v>17840</v>
      </c>
      <c r="E2111" s="28" t="str">
        <f>IFERROR(__xludf.DUMMYFUNCTION("GOOGLETRANSLATE(D2111,""zh-CN"",""vi"")"),"Ánh mắt anh lộ vẻ buồn bã.")</f>
        <v>Ánh mắt anh lộ vẻ buồn bã.</v>
      </c>
      <c r="F2111" s="137"/>
      <c r="G2111" s="36" t="b">
        <f t="shared" si="1"/>
        <v>0</v>
      </c>
      <c r="H2111" s="35" t="b">
        <v>0</v>
      </c>
      <c r="I2111" s="35" t="b">
        <v>0</v>
      </c>
      <c r="J2111" s="35" t="b">
        <v>0</v>
      </c>
      <c r="K2111" s="35" t="b">
        <v>0</v>
      </c>
      <c r="L2111" s="35" t="b">
        <v>0</v>
      </c>
      <c r="M2111" s="35" t="b">
        <v>0</v>
      </c>
      <c r="N2111" s="35" t="b">
        <v>0</v>
      </c>
      <c r="O2111" s="35" t="b">
        <v>0</v>
      </c>
      <c r="P2111" s="35" t="b">
        <v>0</v>
      </c>
      <c r="Q2111" s="35" t="b">
        <v>0</v>
      </c>
      <c r="R2111" s="14"/>
      <c r="S2111" s="14"/>
      <c r="T2111" s="14"/>
      <c r="U2111" s="14"/>
      <c r="V2111" s="14"/>
      <c r="W2111" s="14"/>
    </row>
    <row r="2112" ht="31.5" customHeight="1">
      <c r="A2112" s="124" t="s">
        <v>17841</v>
      </c>
      <c r="B2112" s="125" t="s">
        <v>17842</v>
      </c>
      <c r="C2112" s="126" t="s">
        <v>17843</v>
      </c>
      <c r="D2112" s="127" t="s">
        <v>17844</v>
      </c>
      <c r="E2112" s="28" t="str">
        <f>IFERROR(__xludf.DUMMYFUNCTION("GOOGLETRANSLATE(D2112,""zh-CN"",""vi"")"),"Cô ấy đã cố gắng hết sức để che giấu cảm xúc của mình.")</f>
        <v>Cô ấy đã cố gắng hết sức để che giấu cảm xúc của mình.</v>
      </c>
      <c r="F2112" s="137"/>
      <c r="G2112" s="36" t="b">
        <f t="shared" si="1"/>
        <v>0</v>
      </c>
      <c r="H2112" s="35" t="b">
        <v>0</v>
      </c>
      <c r="I2112" s="35" t="b">
        <v>0</v>
      </c>
      <c r="J2112" s="35" t="b">
        <v>0</v>
      </c>
      <c r="K2112" s="35" t="b">
        <v>0</v>
      </c>
      <c r="L2112" s="35" t="b">
        <v>0</v>
      </c>
      <c r="M2112" s="35" t="b">
        <v>0</v>
      </c>
      <c r="N2112" s="35" t="b">
        <v>0</v>
      </c>
      <c r="O2112" s="35" t="b">
        <v>0</v>
      </c>
      <c r="P2112" s="35" t="b">
        <v>0</v>
      </c>
      <c r="Q2112" s="35" t="b">
        <v>0</v>
      </c>
      <c r="R2112" s="14"/>
      <c r="S2112" s="14"/>
      <c r="T2112" s="14"/>
      <c r="U2112" s="14"/>
      <c r="V2112" s="14"/>
      <c r="W2112" s="14"/>
    </row>
    <row r="2113" ht="31.5" customHeight="1">
      <c r="A2113" s="124" t="s">
        <v>17845</v>
      </c>
      <c r="B2113" s="125" t="s">
        <v>17846</v>
      </c>
      <c r="C2113" s="126" t="s">
        <v>17847</v>
      </c>
      <c r="D2113" s="127" t="s">
        <v>17848</v>
      </c>
      <c r="E2113" s="28" t="str">
        <f>IFERROR(__xludf.DUMMYFUNCTION("GOOGLETRANSLATE(D2113,""zh-CN"",""vi"")"),"Họ đang tiến hành các cuộc tập trận quân sự.")</f>
        <v>Họ đang tiến hành các cuộc tập trận quân sự.</v>
      </c>
      <c r="F2113" s="137"/>
      <c r="G2113" s="36" t="b">
        <f t="shared" si="1"/>
        <v>0</v>
      </c>
      <c r="H2113" s="35" t="b">
        <v>0</v>
      </c>
      <c r="I2113" s="35" t="b">
        <v>0</v>
      </c>
      <c r="J2113" s="35" t="b">
        <v>0</v>
      </c>
      <c r="K2113" s="35" t="b">
        <v>0</v>
      </c>
      <c r="L2113" s="35" t="b">
        <v>0</v>
      </c>
      <c r="M2113" s="35" t="b">
        <v>0</v>
      </c>
      <c r="N2113" s="35" t="b">
        <v>0</v>
      </c>
      <c r="O2113" s="35" t="b">
        <v>0</v>
      </c>
      <c r="P2113" s="35" t="b">
        <v>0</v>
      </c>
      <c r="Q2113" s="35" t="b">
        <v>0</v>
      </c>
      <c r="R2113" s="14"/>
      <c r="S2113" s="14"/>
      <c r="T2113" s="14"/>
      <c r="U2113" s="14"/>
      <c r="V2113" s="14"/>
      <c r="W2113" s="14"/>
    </row>
    <row r="2114" ht="31.5" customHeight="1">
      <c r="A2114" s="124" t="s">
        <v>17849</v>
      </c>
      <c r="B2114" s="125" t="s">
        <v>17850</v>
      </c>
      <c r="C2114" s="126" t="s">
        <v>17851</v>
      </c>
      <c r="D2114" s="127" t="s">
        <v>17852</v>
      </c>
      <c r="E2114" s="28" t="str">
        <f>IFERROR(__xludf.DUMMYFUNCTION("GOOGLETRANSLATE(D2114,""zh-CN"",""vi"")"),"Chúng ta cần một kế hoạch ngay bây giờ.")</f>
        <v>Chúng ta cần một kế hoạch ngay bây giờ.</v>
      </c>
      <c r="F2114" s="137"/>
      <c r="G2114" s="36" t="b">
        <f t="shared" si="1"/>
        <v>0</v>
      </c>
      <c r="H2114" s="35" t="b">
        <v>0</v>
      </c>
      <c r="I2114" s="35" t="b">
        <v>0</v>
      </c>
      <c r="J2114" s="35" t="b">
        <v>0</v>
      </c>
      <c r="K2114" s="35" t="b">
        <v>0</v>
      </c>
      <c r="L2114" s="35" t="b">
        <v>0</v>
      </c>
      <c r="M2114" s="35" t="b">
        <v>0</v>
      </c>
      <c r="N2114" s="35" t="b">
        <v>0</v>
      </c>
      <c r="O2114" s="35" t="b">
        <v>0</v>
      </c>
      <c r="P2114" s="35" t="b">
        <v>0</v>
      </c>
      <c r="Q2114" s="35" t="b">
        <v>0</v>
      </c>
      <c r="R2114" s="14"/>
      <c r="S2114" s="14"/>
      <c r="T2114" s="14"/>
      <c r="U2114" s="14"/>
      <c r="V2114" s="14"/>
      <c r="W2114" s="14"/>
    </row>
    <row r="2115" ht="31.5" customHeight="1">
      <c r="A2115" s="124" t="s">
        <v>17853</v>
      </c>
      <c r="B2115" s="125" t="s">
        <v>17854</v>
      </c>
      <c r="C2115" s="126" t="s">
        <v>17855</v>
      </c>
      <c r="D2115" s="127" t="s">
        <v>17856</v>
      </c>
      <c r="E2115" s="28" t="str">
        <f>IFERROR(__xludf.DUMMYFUNCTION("GOOGLETRANSLATE(D2115,""zh-CN"",""vi"")"),"Anh ấy đã chuyển thể cuốn tiểu thuyết rất thành công.")</f>
        <v>Anh ấy đã chuyển thể cuốn tiểu thuyết rất thành công.</v>
      </c>
      <c r="F2115" s="137"/>
      <c r="G2115" s="36" t="b">
        <f t="shared" si="1"/>
        <v>0</v>
      </c>
      <c r="H2115" s="35" t="b">
        <v>0</v>
      </c>
      <c r="I2115" s="35" t="b">
        <v>0</v>
      </c>
      <c r="J2115" s="35" t="b">
        <v>0</v>
      </c>
      <c r="K2115" s="35" t="b">
        <v>0</v>
      </c>
      <c r="L2115" s="35" t="b">
        <v>0</v>
      </c>
      <c r="M2115" s="35" t="b">
        <v>0</v>
      </c>
      <c r="N2115" s="35" t="b">
        <v>0</v>
      </c>
      <c r="O2115" s="35" t="b">
        <v>0</v>
      </c>
      <c r="P2115" s="35" t="b">
        <v>0</v>
      </c>
      <c r="Q2115" s="35" t="b">
        <v>0</v>
      </c>
      <c r="R2115" s="14"/>
      <c r="S2115" s="14"/>
      <c r="T2115" s="14"/>
      <c r="U2115" s="14"/>
      <c r="V2115" s="14"/>
      <c r="W2115" s="14"/>
    </row>
    <row r="2116" ht="31.5" customHeight="1">
      <c r="A2116" s="124" t="s">
        <v>17857</v>
      </c>
      <c r="B2116" s="125" t="s">
        <v>17858</v>
      </c>
      <c r="C2116" s="126" t="s">
        <v>17859</v>
      </c>
      <c r="D2116" s="127" t="s">
        <v>17860</v>
      </c>
      <c r="E2116" s="28" t="str">
        <f>IFERROR(__xludf.DUMMYFUNCTION("GOOGLETRANSLATE(D2116,""zh-CN"",""vi"")"),"Cô ấy đã chơi một bản nhạc tuyệt đẹp trên đàn piano.")</f>
        <v>Cô ấy đã chơi một bản nhạc tuyệt đẹp trên đàn piano.</v>
      </c>
      <c r="F2116" s="137"/>
      <c r="G2116" s="36" t="b">
        <f t="shared" si="1"/>
        <v>0</v>
      </c>
      <c r="H2116" s="35" t="b">
        <v>0</v>
      </c>
      <c r="I2116" s="35" t="b">
        <v>0</v>
      </c>
      <c r="J2116" s="35" t="b">
        <v>0</v>
      </c>
      <c r="K2116" s="35" t="b">
        <v>0</v>
      </c>
      <c r="L2116" s="35" t="b">
        <v>0</v>
      </c>
      <c r="M2116" s="35" t="b">
        <v>0</v>
      </c>
      <c r="N2116" s="35" t="b">
        <v>0</v>
      </c>
      <c r="O2116" s="35" t="b">
        <v>0</v>
      </c>
      <c r="P2116" s="35" t="b">
        <v>0</v>
      </c>
      <c r="Q2116" s="35" t="b">
        <v>0</v>
      </c>
      <c r="R2116" s="14"/>
      <c r="S2116" s="14"/>
      <c r="T2116" s="14"/>
      <c r="U2116" s="14"/>
      <c r="V2116" s="14"/>
      <c r="W2116" s="14"/>
    </row>
    <row r="2117" ht="31.5" customHeight="1">
      <c r="A2117" s="124" t="s">
        <v>17861</v>
      </c>
      <c r="B2117" s="125" t="s">
        <v>17862</v>
      </c>
      <c r="C2117" s="126" t="s">
        <v>17863</v>
      </c>
      <c r="D2117" s="127" t="s">
        <v>17864</v>
      </c>
      <c r="E2117" s="28" t="str">
        <f>IFERROR(__xludf.DUMMYFUNCTION("GOOGLETRANSLATE(D2117,""zh-CN"",""vi"")"),"Sản phẩm này đã vượt qua kiểm tra.")</f>
        <v>Sản phẩm này đã vượt qua kiểm tra.</v>
      </c>
      <c r="F2117" s="137"/>
      <c r="G2117" s="36" t="b">
        <f t="shared" si="1"/>
        <v>0</v>
      </c>
      <c r="H2117" s="35" t="b">
        <v>0</v>
      </c>
      <c r="I2117" s="35" t="b">
        <v>0</v>
      </c>
      <c r="J2117" s="35" t="b">
        <v>0</v>
      </c>
      <c r="K2117" s="35" t="b">
        <v>0</v>
      </c>
      <c r="L2117" s="35" t="b">
        <v>0</v>
      </c>
      <c r="M2117" s="35" t="b">
        <v>0</v>
      </c>
      <c r="N2117" s="35" t="b">
        <v>0</v>
      </c>
      <c r="O2117" s="35" t="b">
        <v>0</v>
      </c>
      <c r="P2117" s="35" t="b">
        <v>0</v>
      </c>
      <c r="Q2117" s="35" t="b">
        <v>0</v>
      </c>
      <c r="R2117" s="14"/>
      <c r="S2117" s="14"/>
      <c r="T2117" s="14"/>
      <c r="U2117" s="14"/>
      <c r="V2117" s="14"/>
      <c r="W2117" s="14"/>
    </row>
    <row r="2118" ht="31.5" customHeight="1">
      <c r="A2118" s="124" t="s">
        <v>17865</v>
      </c>
      <c r="B2118" s="125" t="s">
        <v>17866</v>
      </c>
      <c r="C2118" s="126" t="s">
        <v>17262</v>
      </c>
      <c r="D2118" s="127" t="s">
        <v>17867</v>
      </c>
      <c r="E2118" s="28" t="str">
        <f>IFERROR(__xludf.DUMMYFUNCTION("GOOGLETRANSLATE(D2118,""zh-CN"",""vi"")"),"Ông ta cảm thấy ghê tởm trước hành vi này.")</f>
        <v>Ông ta cảm thấy ghê tởm trước hành vi này.</v>
      </c>
      <c r="F2118" s="137"/>
      <c r="G2118" s="36" t="b">
        <f t="shared" si="1"/>
        <v>0</v>
      </c>
      <c r="H2118" s="35" t="b">
        <v>0</v>
      </c>
      <c r="I2118" s="35" t="b">
        <v>0</v>
      </c>
      <c r="J2118" s="35" t="b">
        <v>0</v>
      </c>
      <c r="K2118" s="35" t="b">
        <v>0</v>
      </c>
      <c r="L2118" s="35" t="b">
        <v>0</v>
      </c>
      <c r="M2118" s="35" t="b">
        <v>0</v>
      </c>
      <c r="N2118" s="35" t="b">
        <v>0</v>
      </c>
      <c r="O2118" s="35" t="b">
        <v>0</v>
      </c>
      <c r="P2118" s="35" t="b">
        <v>0</v>
      </c>
      <c r="Q2118" s="35" t="b">
        <v>0</v>
      </c>
      <c r="R2118" s="14"/>
      <c r="S2118" s="14"/>
      <c r="T2118" s="14"/>
      <c r="U2118" s="14"/>
      <c r="V2118" s="14"/>
      <c r="W2118" s="14"/>
    </row>
    <row r="2119" ht="31.5" customHeight="1">
      <c r="A2119" s="124" t="s">
        <v>17868</v>
      </c>
      <c r="B2119" s="125" t="s">
        <v>17869</v>
      </c>
      <c r="C2119" s="126" t="s">
        <v>17870</v>
      </c>
      <c r="D2119" s="127" t="s">
        <v>17871</v>
      </c>
      <c r="E2119" s="28" t="str">
        <f>IFERROR(__xludf.DUMMYFUNCTION("GOOGLETRANSLATE(D2119,""zh-CN"",""vi"")"),"Phương pháp này cần được kiểm chứng thêm.")</f>
        <v>Phương pháp này cần được kiểm chứng thêm.</v>
      </c>
      <c r="F2119" s="137"/>
      <c r="G2119" s="36" t="b">
        <f t="shared" si="1"/>
        <v>0</v>
      </c>
      <c r="H2119" s="35" t="b">
        <v>0</v>
      </c>
      <c r="I2119" s="35" t="b">
        <v>0</v>
      </c>
      <c r="J2119" s="35" t="b">
        <v>0</v>
      </c>
      <c r="K2119" s="35" t="b">
        <v>0</v>
      </c>
      <c r="L2119" s="35" t="b">
        <v>0</v>
      </c>
      <c r="M2119" s="35" t="b">
        <v>0</v>
      </c>
      <c r="N2119" s="35" t="b">
        <v>0</v>
      </c>
      <c r="O2119" s="35" t="b">
        <v>0</v>
      </c>
      <c r="P2119" s="35" t="b">
        <v>0</v>
      </c>
      <c r="Q2119" s="35" t="b">
        <v>0</v>
      </c>
      <c r="R2119" s="14"/>
      <c r="S2119" s="14"/>
      <c r="T2119" s="14"/>
      <c r="U2119" s="14"/>
      <c r="V2119" s="14"/>
      <c r="W2119" s="14"/>
    </row>
    <row r="2120" ht="31.5" customHeight="1">
      <c r="A2120" s="124" t="s">
        <v>17872</v>
      </c>
      <c r="B2120" s="125" t="s">
        <v>17873</v>
      </c>
      <c r="C2120" s="126" t="s">
        <v>17874</v>
      </c>
      <c r="D2120" s="127" t="s">
        <v>17875</v>
      </c>
      <c r="E2120" s="28" t="str">
        <f>IFERROR(__xludf.DUMMYFUNCTION("GOOGLETRANSLATE(D2120,""zh-CN"",""vi"")"),"Cây cần oxy để phát triển.")</f>
        <v>Cây cần oxy để phát triển.</v>
      </c>
      <c r="F2120" s="137"/>
      <c r="G2120" s="36" t="b">
        <f t="shared" si="1"/>
        <v>0</v>
      </c>
      <c r="H2120" s="35" t="b">
        <v>0</v>
      </c>
      <c r="I2120" s="35" t="b">
        <v>0</v>
      </c>
      <c r="J2120" s="35" t="b">
        <v>0</v>
      </c>
      <c r="K2120" s="35" t="b">
        <v>0</v>
      </c>
      <c r="L2120" s="35" t="b">
        <v>0</v>
      </c>
      <c r="M2120" s="35" t="b">
        <v>0</v>
      </c>
      <c r="N2120" s="35" t="b">
        <v>0</v>
      </c>
      <c r="O2120" s="35" t="b">
        <v>0</v>
      </c>
      <c r="P2120" s="35" t="b">
        <v>0</v>
      </c>
      <c r="Q2120" s="35" t="b">
        <v>0</v>
      </c>
      <c r="R2120" s="14"/>
      <c r="S2120" s="14"/>
      <c r="T2120" s="14"/>
      <c r="U2120" s="14"/>
      <c r="V2120" s="14"/>
      <c r="W2120" s="14"/>
    </row>
    <row r="2121" ht="31.5" customHeight="1">
      <c r="A2121" s="124" t="s">
        <v>17876</v>
      </c>
      <c r="B2121" s="125" t="s">
        <v>17877</v>
      </c>
      <c r="C2121" s="126" t="s">
        <v>17878</v>
      </c>
      <c r="D2121" s="127" t="s">
        <v>17879</v>
      </c>
      <c r="E2121" s="28" t="str">
        <f>IFERROR(__xludf.DUMMYFUNCTION("GOOGLETRANSLATE(D2121,""zh-CN"",""vi"")"),"Có rất nhiều mẫu vật trong phòng thí nghiệm.")</f>
        <v>Có rất nhiều mẫu vật trong phòng thí nghiệm.</v>
      </c>
      <c r="F2121" s="137"/>
      <c r="G2121" s="36" t="b">
        <f t="shared" si="1"/>
        <v>0</v>
      </c>
      <c r="H2121" s="35" t="b">
        <v>0</v>
      </c>
      <c r="I2121" s="35" t="b">
        <v>0</v>
      </c>
      <c r="J2121" s="35" t="b">
        <v>0</v>
      </c>
      <c r="K2121" s="35" t="b">
        <v>0</v>
      </c>
      <c r="L2121" s="35" t="b">
        <v>0</v>
      </c>
      <c r="M2121" s="35" t="b">
        <v>0</v>
      </c>
      <c r="N2121" s="35" t="b">
        <v>0</v>
      </c>
      <c r="O2121" s="35" t="b">
        <v>0</v>
      </c>
      <c r="P2121" s="35" t="b">
        <v>0</v>
      </c>
      <c r="Q2121" s="35" t="b">
        <v>0</v>
      </c>
      <c r="R2121" s="14"/>
      <c r="S2121" s="14"/>
      <c r="T2121" s="14"/>
      <c r="U2121" s="14"/>
      <c r="V2121" s="14"/>
      <c r="W2121" s="14"/>
    </row>
    <row r="2122" ht="31.5" customHeight="1">
      <c r="A2122" s="124" t="s">
        <v>17880</v>
      </c>
      <c r="B2122" s="125" t="s">
        <v>17881</v>
      </c>
      <c r="C2122" s="126" t="s">
        <v>17882</v>
      </c>
      <c r="D2122" s="127" t="s">
        <v>17883</v>
      </c>
      <c r="E2122" s="28" t="str">
        <f>IFERROR(__xludf.DUMMYFUNCTION("GOOGLETRANSLATE(D2122,""zh-CN"",""vi"")"),"Những cành cây đung đưa trong gió.")</f>
        <v>Những cành cây đung đưa trong gió.</v>
      </c>
      <c r="F2122" s="137"/>
      <c r="G2122" s="36" t="b">
        <f t="shared" si="1"/>
        <v>0</v>
      </c>
      <c r="H2122" s="35" t="b">
        <v>0</v>
      </c>
      <c r="I2122" s="35" t="b">
        <v>0</v>
      </c>
      <c r="J2122" s="35" t="b">
        <v>0</v>
      </c>
      <c r="K2122" s="35" t="b">
        <v>0</v>
      </c>
      <c r="L2122" s="35" t="b">
        <v>0</v>
      </c>
      <c r="M2122" s="35" t="b">
        <v>0</v>
      </c>
      <c r="N2122" s="35" t="b">
        <v>0</v>
      </c>
      <c r="O2122" s="35" t="b">
        <v>0</v>
      </c>
      <c r="P2122" s="35" t="b">
        <v>0</v>
      </c>
      <c r="Q2122" s="35" t="b">
        <v>0</v>
      </c>
      <c r="R2122" s="14"/>
      <c r="S2122" s="14"/>
      <c r="T2122" s="14"/>
      <c r="U2122" s="14"/>
      <c r="V2122" s="14"/>
      <c r="W2122" s="14"/>
    </row>
    <row r="2123" ht="31.5" customHeight="1">
      <c r="A2123" s="124" t="s">
        <v>17884</v>
      </c>
      <c r="B2123" s="125" t="s">
        <v>17885</v>
      </c>
      <c r="C2123" s="126" t="s">
        <v>17886</v>
      </c>
      <c r="D2123" s="127" t="s">
        <v>17887</v>
      </c>
      <c r="E2123" s="28" t="str">
        <f>IFERROR(__xludf.DUMMYFUNCTION("GOOGLETRANSLATE(D2123,""zh-CN"",""vi"")"),"Tôi thích nghe nhạc rock.")</f>
        <v>Tôi thích nghe nhạc rock.</v>
      </c>
      <c r="F2123" s="137"/>
      <c r="G2123" s="36" t="b">
        <f t="shared" si="1"/>
        <v>0</v>
      </c>
      <c r="H2123" s="35" t="b">
        <v>0</v>
      </c>
      <c r="I2123" s="35" t="b">
        <v>0</v>
      </c>
      <c r="J2123" s="35" t="b">
        <v>0</v>
      </c>
      <c r="K2123" s="35" t="b">
        <v>0</v>
      </c>
      <c r="L2123" s="35" t="b">
        <v>0</v>
      </c>
      <c r="M2123" s="35" t="b">
        <v>0</v>
      </c>
      <c r="N2123" s="35" t="b">
        <v>0</v>
      </c>
      <c r="O2123" s="35" t="b">
        <v>0</v>
      </c>
      <c r="P2123" s="35" t="b">
        <v>0</v>
      </c>
      <c r="Q2123" s="35" t="b">
        <v>0</v>
      </c>
      <c r="R2123" s="14"/>
      <c r="S2123" s="14"/>
      <c r="T2123" s="14"/>
      <c r="U2123" s="14"/>
      <c r="V2123" s="14"/>
      <c r="W2123" s="14"/>
    </row>
    <row r="2124" ht="31.5" customHeight="1">
      <c r="A2124" s="124" t="s">
        <v>17888</v>
      </c>
      <c r="B2124" s="125" t="s">
        <v>17889</v>
      </c>
      <c r="C2124" s="126" t="s">
        <v>17890</v>
      </c>
      <c r="D2124" s="127" t="s">
        <v>17891</v>
      </c>
      <c r="E2124" s="28" t="str">
        <f>IFERROR(__xludf.DUMMYFUNCTION("GOOGLETRANSLATE(D2124,""zh-CN"",""vi"")"),"Trận động đất khiến các ngôi nhà rung chuyển.")</f>
        <v>Trận động đất khiến các ngôi nhà rung chuyển.</v>
      </c>
      <c r="F2124" s="137"/>
      <c r="G2124" s="36" t="b">
        <f t="shared" si="1"/>
        <v>0</v>
      </c>
      <c r="H2124" s="35" t="b">
        <v>0</v>
      </c>
      <c r="I2124" s="35" t="b">
        <v>0</v>
      </c>
      <c r="J2124" s="35" t="b">
        <v>0</v>
      </c>
      <c r="K2124" s="35" t="b">
        <v>0</v>
      </c>
      <c r="L2124" s="35" t="b">
        <v>0</v>
      </c>
      <c r="M2124" s="35" t="b">
        <v>0</v>
      </c>
      <c r="N2124" s="35" t="b">
        <v>0</v>
      </c>
      <c r="O2124" s="35" t="b">
        <v>0</v>
      </c>
      <c r="P2124" s="35" t="b">
        <v>0</v>
      </c>
      <c r="Q2124" s="35" t="b">
        <v>0</v>
      </c>
      <c r="R2124" s="14"/>
      <c r="S2124" s="14"/>
      <c r="T2124" s="14"/>
      <c r="U2124" s="14"/>
      <c r="V2124" s="14"/>
      <c r="W2124" s="14"/>
    </row>
    <row r="2125" ht="31.5" customHeight="1">
      <c r="A2125" s="124" t="s">
        <v>17892</v>
      </c>
      <c r="B2125" s="125" t="s">
        <v>17893</v>
      </c>
      <c r="C2125" s="126" t="s">
        <v>17894</v>
      </c>
      <c r="D2125" s="127" t="s">
        <v>17895</v>
      </c>
      <c r="E2125" s="28" t="str">
        <f>IFERROR(__xludf.DUMMYFUNCTION("GOOGLETRANSLATE(D2125,""zh-CN"",""vi"")"),"Họ điều khiển tivi bằng điều khiển từ xa.")</f>
        <v>Họ điều khiển tivi bằng điều khiển từ xa.</v>
      </c>
      <c r="F2125" s="137"/>
      <c r="G2125" s="36" t="b">
        <f t="shared" si="1"/>
        <v>0</v>
      </c>
      <c r="H2125" s="35" t="b">
        <v>0</v>
      </c>
      <c r="I2125" s="35" t="b">
        <v>0</v>
      </c>
      <c r="J2125" s="35" t="b">
        <v>0</v>
      </c>
      <c r="K2125" s="35" t="b">
        <v>0</v>
      </c>
      <c r="L2125" s="35" t="b">
        <v>0</v>
      </c>
      <c r="M2125" s="35" t="b">
        <v>0</v>
      </c>
      <c r="N2125" s="35" t="b">
        <v>0</v>
      </c>
      <c r="O2125" s="35" t="b">
        <v>0</v>
      </c>
      <c r="P2125" s="35" t="b">
        <v>0</v>
      </c>
      <c r="Q2125" s="35" t="b">
        <v>0</v>
      </c>
      <c r="R2125" s="14"/>
      <c r="S2125" s="14"/>
      <c r="T2125" s="14"/>
      <c r="U2125" s="14"/>
      <c r="V2125" s="14"/>
      <c r="W2125" s="14"/>
    </row>
    <row r="2126" ht="31.5" customHeight="1">
      <c r="A2126" s="124" t="s">
        <v>17896</v>
      </c>
      <c r="B2126" s="125" t="s">
        <v>17897</v>
      </c>
      <c r="C2126" s="126" t="s">
        <v>17898</v>
      </c>
      <c r="D2126" s="127" t="s">
        <v>17899</v>
      </c>
      <c r="E2126" s="28" t="str">
        <f>IFERROR(__xludf.DUMMYFUNCTION("GOOGLETRANSLATE(D2126,""zh-CN"",""vi"")"),"Đừng tin những tin đồn đó.")</f>
        <v>Đừng tin những tin đồn đó.</v>
      </c>
      <c r="F2126" s="137"/>
      <c r="G2126" s="36" t="b">
        <f t="shared" si="1"/>
        <v>0</v>
      </c>
      <c r="H2126" s="35" t="b">
        <v>0</v>
      </c>
      <c r="I2126" s="35" t="b">
        <v>0</v>
      </c>
      <c r="J2126" s="35" t="b">
        <v>0</v>
      </c>
      <c r="K2126" s="35" t="b">
        <v>0</v>
      </c>
      <c r="L2126" s="35" t="b">
        <v>0</v>
      </c>
      <c r="M2126" s="35" t="b">
        <v>0</v>
      </c>
      <c r="N2126" s="35" t="b">
        <v>0</v>
      </c>
      <c r="O2126" s="35" t="b">
        <v>0</v>
      </c>
      <c r="P2126" s="35" t="b">
        <v>0</v>
      </c>
      <c r="Q2126" s="35" t="b">
        <v>0</v>
      </c>
      <c r="R2126" s="14"/>
      <c r="S2126" s="14"/>
      <c r="T2126" s="14"/>
      <c r="U2126" s="14"/>
      <c r="V2126" s="14"/>
      <c r="W2126" s="14"/>
    </row>
    <row r="2127" ht="31.5" customHeight="1">
      <c r="A2127" s="124" t="s">
        <v>17900</v>
      </c>
      <c r="B2127" s="125" t="s">
        <v>17901</v>
      </c>
      <c r="C2127" s="126" t="s">
        <v>17902</v>
      </c>
      <c r="D2127" s="127" t="s">
        <v>17903</v>
      </c>
      <c r="E2127" s="28" t="str">
        <f>IFERROR(__xludf.DUMMYFUNCTION("GOOGLETRANSLATE(D2127,""zh-CN"",""vi"")"),"Cô ấy sống ở một ngôi làng hẻo lánh.")</f>
        <v>Cô ấy sống ở một ngôi làng hẻo lánh.</v>
      </c>
      <c r="F2127" s="137"/>
      <c r="G2127" s="36" t="b">
        <f t="shared" si="1"/>
        <v>0</v>
      </c>
      <c r="H2127" s="35" t="b">
        <v>0</v>
      </c>
      <c r="I2127" s="35" t="b">
        <v>0</v>
      </c>
      <c r="J2127" s="35" t="b">
        <v>0</v>
      </c>
      <c r="K2127" s="35" t="b">
        <v>0</v>
      </c>
      <c r="L2127" s="35" t="b">
        <v>0</v>
      </c>
      <c r="M2127" s="35" t="b">
        <v>0</v>
      </c>
      <c r="N2127" s="35" t="b">
        <v>0</v>
      </c>
      <c r="O2127" s="35" t="b">
        <v>0</v>
      </c>
      <c r="P2127" s="35" t="b">
        <v>0</v>
      </c>
      <c r="Q2127" s="35" t="b">
        <v>0</v>
      </c>
      <c r="R2127" s="14"/>
      <c r="S2127" s="14"/>
      <c r="T2127" s="14"/>
      <c r="U2127" s="14"/>
      <c r="V2127" s="14"/>
      <c r="W2127" s="14"/>
    </row>
    <row r="2128" ht="31.5" customHeight="1">
      <c r="A2128" s="124" t="s">
        <v>17904</v>
      </c>
      <c r="B2128" s="125" t="s">
        <v>17905</v>
      </c>
      <c r="C2128" s="126" t="s">
        <v>17906</v>
      </c>
      <c r="D2128" s="127" t="s">
        <v>17907</v>
      </c>
      <c r="E2128" s="28" t="str">
        <f>IFERROR(__xludf.DUMMYFUNCTION("GOOGLETRANSLATE(D2128,""zh-CN"",""vi"")"),"Anh ta nghiến răng và nói ra sự thật.")</f>
        <v>Anh ta nghiến răng và nói ra sự thật.</v>
      </c>
      <c r="F2128" s="137"/>
      <c r="G2128" s="36" t="b">
        <f t="shared" si="1"/>
        <v>0</v>
      </c>
      <c r="H2128" s="35" t="b">
        <v>0</v>
      </c>
      <c r="I2128" s="35" t="b">
        <v>0</v>
      </c>
      <c r="J2128" s="35" t="b">
        <v>0</v>
      </c>
      <c r="K2128" s="35" t="b">
        <v>0</v>
      </c>
      <c r="L2128" s="35" t="b">
        <v>0</v>
      </c>
      <c r="M2128" s="35" t="b">
        <v>0</v>
      </c>
      <c r="N2128" s="35" t="b">
        <v>0</v>
      </c>
      <c r="O2128" s="35" t="b">
        <v>0</v>
      </c>
      <c r="P2128" s="35" t="b">
        <v>0</v>
      </c>
      <c r="Q2128" s="35" t="b">
        <v>0</v>
      </c>
      <c r="R2128" s="14"/>
      <c r="S2128" s="14"/>
      <c r="T2128" s="14"/>
      <c r="U2128" s="14"/>
      <c r="V2128" s="14"/>
      <c r="W2128" s="14"/>
    </row>
    <row r="2129" ht="31.5" customHeight="1">
      <c r="A2129" s="124" t="s">
        <v>17908</v>
      </c>
      <c r="B2129" s="125" t="s">
        <v>17909</v>
      </c>
      <c r="C2129" s="126" t="s">
        <v>17910</v>
      </c>
      <c r="D2129" s="127" t="s">
        <v>17911</v>
      </c>
      <c r="E2129" s="28" t="str">
        <f>IFERROR(__xludf.DUMMYFUNCTION("GOOGLETRANSLATE(D2129,""zh-CN"",""vi"")"),"Chúng ta phải nhanh lên, nếu không sẽ muộn mất.")</f>
        <v>Chúng ta phải nhanh lên, nếu không sẽ muộn mất.</v>
      </c>
      <c r="F2129" s="137"/>
      <c r="G2129" s="36" t="b">
        <f t="shared" si="1"/>
        <v>0</v>
      </c>
      <c r="H2129" s="35" t="b">
        <v>0</v>
      </c>
      <c r="I2129" s="35" t="b">
        <v>0</v>
      </c>
      <c r="J2129" s="35" t="b">
        <v>0</v>
      </c>
      <c r="K2129" s="35" t="b">
        <v>0</v>
      </c>
      <c r="L2129" s="35" t="b">
        <v>0</v>
      </c>
      <c r="M2129" s="35" t="b">
        <v>0</v>
      </c>
      <c r="N2129" s="35" t="b">
        <v>0</v>
      </c>
      <c r="O2129" s="35" t="b">
        <v>0</v>
      </c>
      <c r="P2129" s="35" t="b">
        <v>0</v>
      </c>
      <c r="Q2129" s="35" t="b">
        <v>0</v>
      </c>
      <c r="R2129" s="14"/>
      <c r="S2129" s="14"/>
      <c r="T2129" s="14"/>
      <c r="U2129" s="14"/>
      <c r="V2129" s="14"/>
      <c r="W2129" s="14"/>
    </row>
    <row r="2130" ht="31.5" customHeight="1">
      <c r="A2130" s="124" t="s">
        <v>17912</v>
      </c>
      <c r="B2130" s="125" t="s">
        <v>17913</v>
      </c>
      <c r="C2130" s="126" t="s">
        <v>17914</v>
      </c>
      <c r="D2130" s="127" t="s">
        <v>17915</v>
      </c>
      <c r="E2130" s="28" t="str">
        <f>IFERROR(__xludf.DUMMYFUNCTION("GOOGLETRANSLATE(D2130,""zh-CN"",""vi"")"),"Ông ấy đã giải thích một số điểm chính.")</f>
        <v>Ông ấy đã giải thích một số điểm chính.</v>
      </c>
      <c r="F2130" s="137"/>
      <c r="G2130" s="36" t="b">
        <f t="shared" si="1"/>
        <v>0</v>
      </c>
      <c r="H2130" s="35" t="b">
        <v>0</v>
      </c>
      <c r="I2130" s="35" t="b">
        <v>0</v>
      </c>
      <c r="J2130" s="35" t="b">
        <v>0</v>
      </c>
      <c r="K2130" s="35" t="b">
        <v>0</v>
      </c>
      <c r="L2130" s="35" t="b">
        <v>0</v>
      </c>
      <c r="M2130" s="35" t="b">
        <v>0</v>
      </c>
      <c r="N2130" s="35" t="b">
        <v>0</v>
      </c>
      <c r="O2130" s="35" t="b">
        <v>0</v>
      </c>
      <c r="P2130" s="35" t="b">
        <v>0</v>
      </c>
      <c r="Q2130" s="35" t="b">
        <v>0</v>
      </c>
      <c r="R2130" s="14"/>
      <c r="S2130" s="14"/>
      <c r="T2130" s="14"/>
      <c r="U2130" s="14"/>
      <c r="V2130" s="14"/>
      <c r="W2130" s="14"/>
    </row>
    <row r="2131" ht="31.5" customHeight="1">
      <c r="A2131" s="124" t="s">
        <v>17916</v>
      </c>
      <c r="B2131" s="125" t="s">
        <v>17917</v>
      </c>
      <c r="C2131" s="126" t="s">
        <v>17918</v>
      </c>
      <c r="D2131" s="127" t="s">
        <v>17919</v>
      </c>
      <c r="E2131" s="28" t="str">
        <f>IFERROR(__xludf.DUMMYFUNCTION("GOOGLETRANSLATE(D2131,""zh-CN"",""vi"")"),"Tình huống này đe dọa đến tính mạng.")</f>
        <v>Tình huống này đe dọa đến tính mạng.</v>
      </c>
      <c r="F2131" s="137"/>
      <c r="G2131" s="36" t="b">
        <f t="shared" si="1"/>
        <v>0</v>
      </c>
      <c r="H2131" s="35" t="b">
        <v>0</v>
      </c>
      <c r="I2131" s="35" t="b">
        <v>0</v>
      </c>
      <c r="J2131" s="35" t="b">
        <v>0</v>
      </c>
      <c r="K2131" s="35" t="b">
        <v>0</v>
      </c>
      <c r="L2131" s="35" t="b">
        <v>0</v>
      </c>
      <c r="M2131" s="35" t="b">
        <v>0</v>
      </c>
      <c r="N2131" s="35" t="b">
        <v>0</v>
      </c>
      <c r="O2131" s="35" t="b">
        <v>0</v>
      </c>
      <c r="P2131" s="35" t="b">
        <v>0</v>
      </c>
      <c r="Q2131" s="35" t="b">
        <v>0</v>
      </c>
      <c r="R2131" s="14"/>
      <c r="S2131" s="14"/>
      <c r="T2131" s="14"/>
      <c r="U2131" s="14"/>
      <c r="V2131" s="14"/>
      <c r="W2131" s="14"/>
    </row>
    <row r="2132" ht="31.5" customHeight="1">
      <c r="A2132" s="124" t="s">
        <v>17920</v>
      </c>
      <c r="B2132" s="125" t="s">
        <v>17921</v>
      </c>
      <c r="C2132" s="126" t="s">
        <v>17922</v>
      </c>
      <c r="D2132" s="127" t="s">
        <v>17923</v>
      </c>
      <c r="E2132" s="28" t="str">
        <f>IFERROR(__xludf.DUMMYFUNCTION("GOOGLETRANSLATE(D2132,""zh-CN"",""vi"")"),"Đây là yếu tố then chốt dẫn đến thành công.")</f>
        <v>Đây là yếu tố then chốt dẫn đến thành công.</v>
      </c>
      <c r="F2132" s="137"/>
      <c r="G2132" s="36" t="b">
        <f t="shared" si="1"/>
        <v>0</v>
      </c>
      <c r="H2132" s="35" t="b">
        <v>0</v>
      </c>
      <c r="I2132" s="35" t="b">
        <v>0</v>
      </c>
      <c r="J2132" s="35" t="b">
        <v>0</v>
      </c>
      <c r="K2132" s="35" t="b">
        <v>0</v>
      </c>
      <c r="L2132" s="35" t="b">
        <v>0</v>
      </c>
      <c r="M2132" s="35" t="b">
        <v>0</v>
      </c>
      <c r="N2132" s="35" t="b">
        <v>0</v>
      </c>
      <c r="O2132" s="35" t="b">
        <v>0</v>
      </c>
      <c r="P2132" s="35" t="b">
        <v>0</v>
      </c>
      <c r="Q2132" s="35" t="b">
        <v>0</v>
      </c>
      <c r="R2132" s="14"/>
      <c r="S2132" s="14"/>
      <c r="T2132" s="14"/>
      <c r="U2132" s="14"/>
      <c r="V2132" s="14"/>
      <c r="W2132" s="14"/>
    </row>
    <row r="2133" ht="31.5" customHeight="1">
      <c r="A2133" s="124" t="s">
        <v>17924</v>
      </c>
      <c r="B2133" s="125" t="s">
        <v>17925</v>
      </c>
      <c r="C2133" s="126" t="s">
        <v>17926</v>
      </c>
      <c r="D2133" s="127" t="s">
        <v>17927</v>
      </c>
      <c r="E2133" s="28" t="str">
        <f>IFERROR(__xludf.DUMMYFUNCTION("GOOGLETRANSLATE(D2133,""zh-CN"",""vi"")"),"Mặt trời chiếu sáng rực rỡ.")</f>
        <v>Mặt trời chiếu sáng rực rỡ.</v>
      </c>
      <c r="F2133" s="137"/>
      <c r="G2133" s="36" t="b">
        <f t="shared" si="1"/>
        <v>0</v>
      </c>
      <c r="H2133" s="35" t="b">
        <v>0</v>
      </c>
      <c r="I2133" s="35" t="b">
        <v>0</v>
      </c>
      <c r="J2133" s="35" t="b">
        <v>0</v>
      </c>
      <c r="K2133" s="35" t="b">
        <v>0</v>
      </c>
      <c r="L2133" s="35" t="b">
        <v>0</v>
      </c>
      <c r="M2133" s="35" t="b">
        <v>0</v>
      </c>
      <c r="N2133" s="35" t="b">
        <v>0</v>
      </c>
      <c r="O2133" s="35" t="b">
        <v>0</v>
      </c>
      <c r="P2133" s="35" t="b">
        <v>0</v>
      </c>
      <c r="Q2133" s="35" t="b">
        <v>0</v>
      </c>
      <c r="R2133" s="14"/>
      <c r="S2133" s="14"/>
      <c r="T2133" s="14"/>
      <c r="U2133" s="14"/>
      <c r="V2133" s="14"/>
      <c r="W2133" s="14"/>
    </row>
    <row r="2134" ht="31.5" customHeight="1">
      <c r="A2134" s="124" t="s">
        <v>17928</v>
      </c>
      <c r="B2134" s="125" t="s">
        <v>17929</v>
      </c>
      <c r="C2134" s="126" t="s">
        <v>17930</v>
      </c>
      <c r="D2134" s="127" t="s">
        <v>17931</v>
      </c>
      <c r="E2134" s="28" t="str">
        <f>IFERROR(__xludf.DUMMYFUNCTION("GOOGLETRANSLATE(D2134,""zh-CN"",""vi"")"),"Hành vi của hắn vô cùng dã man.")</f>
        <v>Hành vi của hắn vô cùng dã man.</v>
      </c>
      <c r="F2134" s="137"/>
      <c r="G2134" s="36" t="b">
        <f t="shared" si="1"/>
        <v>0</v>
      </c>
      <c r="H2134" s="35" t="b">
        <v>0</v>
      </c>
      <c r="I2134" s="35" t="b">
        <v>0</v>
      </c>
      <c r="J2134" s="35" t="b">
        <v>0</v>
      </c>
      <c r="K2134" s="35" t="b">
        <v>0</v>
      </c>
      <c r="L2134" s="35" t="b">
        <v>0</v>
      </c>
      <c r="M2134" s="35" t="b">
        <v>0</v>
      </c>
      <c r="N2134" s="35" t="b">
        <v>0</v>
      </c>
      <c r="O2134" s="35" t="b">
        <v>0</v>
      </c>
      <c r="P2134" s="35" t="b">
        <v>0</v>
      </c>
      <c r="Q2134" s="35" t="b">
        <v>0</v>
      </c>
      <c r="R2134" s="14"/>
      <c r="S2134" s="14"/>
      <c r="T2134" s="14"/>
      <c r="U2134" s="14"/>
      <c r="V2134" s="14"/>
      <c r="W2134" s="14"/>
    </row>
    <row r="2135" ht="31.5" customHeight="1">
      <c r="A2135" s="124" t="s">
        <v>17932</v>
      </c>
      <c r="B2135" s="125" t="s">
        <v>17933</v>
      </c>
      <c r="C2135" s="126" t="s">
        <v>17934</v>
      </c>
      <c r="D2135" s="127" t="s">
        <v>17935</v>
      </c>
      <c r="E2135" s="28" t="str">
        <f>IFERROR(__xludf.DUMMYFUNCTION("GOOGLETRANSLATE(D2135,""zh-CN"",""vi"")"),"Anh ấy có hoài bão lớn.")</f>
        <v>Anh ấy có hoài bão lớn.</v>
      </c>
      <c r="F2135" s="137"/>
      <c r="G2135" s="36" t="b">
        <f t="shared" si="1"/>
        <v>0</v>
      </c>
      <c r="H2135" s="35" t="b">
        <v>0</v>
      </c>
      <c r="I2135" s="35" t="b">
        <v>0</v>
      </c>
      <c r="J2135" s="35" t="b">
        <v>0</v>
      </c>
      <c r="K2135" s="35" t="b">
        <v>0</v>
      </c>
      <c r="L2135" s="35" t="b">
        <v>0</v>
      </c>
      <c r="M2135" s="35" t="b">
        <v>0</v>
      </c>
      <c r="N2135" s="35" t="b">
        <v>0</v>
      </c>
      <c r="O2135" s="35" t="b">
        <v>0</v>
      </c>
      <c r="P2135" s="35" t="b">
        <v>0</v>
      </c>
      <c r="Q2135" s="35" t="b">
        <v>0</v>
      </c>
      <c r="R2135" s="14"/>
      <c r="S2135" s="14"/>
      <c r="T2135" s="14"/>
      <c r="U2135" s="14"/>
      <c r="V2135" s="14"/>
      <c r="W2135" s="14"/>
    </row>
    <row r="2136" ht="31.5" customHeight="1">
      <c r="A2136" s="124" t="s">
        <v>17936</v>
      </c>
      <c r="B2136" s="125" t="s">
        <v>17937</v>
      </c>
      <c r="C2136" s="126" t="s">
        <v>17938</v>
      </c>
      <c r="D2136" s="127" t="s">
        <v>17939</v>
      </c>
      <c r="E2136" s="28" t="str">
        <f>IFERROR(__xludf.DUMMYFUNCTION("GOOGLETRANSLATE(D2136,""zh-CN"",""vi"")"),"Chúng tôi lần lượt bước vào phòng.")</f>
        <v>Chúng tôi lần lượt bước vào phòng.</v>
      </c>
      <c r="F2136" s="137"/>
      <c r="G2136" s="36" t="b">
        <f t="shared" si="1"/>
        <v>0</v>
      </c>
      <c r="H2136" s="35" t="b">
        <v>0</v>
      </c>
      <c r="I2136" s="35" t="b">
        <v>0</v>
      </c>
      <c r="J2136" s="35" t="b">
        <v>0</v>
      </c>
      <c r="K2136" s="35" t="b">
        <v>0</v>
      </c>
      <c r="L2136" s="35" t="b">
        <v>0</v>
      </c>
      <c r="M2136" s="35" t="b">
        <v>0</v>
      </c>
      <c r="N2136" s="35" t="b">
        <v>0</v>
      </c>
      <c r="O2136" s="35" t="b">
        <v>0</v>
      </c>
      <c r="P2136" s="35" t="b">
        <v>0</v>
      </c>
      <c r="Q2136" s="35" t="b">
        <v>0</v>
      </c>
      <c r="R2136" s="14"/>
      <c r="S2136" s="14"/>
      <c r="T2136" s="14"/>
      <c r="U2136" s="14"/>
      <c r="V2136" s="14"/>
      <c r="W2136" s="14"/>
    </row>
    <row r="2137" ht="31.5" customHeight="1">
      <c r="A2137" s="124" t="s">
        <v>17940</v>
      </c>
      <c r="B2137" s="125" t="s">
        <v>17941</v>
      </c>
      <c r="C2137" s="126" t="s">
        <v>17942</v>
      </c>
      <c r="D2137" s="127" t="s">
        <v>17943</v>
      </c>
      <c r="E2137" s="28" t="str">
        <f>IFERROR(__xludf.DUMMYFUNCTION("GOOGLETRANSLATE(D2137,""zh-CN"",""vi"")"),"Chúng tôi từng tin rằng ông ấy sẽ thành công.")</f>
        <v>Chúng tôi từng tin rằng ông ấy sẽ thành công.</v>
      </c>
      <c r="F2137" s="137"/>
      <c r="G2137" s="36" t="b">
        <f t="shared" si="1"/>
        <v>0</v>
      </c>
      <c r="H2137" s="35" t="b">
        <v>0</v>
      </c>
      <c r="I2137" s="35" t="b">
        <v>0</v>
      </c>
      <c r="J2137" s="35" t="b">
        <v>0</v>
      </c>
      <c r="K2137" s="35" t="b">
        <v>0</v>
      </c>
      <c r="L2137" s="35" t="b">
        <v>0</v>
      </c>
      <c r="M2137" s="35" t="b">
        <v>0</v>
      </c>
      <c r="N2137" s="35" t="b">
        <v>0</v>
      </c>
      <c r="O2137" s="35" t="b">
        <v>0</v>
      </c>
      <c r="P2137" s="35" t="b">
        <v>0</v>
      </c>
      <c r="Q2137" s="35" t="b">
        <v>0</v>
      </c>
      <c r="R2137" s="14"/>
      <c r="S2137" s="14"/>
      <c r="T2137" s="14"/>
      <c r="U2137" s="14"/>
      <c r="V2137" s="14"/>
      <c r="W2137" s="14"/>
    </row>
    <row r="2138" ht="31.5" customHeight="1">
      <c r="A2138" s="124" t="s">
        <v>17944</v>
      </c>
      <c r="B2138" s="125" t="s">
        <v>17945</v>
      </c>
      <c r="C2138" s="126" t="s">
        <v>17946</v>
      </c>
      <c r="D2138" s="127" t="s">
        <v>17947</v>
      </c>
      <c r="E2138" s="28" t="str">
        <f>IFERROR(__xludf.DUMMYFUNCTION("GOOGLETRANSLATE(D2138,""zh-CN"",""vi"")"),"Anh ta hy vọng cuộc sống của mình sẽ suôn sẻ.")</f>
        <v>Anh ta hy vọng cuộc sống của mình sẽ suôn sẻ.</v>
      </c>
      <c r="F2138" s="137"/>
      <c r="G2138" s="36" t="b">
        <f t="shared" si="1"/>
        <v>0</v>
      </c>
      <c r="H2138" s="35" t="b">
        <v>0</v>
      </c>
      <c r="I2138" s="35" t="b">
        <v>0</v>
      </c>
      <c r="J2138" s="35" t="b">
        <v>0</v>
      </c>
      <c r="K2138" s="35" t="b">
        <v>0</v>
      </c>
      <c r="L2138" s="35" t="b">
        <v>0</v>
      </c>
      <c r="M2138" s="35" t="b">
        <v>0</v>
      </c>
      <c r="N2138" s="35" t="b">
        <v>0</v>
      </c>
      <c r="O2138" s="35" t="b">
        <v>0</v>
      </c>
      <c r="P2138" s="35" t="b">
        <v>0</v>
      </c>
      <c r="Q2138" s="35" t="b">
        <v>0</v>
      </c>
      <c r="R2138" s="14"/>
      <c r="S2138" s="14"/>
      <c r="T2138" s="14"/>
      <c r="U2138" s="14"/>
      <c r="V2138" s="14"/>
      <c r="W2138" s="14"/>
    </row>
    <row r="2139" ht="31.5" customHeight="1">
      <c r="A2139" s="124" t="s">
        <v>17948</v>
      </c>
      <c r="B2139" s="125" t="s">
        <v>17949</v>
      </c>
      <c r="C2139" s="126" t="s">
        <v>17950</v>
      </c>
      <c r="D2139" s="127" t="s">
        <v>17951</v>
      </c>
      <c r="E2139" s="28" t="str">
        <f>IFERROR(__xludf.DUMMYFUNCTION("GOOGLETRANSLATE(D2139,""zh-CN"",""vi"")"),"Anh ấy luôn làm việc rất chăm chỉ.")</f>
        <v>Anh ấy luôn làm việc rất chăm chỉ.</v>
      </c>
      <c r="F2139" s="137"/>
      <c r="G2139" s="36" t="b">
        <f t="shared" si="1"/>
        <v>0</v>
      </c>
      <c r="H2139" s="35" t="b">
        <v>0</v>
      </c>
      <c r="I2139" s="35" t="b">
        <v>0</v>
      </c>
      <c r="J2139" s="35" t="b">
        <v>0</v>
      </c>
      <c r="K2139" s="35" t="b">
        <v>0</v>
      </c>
      <c r="L2139" s="35" t="b">
        <v>0</v>
      </c>
      <c r="M2139" s="35" t="b">
        <v>0</v>
      </c>
      <c r="N2139" s="35" t="b">
        <v>0</v>
      </c>
      <c r="O2139" s="35" t="b">
        <v>0</v>
      </c>
      <c r="P2139" s="35" t="b">
        <v>0</v>
      </c>
      <c r="Q2139" s="35" t="b">
        <v>0</v>
      </c>
      <c r="R2139" s="14"/>
      <c r="S2139" s="14"/>
      <c r="T2139" s="14"/>
      <c r="U2139" s="14"/>
      <c r="V2139" s="14"/>
      <c r="W2139" s="14"/>
    </row>
    <row r="2140" ht="31.5" customHeight="1">
      <c r="A2140" s="124" t="s">
        <v>17952</v>
      </c>
      <c r="B2140" s="125" t="s">
        <v>17953</v>
      </c>
      <c r="C2140" s="126" t="s">
        <v>15667</v>
      </c>
      <c r="D2140" s="127" t="s">
        <v>17954</v>
      </c>
      <c r="E2140" s="28" t="str">
        <f>IFERROR(__xludf.DUMMYFUNCTION("GOOGLETRANSLATE(D2140,""zh-CN"",""vi"")"),"Cô ấy vẫn rất xinh đẹp.")</f>
        <v>Cô ấy vẫn rất xinh đẹp.</v>
      </c>
      <c r="F2140" s="137"/>
      <c r="G2140" s="36" t="b">
        <f t="shared" si="1"/>
        <v>0</v>
      </c>
      <c r="H2140" s="35" t="b">
        <v>0</v>
      </c>
      <c r="I2140" s="35" t="b">
        <v>0</v>
      </c>
      <c r="J2140" s="35" t="b">
        <v>0</v>
      </c>
      <c r="K2140" s="35" t="b">
        <v>0</v>
      </c>
      <c r="L2140" s="35" t="b">
        <v>0</v>
      </c>
      <c r="M2140" s="35" t="b">
        <v>0</v>
      </c>
      <c r="N2140" s="35" t="b">
        <v>0</v>
      </c>
      <c r="O2140" s="35" t="b">
        <v>0</v>
      </c>
      <c r="P2140" s="35" t="b">
        <v>0</v>
      </c>
      <c r="Q2140" s="35" t="b">
        <v>0</v>
      </c>
      <c r="R2140" s="14"/>
      <c r="S2140" s="14"/>
      <c r="T2140" s="14"/>
      <c r="U2140" s="14"/>
      <c r="V2140" s="14"/>
      <c r="W2140" s="14"/>
    </row>
    <row r="2141" ht="31.5" customHeight="1">
      <c r="A2141" s="124" t="s">
        <v>17955</v>
      </c>
      <c r="B2141" s="125" t="s">
        <v>17956</v>
      </c>
      <c r="C2141" s="126" t="s">
        <v>17957</v>
      </c>
      <c r="D2141" s="127" t="s">
        <v>17958</v>
      </c>
      <c r="E2141" s="28" t="str">
        <f>IFERROR(__xludf.DUMMYFUNCTION("GOOGLETRANSLATE(D2141,""zh-CN"",""vi"")"),"Chúng ta có thể đạt được hai mục tiêu cùng một lúc.")</f>
        <v>Chúng ta có thể đạt được hai mục tiêu cùng một lúc.</v>
      </c>
      <c r="F2141" s="137"/>
      <c r="G2141" s="36" t="b">
        <f t="shared" si="1"/>
        <v>0</v>
      </c>
      <c r="H2141" s="35" t="b">
        <v>0</v>
      </c>
      <c r="I2141" s="35" t="b">
        <v>0</v>
      </c>
      <c r="J2141" s="35" t="b">
        <v>0</v>
      </c>
      <c r="K2141" s="35" t="b">
        <v>0</v>
      </c>
      <c r="L2141" s="35" t="b">
        <v>0</v>
      </c>
      <c r="M2141" s="35" t="b">
        <v>0</v>
      </c>
      <c r="N2141" s="35" t="b">
        <v>0</v>
      </c>
      <c r="O2141" s="35" t="b">
        <v>0</v>
      </c>
      <c r="P2141" s="35" t="b">
        <v>0</v>
      </c>
      <c r="Q2141" s="35" t="b">
        <v>0</v>
      </c>
      <c r="R2141" s="14"/>
      <c r="S2141" s="14"/>
      <c r="T2141" s="14"/>
      <c r="U2141" s="14"/>
      <c r="V2141" s="14"/>
      <c r="W2141" s="14"/>
    </row>
    <row r="2142" ht="31.5" customHeight="1">
      <c r="A2142" s="124" t="s">
        <v>17959</v>
      </c>
      <c r="B2142" s="125" t="s">
        <v>17960</v>
      </c>
      <c r="C2142" s="126" t="s">
        <v>17961</v>
      </c>
      <c r="D2142" s="127" t="s">
        <v>17962</v>
      </c>
      <c r="E2142" s="28" t="str">
        <f>IFERROR(__xludf.DUMMYFUNCTION("GOOGLETRANSLATE(D2142,""zh-CN"",""vi"")"),"Chúng tôi hành động theo đúng pháp luật.")</f>
        <v>Chúng tôi hành động theo đúng pháp luật.</v>
      </c>
      <c r="F2142" s="137"/>
      <c r="G2142" s="36" t="b">
        <f t="shared" si="1"/>
        <v>0</v>
      </c>
      <c r="H2142" s="35" t="b">
        <v>0</v>
      </c>
      <c r="I2142" s="35" t="b">
        <v>0</v>
      </c>
      <c r="J2142" s="35" t="b">
        <v>0</v>
      </c>
      <c r="K2142" s="35" t="b">
        <v>0</v>
      </c>
      <c r="L2142" s="35" t="b">
        <v>0</v>
      </c>
      <c r="M2142" s="35" t="b">
        <v>0</v>
      </c>
      <c r="N2142" s="35" t="b">
        <v>0</v>
      </c>
      <c r="O2142" s="35" t="b">
        <v>0</v>
      </c>
      <c r="P2142" s="35" t="b">
        <v>0</v>
      </c>
      <c r="Q2142" s="35" t="b">
        <v>0</v>
      </c>
      <c r="R2142" s="14"/>
      <c r="S2142" s="14"/>
      <c r="T2142" s="14"/>
      <c r="U2142" s="14"/>
      <c r="V2142" s="14"/>
      <c r="W2142" s="14"/>
    </row>
    <row r="2143" ht="31.5" customHeight="1">
      <c r="A2143" s="124" t="s">
        <v>17963</v>
      </c>
      <c r="B2143" s="125" t="s">
        <v>17964</v>
      </c>
      <c r="C2143" s="126" t="s">
        <v>17965</v>
      </c>
      <c r="D2143" s="127" t="s">
        <v>17966</v>
      </c>
      <c r="E2143" s="28" t="str">
        <f>IFERROR(__xludf.DUMMYFUNCTION("GOOGLETRANSLATE(D2143,""zh-CN"",""vi"")"),"Anh ấy dựa vào sự hỗ trợ của gia đình.")</f>
        <v>Anh ấy dựa vào sự hỗ trợ của gia đình.</v>
      </c>
      <c r="F2143" s="137"/>
      <c r="G2143" s="36" t="b">
        <f t="shared" si="1"/>
        <v>0</v>
      </c>
      <c r="H2143" s="35" t="b">
        <v>0</v>
      </c>
      <c r="I2143" s="35" t="b">
        <v>0</v>
      </c>
      <c r="J2143" s="35" t="b">
        <v>0</v>
      </c>
      <c r="K2143" s="35" t="b">
        <v>0</v>
      </c>
      <c r="L2143" s="35" t="b">
        <v>0</v>
      </c>
      <c r="M2143" s="35" t="b">
        <v>0</v>
      </c>
      <c r="N2143" s="35" t="b">
        <v>0</v>
      </c>
      <c r="O2143" s="35" t="b">
        <v>0</v>
      </c>
      <c r="P2143" s="35" t="b">
        <v>0</v>
      </c>
      <c r="Q2143" s="35" t="b">
        <v>0</v>
      </c>
      <c r="R2143" s="14"/>
      <c r="S2143" s="14"/>
      <c r="T2143" s="14"/>
      <c r="U2143" s="14"/>
      <c r="V2143" s="14"/>
      <c r="W2143" s="14"/>
    </row>
    <row r="2144" ht="31.5" customHeight="1">
      <c r="A2144" s="124" t="s">
        <v>17967</v>
      </c>
      <c r="B2144" s="125" t="s">
        <v>17968</v>
      </c>
      <c r="C2144" s="126" t="s">
        <v>17969</v>
      </c>
      <c r="D2144" s="127" t="s">
        <v>17970</v>
      </c>
      <c r="E2144" s="28" t="str">
        <f>IFERROR(__xludf.DUMMYFUNCTION("GOOGLETRANSLATE(D2144,""zh-CN"",""vi"")"),"Anh ấy phụ thuộc rất nhiều vào công nghệ.")</f>
        <v>Anh ấy phụ thuộc rất nhiều vào công nghệ.</v>
      </c>
      <c r="F2144" s="137"/>
      <c r="G2144" s="36" t="b">
        <f t="shared" si="1"/>
        <v>0</v>
      </c>
      <c r="H2144" s="35" t="b">
        <v>0</v>
      </c>
      <c r="I2144" s="35" t="b">
        <v>0</v>
      </c>
      <c r="J2144" s="35" t="b">
        <v>0</v>
      </c>
      <c r="K2144" s="35" t="b">
        <v>0</v>
      </c>
      <c r="L2144" s="35" t="b">
        <v>0</v>
      </c>
      <c r="M2144" s="35" t="b">
        <v>0</v>
      </c>
      <c r="N2144" s="35" t="b">
        <v>0</v>
      </c>
      <c r="O2144" s="35" t="b">
        <v>0</v>
      </c>
      <c r="P2144" s="35" t="b">
        <v>0</v>
      </c>
      <c r="Q2144" s="35" t="b">
        <v>0</v>
      </c>
      <c r="R2144" s="14"/>
      <c r="S2144" s="14"/>
      <c r="T2144" s="14"/>
      <c r="U2144" s="14"/>
      <c r="V2144" s="14"/>
      <c r="W2144" s="14"/>
    </row>
    <row r="2145" ht="31.5" customHeight="1">
      <c r="A2145" s="124" t="s">
        <v>17971</v>
      </c>
      <c r="B2145" s="125" t="s">
        <v>17972</v>
      </c>
      <c r="C2145" s="126" t="s">
        <v>17973</v>
      </c>
      <c r="D2145" s="127" t="s">
        <v>17974</v>
      </c>
      <c r="E2145" s="28" t="str">
        <f>IFERROR(__xludf.DUMMYFUNCTION("GOOGLETRANSLATE(D2145,""zh-CN"",""vi"")"),"Trường đại học này thuộc hàng đầu.")</f>
        <v>Trường đại học này thuộc hàng đầu.</v>
      </c>
      <c r="F2145" s="137"/>
      <c r="G2145" s="36" t="b">
        <f t="shared" si="1"/>
        <v>0</v>
      </c>
      <c r="H2145" s="35" t="b">
        <v>0</v>
      </c>
      <c r="I2145" s="35" t="b">
        <v>0</v>
      </c>
      <c r="J2145" s="35" t="b">
        <v>0</v>
      </c>
      <c r="K2145" s="35" t="b">
        <v>0</v>
      </c>
      <c r="L2145" s="35" t="b">
        <v>0</v>
      </c>
      <c r="M2145" s="35" t="b">
        <v>0</v>
      </c>
      <c r="N2145" s="35" t="b">
        <v>0</v>
      </c>
      <c r="O2145" s="35" t="b">
        <v>0</v>
      </c>
      <c r="P2145" s="35" t="b">
        <v>0</v>
      </c>
      <c r="Q2145" s="35" t="b">
        <v>0</v>
      </c>
      <c r="R2145" s="14"/>
      <c r="S2145" s="14"/>
      <c r="T2145" s="14"/>
      <c r="U2145" s="14"/>
      <c r="V2145" s="14"/>
      <c r="W2145" s="14"/>
    </row>
    <row r="2146" ht="31.5" customHeight="1">
      <c r="A2146" s="124" t="s">
        <v>12977</v>
      </c>
      <c r="B2146" s="125" t="s">
        <v>17975</v>
      </c>
      <c r="C2146" s="126" t="s">
        <v>17976</v>
      </c>
      <c r="D2146" s="127" t="s">
        <v>17977</v>
      </c>
      <c r="E2146" s="28" t="str">
        <f>IFERROR(__xludf.DUMMYFUNCTION("GOOGLETRANSLATE(D2146,""zh-CN"",""vi"")"),"Tất cả học sinh phải tuân thủ nội quy nhà trường.")</f>
        <v>Tất cả học sinh phải tuân thủ nội quy nhà trường.</v>
      </c>
      <c r="F2146" s="137"/>
      <c r="G2146" s="36" t="b">
        <f t="shared" si="1"/>
        <v>0</v>
      </c>
      <c r="H2146" s="35" t="b">
        <v>0</v>
      </c>
      <c r="I2146" s="35" t="b">
        <v>0</v>
      </c>
      <c r="J2146" s="35" t="b">
        <v>0</v>
      </c>
      <c r="K2146" s="35" t="b">
        <v>0</v>
      </c>
      <c r="L2146" s="35" t="b">
        <v>0</v>
      </c>
      <c r="M2146" s="35" t="b">
        <v>0</v>
      </c>
      <c r="N2146" s="35" t="b">
        <v>0</v>
      </c>
      <c r="O2146" s="35" t="b">
        <v>0</v>
      </c>
      <c r="P2146" s="35" t="b">
        <v>0</v>
      </c>
      <c r="Q2146" s="35" t="b">
        <v>0</v>
      </c>
      <c r="R2146" s="14"/>
      <c r="S2146" s="14"/>
      <c r="T2146" s="14"/>
      <c r="U2146" s="14"/>
      <c r="V2146" s="14"/>
      <c r="W2146" s="14"/>
    </row>
    <row r="2147" ht="31.5" customHeight="1">
      <c r="A2147" s="124" t="s">
        <v>17978</v>
      </c>
      <c r="B2147" s="125" t="s">
        <v>17979</v>
      </c>
      <c r="C2147" s="126" t="s">
        <v>17980</v>
      </c>
      <c r="D2147" s="127" t="s">
        <v>17981</v>
      </c>
      <c r="E2147" s="28" t="str">
        <f>IFERROR(__xludf.DUMMYFUNCTION("GOOGLETRANSLATE(D2147,""zh-CN"",""vi"")"),"Câu trả lời cho câu hỏi này rất rõ ràng.")</f>
        <v>Câu trả lời cho câu hỏi này rất rõ ràng.</v>
      </c>
      <c r="F2147" s="137"/>
      <c r="G2147" s="36" t="b">
        <f t="shared" si="1"/>
        <v>0</v>
      </c>
      <c r="H2147" s="35" t="b">
        <v>0</v>
      </c>
      <c r="I2147" s="35" t="b">
        <v>0</v>
      </c>
      <c r="J2147" s="35" t="b">
        <v>0</v>
      </c>
      <c r="K2147" s="35" t="b">
        <v>0</v>
      </c>
      <c r="L2147" s="35" t="b">
        <v>0</v>
      </c>
      <c r="M2147" s="35" t="b">
        <v>0</v>
      </c>
      <c r="N2147" s="35" t="b">
        <v>0</v>
      </c>
      <c r="O2147" s="35" t="b">
        <v>0</v>
      </c>
      <c r="P2147" s="35" t="b">
        <v>0</v>
      </c>
      <c r="Q2147" s="35" t="b">
        <v>0</v>
      </c>
      <c r="R2147" s="14"/>
      <c r="S2147" s="14"/>
      <c r="T2147" s="14"/>
      <c r="U2147" s="14"/>
      <c r="V2147" s="14"/>
      <c r="W2147" s="14"/>
    </row>
    <row r="2148" ht="31.5" customHeight="1">
      <c r="A2148" s="124" t="s">
        <v>17982</v>
      </c>
      <c r="B2148" s="125" t="s">
        <v>17983</v>
      </c>
      <c r="C2148" s="126" t="s">
        <v>17984</v>
      </c>
      <c r="D2148" s="127" t="s">
        <v>17985</v>
      </c>
      <c r="E2148" s="28" t="str">
        <f>IFERROR(__xludf.DUMMYFUNCTION("GOOGLETRANSLATE(D2148,""zh-CN"",""vi"")"),"Ông ấy luôn ủng hộ chúng tôi.")</f>
        <v>Ông ấy luôn ủng hộ chúng tôi.</v>
      </c>
      <c r="F2148" s="137"/>
      <c r="G2148" s="36" t="b">
        <f t="shared" si="1"/>
        <v>0</v>
      </c>
      <c r="H2148" s="35" t="b">
        <v>1</v>
      </c>
      <c r="I2148" s="35" t="b">
        <v>0</v>
      </c>
      <c r="J2148" s="35" t="b">
        <v>0</v>
      </c>
      <c r="K2148" s="35" t="b">
        <v>0</v>
      </c>
      <c r="L2148" s="35" t="b">
        <v>0</v>
      </c>
      <c r="M2148" s="35" t="b">
        <v>0</v>
      </c>
      <c r="N2148" s="35" t="b">
        <v>0</v>
      </c>
      <c r="O2148" s="35" t="b">
        <v>0</v>
      </c>
      <c r="P2148" s="35" t="b">
        <v>0</v>
      </c>
      <c r="Q2148" s="35" t="b">
        <v>0</v>
      </c>
      <c r="R2148" s="14"/>
      <c r="S2148" s="14"/>
      <c r="T2148" s="14"/>
      <c r="U2148" s="14"/>
      <c r="V2148" s="14"/>
      <c r="W2148" s="14"/>
    </row>
    <row r="2149" ht="31.5" customHeight="1">
      <c r="A2149" s="124" t="s">
        <v>17986</v>
      </c>
      <c r="B2149" s="125" t="s">
        <v>17987</v>
      </c>
      <c r="C2149" s="126" t="s">
        <v>17988</v>
      </c>
      <c r="D2149" s="127" t="s">
        <v>17989</v>
      </c>
      <c r="E2149" s="28" t="str">
        <f>IFERROR(__xludf.DUMMYFUNCTION("GOOGLETRANSLATE(D2149,""zh-CN"",""vi"")"),"Quần áo của cô ấy rất đẹp.")</f>
        <v>Quần áo của cô ấy rất đẹp.</v>
      </c>
      <c r="F2149" s="137"/>
      <c r="G2149" s="36" t="b">
        <f t="shared" si="1"/>
        <v>0</v>
      </c>
      <c r="H2149" s="35" t="b">
        <v>1</v>
      </c>
      <c r="I2149" s="35" t="b">
        <v>0</v>
      </c>
      <c r="J2149" s="35" t="b">
        <v>0</v>
      </c>
      <c r="K2149" s="35" t="b">
        <v>0</v>
      </c>
      <c r="L2149" s="35" t="b">
        <v>0</v>
      </c>
      <c r="M2149" s="35" t="b">
        <v>0</v>
      </c>
      <c r="N2149" s="35" t="b">
        <v>0</v>
      </c>
      <c r="O2149" s="35" t="b">
        <v>0</v>
      </c>
      <c r="P2149" s="35" t="b">
        <v>0</v>
      </c>
      <c r="Q2149" s="35" t="b">
        <v>0</v>
      </c>
      <c r="R2149" s="14"/>
      <c r="S2149" s="14"/>
      <c r="T2149" s="14"/>
      <c r="U2149" s="14"/>
      <c r="V2149" s="14"/>
      <c r="W2149" s="14"/>
    </row>
    <row r="2150" ht="31.5" customHeight="1">
      <c r="A2150" s="124" t="s">
        <v>17990</v>
      </c>
      <c r="B2150" s="125" t="s">
        <v>17991</v>
      </c>
      <c r="C2150" s="126" t="s">
        <v>17992</v>
      </c>
      <c r="D2150" s="127" t="s">
        <v>17993</v>
      </c>
      <c r="E2150" s="28" t="str">
        <f>IFERROR(__xludf.DUMMYFUNCTION("GOOGLETRANSLATE(D2150,""zh-CN"",""vi"")"),"Anh ấy rất tỉ mỉ trong công việc.")</f>
        <v>Anh ấy rất tỉ mỉ trong công việc.</v>
      </c>
      <c r="F2150" s="137"/>
      <c r="G2150" s="36" t="b">
        <f t="shared" si="1"/>
        <v>0</v>
      </c>
      <c r="H2150" s="35" t="b">
        <v>1</v>
      </c>
      <c r="I2150" s="35" t="b">
        <v>0</v>
      </c>
      <c r="J2150" s="35" t="b">
        <v>0</v>
      </c>
      <c r="K2150" s="35" t="b">
        <v>0</v>
      </c>
      <c r="L2150" s="35" t="b">
        <v>0</v>
      </c>
      <c r="M2150" s="35" t="b">
        <v>0</v>
      </c>
      <c r="N2150" s="35" t="b">
        <v>0</v>
      </c>
      <c r="O2150" s="35" t="b">
        <v>0</v>
      </c>
      <c r="P2150" s="35" t="b">
        <v>0</v>
      </c>
      <c r="Q2150" s="35" t="b">
        <v>0</v>
      </c>
      <c r="R2150" s="14"/>
      <c r="S2150" s="14"/>
      <c r="T2150" s="14"/>
      <c r="U2150" s="14"/>
      <c r="V2150" s="14"/>
      <c r="W2150" s="14"/>
    </row>
    <row r="2151" ht="31.5" customHeight="1">
      <c r="A2151" s="124" t="s">
        <v>17994</v>
      </c>
      <c r="B2151" s="125" t="s">
        <v>17995</v>
      </c>
      <c r="C2151" s="126" t="s">
        <v>17965</v>
      </c>
      <c r="D2151" s="127" t="s">
        <v>17996</v>
      </c>
      <c r="E2151" s="28" t="str">
        <f>IFERROR(__xludf.DUMMYFUNCTION("GOOGLETRANSLATE(D2151,""zh-CN"",""vi"")"),"Dự án này dựa trên công nghệ tiên tiến.")</f>
        <v>Dự án này dựa trên công nghệ tiên tiến.</v>
      </c>
      <c r="F2151" s="137"/>
      <c r="G2151" s="36" t="b">
        <f t="shared" si="1"/>
        <v>0</v>
      </c>
      <c r="H2151" s="35" t="b">
        <v>1</v>
      </c>
      <c r="I2151" s="35" t="b">
        <v>0</v>
      </c>
      <c r="J2151" s="35" t="b">
        <v>0</v>
      </c>
      <c r="K2151" s="35" t="b">
        <v>0</v>
      </c>
      <c r="L2151" s="35" t="b">
        <v>0</v>
      </c>
      <c r="M2151" s="35" t="b">
        <v>0</v>
      </c>
      <c r="N2151" s="35" t="b">
        <v>0</v>
      </c>
      <c r="O2151" s="35" t="b">
        <v>0</v>
      </c>
      <c r="P2151" s="35" t="b">
        <v>0</v>
      </c>
      <c r="Q2151" s="35" t="b">
        <v>0</v>
      </c>
      <c r="R2151" s="14"/>
      <c r="S2151" s="14"/>
      <c r="T2151" s="14"/>
      <c r="U2151" s="14"/>
      <c r="V2151" s="14"/>
      <c r="W2151" s="14"/>
    </row>
    <row r="2152" ht="31.5" customHeight="1">
      <c r="A2152" s="124" t="s">
        <v>17997</v>
      </c>
      <c r="B2152" s="125" t="s">
        <v>17998</v>
      </c>
      <c r="C2152" s="126" t="s">
        <v>17999</v>
      </c>
      <c r="D2152" s="127" t="s">
        <v>18000</v>
      </c>
      <c r="E2152" s="28" t="str">
        <f>IFERROR(__xludf.DUMMYFUNCTION("GOOGLETRANSLATE(D2152,""zh-CN"",""vi"")"),"Anh ấy luôn luôn rất đúng giờ.")</f>
        <v>Anh ấy luôn luôn rất đúng giờ.</v>
      </c>
      <c r="F2152" s="137"/>
      <c r="G2152" s="36" t="b">
        <f t="shared" si="1"/>
        <v>0</v>
      </c>
      <c r="H2152" s="35" t="b">
        <v>1</v>
      </c>
      <c r="I2152" s="35" t="b">
        <v>0</v>
      </c>
      <c r="J2152" s="35" t="b">
        <v>0</v>
      </c>
      <c r="K2152" s="35" t="b">
        <v>0</v>
      </c>
      <c r="L2152" s="35" t="b">
        <v>0</v>
      </c>
      <c r="M2152" s="35" t="b">
        <v>0</v>
      </c>
      <c r="N2152" s="35" t="b">
        <v>0</v>
      </c>
      <c r="O2152" s="35" t="b">
        <v>0</v>
      </c>
      <c r="P2152" s="35" t="b">
        <v>0</v>
      </c>
      <c r="Q2152" s="35" t="b">
        <v>0</v>
      </c>
      <c r="R2152" s="14"/>
      <c r="S2152" s="14"/>
      <c r="T2152" s="14"/>
      <c r="U2152" s="14"/>
      <c r="V2152" s="14"/>
      <c r="W2152" s="14"/>
    </row>
    <row r="2153" ht="31.5" customHeight="1">
      <c r="A2153" s="124" t="s">
        <v>12985</v>
      </c>
      <c r="B2153" s="125" t="s">
        <v>18001</v>
      </c>
      <c r="C2153" s="126" t="s">
        <v>14030</v>
      </c>
      <c r="D2153" s="127" t="s">
        <v>18002</v>
      </c>
      <c r="E2153" s="28" t="str">
        <f>IFERROR(__xludf.DUMMYFUNCTION("GOOGLETRANSLATE(D2153,""zh-CN"",""vi"")"),"Tôi đã nhiều lần nhấn mạnh tầm quan trọng của vấn đề này.")</f>
        <v>Tôi đã nhiều lần nhấn mạnh tầm quan trọng của vấn đề này.</v>
      </c>
      <c r="F2153" s="137"/>
      <c r="G2153" s="36" t="b">
        <f t="shared" si="1"/>
        <v>0</v>
      </c>
      <c r="H2153" s="35" t="b">
        <v>1</v>
      </c>
      <c r="I2153" s="35" t="b">
        <v>0</v>
      </c>
      <c r="J2153" s="35" t="b">
        <v>0</v>
      </c>
      <c r="K2153" s="35" t="b">
        <v>0</v>
      </c>
      <c r="L2153" s="35" t="b">
        <v>0</v>
      </c>
      <c r="M2153" s="35" t="b">
        <v>0</v>
      </c>
      <c r="N2153" s="35" t="b">
        <v>0</v>
      </c>
      <c r="O2153" s="35" t="b">
        <v>0</v>
      </c>
      <c r="P2153" s="35" t="b">
        <v>0</v>
      </c>
      <c r="Q2153" s="35" t="b">
        <v>0</v>
      </c>
      <c r="R2153" s="14"/>
      <c r="S2153" s="14"/>
      <c r="T2153" s="14"/>
      <c r="U2153" s="14"/>
      <c r="V2153" s="14"/>
      <c r="W2153" s="14"/>
    </row>
    <row r="2154" ht="31.5" customHeight="1">
      <c r="A2154" s="124" t="s">
        <v>18003</v>
      </c>
      <c r="B2154" s="125" t="s">
        <v>18004</v>
      </c>
      <c r="C2154" s="126" t="s">
        <v>18005</v>
      </c>
      <c r="D2154" s="127" t="s">
        <v>18006</v>
      </c>
      <c r="E2154" s="28" t="str">
        <f>IFERROR(__xludf.DUMMYFUNCTION("GOOGLETRANSLATE(D2154,""zh-CN"",""vi"")"),"Tài sản của ông ấy không được phân chia công bằng.")</f>
        <v>Tài sản của ông ấy không được phân chia công bằng.</v>
      </c>
      <c r="F2154" s="137"/>
      <c r="G2154" s="36" t="b">
        <f t="shared" si="1"/>
        <v>0</v>
      </c>
      <c r="H2154" s="35" t="b">
        <v>1</v>
      </c>
      <c r="I2154" s="35" t="b">
        <v>0</v>
      </c>
      <c r="J2154" s="35" t="b">
        <v>0</v>
      </c>
      <c r="K2154" s="35" t="b">
        <v>0</v>
      </c>
      <c r="L2154" s="35" t="b">
        <v>0</v>
      </c>
      <c r="M2154" s="35" t="b">
        <v>0</v>
      </c>
      <c r="N2154" s="35" t="b">
        <v>0</v>
      </c>
      <c r="O2154" s="35" t="b">
        <v>0</v>
      </c>
      <c r="P2154" s="35" t="b">
        <v>0</v>
      </c>
      <c r="Q2154" s="35" t="b">
        <v>0</v>
      </c>
      <c r="R2154" s="14"/>
      <c r="S2154" s="14"/>
      <c r="T2154" s="14"/>
      <c r="U2154" s="14"/>
      <c r="V2154" s="14"/>
      <c r="W2154" s="14"/>
    </row>
    <row r="2155" ht="31.5" customHeight="1">
      <c r="A2155" s="124" t="s">
        <v>18007</v>
      </c>
      <c r="B2155" s="125" t="s">
        <v>18008</v>
      </c>
      <c r="C2155" s="126" t="s">
        <v>18009</v>
      </c>
      <c r="D2155" s="127" t="s">
        <v>18010</v>
      </c>
      <c r="E2155" s="28" t="str">
        <f>IFERROR(__xludf.DUMMYFUNCTION("GOOGLETRANSLATE(D2155,""zh-CN"",""vi"")"),"Bệnh này có tính chất di truyền.")</f>
        <v>Bệnh này có tính chất di truyền.</v>
      </c>
      <c r="F2155" s="137"/>
      <c r="G2155" s="36" t="b">
        <f t="shared" si="1"/>
        <v>0</v>
      </c>
      <c r="H2155" s="35" t="b">
        <v>1</v>
      </c>
      <c r="I2155" s="35" t="b">
        <v>0</v>
      </c>
      <c r="J2155" s="35" t="b">
        <v>0</v>
      </c>
      <c r="K2155" s="35" t="b">
        <v>0</v>
      </c>
      <c r="L2155" s="35" t="b">
        <v>0</v>
      </c>
      <c r="M2155" s="35" t="b">
        <v>0</v>
      </c>
      <c r="N2155" s="35" t="b">
        <v>0</v>
      </c>
      <c r="O2155" s="35" t="b">
        <v>0</v>
      </c>
      <c r="P2155" s="35" t="b">
        <v>0</v>
      </c>
      <c r="Q2155" s="35" t="b">
        <v>0</v>
      </c>
      <c r="R2155" s="14"/>
      <c r="S2155" s="14"/>
      <c r="T2155" s="14"/>
      <c r="U2155" s="14"/>
      <c r="V2155" s="14"/>
      <c r="W2155" s="14"/>
    </row>
    <row r="2156" ht="31.5" customHeight="1">
      <c r="A2156" s="124" t="s">
        <v>18011</v>
      </c>
      <c r="B2156" s="125" t="s">
        <v>18012</v>
      </c>
      <c r="C2156" s="126" t="s">
        <v>17278</v>
      </c>
      <c r="D2156" s="127" t="s">
        <v>18013</v>
      </c>
      <c r="E2156" s="28" t="str">
        <f>IFERROR(__xludf.DUMMYFUNCTION("GOOGLETRANSLATE(D2156,""zh-CN"",""vi"")"),"Câu trả lời của cô ấy khiến tôi khó hiểu.")</f>
        <v>Câu trả lời của cô ấy khiến tôi khó hiểu.</v>
      </c>
      <c r="F2156" s="137"/>
      <c r="G2156" s="36" t="b">
        <f t="shared" si="1"/>
        <v>0</v>
      </c>
      <c r="H2156" s="35" t="b">
        <v>1</v>
      </c>
      <c r="I2156" s="35" t="b">
        <v>0</v>
      </c>
      <c r="J2156" s="35" t="b">
        <v>0</v>
      </c>
      <c r="K2156" s="35" t="b">
        <v>0</v>
      </c>
      <c r="L2156" s="35" t="b">
        <v>0</v>
      </c>
      <c r="M2156" s="35" t="b">
        <v>0</v>
      </c>
      <c r="N2156" s="35" t="b">
        <v>0</v>
      </c>
      <c r="O2156" s="35" t="b">
        <v>0</v>
      </c>
      <c r="P2156" s="35" t="b">
        <v>0</v>
      </c>
      <c r="Q2156" s="35" t="b">
        <v>0</v>
      </c>
      <c r="R2156" s="14"/>
      <c r="S2156" s="14"/>
      <c r="T2156" s="14"/>
      <c r="U2156" s="14"/>
      <c r="V2156" s="14"/>
      <c r="W2156" s="14"/>
    </row>
    <row r="2157" ht="31.5" customHeight="1">
      <c r="A2157" s="124" t="s">
        <v>18014</v>
      </c>
      <c r="B2157" s="125" t="s">
        <v>18015</v>
      </c>
      <c r="C2157" s="126" t="s">
        <v>18016</v>
      </c>
      <c r="D2157" s="127" t="s">
        <v>18017</v>
      </c>
      <c r="E2157" s="28" t="str">
        <f>IFERROR(__xludf.DUMMYFUNCTION("GOOGLETRANSLATE(D2157,""zh-CN"",""vi"")"),"Vùng đất này có nhiều di tích lịch sử.")</f>
        <v>Vùng đất này có nhiều di tích lịch sử.</v>
      </c>
      <c r="F2157" s="137"/>
      <c r="G2157" s="36" t="b">
        <f t="shared" si="1"/>
        <v>0</v>
      </c>
      <c r="H2157" s="35" t="b">
        <v>1</v>
      </c>
      <c r="I2157" s="35" t="b">
        <v>0</v>
      </c>
      <c r="J2157" s="35" t="b">
        <v>0</v>
      </c>
      <c r="K2157" s="35" t="b">
        <v>0</v>
      </c>
      <c r="L2157" s="35" t="b">
        <v>0</v>
      </c>
      <c r="M2157" s="35" t="b">
        <v>0</v>
      </c>
      <c r="N2157" s="35" t="b">
        <v>0</v>
      </c>
      <c r="O2157" s="35" t="b">
        <v>0</v>
      </c>
      <c r="P2157" s="35" t="b">
        <v>0</v>
      </c>
      <c r="Q2157" s="35" t="b">
        <v>0</v>
      </c>
      <c r="R2157" s="14"/>
      <c r="S2157" s="14"/>
      <c r="T2157" s="14"/>
      <c r="U2157" s="14"/>
      <c r="V2157" s="14"/>
      <c r="W2157" s="14"/>
    </row>
    <row r="2158" ht="31.5" customHeight="1">
      <c r="A2158" s="124" t="s">
        <v>18018</v>
      </c>
      <c r="B2158" s="125" t="s">
        <v>18019</v>
      </c>
      <c r="C2158" s="126" t="s">
        <v>18020</v>
      </c>
      <c r="D2158" s="127" t="s">
        <v>18021</v>
      </c>
      <c r="E2158" s="28" t="str">
        <f>IFERROR(__xludf.DUMMYFUNCTION("GOOGLETRANSLATE(D2158,""zh-CN"",""vi"")"),"Thí nghiệm này đòi hỏi các thiết bị hiện đại.")</f>
        <v>Thí nghiệm này đòi hỏi các thiết bị hiện đại.</v>
      </c>
      <c r="F2158" s="137"/>
      <c r="G2158" s="36" t="b">
        <f t="shared" si="1"/>
        <v>0</v>
      </c>
      <c r="H2158" s="35" t="b">
        <v>1</v>
      </c>
      <c r="I2158" s="35" t="b">
        <v>0</v>
      </c>
      <c r="J2158" s="35" t="b">
        <v>0</v>
      </c>
      <c r="K2158" s="35" t="b">
        <v>0</v>
      </c>
      <c r="L2158" s="35" t="b">
        <v>0</v>
      </c>
      <c r="M2158" s="35" t="b">
        <v>0</v>
      </c>
      <c r="N2158" s="35" t="b">
        <v>0</v>
      </c>
      <c r="O2158" s="35" t="b">
        <v>0</v>
      </c>
      <c r="P2158" s="35" t="b">
        <v>0</v>
      </c>
      <c r="Q2158" s="35" t="b">
        <v>0</v>
      </c>
      <c r="R2158" s="14"/>
      <c r="S2158" s="14"/>
      <c r="T2158" s="14"/>
      <c r="U2158" s="14"/>
      <c r="V2158" s="14"/>
      <c r="W2158" s="14"/>
    </row>
    <row r="2159" ht="31.5" customHeight="1">
      <c r="A2159" s="124" t="s">
        <v>18022</v>
      </c>
      <c r="B2159" s="125" t="s">
        <v>18023</v>
      </c>
      <c r="C2159" s="126" t="s">
        <v>15739</v>
      </c>
      <c r="D2159" s="127" t="s">
        <v>18024</v>
      </c>
      <c r="E2159" s="28" t="str">
        <f>IFERROR(__xludf.DUMMYFUNCTION("GOOGLETRANSLATE(D2159,""zh-CN"",""vi"")"),"Tôi bị mất chìa khóa.")</f>
        <v>Tôi bị mất chìa khóa.</v>
      </c>
      <c r="F2159" s="137"/>
      <c r="G2159" s="36" t="b">
        <f t="shared" si="1"/>
        <v>0</v>
      </c>
      <c r="H2159" s="35" t="b">
        <v>1</v>
      </c>
      <c r="I2159" s="35" t="b">
        <v>0</v>
      </c>
      <c r="J2159" s="35" t="b">
        <v>0</v>
      </c>
      <c r="K2159" s="35" t="b">
        <v>0</v>
      </c>
      <c r="L2159" s="35" t="b">
        <v>0</v>
      </c>
      <c r="M2159" s="35" t="b">
        <v>0</v>
      </c>
      <c r="N2159" s="35" t="b">
        <v>0</v>
      </c>
      <c r="O2159" s="35" t="b">
        <v>0</v>
      </c>
      <c r="P2159" s="35" t="b">
        <v>0</v>
      </c>
      <c r="Q2159" s="35" t="b">
        <v>0</v>
      </c>
      <c r="R2159" s="14"/>
      <c r="S2159" s="14"/>
      <c r="T2159" s="14"/>
      <c r="U2159" s="14"/>
      <c r="V2159" s="14"/>
      <c r="W2159" s="14"/>
    </row>
    <row r="2160" ht="31.5" customHeight="1">
      <c r="A2160" s="124" t="s">
        <v>18025</v>
      </c>
      <c r="B2160" s="125" t="s">
        <v>18026</v>
      </c>
      <c r="C2160" s="126" t="s">
        <v>18027</v>
      </c>
      <c r="D2160" s="127" t="s">
        <v>18028</v>
      </c>
      <c r="E2160" s="28" t="str">
        <f>IFERROR(__xludf.DUMMYFUNCTION("GOOGLETRANSLATE(D2160,""zh-CN"",""vi"")"),"Có rất nhiều nghi lễ truyền thống trong đám cưới.")</f>
        <v>Có rất nhiều nghi lễ truyền thống trong đám cưới.</v>
      </c>
      <c r="F2160" s="137"/>
      <c r="G2160" s="36" t="b">
        <f t="shared" si="1"/>
        <v>0</v>
      </c>
      <c r="H2160" s="35" t="b">
        <v>1</v>
      </c>
      <c r="I2160" s="35" t="b">
        <v>0</v>
      </c>
      <c r="J2160" s="35" t="b">
        <v>0</v>
      </c>
      <c r="K2160" s="35" t="b">
        <v>0</v>
      </c>
      <c r="L2160" s="35" t="b">
        <v>0</v>
      </c>
      <c r="M2160" s="35" t="b">
        <v>0</v>
      </c>
      <c r="N2160" s="35" t="b">
        <v>0</v>
      </c>
      <c r="O2160" s="35" t="b">
        <v>0</v>
      </c>
      <c r="P2160" s="35" t="b">
        <v>0</v>
      </c>
      <c r="Q2160" s="35" t="b">
        <v>0</v>
      </c>
      <c r="R2160" s="14"/>
      <c r="S2160" s="14"/>
      <c r="T2160" s="14"/>
      <c r="U2160" s="14"/>
      <c r="V2160" s="14"/>
      <c r="W2160" s="14"/>
    </row>
    <row r="2161" ht="31.5" customHeight="1">
      <c r="A2161" s="124" t="s">
        <v>18029</v>
      </c>
      <c r="B2161" s="125" t="s">
        <v>18030</v>
      </c>
      <c r="C2161" s="126" t="s">
        <v>18031</v>
      </c>
      <c r="D2161" s="127" t="s">
        <v>18032</v>
      </c>
      <c r="E2161" s="28" t="str">
        <f>IFERROR(__xludf.DUMMYFUNCTION("GOOGLETRANSLATE(D2161,""zh-CN"",""vi"")"),"Vui lòng trả lời sớm nhất có thể để chúng tôi có thể sắp xếp các bước tiếp theo.")</f>
        <v>Vui lòng trả lời sớm nhất có thể để chúng tôi có thể sắp xếp các bước tiếp theo.</v>
      </c>
      <c r="F2161" s="137"/>
      <c r="G2161" s="36" t="b">
        <f t="shared" si="1"/>
        <v>0</v>
      </c>
      <c r="H2161" s="35" t="b">
        <v>1</v>
      </c>
      <c r="I2161" s="35" t="b">
        <v>0</v>
      </c>
      <c r="J2161" s="35" t="b">
        <v>0</v>
      </c>
      <c r="K2161" s="35" t="b">
        <v>0</v>
      </c>
      <c r="L2161" s="35" t="b">
        <v>0</v>
      </c>
      <c r="M2161" s="35" t="b">
        <v>0</v>
      </c>
      <c r="N2161" s="35" t="b">
        <v>0</v>
      </c>
      <c r="O2161" s="35" t="b">
        <v>0</v>
      </c>
      <c r="P2161" s="35" t="b">
        <v>0</v>
      </c>
      <c r="Q2161" s="35" t="b">
        <v>0</v>
      </c>
      <c r="R2161" s="14"/>
      <c r="S2161" s="14"/>
      <c r="T2161" s="14"/>
      <c r="U2161" s="14"/>
      <c r="V2161" s="14"/>
      <c r="W2161" s="14"/>
    </row>
    <row r="2162" ht="31.5" customHeight="1">
      <c r="A2162" s="124" t="s">
        <v>18033</v>
      </c>
      <c r="B2162" s="125" t="s">
        <v>18034</v>
      </c>
      <c r="C2162" s="126" t="s">
        <v>18035</v>
      </c>
      <c r="D2162" s="127" t="s">
        <v>18036</v>
      </c>
      <c r="E2162" s="28" t="str">
        <f>IFERROR(__xludf.DUMMYFUNCTION("GOOGLETRANSLATE(D2162,""zh-CN"",""vi"")"),"Hãy lái xe cẩn thận để tránh tai nạn.")</f>
        <v>Hãy lái xe cẩn thận để tránh tai nạn.</v>
      </c>
      <c r="F2162" s="137"/>
      <c r="G2162" s="36" t="b">
        <f t="shared" si="1"/>
        <v>0</v>
      </c>
      <c r="H2162" s="35" t="b">
        <v>1</v>
      </c>
      <c r="I2162" s="35" t="b">
        <v>0</v>
      </c>
      <c r="J2162" s="35" t="b">
        <v>0</v>
      </c>
      <c r="K2162" s="35" t="b">
        <v>0</v>
      </c>
      <c r="L2162" s="35" t="b">
        <v>0</v>
      </c>
      <c r="M2162" s="35" t="b">
        <v>0</v>
      </c>
      <c r="N2162" s="35" t="b">
        <v>0</v>
      </c>
      <c r="O2162" s="35" t="b">
        <v>0</v>
      </c>
      <c r="P2162" s="35" t="b">
        <v>0</v>
      </c>
      <c r="Q2162" s="35" t="b">
        <v>0</v>
      </c>
      <c r="R2162" s="14"/>
      <c r="S2162" s="14"/>
      <c r="T2162" s="14"/>
      <c r="U2162" s="14"/>
      <c r="V2162" s="14"/>
      <c r="W2162" s="14"/>
    </row>
    <row r="2163" ht="31.5" customHeight="1">
      <c r="A2163" s="124" t="s">
        <v>18037</v>
      </c>
      <c r="B2163" s="125" t="s">
        <v>18038</v>
      </c>
      <c r="C2163" s="126" t="s">
        <v>18039</v>
      </c>
      <c r="D2163" s="127" t="s">
        <v>18040</v>
      </c>
      <c r="E2163" s="28" t="str">
        <f>IFERROR(__xludf.DUMMYFUNCTION("GOOGLETRANSLATE(D2163,""zh-CN"",""vi"")"),"Chúng tôi từng đi du lịch cùng nhau.")</f>
        <v>Chúng tôi từng đi du lịch cùng nhau.</v>
      </c>
      <c r="F2163" s="137"/>
      <c r="G2163" s="36" t="b">
        <f t="shared" si="1"/>
        <v>0</v>
      </c>
      <c r="H2163" s="35" t="b">
        <v>1</v>
      </c>
      <c r="I2163" s="35" t="b">
        <v>0</v>
      </c>
      <c r="J2163" s="35" t="b">
        <v>0</v>
      </c>
      <c r="K2163" s="35" t="b">
        <v>0</v>
      </c>
      <c r="L2163" s="35" t="b">
        <v>0</v>
      </c>
      <c r="M2163" s="35" t="b">
        <v>0</v>
      </c>
      <c r="N2163" s="35" t="b">
        <v>0</v>
      </c>
      <c r="O2163" s="35" t="b">
        <v>0</v>
      </c>
      <c r="P2163" s="35" t="b">
        <v>0</v>
      </c>
      <c r="Q2163" s="35" t="b">
        <v>0</v>
      </c>
      <c r="R2163" s="14"/>
      <c r="S2163" s="14"/>
      <c r="T2163" s="14"/>
      <c r="U2163" s="14"/>
      <c r="V2163" s="14"/>
      <c r="W2163" s="14"/>
    </row>
    <row r="2164" ht="31.5" customHeight="1">
      <c r="A2164" s="124" t="s">
        <v>18041</v>
      </c>
      <c r="B2164" s="125" t="s">
        <v>18042</v>
      </c>
      <c r="C2164" s="126" t="s">
        <v>18043</v>
      </c>
      <c r="D2164" s="127" t="s">
        <v>18044</v>
      </c>
      <c r="E2164" s="28" t="str">
        <f>IFERROR(__xludf.DUMMYFUNCTION("GOOGLETRANSLATE(D2164,""zh-CN"",""vi"")"),"Anh ấy làm việc vất vả đến nỗi quên cả ăn.")</f>
        <v>Anh ấy làm việc vất vả đến nỗi quên cả ăn.</v>
      </c>
      <c r="F2164" s="137"/>
      <c r="G2164" s="36" t="b">
        <f t="shared" si="1"/>
        <v>0</v>
      </c>
      <c r="H2164" s="35" t="b">
        <v>1</v>
      </c>
      <c r="I2164" s="35" t="b">
        <v>0</v>
      </c>
      <c r="J2164" s="35" t="b">
        <v>0</v>
      </c>
      <c r="K2164" s="35" t="b">
        <v>0</v>
      </c>
      <c r="L2164" s="35" t="b">
        <v>0</v>
      </c>
      <c r="M2164" s="35" t="b">
        <v>0</v>
      </c>
      <c r="N2164" s="35" t="b">
        <v>0</v>
      </c>
      <c r="O2164" s="35" t="b">
        <v>0</v>
      </c>
      <c r="P2164" s="35" t="b">
        <v>0</v>
      </c>
      <c r="Q2164" s="35" t="b">
        <v>0</v>
      </c>
      <c r="R2164" s="130"/>
      <c r="S2164" s="130"/>
      <c r="T2164" s="130"/>
      <c r="U2164" s="130"/>
      <c r="V2164" s="130"/>
      <c r="W2164" s="130"/>
    </row>
    <row r="2165" ht="31.5" customHeight="1">
      <c r="A2165" s="124" t="s">
        <v>18045</v>
      </c>
      <c r="B2165" s="125" t="s">
        <v>18042</v>
      </c>
      <c r="C2165" s="126" t="s">
        <v>18046</v>
      </c>
      <c r="D2165" s="127" t="s">
        <v>18047</v>
      </c>
      <c r="E2165" s="28" t="str">
        <f>IFERROR(__xludf.DUMMYFUNCTION("GOOGLETRANSLATE(D2165,""zh-CN"",""vi"")"),"Thời tiết lạnh quá nên tôi không thể ra ngoài được.")</f>
        <v>Thời tiết lạnh quá nên tôi không thể ra ngoài được.</v>
      </c>
      <c r="F2165" s="137"/>
      <c r="G2165" s="36" t="b">
        <f t="shared" si="1"/>
        <v>0</v>
      </c>
      <c r="H2165" s="35" t="b">
        <v>1</v>
      </c>
      <c r="I2165" s="35" t="b">
        <v>0</v>
      </c>
      <c r="J2165" s="35" t="b">
        <v>0</v>
      </c>
      <c r="K2165" s="35" t="b">
        <v>0</v>
      </c>
      <c r="L2165" s="35" t="b">
        <v>0</v>
      </c>
      <c r="M2165" s="35" t="b">
        <v>0</v>
      </c>
      <c r="N2165" s="35" t="b">
        <v>0</v>
      </c>
      <c r="O2165" s="35" t="b">
        <v>0</v>
      </c>
      <c r="P2165" s="35" t="b">
        <v>0</v>
      </c>
      <c r="Q2165" s="35" t="b">
        <v>0</v>
      </c>
      <c r="R2165" s="130"/>
      <c r="S2165" s="130"/>
      <c r="T2165" s="130"/>
      <c r="U2165" s="130"/>
      <c r="V2165" s="130"/>
      <c r="W2165" s="130"/>
    </row>
    <row r="2166" ht="31.5" customHeight="1">
      <c r="A2166" s="124" t="s">
        <v>18048</v>
      </c>
      <c r="B2166" s="125" t="s">
        <v>13080</v>
      </c>
      <c r="C2166" s="126" t="s">
        <v>18049</v>
      </c>
      <c r="D2166" s="127" t="s">
        <v>18050</v>
      </c>
      <c r="E2166" s="28" t="str">
        <f>IFERROR(__xludf.DUMMYFUNCTION("GOOGLETRANSLATE(D2166,""zh-CN"",""vi"")"),"Ý kiến ​​của anh ấy rất hợp lý, và tôi đồng ý với điều đó.")</f>
        <v>Ý kiến ​​của anh ấy rất hợp lý, và tôi đồng ý với điều đó.</v>
      </c>
      <c r="F2166" s="137"/>
      <c r="G2166" s="36" t="b">
        <f t="shared" si="1"/>
        <v>0</v>
      </c>
      <c r="H2166" s="35" t="b">
        <v>1</v>
      </c>
      <c r="I2166" s="35" t="b">
        <v>0</v>
      </c>
      <c r="J2166" s="35" t="b">
        <v>0</v>
      </c>
      <c r="K2166" s="35" t="b">
        <v>0</v>
      </c>
      <c r="L2166" s="35" t="b">
        <v>0</v>
      </c>
      <c r="M2166" s="35" t="b">
        <v>0</v>
      </c>
      <c r="N2166" s="35" t="b">
        <v>0</v>
      </c>
      <c r="O2166" s="35" t="b">
        <v>0</v>
      </c>
      <c r="P2166" s="35" t="b">
        <v>0</v>
      </c>
      <c r="Q2166" s="35" t="b">
        <v>0</v>
      </c>
      <c r="R2166" s="14"/>
      <c r="S2166" s="14"/>
      <c r="T2166" s="14"/>
      <c r="U2166" s="14"/>
      <c r="V2166" s="14"/>
      <c r="W2166" s="14"/>
    </row>
    <row r="2167" ht="31.5" customHeight="1">
      <c r="A2167" s="124" t="s">
        <v>18051</v>
      </c>
      <c r="B2167" s="125" t="s">
        <v>13080</v>
      </c>
      <c r="C2167" s="126" t="s">
        <v>18052</v>
      </c>
      <c r="D2167" s="127" t="s">
        <v>18053</v>
      </c>
      <c r="E2167" s="28" t="str">
        <f>IFERROR(__xludf.DUMMYFUNCTION("GOOGLETRANSLATE(D2167,""zh-CN"",""vi"")"),"Con chim dang rộng đôi cánh.")</f>
        <v>Con chim dang rộng đôi cánh.</v>
      </c>
      <c r="F2167" s="137"/>
      <c r="G2167" s="36" t="b">
        <f t="shared" si="1"/>
        <v>0</v>
      </c>
      <c r="H2167" s="35" t="b">
        <v>1</v>
      </c>
      <c r="I2167" s="35" t="b">
        <v>0</v>
      </c>
      <c r="J2167" s="35" t="b">
        <v>0</v>
      </c>
      <c r="K2167" s="35" t="b">
        <v>0</v>
      </c>
      <c r="L2167" s="35" t="b">
        <v>0</v>
      </c>
      <c r="M2167" s="35" t="b">
        <v>0</v>
      </c>
      <c r="N2167" s="35" t="b">
        <v>0</v>
      </c>
      <c r="O2167" s="35" t="b">
        <v>0</v>
      </c>
      <c r="P2167" s="35" t="b">
        <v>0</v>
      </c>
      <c r="Q2167" s="35" t="b">
        <v>0</v>
      </c>
      <c r="R2167" s="14"/>
      <c r="S2167" s="14"/>
      <c r="T2167" s="14"/>
      <c r="U2167" s="14"/>
      <c r="V2167" s="14"/>
      <c r="W2167" s="14"/>
    </row>
    <row r="2168" ht="31.5" customHeight="1">
      <c r="A2168" s="124" t="s">
        <v>18054</v>
      </c>
      <c r="B2168" s="125" t="s">
        <v>18055</v>
      </c>
      <c r="C2168" s="126" t="s">
        <v>18056</v>
      </c>
      <c r="D2168" s="127" t="s">
        <v>18057</v>
      </c>
      <c r="E2168" s="28" t="str">
        <f>IFERROR(__xludf.DUMMYFUNCTION("GOOGLETRANSLATE(D2168,""zh-CN"",""vi"")"),"Hành vi của anh ta vô cùng kỳ lạ.")</f>
        <v>Hành vi của anh ta vô cùng kỳ lạ.</v>
      </c>
      <c r="F2168" s="137"/>
      <c r="G2168" s="36" t="b">
        <f t="shared" si="1"/>
        <v>0</v>
      </c>
      <c r="H2168" s="35" t="b">
        <v>1</v>
      </c>
      <c r="I2168" s="35" t="b">
        <v>0</v>
      </c>
      <c r="J2168" s="35" t="b">
        <v>0</v>
      </c>
      <c r="K2168" s="35" t="b">
        <v>0</v>
      </c>
      <c r="L2168" s="35" t="b">
        <v>0</v>
      </c>
      <c r="M2168" s="35" t="b">
        <v>0</v>
      </c>
      <c r="N2168" s="35" t="b">
        <v>0</v>
      </c>
      <c r="O2168" s="35" t="b">
        <v>0</v>
      </c>
      <c r="P2168" s="35" t="b">
        <v>0</v>
      </c>
      <c r="Q2168" s="35" t="b">
        <v>0</v>
      </c>
      <c r="R2168" s="14"/>
      <c r="S2168" s="14"/>
      <c r="T2168" s="14"/>
      <c r="U2168" s="14"/>
      <c r="V2168" s="14"/>
      <c r="W2168" s="14"/>
    </row>
    <row r="2169" ht="31.5" customHeight="1">
      <c r="A2169" s="124" t="s">
        <v>18058</v>
      </c>
      <c r="B2169" s="125" t="s">
        <v>18059</v>
      </c>
      <c r="C2169" s="126" t="s">
        <v>18060</v>
      </c>
      <c r="D2169" s="127" t="s">
        <v>18061</v>
      </c>
      <c r="E2169" s="28" t="str">
        <f>IFERROR(__xludf.DUMMYFUNCTION("GOOGLETRANSLATE(D2169,""zh-CN"",""vi"")"),"Ông đã hoàn thành nhiệm vụ nhờ sự kiên trì không lay chuyển.")</f>
        <v>Ông đã hoàn thành nhiệm vụ nhờ sự kiên trì không lay chuyển.</v>
      </c>
      <c r="F2169" s="137"/>
      <c r="G2169" s="36" t="b">
        <f t="shared" si="1"/>
        <v>0</v>
      </c>
      <c r="H2169" s="35" t="b">
        <v>1</v>
      </c>
      <c r="I2169" s="35" t="b">
        <v>0</v>
      </c>
      <c r="J2169" s="35" t="b">
        <v>0</v>
      </c>
      <c r="K2169" s="35" t="b">
        <v>0</v>
      </c>
      <c r="L2169" s="35" t="b">
        <v>0</v>
      </c>
      <c r="M2169" s="35" t="b">
        <v>0</v>
      </c>
      <c r="N2169" s="35" t="b">
        <v>0</v>
      </c>
      <c r="O2169" s="35" t="b">
        <v>0</v>
      </c>
      <c r="P2169" s="35" t="b">
        <v>0</v>
      </c>
      <c r="Q2169" s="35" t="b">
        <v>0</v>
      </c>
      <c r="R2169" s="14"/>
      <c r="S2169" s="14"/>
      <c r="T2169" s="14"/>
      <c r="U2169" s="14"/>
      <c r="V2169" s="14"/>
      <c r="W2169" s="14"/>
    </row>
    <row r="2170" ht="31.5" customHeight="1">
      <c r="A2170" s="124" t="s">
        <v>18062</v>
      </c>
      <c r="B2170" s="125" t="s">
        <v>18063</v>
      </c>
      <c r="C2170" s="126" t="s">
        <v>18064</v>
      </c>
      <c r="D2170" s="127" t="s">
        <v>18065</v>
      </c>
      <c r="E2170" s="28" t="str">
        <f>IFERROR(__xludf.DUMMYFUNCTION("GOOGLETRANSLATE(D2170,""zh-CN"",""vi"")"),"Kết quả vượt ngoài mong đợi của chúng tôi.")</f>
        <v>Kết quả vượt ngoài mong đợi của chúng tôi.</v>
      </c>
      <c r="F2170" s="137"/>
      <c r="G2170" s="36" t="b">
        <f t="shared" si="1"/>
        <v>0</v>
      </c>
      <c r="H2170" s="35" t="b">
        <v>1</v>
      </c>
      <c r="I2170" s="35" t="b">
        <v>0</v>
      </c>
      <c r="J2170" s="35" t="b">
        <v>0</v>
      </c>
      <c r="K2170" s="35" t="b">
        <v>0</v>
      </c>
      <c r="L2170" s="35" t="b">
        <v>0</v>
      </c>
      <c r="M2170" s="35" t="b">
        <v>0</v>
      </c>
      <c r="N2170" s="35" t="b">
        <v>0</v>
      </c>
      <c r="O2170" s="35" t="b">
        <v>0</v>
      </c>
      <c r="P2170" s="35" t="b">
        <v>0</v>
      </c>
      <c r="Q2170" s="35" t="b">
        <v>0</v>
      </c>
      <c r="R2170" s="14"/>
      <c r="S2170" s="14"/>
      <c r="T2170" s="14"/>
      <c r="U2170" s="14"/>
      <c r="V2170" s="14"/>
      <c r="W2170" s="14"/>
    </row>
    <row r="2171" ht="31.5" customHeight="1">
      <c r="A2171" s="124" t="s">
        <v>18066</v>
      </c>
      <c r="B2171" s="125" t="s">
        <v>18067</v>
      </c>
      <c r="C2171" s="126" t="s">
        <v>18068</v>
      </c>
      <c r="D2171" s="127" t="s">
        <v>18069</v>
      </c>
      <c r="E2171" s="28" t="str">
        <f>IFERROR(__xludf.DUMMYFUNCTION("GOOGLETRANSLATE(D2171,""zh-CN"",""vi"")"),"Ông kiên quyết quyết định từ chức.")</f>
        <v>Ông kiên quyết quyết định từ chức.</v>
      </c>
      <c r="F2171" s="137"/>
      <c r="G2171" s="36" t="b">
        <f t="shared" si="1"/>
        <v>0</v>
      </c>
      <c r="H2171" s="35" t="b">
        <v>1</v>
      </c>
      <c r="I2171" s="35" t="b">
        <v>0</v>
      </c>
      <c r="J2171" s="35" t="b">
        <v>0</v>
      </c>
      <c r="K2171" s="35" t="b">
        <v>0</v>
      </c>
      <c r="L2171" s="35" t="b">
        <v>0</v>
      </c>
      <c r="M2171" s="35" t="b">
        <v>0</v>
      </c>
      <c r="N2171" s="35" t="b">
        <v>0</v>
      </c>
      <c r="O2171" s="35" t="b">
        <v>0</v>
      </c>
      <c r="P2171" s="35" t="b">
        <v>0</v>
      </c>
      <c r="Q2171" s="35" t="b">
        <v>0</v>
      </c>
      <c r="R2171" s="14"/>
      <c r="S2171" s="14"/>
      <c r="T2171" s="14"/>
      <c r="U2171" s="14"/>
      <c r="V2171" s="14"/>
      <c r="W2171" s="14"/>
    </row>
    <row r="2172" ht="31.5" customHeight="1">
      <c r="A2172" s="124" t="s">
        <v>18070</v>
      </c>
      <c r="B2172" s="125" t="s">
        <v>18071</v>
      </c>
      <c r="C2172" s="126" t="s">
        <v>18072</v>
      </c>
      <c r="D2172" s="127" t="s">
        <v>18073</v>
      </c>
      <c r="E2172" s="28" t="str">
        <f>IFERROR(__xludf.DUMMYFUNCTION("GOOGLETRANSLATE(D2172,""zh-CN"",""vi"")"),"Tôi chợt nhận ra mình đã quên chìa khóa.")</f>
        <v>Tôi chợt nhận ra mình đã quên chìa khóa.</v>
      </c>
      <c r="F2172" s="137"/>
      <c r="G2172" s="36" t="b">
        <f t="shared" si="1"/>
        <v>0</v>
      </c>
      <c r="H2172" s="35" t="b">
        <v>1</v>
      </c>
      <c r="I2172" s="35" t="b">
        <v>0</v>
      </c>
      <c r="J2172" s="35" t="b">
        <v>0</v>
      </c>
      <c r="K2172" s="35" t="b">
        <v>0</v>
      </c>
      <c r="L2172" s="35" t="b">
        <v>0</v>
      </c>
      <c r="M2172" s="35" t="b">
        <v>0</v>
      </c>
      <c r="N2172" s="35" t="b">
        <v>0</v>
      </c>
      <c r="O2172" s="35" t="b">
        <v>0</v>
      </c>
      <c r="P2172" s="35" t="b">
        <v>0</v>
      </c>
      <c r="Q2172" s="35" t="b">
        <v>0</v>
      </c>
      <c r="R2172" s="14"/>
      <c r="S2172" s="14"/>
      <c r="T2172" s="14"/>
      <c r="U2172" s="14"/>
      <c r="V2172" s="14"/>
      <c r="W2172" s="14"/>
    </row>
    <row r="2173" ht="31.5" customHeight="1">
      <c r="A2173" s="124" t="s">
        <v>18074</v>
      </c>
      <c r="B2173" s="125" t="s">
        <v>18075</v>
      </c>
      <c r="C2173" s="126" t="s">
        <v>18076</v>
      </c>
      <c r="D2173" s="127" t="s">
        <v>18077</v>
      </c>
      <c r="E2173" s="28" t="str">
        <f>IFERROR(__xludf.DUMMYFUNCTION("GOOGLETRANSLATE(D2173,""zh-CN"",""vi"")"),"Ý định của ông ấy rất rõ ràng.")</f>
        <v>Ý định của ông ấy rất rõ ràng.</v>
      </c>
      <c r="F2173" s="137"/>
      <c r="G2173" s="36" t="b">
        <f t="shared" si="1"/>
        <v>0</v>
      </c>
      <c r="H2173" s="35" t="b">
        <v>1</v>
      </c>
      <c r="I2173" s="35" t="b">
        <v>0</v>
      </c>
      <c r="J2173" s="35" t="b">
        <v>0</v>
      </c>
      <c r="K2173" s="35" t="b">
        <v>0</v>
      </c>
      <c r="L2173" s="35" t="b">
        <v>0</v>
      </c>
      <c r="M2173" s="35" t="b">
        <v>0</v>
      </c>
      <c r="N2173" s="35" t="b">
        <v>0</v>
      </c>
      <c r="O2173" s="35" t="b">
        <v>0</v>
      </c>
      <c r="P2173" s="35" t="b">
        <v>0</v>
      </c>
      <c r="Q2173" s="35" t="b">
        <v>0</v>
      </c>
      <c r="R2173" s="14"/>
      <c r="S2173" s="14"/>
      <c r="T2173" s="14"/>
      <c r="U2173" s="14"/>
      <c r="V2173" s="14"/>
      <c r="W2173" s="14"/>
    </row>
    <row r="2174" ht="31.5" customHeight="1">
      <c r="A2174" s="124" t="s">
        <v>18078</v>
      </c>
      <c r="B2174" s="125" t="s">
        <v>18079</v>
      </c>
      <c r="C2174" s="126" t="s">
        <v>18080</v>
      </c>
      <c r="D2174" s="127" t="s">
        <v>18081</v>
      </c>
      <c r="E2174" s="28" t="str">
        <f>IFERROR(__xludf.DUMMYFUNCTION("GOOGLETRANSLATE(D2174,""zh-CN"",""vi"")"),"Điều này có nghĩa là chúng ta cần phải xem xét lại kế hoạch của mình.")</f>
        <v>Điều này có nghĩa là chúng ta cần phải xem xét lại kế hoạch của mình.</v>
      </c>
      <c r="F2174" s="137"/>
      <c r="G2174" s="36" t="b">
        <f t="shared" si="1"/>
        <v>0</v>
      </c>
      <c r="H2174" s="35" t="b">
        <v>1</v>
      </c>
      <c r="I2174" s="35" t="b">
        <v>0</v>
      </c>
      <c r="J2174" s="35" t="b">
        <v>0</v>
      </c>
      <c r="K2174" s="35" t="b">
        <v>0</v>
      </c>
      <c r="L2174" s="35" t="b">
        <v>0</v>
      </c>
      <c r="M2174" s="35" t="b">
        <v>0</v>
      </c>
      <c r="N2174" s="35" t="b">
        <v>0</v>
      </c>
      <c r="O2174" s="35" t="b">
        <v>0</v>
      </c>
      <c r="P2174" s="35" t="b">
        <v>0</v>
      </c>
      <c r="Q2174" s="35" t="b">
        <v>0</v>
      </c>
      <c r="R2174" s="14"/>
      <c r="S2174" s="14"/>
      <c r="T2174" s="14"/>
      <c r="U2174" s="14"/>
      <c r="V2174" s="14"/>
      <c r="W2174" s="14"/>
    </row>
    <row r="2175" ht="31.5" customHeight="1">
      <c r="A2175" s="124" t="s">
        <v>18082</v>
      </c>
      <c r="B2175" s="125" t="s">
        <v>18083</v>
      </c>
      <c r="C2175" s="126" t="s">
        <v>18084</v>
      </c>
      <c r="D2175" s="127" t="s">
        <v>18085</v>
      </c>
      <c r="E2175" s="28" t="str">
        <f>IFERROR(__xludf.DUMMYFUNCTION("GOOGLETRANSLATE(D2175,""zh-CN"",""vi"")"),"Anh ấy tỏ ra rất quan tâm đến công việc này.")</f>
        <v>Anh ấy tỏ ra rất quan tâm đến công việc này.</v>
      </c>
      <c r="F2175" s="137"/>
      <c r="G2175" s="36" t="b">
        <f t="shared" si="1"/>
        <v>0</v>
      </c>
      <c r="H2175" s="35" t="b">
        <v>1</v>
      </c>
      <c r="I2175" s="35" t="b">
        <v>0</v>
      </c>
      <c r="J2175" s="35" t="b">
        <v>0</v>
      </c>
      <c r="K2175" s="35" t="b">
        <v>0</v>
      </c>
      <c r="L2175" s="35" t="b">
        <v>0</v>
      </c>
      <c r="M2175" s="35" t="b">
        <v>0</v>
      </c>
      <c r="N2175" s="35" t="b">
        <v>0</v>
      </c>
      <c r="O2175" s="35" t="b">
        <v>0</v>
      </c>
      <c r="P2175" s="35" t="b">
        <v>0</v>
      </c>
      <c r="Q2175" s="35" t="b">
        <v>0</v>
      </c>
      <c r="R2175" s="14"/>
      <c r="S2175" s="14"/>
      <c r="T2175" s="14"/>
      <c r="U2175" s="14"/>
      <c r="V2175" s="14"/>
      <c r="W2175" s="14"/>
    </row>
    <row r="2176" ht="31.5" customHeight="1">
      <c r="A2176" s="124" t="s">
        <v>18086</v>
      </c>
      <c r="B2176" s="125" t="s">
        <v>18087</v>
      </c>
      <c r="C2176" s="126" t="s">
        <v>18088</v>
      </c>
      <c r="D2176" s="127" t="s">
        <v>18089</v>
      </c>
      <c r="E2176" s="28" t="str">
        <f>IFERROR(__xludf.DUMMYFUNCTION("GOOGLETRANSLATE(D2176,""zh-CN"",""vi"")"),"Anh ấy có ý chí rất mạnh mẽ.")</f>
        <v>Anh ấy có ý chí rất mạnh mẽ.</v>
      </c>
      <c r="F2176" s="137"/>
      <c r="G2176" s="36" t="b">
        <f t="shared" si="1"/>
        <v>0</v>
      </c>
      <c r="H2176" s="35" t="b">
        <v>1</v>
      </c>
      <c r="I2176" s="35" t="b">
        <v>0</v>
      </c>
      <c r="J2176" s="35" t="b">
        <v>0</v>
      </c>
      <c r="K2176" s="35" t="b">
        <v>0</v>
      </c>
      <c r="L2176" s="35" t="b">
        <v>0</v>
      </c>
      <c r="M2176" s="35" t="b">
        <v>0</v>
      </c>
      <c r="N2176" s="35" t="b">
        <v>0</v>
      </c>
      <c r="O2176" s="35" t="b">
        <v>0</v>
      </c>
      <c r="P2176" s="35" t="b">
        <v>0</v>
      </c>
      <c r="Q2176" s="35" t="b">
        <v>0</v>
      </c>
      <c r="R2176" s="14"/>
      <c r="S2176" s="14"/>
      <c r="T2176" s="14"/>
      <c r="U2176" s="14"/>
      <c r="V2176" s="14"/>
      <c r="W2176" s="14"/>
    </row>
    <row r="2177" ht="31.5" customHeight="1">
      <c r="A2177" s="124" t="s">
        <v>18090</v>
      </c>
      <c r="B2177" s="125" t="s">
        <v>18087</v>
      </c>
      <c r="C2177" s="126" t="s">
        <v>17745</v>
      </c>
      <c r="D2177" s="127" t="s">
        <v>18091</v>
      </c>
      <c r="E2177" s="28" t="str">
        <f>IFERROR(__xludf.DUMMYFUNCTION("GOOGLETRANSLATE(D2177,""zh-CN"",""vi"")"),"Cô ấy đã cố gắng hết sức để kìm nén cảm xúc của mình.")</f>
        <v>Cô ấy đã cố gắng hết sức để kìm nén cảm xúc của mình.</v>
      </c>
      <c r="F2177" s="137"/>
      <c r="G2177" s="36" t="b">
        <f t="shared" si="1"/>
        <v>0</v>
      </c>
      <c r="H2177" s="35" t="b">
        <v>1</v>
      </c>
      <c r="I2177" s="35" t="b">
        <v>0</v>
      </c>
      <c r="J2177" s="35" t="b">
        <v>0</v>
      </c>
      <c r="K2177" s="35" t="b">
        <v>0</v>
      </c>
      <c r="L2177" s="35" t="b">
        <v>0</v>
      </c>
      <c r="M2177" s="35" t="b">
        <v>0</v>
      </c>
      <c r="N2177" s="35" t="b">
        <v>0</v>
      </c>
      <c r="O2177" s="35" t="b">
        <v>0</v>
      </c>
      <c r="P2177" s="35" t="b">
        <v>0</v>
      </c>
      <c r="Q2177" s="35" t="b">
        <v>0</v>
      </c>
      <c r="R2177" s="14"/>
      <c r="S2177" s="14"/>
      <c r="T2177" s="14"/>
      <c r="U2177" s="14"/>
      <c r="V2177" s="14"/>
      <c r="W2177" s="14"/>
    </row>
    <row r="2178" ht="31.5" customHeight="1">
      <c r="A2178" s="124" t="s">
        <v>18092</v>
      </c>
      <c r="B2178" s="125" t="s">
        <v>18093</v>
      </c>
      <c r="C2178" s="126" t="s">
        <v>18094</v>
      </c>
      <c r="D2178" s="127" t="s">
        <v>18095</v>
      </c>
      <c r="E2178" s="28" t="str">
        <f>IFERROR(__xludf.DUMMYFUNCTION("GOOGLETRANSLATE(D2178,""zh-CN"",""vi"")"),"Họ đã lên kế hoạch cho một âm mưu.")</f>
        <v>Họ đã lên kế hoạch cho một âm mưu.</v>
      </c>
      <c r="F2178" s="137"/>
      <c r="G2178" s="36" t="b">
        <f t="shared" si="1"/>
        <v>0</v>
      </c>
      <c r="H2178" s="35" t="b">
        <v>1</v>
      </c>
      <c r="I2178" s="35" t="b">
        <v>0</v>
      </c>
      <c r="J2178" s="35" t="b">
        <v>0</v>
      </c>
      <c r="K2178" s="35" t="b">
        <v>0</v>
      </c>
      <c r="L2178" s="35" t="b">
        <v>0</v>
      </c>
      <c r="M2178" s="35" t="b">
        <v>0</v>
      </c>
      <c r="N2178" s="35" t="b">
        <v>0</v>
      </c>
      <c r="O2178" s="35" t="b">
        <v>0</v>
      </c>
      <c r="P2178" s="35" t="b">
        <v>0</v>
      </c>
      <c r="Q2178" s="35" t="b">
        <v>0</v>
      </c>
      <c r="R2178" s="14"/>
      <c r="S2178" s="14"/>
      <c r="T2178" s="14"/>
      <c r="U2178" s="14"/>
      <c r="V2178" s="14"/>
      <c r="W2178" s="14"/>
    </row>
    <row r="2179" ht="31.5" customHeight="1">
      <c r="A2179" s="124" t="s">
        <v>18096</v>
      </c>
      <c r="B2179" s="125" t="s">
        <v>18097</v>
      </c>
      <c r="C2179" s="126" t="s">
        <v>18098</v>
      </c>
      <c r="D2179" s="127" t="s">
        <v>18099</v>
      </c>
      <c r="E2179" s="28" t="str">
        <f>IFERROR(__xludf.DUMMYFUNCTION("GOOGLETRANSLATE(D2179,""zh-CN"",""vi"")"),"Hệ thống âm thanh này rất hiện đại.")</f>
        <v>Hệ thống âm thanh này rất hiện đại.</v>
      </c>
      <c r="F2179" s="137"/>
      <c r="G2179" s="36" t="b">
        <f t="shared" si="1"/>
        <v>0</v>
      </c>
      <c r="H2179" s="35" t="b">
        <v>1</v>
      </c>
      <c r="I2179" s="35" t="b">
        <v>0</v>
      </c>
      <c r="J2179" s="35" t="b">
        <v>0</v>
      </c>
      <c r="K2179" s="35" t="b">
        <v>0</v>
      </c>
      <c r="L2179" s="35" t="b">
        <v>0</v>
      </c>
      <c r="M2179" s="35" t="b">
        <v>0</v>
      </c>
      <c r="N2179" s="35" t="b">
        <v>0</v>
      </c>
      <c r="O2179" s="35" t="b">
        <v>0</v>
      </c>
      <c r="P2179" s="35" t="b">
        <v>0</v>
      </c>
      <c r="Q2179" s="35" t="b">
        <v>0</v>
      </c>
      <c r="R2179" s="14"/>
      <c r="S2179" s="14"/>
      <c r="T2179" s="14"/>
      <c r="U2179" s="14"/>
      <c r="V2179" s="14"/>
      <c r="W2179" s="14"/>
    </row>
    <row r="2180" ht="31.5" customHeight="1">
      <c r="A2180" s="124" t="s">
        <v>18100</v>
      </c>
      <c r="B2180" s="125" t="s">
        <v>18101</v>
      </c>
      <c r="C2180" s="126" t="s">
        <v>18102</v>
      </c>
      <c r="D2180" s="127" t="s">
        <v>18103</v>
      </c>
      <c r="E2180" s="28" t="str">
        <f>IFERROR(__xludf.DUMMYFUNCTION("GOOGLETRANSLATE(D2180,""zh-CN"",""vi"")"),"Ngôi nhà này rất hẻo lánh.")</f>
        <v>Ngôi nhà này rất hẻo lánh.</v>
      </c>
      <c r="F2180" s="137"/>
      <c r="G2180" s="36" t="b">
        <f t="shared" si="1"/>
        <v>0</v>
      </c>
      <c r="H2180" s="35" t="b">
        <v>1</v>
      </c>
      <c r="I2180" s="35" t="b">
        <v>0</v>
      </c>
      <c r="J2180" s="35" t="b">
        <v>0</v>
      </c>
      <c r="K2180" s="35" t="b">
        <v>0</v>
      </c>
      <c r="L2180" s="35" t="b">
        <v>0</v>
      </c>
      <c r="M2180" s="35" t="b">
        <v>0</v>
      </c>
      <c r="N2180" s="35" t="b">
        <v>0</v>
      </c>
      <c r="O2180" s="35" t="b">
        <v>0</v>
      </c>
      <c r="P2180" s="35" t="b">
        <v>0</v>
      </c>
      <c r="Q2180" s="35" t="b">
        <v>0</v>
      </c>
      <c r="R2180" s="14"/>
      <c r="S2180" s="14"/>
      <c r="T2180" s="14"/>
      <c r="U2180" s="14"/>
      <c r="V2180" s="14"/>
      <c r="W2180" s="14"/>
    </row>
    <row r="2181" ht="31.5" customHeight="1">
      <c r="A2181" s="124" t="s">
        <v>18104</v>
      </c>
      <c r="B2181" s="125" t="s">
        <v>18105</v>
      </c>
      <c r="C2181" s="126" t="s">
        <v>18106</v>
      </c>
      <c r="D2181" s="127" t="s">
        <v>18107</v>
      </c>
      <c r="E2181" s="28" t="str">
        <f>IFERROR(__xludf.DUMMYFUNCTION("GOOGLETRANSLATE(D2181,""zh-CN"",""vi"")"),"Giáo viên hướng dẫn học sinh suy nghĩ về vấn đề.")</f>
        <v>Giáo viên hướng dẫn học sinh suy nghĩ về vấn đề.</v>
      </c>
      <c r="F2181" s="137"/>
      <c r="G2181" s="36" t="b">
        <f t="shared" si="1"/>
        <v>0</v>
      </c>
      <c r="H2181" s="35" t="b">
        <v>1</v>
      </c>
      <c r="I2181" s="35" t="b">
        <v>0</v>
      </c>
      <c r="J2181" s="35" t="b">
        <v>0</v>
      </c>
      <c r="K2181" s="35" t="b">
        <v>0</v>
      </c>
      <c r="L2181" s="35" t="b">
        <v>0</v>
      </c>
      <c r="M2181" s="35" t="b">
        <v>0</v>
      </c>
      <c r="N2181" s="35" t="b">
        <v>0</v>
      </c>
      <c r="O2181" s="35" t="b">
        <v>0</v>
      </c>
      <c r="P2181" s="35" t="b">
        <v>0</v>
      </c>
      <c r="Q2181" s="35" t="b">
        <v>0</v>
      </c>
      <c r="R2181" s="14"/>
      <c r="S2181" s="14"/>
      <c r="T2181" s="14"/>
      <c r="U2181" s="14"/>
      <c r="V2181" s="14"/>
      <c r="W2181" s="14"/>
    </row>
    <row r="2182" ht="31.5" customHeight="1">
      <c r="A2182" s="124" t="s">
        <v>18108</v>
      </c>
      <c r="B2182" s="125" t="s">
        <v>18109</v>
      </c>
      <c r="C2182" s="126" t="s">
        <v>18110</v>
      </c>
      <c r="D2182" s="127" t="s">
        <v>18111</v>
      </c>
      <c r="E2182" s="28" t="str">
        <f>IFERROR(__xludf.DUMMYFUNCTION("GOOGLETRANSLATE(D2182,""zh-CN"",""vi"")"),"Kế hoạch này có thể tiềm ẩn những nguy hiểm.")</f>
        <v>Kế hoạch này có thể tiềm ẩn những nguy hiểm.</v>
      </c>
      <c r="F2182" s="137"/>
      <c r="G2182" s="36" t="b">
        <f t="shared" si="1"/>
        <v>0</v>
      </c>
      <c r="H2182" s="35" t="b">
        <v>1</v>
      </c>
      <c r="I2182" s="35" t="b">
        <v>0</v>
      </c>
      <c r="J2182" s="35" t="b">
        <v>0</v>
      </c>
      <c r="K2182" s="35" t="b">
        <v>0</v>
      </c>
      <c r="L2182" s="35" t="b">
        <v>0</v>
      </c>
      <c r="M2182" s="35" t="b">
        <v>0</v>
      </c>
      <c r="N2182" s="35" t="b">
        <v>0</v>
      </c>
      <c r="O2182" s="35" t="b">
        <v>0</v>
      </c>
      <c r="P2182" s="35" t="b">
        <v>0</v>
      </c>
      <c r="Q2182" s="35" t="b">
        <v>0</v>
      </c>
      <c r="R2182" s="14"/>
      <c r="S2182" s="14"/>
      <c r="T2182" s="14"/>
      <c r="U2182" s="14"/>
      <c r="V2182" s="14"/>
      <c r="W2182" s="14"/>
    </row>
    <row r="2183" ht="31.5" customHeight="1">
      <c r="A2183" s="124" t="s">
        <v>18112</v>
      </c>
      <c r="B2183" s="125" t="s">
        <v>18113</v>
      </c>
      <c r="C2183" s="126" t="s">
        <v>17843</v>
      </c>
      <c r="D2183" s="127" t="s">
        <v>18114</v>
      </c>
      <c r="E2183" s="28" t="str">
        <f>IFERROR(__xludf.DUMMYFUNCTION("GOOGLETRANSLATE(D2183,""zh-CN"",""vi"")"),"Ông ta đã che giấu sự thật.")</f>
        <v>Ông ta đã che giấu sự thật.</v>
      </c>
      <c r="F2183" s="137"/>
      <c r="G2183" s="36" t="b">
        <f t="shared" si="1"/>
        <v>0</v>
      </c>
      <c r="H2183" s="35" t="b">
        <v>1</v>
      </c>
      <c r="I2183" s="35" t="b">
        <v>0</v>
      </c>
      <c r="J2183" s="35" t="b">
        <v>0</v>
      </c>
      <c r="K2183" s="35" t="b">
        <v>0</v>
      </c>
      <c r="L2183" s="35" t="b">
        <v>0</v>
      </c>
      <c r="M2183" s="35" t="b">
        <v>0</v>
      </c>
      <c r="N2183" s="35" t="b">
        <v>0</v>
      </c>
      <c r="O2183" s="35" t="b">
        <v>0</v>
      </c>
      <c r="P2183" s="35" t="b">
        <v>0</v>
      </c>
      <c r="Q2183" s="35" t="b">
        <v>0</v>
      </c>
      <c r="R2183" s="14"/>
      <c r="S2183" s="14"/>
      <c r="T2183" s="14"/>
      <c r="U2183" s="14"/>
      <c r="V2183" s="14"/>
      <c r="W2183" s="14"/>
    </row>
    <row r="2184" ht="31.5" customHeight="1">
      <c r="A2184" s="124" t="s">
        <v>18115</v>
      </c>
      <c r="B2184" s="125" t="s">
        <v>18116</v>
      </c>
      <c r="C2184" s="126" t="s">
        <v>18117</v>
      </c>
      <c r="D2184" s="127" t="s">
        <v>18118</v>
      </c>
      <c r="E2184" s="28" t="str">
        <f>IFERROR(__xludf.DUMMYFUNCTION("GOOGLETRANSLATE(D2184,""zh-CN"",""vi"")"),"Động cơ ô tô cần được bảo dưỡng định kỳ.")</f>
        <v>Động cơ ô tô cần được bảo dưỡng định kỳ.</v>
      </c>
      <c r="F2184" s="137"/>
      <c r="G2184" s="36" t="b">
        <f t="shared" si="1"/>
        <v>0</v>
      </c>
      <c r="H2184" s="35" t="b">
        <v>1</v>
      </c>
      <c r="I2184" s="35" t="b">
        <v>0</v>
      </c>
      <c r="J2184" s="35" t="b">
        <v>0</v>
      </c>
      <c r="K2184" s="35" t="b">
        <v>0</v>
      </c>
      <c r="L2184" s="35" t="b">
        <v>0</v>
      </c>
      <c r="M2184" s="35" t="b">
        <v>0</v>
      </c>
      <c r="N2184" s="35" t="b">
        <v>0</v>
      </c>
      <c r="O2184" s="35" t="b">
        <v>0</v>
      </c>
      <c r="P2184" s="35" t="b">
        <v>0</v>
      </c>
      <c r="Q2184" s="35" t="b">
        <v>0</v>
      </c>
      <c r="R2184" s="14"/>
      <c r="S2184" s="14"/>
      <c r="T2184" s="14"/>
      <c r="U2184" s="14"/>
      <c r="V2184" s="14"/>
      <c r="W2184" s="14"/>
    </row>
    <row r="2185" ht="31.5" customHeight="1">
      <c r="A2185" s="124" t="s">
        <v>18119</v>
      </c>
      <c r="B2185" s="125" t="s">
        <v>18120</v>
      </c>
      <c r="C2185" s="126" t="s">
        <v>18121</v>
      </c>
      <c r="D2185" s="127" t="s">
        <v>18122</v>
      </c>
      <c r="E2185" s="28" t="str">
        <f>IFERROR(__xludf.DUMMYFUNCTION("GOOGLETRANSLATE(D2185,""zh-CN"",""vi"")"),"Thói quen ăn uống lành mạnh rất quan trọng.")</f>
        <v>Thói quen ăn uống lành mạnh rất quan trọng.</v>
      </c>
      <c r="F2185" s="137"/>
      <c r="G2185" s="36" t="b">
        <f t="shared" si="1"/>
        <v>0</v>
      </c>
      <c r="H2185" s="35" t="b">
        <v>1</v>
      </c>
      <c r="I2185" s="35" t="b">
        <v>0</v>
      </c>
      <c r="J2185" s="35" t="b">
        <v>0</v>
      </c>
      <c r="K2185" s="35" t="b">
        <v>0</v>
      </c>
      <c r="L2185" s="35" t="b">
        <v>0</v>
      </c>
      <c r="M2185" s="35" t="b">
        <v>0</v>
      </c>
      <c r="N2185" s="35" t="b">
        <v>0</v>
      </c>
      <c r="O2185" s="35" t="b">
        <v>0</v>
      </c>
      <c r="P2185" s="35" t="b">
        <v>0</v>
      </c>
      <c r="Q2185" s="35" t="b">
        <v>0</v>
      </c>
      <c r="R2185" s="14"/>
      <c r="S2185" s="14"/>
      <c r="T2185" s="14"/>
      <c r="U2185" s="14"/>
      <c r="V2185" s="14"/>
      <c r="W2185" s="14"/>
    </row>
    <row r="2186" ht="31.5" customHeight="1">
      <c r="A2186" s="124" t="s">
        <v>18123</v>
      </c>
      <c r="B2186" s="125" t="s">
        <v>18124</v>
      </c>
      <c r="C2186" s="126" t="s">
        <v>18125</v>
      </c>
      <c r="D2186" s="127" t="s">
        <v>18126</v>
      </c>
      <c r="E2186" s="28" t="str">
        <f>IFERROR(__xludf.DUMMYFUNCTION("GOOGLETRANSLATE(D2186,""zh-CN"",""vi"")"),"Mọi người đều có quyền riêng tư.")</f>
        <v>Mọi người đều có quyền riêng tư.</v>
      </c>
      <c r="F2186" s="137"/>
      <c r="G2186" s="36" t="b">
        <f t="shared" si="1"/>
        <v>0</v>
      </c>
      <c r="H2186" s="35" t="b">
        <v>1</v>
      </c>
      <c r="I2186" s="35" t="b">
        <v>0</v>
      </c>
      <c r="J2186" s="35" t="b">
        <v>0</v>
      </c>
      <c r="K2186" s="35" t="b">
        <v>0</v>
      </c>
      <c r="L2186" s="35" t="b">
        <v>0</v>
      </c>
      <c r="M2186" s="35" t="b">
        <v>0</v>
      </c>
      <c r="N2186" s="35" t="b">
        <v>0</v>
      </c>
      <c r="O2186" s="35" t="b">
        <v>0</v>
      </c>
      <c r="P2186" s="35" t="b">
        <v>0</v>
      </c>
      <c r="Q2186" s="35" t="b">
        <v>0</v>
      </c>
      <c r="R2186" s="14"/>
      <c r="S2186" s="14"/>
      <c r="T2186" s="14"/>
      <c r="U2186" s="14"/>
      <c r="V2186" s="14"/>
      <c r="W2186" s="14"/>
    </row>
    <row r="2187" ht="31.5" customHeight="1">
      <c r="A2187" s="124" t="s">
        <v>18127</v>
      </c>
      <c r="B2187" s="125" t="s">
        <v>18128</v>
      </c>
      <c r="C2187" s="126" t="s">
        <v>18129</v>
      </c>
      <c r="D2187" s="127" t="s">
        <v>18130</v>
      </c>
      <c r="E2187" s="28" t="str">
        <f>IFERROR(__xludf.DUMMYFUNCTION("GOOGLETRANSLATE(D2187,""zh-CN"",""vi"")"),"Ông ấy đã trích dẫn một câu nói nổi tiếng.")</f>
        <v>Ông ấy đã trích dẫn một câu nói nổi tiếng.</v>
      </c>
      <c r="F2187" s="137"/>
      <c r="G2187" s="36" t="b">
        <f t="shared" si="1"/>
        <v>0</v>
      </c>
      <c r="H2187" s="35" t="b">
        <v>1</v>
      </c>
      <c r="I2187" s="35" t="b">
        <v>0</v>
      </c>
      <c r="J2187" s="35" t="b">
        <v>0</v>
      </c>
      <c r="K2187" s="35" t="b">
        <v>0</v>
      </c>
      <c r="L2187" s="35" t="b">
        <v>0</v>
      </c>
      <c r="M2187" s="35" t="b">
        <v>0</v>
      </c>
      <c r="N2187" s="35" t="b">
        <v>0</v>
      </c>
      <c r="O2187" s="35" t="b">
        <v>0</v>
      </c>
      <c r="P2187" s="35" t="b">
        <v>0</v>
      </c>
      <c r="Q2187" s="35" t="b">
        <v>0</v>
      </c>
      <c r="R2187" s="14"/>
      <c r="S2187" s="14"/>
      <c r="T2187" s="14"/>
      <c r="U2187" s="14"/>
      <c r="V2187" s="14"/>
      <c r="W2187" s="14"/>
    </row>
    <row r="2188" ht="31.5" customHeight="1">
      <c r="A2188" s="124" t="s">
        <v>18131</v>
      </c>
      <c r="B2188" s="125" t="s">
        <v>18132</v>
      </c>
      <c r="C2188" s="126" t="s">
        <v>18133</v>
      </c>
      <c r="D2188" s="127" t="s">
        <v>18134</v>
      </c>
      <c r="E2188" s="28" t="str">
        <f>IFERROR(__xludf.DUMMYFUNCTION("GOOGLETRANSLATE(D2188,""zh-CN"",""vi"")"),"Tôi có thể nghe loáng thoáng giọng nói của anh ấy.")</f>
        <v>Tôi có thể nghe loáng thoáng giọng nói của anh ấy.</v>
      </c>
      <c r="F2188" s="137"/>
      <c r="G2188" s="36" t="b">
        <f t="shared" si="1"/>
        <v>0</v>
      </c>
      <c r="H2188" s="35" t="b">
        <v>1</v>
      </c>
      <c r="I2188" s="35" t="b">
        <v>0</v>
      </c>
      <c r="J2188" s="35" t="b">
        <v>0</v>
      </c>
      <c r="K2188" s="35" t="b">
        <v>0</v>
      </c>
      <c r="L2188" s="35" t="b">
        <v>0</v>
      </c>
      <c r="M2188" s="35" t="b">
        <v>0</v>
      </c>
      <c r="N2188" s="35" t="b">
        <v>0</v>
      </c>
      <c r="O2188" s="35" t="b">
        <v>0</v>
      </c>
      <c r="P2188" s="35" t="b">
        <v>0</v>
      </c>
      <c r="Q2188" s="35" t="b">
        <v>0</v>
      </c>
      <c r="R2188" s="14"/>
      <c r="S2188" s="14"/>
      <c r="T2188" s="14"/>
      <c r="U2188" s="14"/>
      <c r="V2188" s="14"/>
      <c r="W2188" s="14"/>
    </row>
    <row r="2189" ht="31.5" customHeight="1">
      <c r="A2189" s="124" t="s">
        <v>13158</v>
      </c>
      <c r="B2189" s="125" t="s">
        <v>18135</v>
      </c>
      <c r="C2189" s="126" t="s">
        <v>18136</v>
      </c>
      <c r="D2189" s="127" t="s">
        <v>18137</v>
      </c>
      <c r="E2189" s="28" t="str">
        <f>IFERROR(__xludf.DUMMYFUNCTION("GOOGLETRANSLATE(D2189,""zh-CN"",""vi"")"),"Họ in sách trong nhà máy.")</f>
        <v>Họ in sách trong nhà máy.</v>
      </c>
      <c r="F2189" s="137"/>
      <c r="G2189" s="36" t="b">
        <f t="shared" si="1"/>
        <v>0</v>
      </c>
      <c r="H2189" s="35" t="b">
        <v>1</v>
      </c>
      <c r="I2189" s="35" t="b">
        <v>0</v>
      </c>
      <c r="J2189" s="35" t="b">
        <v>0</v>
      </c>
      <c r="K2189" s="35" t="b">
        <v>0</v>
      </c>
      <c r="L2189" s="35" t="b">
        <v>0</v>
      </c>
      <c r="M2189" s="35" t="b">
        <v>0</v>
      </c>
      <c r="N2189" s="35" t="b">
        <v>0</v>
      </c>
      <c r="O2189" s="35" t="b">
        <v>0</v>
      </c>
      <c r="P2189" s="35" t="b">
        <v>0</v>
      </c>
      <c r="Q2189" s="35" t="b">
        <v>0</v>
      </c>
      <c r="R2189" s="14"/>
      <c r="S2189" s="14"/>
      <c r="T2189" s="14"/>
      <c r="U2189" s="14"/>
      <c r="V2189" s="14"/>
      <c r="W2189" s="14"/>
    </row>
    <row r="2190" ht="31.5" customHeight="1">
      <c r="A2190" s="124" t="s">
        <v>18138</v>
      </c>
      <c r="B2190" s="125" t="s">
        <v>18139</v>
      </c>
      <c r="C2190" s="126" t="s">
        <v>18140</v>
      </c>
      <c r="D2190" s="127" t="s">
        <v>18141</v>
      </c>
      <c r="E2190" s="28" t="str">
        <f>IFERROR(__xludf.DUMMYFUNCTION("GOOGLETRANSLATE(D2190,""zh-CN"",""vi"")"),"Bé ấy thật đáng yêu.")</f>
        <v>Bé ấy thật đáng yêu.</v>
      </c>
      <c r="F2190" s="137"/>
      <c r="G2190" s="36" t="b">
        <f t="shared" si="1"/>
        <v>0</v>
      </c>
      <c r="H2190" s="35" t="b">
        <v>1</v>
      </c>
      <c r="I2190" s="35" t="b">
        <v>0</v>
      </c>
      <c r="J2190" s="35" t="b">
        <v>0</v>
      </c>
      <c r="K2190" s="35" t="b">
        <v>0</v>
      </c>
      <c r="L2190" s="35" t="b">
        <v>0</v>
      </c>
      <c r="M2190" s="35" t="b">
        <v>0</v>
      </c>
      <c r="N2190" s="35" t="b">
        <v>0</v>
      </c>
      <c r="O2190" s="35" t="b">
        <v>0</v>
      </c>
      <c r="P2190" s="35" t="b">
        <v>0</v>
      </c>
      <c r="Q2190" s="35" t="b">
        <v>0</v>
      </c>
      <c r="R2190" s="14"/>
      <c r="S2190" s="14"/>
      <c r="T2190" s="14"/>
      <c r="U2190" s="14"/>
      <c r="V2190" s="14"/>
      <c r="W2190" s="14"/>
    </row>
    <row r="2191" ht="31.5" customHeight="1">
      <c r="A2191" s="124" t="s">
        <v>18142</v>
      </c>
      <c r="B2191" s="125" t="s">
        <v>18143</v>
      </c>
      <c r="C2191" s="126" t="s">
        <v>18144</v>
      </c>
      <c r="D2191" s="127" t="s">
        <v>18145</v>
      </c>
      <c r="E2191" s="28" t="str">
        <f>IFERROR(__xludf.DUMMYFUNCTION("GOOGLETRANSLATE(D2191,""zh-CN"",""vi"")"),"Sự lãnh đạo của ông ấy rất sáng suốt.")</f>
        <v>Sự lãnh đạo của ông ấy rất sáng suốt.</v>
      </c>
      <c r="F2191" s="137"/>
      <c r="G2191" s="36" t="b">
        <f t="shared" si="1"/>
        <v>0</v>
      </c>
      <c r="H2191" s="35" t="b">
        <v>1</v>
      </c>
      <c r="I2191" s="35" t="b">
        <v>0</v>
      </c>
      <c r="J2191" s="35" t="b">
        <v>0</v>
      </c>
      <c r="K2191" s="35" t="b">
        <v>0</v>
      </c>
      <c r="L2191" s="35" t="b">
        <v>0</v>
      </c>
      <c r="M2191" s="35" t="b">
        <v>0</v>
      </c>
      <c r="N2191" s="35" t="b">
        <v>0</v>
      </c>
      <c r="O2191" s="35" t="b">
        <v>0</v>
      </c>
      <c r="P2191" s="35" t="b">
        <v>0</v>
      </c>
      <c r="Q2191" s="35" t="b">
        <v>0</v>
      </c>
      <c r="R2191" s="14"/>
      <c r="S2191" s="14"/>
      <c r="T2191" s="14"/>
      <c r="U2191" s="14"/>
      <c r="V2191" s="14"/>
      <c r="W2191" s="14"/>
    </row>
    <row r="2192" ht="31.5" customHeight="1">
      <c r="A2192" s="124" t="s">
        <v>18146</v>
      </c>
      <c r="B2192" s="125" t="s">
        <v>18147</v>
      </c>
      <c r="C2192" s="126" t="s">
        <v>18148</v>
      </c>
      <c r="D2192" s="127" t="s">
        <v>18149</v>
      </c>
      <c r="E2192" s="28" t="str">
        <f>IFERROR(__xludf.DUMMYFUNCTION("GOOGLETRANSLATE(D2192,""zh-CN"",""vi"")"),"Ông đã chiến đấu dũng cảm trên chiến trường.")</f>
        <v>Ông đã chiến đấu dũng cảm trên chiến trường.</v>
      </c>
      <c r="F2192" s="137"/>
      <c r="G2192" s="36" t="b">
        <f t="shared" si="1"/>
        <v>0</v>
      </c>
      <c r="H2192" s="35" t="b">
        <v>1</v>
      </c>
      <c r="I2192" s="35" t="b">
        <v>0</v>
      </c>
      <c r="J2192" s="35" t="b">
        <v>0</v>
      </c>
      <c r="K2192" s="35" t="b">
        <v>0</v>
      </c>
      <c r="L2192" s="35" t="b">
        <v>0</v>
      </c>
      <c r="M2192" s="35" t="b">
        <v>0</v>
      </c>
      <c r="N2192" s="35" t="b">
        <v>0</v>
      </c>
      <c r="O2192" s="35" t="b">
        <v>0</v>
      </c>
      <c r="P2192" s="35" t="b">
        <v>0</v>
      </c>
      <c r="Q2192" s="35" t="b">
        <v>0</v>
      </c>
      <c r="R2192" s="14"/>
      <c r="S2192" s="14"/>
      <c r="T2192" s="14"/>
      <c r="U2192" s="14"/>
      <c r="V2192" s="14"/>
      <c r="W2192" s="14"/>
    </row>
    <row r="2193" ht="31.5" customHeight="1">
      <c r="A2193" s="124" t="s">
        <v>18150</v>
      </c>
      <c r="B2193" s="125" t="s">
        <v>18151</v>
      </c>
      <c r="C2193" s="126" t="s">
        <v>16192</v>
      </c>
      <c r="D2193" s="127" t="s">
        <v>18152</v>
      </c>
      <c r="E2193" s="28" t="str">
        <f>IFERROR(__xludf.DUMMYFUNCTION("GOOGLETRANSLATE(D2193,""zh-CN"",""vi"")"),"Lợi nhuận của công ty đã tăng 20% ​​trong năm nay.")</f>
        <v>Lợi nhuận của công ty đã tăng 20% ​​trong năm nay.</v>
      </c>
      <c r="F2193" s="137"/>
      <c r="G2193" s="36" t="b">
        <f t="shared" si="1"/>
        <v>0</v>
      </c>
      <c r="H2193" s="35" t="b">
        <v>1</v>
      </c>
      <c r="I2193" s="35" t="b">
        <v>0</v>
      </c>
      <c r="J2193" s="35" t="b">
        <v>0</v>
      </c>
      <c r="K2193" s="35" t="b">
        <v>0</v>
      </c>
      <c r="L2193" s="35" t="b">
        <v>0</v>
      </c>
      <c r="M2193" s="35" t="b">
        <v>0</v>
      </c>
      <c r="N2193" s="35" t="b">
        <v>0</v>
      </c>
      <c r="O2193" s="35" t="b">
        <v>0</v>
      </c>
      <c r="P2193" s="35" t="b">
        <v>0</v>
      </c>
      <c r="Q2193" s="35" t="b">
        <v>0</v>
      </c>
      <c r="R2193" s="14"/>
      <c r="S2193" s="14"/>
      <c r="T2193" s="14"/>
      <c r="U2193" s="14"/>
      <c r="V2193" s="14"/>
      <c r="W2193" s="14"/>
    </row>
    <row r="2194" ht="31.5" customHeight="1">
      <c r="A2194" s="124" t="s">
        <v>18153</v>
      </c>
      <c r="B2194" s="125" t="s">
        <v>18154</v>
      </c>
      <c r="C2194" s="126" t="s">
        <v>18155</v>
      </c>
      <c r="D2194" s="127" t="s">
        <v>18156</v>
      </c>
      <c r="E2194" s="28" t="str">
        <f>IFERROR(__xludf.DUMMYFUNCTION("GOOGLETRANSLATE(D2194,""zh-CN"",""vi"")"),"Họ đang tiến về phía chúng ta.")</f>
        <v>Họ đang tiến về phía chúng ta.</v>
      </c>
      <c r="F2194" s="137"/>
      <c r="G2194" s="36" t="b">
        <f t="shared" si="1"/>
        <v>0</v>
      </c>
      <c r="H2194" s="35" t="b">
        <v>1</v>
      </c>
      <c r="I2194" s="35" t="b">
        <v>0</v>
      </c>
      <c r="J2194" s="35" t="b">
        <v>0</v>
      </c>
      <c r="K2194" s="35" t="b">
        <v>0</v>
      </c>
      <c r="L2194" s="35" t="b">
        <v>0</v>
      </c>
      <c r="M2194" s="35" t="b">
        <v>0</v>
      </c>
      <c r="N2194" s="35" t="b">
        <v>0</v>
      </c>
      <c r="O2194" s="35" t="b">
        <v>0</v>
      </c>
      <c r="P2194" s="35" t="b">
        <v>0</v>
      </c>
      <c r="Q2194" s="35" t="b">
        <v>0</v>
      </c>
      <c r="R2194" s="14"/>
      <c r="S2194" s="14"/>
      <c r="T2194" s="14"/>
      <c r="U2194" s="14"/>
      <c r="V2194" s="14"/>
      <c r="W2194" s="14"/>
    </row>
    <row r="2195" ht="31.5" customHeight="1">
      <c r="A2195" s="124" t="s">
        <v>18157</v>
      </c>
      <c r="B2195" s="125" t="s">
        <v>18158</v>
      </c>
      <c r="C2195" s="126" t="s">
        <v>18159</v>
      </c>
      <c r="D2195" s="127" t="s">
        <v>18160</v>
      </c>
      <c r="E2195" s="28" t="str">
        <f>IFERROR(__xludf.DUMMYFUNCTION("GOOGLETRANSLATE(D2195,""zh-CN"",""vi"")"),"Anh ấy xuất hiện trên màn hình.")</f>
        <v>Anh ấy xuất hiện trên màn hình.</v>
      </c>
      <c r="F2195" s="137"/>
      <c r="G2195" s="36" t="b">
        <f t="shared" si="1"/>
        <v>0</v>
      </c>
      <c r="H2195" s="35" t="b">
        <v>1</v>
      </c>
      <c r="I2195" s="35" t="b">
        <v>0</v>
      </c>
      <c r="J2195" s="35" t="b">
        <v>0</v>
      </c>
      <c r="K2195" s="35" t="b">
        <v>0</v>
      </c>
      <c r="L2195" s="35" t="b">
        <v>0</v>
      </c>
      <c r="M2195" s="35" t="b">
        <v>0</v>
      </c>
      <c r="N2195" s="35" t="b">
        <v>0</v>
      </c>
      <c r="O2195" s="35" t="b">
        <v>0</v>
      </c>
      <c r="P2195" s="35" t="b">
        <v>0</v>
      </c>
      <c r="Q2195" s="35" t="b">
        <v>0</v>
      </c>
      <c r="R2195" s="14"/>
      <c r="S2195" s="14"/>
      <c r="T2195" s="14"/>
      <c r="U2195" s="14"/>
      <c r="V2195" s="14"/>
      <c r="W2195" s="14"/>
    </row>
    <row r="2196" ht="31.5" customHeight="1">
      <c r="A2196" s="124" t="s">
        <v>18161</v>
      </c>
      <c r="B2196" s="125" t="s">
        <v>18162</v>
      </c>
      <c r="C2196" s="126" t="s">
        <v>18163</v>
      </c>
      <c r="D2196" s="127" t="s">
        <v>18164</v>
      </c>
      <c r="E2196" s="28" t="str">
        <f>IFERROR(__xludf.DUMMYFUNCTION("GOOGLETRANSLATE(D2196,""zh-CN"",""vi"")"),"Ông ấy bận rộn với nhiều hoạt động xã giao khác nhau.")</f>
        <v>Ông ấy bận rộn với nhiều hoạt động xã giao khác nhau.</v>
      </c>
      <c r="F2196" s="137"/>
      <c r="G2196" s="36" t="b">
        <f t="shared" si="1"/>
        <v>0</v>
      </c>
      <c r="H2196" s="35" t="b">
        <v>1</v>
      </c>
      <c r="I2196" s="35" t="b">
        <v>0</v>
      </c>
      <c r="J2196" s="35" t="b">
        <v>0</v>
      </c>
      <c r="K2196" s="35" t="b">
        <v>0</v>
      </c>
      <c r="L2196" s="35" t="b">
        <v>0</v>
      </c>
      <c r="M2196" s="35" t="b">
        <v>0</v>
      </c>
      <c r="N2196" s="35" t="b">
        <v>0</v>
      </c>
      <c r="O2196" s="35" t="b">
        <v>0</v>
      </c>
      <c r="P2196" s="35" t="b">
        <v>0</v>
      </c>
      <c r="Q2196" s="35" t="b">
        <v>0</v>
      </c>
      <c r="R2196" s="14"/>
      <c r="S2196" s="14"/>
      <c r="T2196" s="14"/>
      <c r="U2196" s="14"/>
      <c r="V2196" s="14"/>
      <c r="W2196" s="14"/>
    </row>
    <row r="2197" ht="31.5" customHeight="1">
      <c r="A2197" s="124" t="s">
        <v>18165</v>
      </c>
      <c r="B2197" s="125" t="s">
        <v>18166</v>
      </c>
      <c r="C2197" s="126" t="s">
        <v>18167</v>
      </c>
      <c r="D2197" s="127" t="s">
        <v>18168</v>
      </c>
      <c r="E2197" s="28" t="str">
        <f>IFERROR(__xludf.DUMMYFUNCTION("GOOGLETRANSLATE(D2197,""zh-CN"",""vi"")"),"Ông ấy được mời tham dự cuộc họp.")</f>
        <v>Ông ấy được mời tham dự cuộc họp.</v>
      </c>
      <c r="F2197" s="137"/>
      <c r="G2197" s="36" t="b">
        <f t="shared" si="1"/>
        <v>0</v>
      </c>
      <c r="H2197" s="35" t="b">
        <v>1</v>
      </c>
      <c r="I2197" s="35" t="b">
        <v>0</v>
      </c>
      <c r="J2197" s="35" t="b">
        <v>0</v>
      </c>
      <c r="K2197" s="35" t="b">
        <v>0</v>
      </c>
      <c r="L2197" s="35" t="b">
        <v>0</v>
      </c>
      <c r="M2197" s="35" t="b">
        <v>0</v>
      </c>
      <c r="N2197" s="35" t="b">
        <v>0</v>
      </c>
      <c r="O2197" s="35" t="b">
        <v>0</v>
      </c>
      <c r="P2197" s="35" t="b">
        <v>0</v>
      </c>
      <c r="Q2197" s="35" t="b">
        <v>0</v>
      </c>
      <c r="R2197" s="14"/>
      <c r="S2197" s="14"/>
      <c r="T2197" s="14"/>
      <c r="U2197" s="14"/>
      <c r="V2197" s="14"/>
      <c r="W2197" s="14"/>
    </row>
    <row r="2198" ht="31.5" customHeight="1">
      <c r="A2198" s="124" t="s">
        <v>18169</v>
      </c>
      <c r="B2198" s="125" t="s">
        <v>18170</v>
      </c>
      <c r="C2198" s="126" t="s">
        <v>18171</v>
      </c>
      <c r="D2198" s="127" t="s">
        <v>18172</v>
      </c>
      <c r="E2198" s="28" t="str">
        <f>IFERROR(__xludf.DUMMYFUNCTION("GOOGLETRANSLATE(D2198,""zh-CN"",""vi"")"),"Họ ủng hộ quyết định này.")</f>
        <v>Họ ủng hộ quyết định này.</v>
      </c>
      <c r="F2198" s="137"/>
      <c r="G2198" s="36" t="b">
        <f t="shared" si="1"/>
        <v>0</v>
      </c>
      <c r="H2198" s="35" t="b">
        <v>1</v>
      </c>
      <c r="I2198" s="35" t="b">
        <v>0</v>
      </c>
      <c r="J2198" s="35" t="b">
        <v>0</v>
      </c>
      <c r="K2198" s="35" t="b">
        <v>0</v>
      </c>
      <c r="L2198" s="35" t="b">
        <v>0</v>
      </c>
      <c r="M2198" s="35" t="b">
        <v>0</v>
      </c>
      <c r="N2198" s="35" t="b">
        <v>0</v>
      </c>
      <c r="O2198" s="35" t="b">
        <v>0</v>
      </c>
      <c r="P2198" s="35" t="b">
        <v>0</v>
      </c>
      <c r="Q2198" s="35" t="b">
        <v>0</v>
      </c>
      <c r="R2198" s="14"/>
      <c r="S2198" s="14"/>
      <c r="T2198" s="14"/>
      <c r="U2198" s="14"/>
      <c r="V2198" s="14"/>
      <c r="W2198" s="14"/>
    </row>
    <row r="2199" ht="31.5" customHeight="1">
      <c r="A2199" s="124" t="s">
        <v>18173</v>
      </c>
      <c r="B2199" s="125" t="s">
        <v>18174</v>
      </c>
      <c r="C2199" s="126" t="s">
        <v>18175</v>
      </c>
      <c r="D2199" s="127" t="s">
        <v>18176</v>
      </c>
      <c r="E2199" s="28" t="str">
        <f>IFERROR(__xludf.DUMMYFUNCTION("GOOGLETRANSLATE(D2199,""zh-CN"",""vi"")"),"Hành vi này thật thô tục.")</f>
        <v>Hành vi này thật thô tục.</v>
      </c>
      <c r="F2199" s="137"/>
      <c r="G2199" s="36" t="b">
        <f t="shared" si="1"/>
        <v>0</v>
      </c>
      <c r="H2199" s="35" t="b">
        <v>1</v>
      </c>
      <c r="I2199" s="35" t="b">
        <v>0</v>
      </c>
      <c r="J2199" s="35" t="b">
        <v>0</v>
      </c>
      <c r="K2199" s="35" t="b">
        <v>0</v>
      </c>
      <c r="L2199" s="35" t="b">
        <v>0</v>
      </c>
      <c r="M2199" s="35" t="b">
        <v>0</v>
      </c>
      <c r="N2199" s="35" t="b">
        <v>0</v>
      </c>
      <c r="O2199" s="35" t="b">
        <v>0</v>
      </c>
      <c r="P2199" s="35" t="b">
        <v>0</v>
      </c>
      <c r="Q2199" s="35" t="b">
        <v>0</v>
      </c>
      <c r="R2199" s="14"/>
      <c r="S2199" s="14"/>
      <c r="T2199" s="14"/>
      <c r="U2199" s="14"/>
      <c r="V2199" s="14"/>
      <c r="W2199" s="14"/>
    </row>
    <row r="2200" ht="31.5" customHeight="1">
      <c r="A2200" s="124" t="s">
        <v>18177</v>
      </c>
      <c r="B2200" s="125" t="s">
        <v>18178</v>
      </c>
      <c r="C2200" s="126" t="s">
        <v>18179</v>
      </c>
      <c r="D2200" s="127" t="s">
        <v>18180</v>
      </c>
      <c r="E2200" s="28" t="str">
        <f>IFERROR(__xludf.DUMMYFUNCTION("GOOGLETRANSLATE(D2200,""zh-CN"",""vi"")"),"Ông ấy sở hữu rất nhiều bất động sản.")</f>
        <v>Ông ấy sở hữu rất nhiều bất động sản.</v>
      </c>
      <c r="F2200" s="137"/>
      <c r="G2200" s="36" t="b">
        <f t="shared" si="1"/>
        <v>0</v>
      </c>
      <c r="H2200" s="35" t="b">
        <v>1</v>
      </c>
      <c r="I2200" s="35" t="b">
        <v>0</v>
      </c>
      <c r="J2200" s="35" t="b">
        <v>0</v>
      </c>
      <c r="K2200" s="35" t="b">
        <v>0</v>
      </c>
      <c r="L2200" s="35" t="b">
        <v>0</v>
      </c>
      <c r="M2200" s="35" t="b">
        <v>0</v>
      </c>
      <c r="N2200" s="35" t="b">
        <v>0</v>
      </c>
      <c r="O2200" s="35" t="b">
        <v>0</v>
      </c>
      <c r="P2200" s="35" t="b">
        <v>0</v>
      </c>
      <c r="Q2200" s="35" t="b">
        <v>0</v>
      </c>
      <c r="R2200" s="14"/>
      <c r="S2200" s="14"/>
      <c r="T2200" s="14"/>
      <c r="U2200" s="14"/>
      <c r="V2200" s="14"/>
      <c r="W2200" s="14"/>
    </row>
    <row r="2201" ht="31.5" customHeight="1">
      <c r="A2201" s="124" t="s">
        <v>18181</v>
      </c>
      <c r="B2201" s="125" t="s">
        <v>18182</v>
      </c>
      <c r="C2201" s="126" t="s">
        <v>18183</v>
      </c>
      <c r="D2201" s="127" t="s">
        <v>18184</v>
      </c>
      <c r="E2201" s="28" t="str">
        <f>IFERROR(__xludf.DUMMYFUNCTION("GOOGLETRANSLATE(D2201,""zh-CN"",""vi"")"),"Tình yêu của họ là vĩnh cửu.")</f>
        <v>Tình yêu của họ là vĩnh cửu.</v>
      </c>
      <c r="F2201" s="137"/>
      <c r="G2201" s="36" t="b">
        <f t="shared" si="1"/>
        <v>0</v>
      </c>
      <c r="H2201" s="35" t="b">
        <v>1</v>
      </c>
      <c r="I2201" s="35" t="b">
        <v>0</v>
      </c>
      <c r="J2201" s="35" t="b">
        <v>0</v>
      </c>
      <c r="K2201" s="35" t="b">
        <v>0</v>
      </c>
      <c r="L2201" s="35" t="b">
        <v>0</v>
      </c>
      <c r="M2201" s="35" t="b">
        <v>0</v>
      </c>
      <c r="N2201" s="35" t="b">
        <v>0</v>
      </c>
      <c r="O2201" s="35" t="b">
        <v>0</v>
      </c>
      <c r="P2201" s="35" t="b">
        <v>0</v>
      </c>
      <c r="Q2201" s="35" t="b">
        <v>0</v>
      </c>
      <c r="R2201" s="14"/>
      <c r="S2201" s="14"/>
      <c r="T2201" s="14"/>
      <c r="U2201" s="14"/>
      <c r="V2201" s="14"/>
      <c r="W2201" s="14"/>
    </row>
    <row r="2202" ht="31.5" customHeight="1">
      <c r="A2202" s="124" t="s">
        <v>18185</v>
      </c>
      <c r="B2202" s="125" t="s">
        <v>18186</v>
      </c>
      <c r="C2202" s="126" t="s">
        <v>18187</v>
      </c>
      <c r="D2202" s="127" t="s">
        <v>18188</v>
      </c>
      <c r="E2202" s="28" t="str">
        <f>IFERROR(__xludf.DUMMYFUNCTION("GOOGLETRANSLATE(D2202,""zh-CN"",""vi"")"),"Những cơ hội mới liên tục xuất hiện.")</f>
        <v>Những cơ hội mới liên tục xuất hiện.</v>
      </c>
      <c r="F2202" s="137"/>
      <c r="G2202" s="36" t="b">
        <f t="shared" si="1"/>
        <v>0</v>
      </c>
      <c r="H2202" s="35" t="b">
        <v>1</v>
      </c>
      <c r="I2202" s="35" t="b">
        <v>0</v>
      </c>
      <c r="J2202" s="35" t="b">
        <v>0</v>
      </c>
      <c r="K2202" s="35" t="b">
        <v>0</v>
      </c>
      <c r="L2202" s="35" t="b">
        <v>0</v>
      </c>
      <c r="M2202" s="35" t="b">
        <v>0</v>
      </c>
      <c r="N2202" s="35" t="b">
        <v>0</v>
      </c>
      <c r="O2202" s="35" t="b">
        <v>0</v>
      </c>
      <c r="P2202" s="35" t="b">
        <v>0</v>
      </c>
      <c r="Q2202" s="35" t="b">
        <v>0</v>
      </c>
      <c r="R2202" s="14"/>
      <c r="S2202" s="14"/>
      <c r="T2202" s="14"/>
      <c r="U2202" s="14"/>
      <c r="V2202" s="14"/>
      <c r="W2202" s="14"/>
    </row>
    <row r="2203" ht="31.5" customHeight="1">
      <c r="A2203" s="124" t="s">
        <v>18189</v>
      </c>
      <c r="B2203" s="125" t="s">
        <v>18190</v>
      </c>
      <c r="C2203" s="126" t="s">
        <v>18191</v>
      </c>
      <c r="D2203" s="127" t="s">
        <v>18192</v>
      </c>
      <c r="E2203" s="28" t="str">
        <f>IFERROR(__xludf.DUMMYFUNCTION("GOOGLETRANSLATE(D2203,""zh-CN"",""vi"")"),"Anh ấy dũng cảm khi đối mặt với thử thách.")</f>
        <v>Anh ấy dũng cảm khi đối mặt với thử thách.</v>
      </c>
      <c r="F2203" s="137"/>
      <c r="G2203" s="36" t="b">
        <f t="shared" si="1"/>
        <v>0</v>
      </c>
      <c r="H2203" s="35" t="b">
        <v>1</v>
      </c>
      <c r="I2203" s="35" t="b">
        <v>0</v>
      </c>
      <c r="J2203" s="35" t="b">
        <v>0</v>
      </c>
      <c r="K2203" s="35" t="b">
        <v>0</v>
      </c>
      <c r="L2203" s="35" t="b">
        <v>0</v>
      </c>
      <c r="M2203" s="35" t="b">
        <v>0</v>
      </c>
      <c r="N2203" s="35" t="b">
        <v>0</v>
      </c>
      <c r="O2203" s="35" t="b">
        <v>0</v>
      </c>
      <c r="P2203" s="35" t="b">
        <v>0</v>
      </c>
      <c r="Q2203" s="35" t="b">
        <v>0</v>
      </c>
      <c r="R2203" s="14"/>
      <c r="S2203" s="14"/>
      <c r="T2203" s="14"/>
      <c r="U2203" s="14"/>
      <c r="V2203" s="14"/>
      <c r="W2203" s="14"/>
    </row>
    <row r="2204" ht="31.5" customHeight="1">
      <c r="A2204" s="124" t="s">
        <v>18193</v>
      </c>
      <c r="B2204" s="125" t="s">
        <v>18194</v>
      </c>
      <c r="C2204" s="126" t="s">
        <v>18195</v>
      </c>
      <c r="D2204" s="127" t="s">
        <v>18196</v>
      </c>
      <c r="E2204" s="28" t="str">
        <f>IFERROR(__xludf.DUMMYFUNCTION("GOOGLETRANSLATE(D2204,""zh-CN"",""vi"")"),"Các sinh viên đã tích cực tham gia vào các hoạt động.")</f>
        <v>Các sinh viên đã tích cực tham gia vào các hoạt động.</v>
      </c>
      <c r="F2204" s="137"/>
      <c r="G2204" s="36" t="b">
        <f t="shared" si="1"/>
        <v>0</v>
      </c>
      <c r="H2204" s="35" t="b">
        <v>1</v>
      </c>
      <c r="I2204" s="35" t="b">
        <v>0</v>
      </c>
      <c r="J2204" s="35" t="b">
        <v>0</v>
      </c>
      <c r="K2204" s="35" t="b">
        <v>0</v>
      </c>
      <c r="L2204" s="35" t="b">
        <v>0</v>
      </c>
      <c r="M2204" s="35" t="b">
        <v>0</v>
      </c>
      <c r="N2204" s="35" t="b">
        <v>0</v>
      </c>
      <c r="O2204" s="35" t="b">
        <v>0</v>
      </c>
      <c r="P2204" s="35" t="b">
        <v>0</v>
      </c>
      <c r="Q2204" s="35" t="b">
        <v>0</v>
      </c>
      <c r="R2204" s="14"/>
      <c r="S2204" s="14"/>
      <c r="T2204" s="14"/>
      <c r="U2204" s="14"/>
      <c r="V2204" s="14"/>
      <c r="W2204" s="14"/>
    </row>
    <row r="2205" ht="31.5" customHeight="1">
      <c r="A2205" s="124" t="s">
        <v>13314</v>
      </c>
      <c r="B2205" s="125" t="s">
        <v>18197</v>
      </c>
      <c r="C2205" s="126" t="s">
        <v>17467</v>
      </c>
      <c r="D2205" s="127" t="s">
        <v>18198</v>
      </c>
      <c r="E2205" s="28" t="str">
        <f>IFERROR(__xludf.DUMMYFUNCTION("GOOGLETRANSLATE(D2205,""zh-CN"",""vi"")"),"Anh ấy làm việc rất chăm chỉ mỗi ngày.")</f>
        <v>Anh ấy làm việc rất chăm chỉ mỗi ngày.</v>
      </c>
      <c r="F2205" s="137"/>
      <c r="G2205" s="36" t="b">
        <f t="shared" si="1"/>
        <v>0</v>
      </c>
      <c r="H2205" s="35" t="b">
        <v>1</v>
      </c>
      <c r="I2205" s="35" t="b">
        <v>0</v>
      </c>
      <c r="J2205" s="35" t="b">
        <v>0</v>
      </c>
      <c r="K2205" s="35" t="b">
        <v>0</v>
      </c>
      <c r="L2205" s="35" t="b">
        <v>0</v>
      </c>
      <c r="M2205" s="35" t="b">
        <v>0</v>
      </c>
      <c r="N2205" s="35" t="b">
        <v>0</v>
      </c>
      <c r="O2205" s="35" t="b">
        <v>0</v>
      </c>
      <c r="P2205" s="35" t="b">
        <v>0</v>
      </c>
      <c r="Q2205" s="35" t="b">
        <v>0</v>
      </c>
      <c r="R2205" s="14"/>
      <c r="S2205" s="14"/>
      <c r="T2205" s="14"/>
      <c r="U2205" s="14"/>
      <c r="V2205" s="14"/>
      <c r="W2205" s="14"/>
    </row>
    <row r="2206" ht="31.5" customHeight="1">
      <c r="A2206" s="124" t="s">
        <v>18199</v>
      </c>
      <c r="B2206" s="125" t="s">
        <v>18200</v>
      </c>
      <c r="C2206" s="126" t="s">
        <v>18201</v>
      </c>
      <c r="D2206" s="127" t="s">
        <v>18202</v>
      </c>
      <c r="E2206" s="28" t="str">
        <f>IFERROR(__xludf.DUMMYFUNCTION("GOOGLETRANSLATE(D2206,""zh-CN"",""vi"")"),"Sản phẩm này rất được người dùng ưa chuộng.")</f>
        <v>Sản phẩm này rất được người dùng ưa chuộng.</v>
      </c>
      <c r="F2206" s="137"/>
      <c r="G2206" s="36" t="b">
        <f t="shared" si="1"/>
        <v>0</v>
      </c>
      <c r="H2206" s="35" t="b">
        <v>1</v>
      </c>
      <c r="I2206" s="35" t="b">
        <v>0</v>
      </c>
      <c r="J2206" s="35" t="b">
        <v>0</v>
      </c>
      <c r="K2206" s="35" t="b">
        <v>0</v>
      </c>
      <c r="L2206" s="35" t="b">
        <v>0</v>
      </c>
      <c r="M2206" s="35" t="b">
        <v>0</v>
      </c>
      <c r="N2206" s="35" t="b">
        <v>0</v>
      </c>
      <c r="O2206" s="35" t="b">
        <v>0</v>
      </c>
      <c r="P2206" s="35" t="b">
        <v>0</v>
      </c>
      <c r="Q2206" s="35" t="b">
        <v>0</v>
      </c>
      <c r="R2206" s="14"/>
      <c r="S2206" s="14"/>
      <c r="T2206" s="14"/>
      <c r="U2206" s="14"/>
      <c r="V2206" s="14"/>
      <c r="W2206" s="14"/>
    </row>
    <row r="2207" ht="31.5" customHeight="1">
      <c r="A2207" s="124" t="s">
        <v>18203</v>
      </c>
      <c r="B2207" s="125" t="s">
        <v>18204</v>
      </c>
      <c r="C2207" s="126" t="s">
        <v>18205</v>
      </c>
      <c r="D2207" s="127" t="s">
        <v>18206</v>
      </c>
      <c r="E2207" s="28" t="str">
        <f>IFERROR(__xludf.DUMMYFUNCTION("GOOGLETRANSLATE(D2207,""zh-CN"",""vi"")"),"Sự chọn lọc tự nhiên là một quy luật bất biến.")</f>
        <v>Sự chọn lọc tự nhiên là một quy luật bất biến.</v>
      </c>
      <c r="F2207" s="137"/>
      <c r="G2207" s="36" t="b">
        <f t="shared" si="1"/>
        <v>0</v>
      </c>
      <c r="H2207" s="35" t="b">
        <v>1</v>
      </c>
      <c r="I2207" s="35" t="b">
        <v>0</v>
      </c>
      <c r="J2207" s="35" t="b">
        <v>0</v>
      </c>
      <c r="K2207" s="35" t="b">
        <v>0</v>
      </c>
      <c r="L2207" s="35" t="b">
        <v>0</v>
      </c>
      <c r="M2207" s="35" t="b">
        <v>0</v>
      </c>
      <c r="N2207" s="35" t="b">
        <v>0</v>
      </c>
      <c r="O2207" s="35" t="b">
        <v>0</v>
      </c>
      <c r="P2207" s="35" t="b">
        <v>0</v>
      </c>
      <c r="Q2207" s="35" t="b">
        <v>0</v>
      </c>
      <c r="R2207" s="14"/>
      <c r="S2207" s="14"/>
      <c r="T2207" s="14"/>
      <c r="U2207" s="14"/>
      <c r="V2207" s="14"/>
      <c r="W2207" s="14"/>
    </row>
    <row r="2208" ht="31.5" customHeight="1">
      <c r="A2208" s="124" t="s">
        <v>18207</v>
      </c>
      <c r="B2208" s="125" t="s">
        <v>18208</v>
      </c>
      <c r="C2208" s="126" t="s">
        <v>18209</v>
      </c>
      <c r="D2208" s="127" t="s">
        <v>18210</v>
      </c>
      <c r="E2208" s="28" t="str">
        <f>IFERROR(__xludf.DUMMYFUNCTION("GOOGLETRANSLATE(D2208,""zh-CN"",""vi"")"),"Người cao tuổi và trẻ em được ưu tiên vào cửa.")</f>
        <v>Người cao tuổi và trẻ em được ưu tiên vào cửa.</v>
      </c>
      <c r="F2208" s="137"/>
      <c r="G2208" s="36" t="b">
        <f t="shared" si="1"/>
        <v>0</v>
      </c>
      <c r="H2208" s="35" t="b">
        <v>1</v>
      </c>
      <c r="I2208" s="35" t="b">
        <v>0</v>
      </c>
      <c r="J2208" s="35" t="b">
        <v>0</v>
      </c>
      <c r="K2208" s="35" t="b">
        <v>0</v>
      </c>
      <c r="L2208" s="35" t="b">
        <v>0</v>
      </c>
      <c r="M2208" s="35" t="b">
        <v>0</v>
      </c>
      <c r="N2208" s="35" t="b">
        <v>0</v>
      </c>
      <c r="O2208" s="35" t="b">
        <v>0</v>
      </c>
      <c r="P2208" s="35" t="b">
        <v>0</v>
      </c>
      <c r="Q2208" s="35" t="b">
        <v>0</v>
      </c>
      <c r="R2208" s="14"/>
      <c r="S2208" s="14"/>
      <c r="T2208" s="14"/>
      <c r="U2208" s="14"/>
      <c r="V2208" s="14"/>
      <c r="W2208" s="14"/>
    </row>
    <row r="2209" ht="31.5" customHeight="1">
      <c r="A2209" s="124" t="s">
        <v>18211</v>
      </c>
      <c r="B2209" s="125" t="s">
        <v>18212</v>
      </c>
      <c r="C2209" s="126" t="s">
        <v>18213</v>
      </c>
      <c r="D2209" s="127" t="s">
        <v>18214</v>
      </c>
      <c r="E2209" s="28" t="str">
        <f>IFERROR(__xludf.DUMMYFUNCTION("GOOGLETRANSLATE(D2209,""zh-CN"",""vi"")"),"Điểm số của anh ấy rất xuất sắc.")</f>
        <v>Điểm số của anh ấy rất xuất sắc.</v>
      </c>
      <c r="F2209" s="137"/>
      <c r="G2209" s="36" t="b">
        <f t="shared" si="1"/>
        <v>0</v>
      </c>
      <c r="H2209" s="35" t="b">
        <v>1</v>
      </c>
      <c r="I2209" s="35" t="b">
        <v>0</v>
      </c>
      <c r="J2209" s="35" t="b">
        <v>0</v>
      </c>
      <c r="K2209" s="35" t="b">
        <v>0</v>
      </c>
      <c r="L2209" s="35" t="b">
        <v>0</v>
      </c>
      <c r="M2209" s="35" t="b">
        <v>0</v>
      </c>
      <c r="N2209" s="35" t="b">
        <v>0</v>
      </c>
      <c r="O2209" s="35" t="b">
        <v>0</v>
      </c>
      <c r="P2209" s="35" t="b">
        <v>0</v>
      </c>
      <c r="Q2209" s="35" t="b">
        <v>0</v>
      </c>
      <c r="R2209" s="14"/>
      <c r="S2209" s="14"/>
      <c r="T2209" s="14"/>
      <c r="U2209" s="14"/>
      <c r="V2209" s="14"/>
      <c r="W2209" s="14"/>
    </row>
    <row r="2210" ht="31.5" customHeight="1">
      <c r="A2210" s="124" t="s">
        <v>18215</v>
      </c>
      <c r="B2210" s="125" t="s">
        <v>18216</v>
      </c>
      <c r="C2210" s="126" t="s">
        <v>18217</v>
      </c>
      <c r="D2210" s="127" t="s">
        <v>18218</v>
      </c>
      <c r="E2210" s="28" t="str">
        <f>IFERROR(__xludf.DUMMYFUNCTION("GOOGLETRANSLATE(D2210,""zh-CN"",""vi"")"),"Cô ấy trông có vẻ hơi buồn rầu.")</f>
        <v>Cô ấy trông có vẻ hơi buồn rầu.</v>
      </c>
      <c r="F2210" s="137"/>
      <c r="G2210" s="36" t="b">
        <f t="shared" si="1"/>
        <v>0</v>
      </c>
      <c r="H2210" s="35" t="b">
        <v>1</v>
      </c>
      <c r="I2210" s="35" t="b">
        <v>0</v>
      </c>
      <c r="J2210" s="35" t="b">
        <v>0</v>
      </c>
      <c r="K2210" s="35" t="b">
        <v>0</v>
      </c>
      <c r="L2210" s="35" t="b">
        <v>0</v>
      </c>
      <c r="M2210" s="35" t="b">
        <v>0</v>
      </c>
      <c r="N2210" s="35" t="b">
        <v>0</v>
      </c>
      <c r="O2210" s="35" t="b">
        <v>0</v>
      </c>
      <c r="P2210" s="35" t="b">
        <v>0</v>
      </c>
      <c r="Q2210" s="35" t="b">
        <v>0</v>
      </c>
      <c r="R2210" s="14"/>
      <c r="S2210" s="14"/>
      <c r="T2210" s="14"/>
      <c r="U2210" s="14"/>
      <c r="V2210" s="14"/>
      <c r="W2210" s="14"/>
    </row>
    <row r="2211" ht="31.5" customHeight="1">
      <c r="A2211" s="124" t="s">
        <v>18219</v>
      </c>
      <c r="B2211" s="125" t="s">
        <v>18220</v>
      </c>
      <c r="C2211" s="126" t="s">
        <v>18221</v>
      </c>
      <c r="D2211" s="127" t="s">
        <v>18222</v>
      </c>
      <c r="E2211" s="28" t="str">
        <f>IFERROR(__xludf.DUMMYFUNCTION("GOOGLETRANSLATE(D2211,""zh-CN"",""vi"")"),"Môi trường ở đây rất tuyệt vời.")</f>
        <v>Môi trường ở đây rất tuyệt vời.</v>
      </c>
      <c r="F2211" s="137"/>
      <c r="G2211" s="36" t="b">
        <f t="shared" si="1"/>
        <v>0</v>
      </c>
      <c r="H2211" s="35" t="b">
        <v>1</v>
      </c>
      <c r="I2211" s="35" t="b">
        <v>0</v>
      </c>
      <c r="J2211" s="35" t="b">
        <v>0</v>
      </c>
      <c r="K2211" s="35" t="b">
        <v>0</v>
      </c>
      <c r="L2211" s="35" t="b">
        <v>0</v>
      </c>
      <c r="M2211" s="35" t="b">
        <v>0</v>
      </c>
      <c r="N2211" s="35" t="b">
        <v>0</v>
      </c>
      <c r="O2211" s="35" t="b">
        <v>0</v>
      </c>
      <c r="P2211" s="35" t="b">
        <v>0</v>
      </c>
      <c r="Q2211" s="35" t="b">
        <v>0</v>
      </c>
      <c r="R2211" s="14"/>
      <c r="S2211" s="14"/>
      <c r="T2211" s="14"/>
      <c r="U2211" s="14"/>
      <c r="V2211" s="14"/>
      <c r="W2211" s="14"/>
    </row>
    <row r="2212" ht="31.5" customHeight="1">
      <c r="A2212" s="124" t="s">
        <v>18223</v>
      </c>
      <c r="B2212" s="125" t="s">
        <v>18224</v>
      </c>
      <c r="C2212" s="126" t="s">
        <v>18225</v>
      </c>
      <c r="D2212" s="127" t="s">
        <v>18226</v>
      </c>
      <c r="E2212" s="28" t="str">
        <f>IFERROR(__xludf.DUMMYFUNCTION("GOOGLETRANSLATE(D2212,""zh-CN"",""vi"")"),"Món ăn này nhiều dầu mỡ quá.")</f>
        <v>Món ăn này nhiều dầu mỡ quá.</v>
      </c>
      <c r="F2212" s="137"/>
      <c r="G2212" s="36" t="b">
        <f t="shared" si="1"/>
        <v>0</v>
      </c>
      <c r="H2212" s="35" t="b">
        <v>1</v>
      </c>
      <c r="I2212" s="35" t="b">
        <v>0</v>
      </c>
      <c r="J2212" s="35" t="b">
        <v>0</v>
      </c>
      <c r="K2212" s="35" t="b">
        <v>0</v>
      </c>
      <c r="L2212" s="35" t="b">
        <v>0</v>
      </c>
      <c r="M2212" s="35" t="b">
        <v>0</v>
      </c>
      <c r="N2212" s="35" t="b">
        <v>0</v>
      </c>
      <c r="O2212" s="35" t="b">
        <v>0</v>
      </c>
      <c r="P2212" s="35" t="b">
        <v>0</v>
      </c>
      <c r="Q2212" s="35" t="b">
        <v>0</v>
      </c>
      <c r="R2212" s="14"/>
      <c r="S2212" s="14"/>
      <c r="T2212" s="14"/>
      <c r="U2212" s="14"/>
      <c r="V2212" s="14"/>
      <c r="W2212" s="14"/>
    </row>
    <row r="2213" ht="31.5" customHeight="1">
      <c r="A2213" s="124" t="s">
        <v>18227</v>
      </c>
      <c r="B2213" s="125" t="s">
        <v>18228</v>
      </c>
      <c r="C2213" s="126" t="s">
        <v>18229</v>
      </c>
      <c r="D2213" s="127" t="s">
        <v>18230</v>
      </c>
      <c r="E2213" s="28" t="str">
        <f>IFERROR(__xludf.DUMMYFUNCTION("GOOGLETRANSLATE(D2213,""zh-CN"",""vi"")"),"Anh ấy đã sơn bức tường.")</f>
        <v>Anh ấy đã sơn bức tường.</v>
      </c>
      <c r="F2213" s="137"/>
      <c r="G2213" s="36" t="b">
        <f t="shared" si="1"/>
        <v>0</v>
      </c>
      <c r="H2213" s="35" t="b">
        <v>1</v>
      </c>
      <c r="I2213" s="35" t="b">
        <v>0</v>
      </c>
      <c r="J2213" s="35" t="b">
        <v>0</v>
      </c>
      <c r="K2213" s="35" t="b">
        <v>0</v>
      </c>
      <c r="L2213" s="35" t="b">
        <v>0</v>
      </c>
      <c r="M2213" s="35" t="b">
        <v>0</v>
      </c>
      <c r="N2213" s="35" t="b">
        <v>0</v>
      </c>
      <c r="O2213" s="35" t="b">
        <v>0</v>
      </c>
      <c r="P2213" s="35" t="b">
        <v>0</v>
      </c>
      <c r="Q2213" s="35" t="b">
        <v>0</v>
      </c>
      <c r="R2213" s="14"/>
      <c r="S2213" s="14"/>
      <c r="T2213" s="14"/>
      <c r="U2213" s="14"/>
      <c r="V2213" s="14"/>
      <c r="W2213" s="14"/>
    </row>
    <row r="2214" ht="31.5" customHeight="1">
      <c r="A2214" s="124" t="s">
        <v>18231</v>
      </c>
      <c r="B2214" s="125" t="s">
        <v>18232</v>
      </c>
      <c r="C2214" s="126" t="s">
        <v>18233</v>
      </c>
      <c r="D2214" s="127" t="s">
        <v>18234</v>
      </c>
      <c r="E2214" s="28" t="str">
        <f>IFERROR(__xludf.DUMMYFUNCTION("GOOGLETRANSLATE(D2214,""zh-CN"",""vi"")"),"Tôi cảm thấy như mình đang mơ vậy.")</f>
        <v>Tôi cảm thấy như mình đang mơ vậy.</v>
      </c>
      <c r="F2214" s="137"/>
      <c r="G2214" s="36" t="b">
        <f t="shared" si="1"/>
        <v>0</v>
      </c>
      <c r="H2214" s="35" t="b">
        <v>1</v>
      </c>
      <c r="I2214" s="35" t="b">
        <v>0</v>
      </c>
      <c r="J2214" s="35" t="b">
        <v>0</v>
      </c>
      <c r="K2214" s="35" t="b">
        <v>0</v>
      </c>
      <c r="L2214" s="35" t="b">
        <v>0</v>
      </c>
      <c r="M2214" s="35" t="b">
        <v>0</v>
      </c>
      <c r="N2214" s="35" t="b">
        <v>0</v>
      </c>
      <c r="O2214" s="35" t="b">
        <v>0</v>
      </c>
      <c r="P2214" s="35" t="b">
        <v>0</v>
      </c>
      <c r="Q2214" s="35" t="b">
        <v>0</v>
      </c>
      <c r="R2214" s="14"/>
      <c r="S2214" s="14"/>
      <c r="T2214" s="14"/>
      <c r="U2214" s="14"/>
      <c r="V2214" s="14"/>
      <c r="W2214" s="14"/>
    </row>
    <row r="2215" ht="31.5" customHeight="1">
      <c r="A2215" s="124" t="s">
        <v>18235</v>
      </c>
      <c r="B2215" s="125" t="s">
        <v>18236</v>
      </c>
      <c r="C2215" s="126" t="s">
        <v>18237</v>
      </c>
      <c r="D2215" s="127" t="s">
        <v>18238</v>
      </c>
      <c r="E2215" s="28" t="str">
        <f>IFERROR(__xludf.DUMMYFUNCTION("GOOGLETRANSLATE(D2215,""zh-CN"",""vi"")"),"Cô ấy làm việc rất có phương pháp.")</f>
        <v>Cô ấy làm việc rất có phương pháp.</v>
      </c>
      <c r="F2215" s="137"/>
      <c r="G2215" s="36" t="b">
        <f t="shared" si="1"/>
        <v>0</v>
      </c>
      <c r="H2215" s="35" t="b">
        <v>1</v>
      </c>
      <c r="I2215" s="35" t="b">
        <v>0</v>
      </c>
      <c r="J2215" s="35" t="b">
        <v>0</v>
      </c>
      <c r="K2215" s="35" t="b">
        <v>0</v>
      </c>
      <c r="L2215" s="35" t="b">
        <v>0</v>
      </c>
      <c r="M2215" s="35" t="b">
        <v>0</v>
      </c>
      <c r="N2215" s="35" t="b">
        <v>0</v>
      </c>
      <c r="O2215" s="35" t="b">
        <v>0</v>
      </c>
      <c r="P2215" s="35" t="b">
        <v>0</v>
      </c>
      <c r="Q2215" s="35" t="b">
        <v>0</v>
      </c>
      <c r="R2215" s="14"/>
      <c r="S2215" s="14"/>
      <c r="T2215" s="14"/>
      <c r="U2215" s="14"/>
      <c r="V2215" s="14"/>
      <c r="W2215" s="14"/>
    </row>
    <row r="2216" ht="31.5" customHeight="1">
      <c r="A2216" s="124" t="s">
        <v>18239</v>
      </c>
      <c r="B2216" s="125" t="s">
        <v>18240</v>
      </c>
      <c r="C2216" s="126" t="s">
        <v>18241</v>
      </c>
      <c r="D2216" s="127" t="s">
        <v>18242</v>
      </c>
      <c r="E2216" s="28" t="str">
        <f>IFERROR(__xludf.DUMMYFUNCTION("GOOGLETRANSLATE(D2216,""zh-CN"",""vi"")"),"Kế hoạch này rất hấp dẫn đối với anh ta.")</f>
        <v>Kế hoạch này rất hấp dẫn đối với anh ta.</v>
      </c>
      <c r="F2216" s="137"/>
      <c r="G2216" s="36" t="b">
        <f t="shared" si="1"/>
        <v>0</v>
      </c>
      <c r="H2216" s="35" t="b">
        <v>1</v>
      </c>
      <c r="I2216" s="35" t="b">
        <v>0</v>
      </c>
      <c r="J2216" s="35" t="b">
        <v>0</v>
      </c>
      <c r="K2216" s="35" t="b">
        <v>0</v>
      </c>
      <c r="L2216" s="35" t="b">
        <v>0</v>
      </c>
      <c r="M2216" s="35" t="b">
        <v>0</v>
      </c>
      <c r="N2216" s="35" t="b">
        <v>0</v>
      </c>
      <c r="O2216" s="35" t="b">
        <v>0</v>
      </c>
      <c r="P2216" s="35" t="b">
        <v>0</v>
      </c>
      <c r="Q2216" s="35" t="b">
        <v>0</v>
      </c>
      <c r="R2216" s="14"/>
      <c r="S2216" s="14"/>
      <c r="T2216" s="14"/>
      <c r="U2216" s="14"/>
      <c r="V2216" s="14"/>
      <c r="W2216" s="14"/>
    </row>
    <row r="2217" ht="31.5" customHeight="1">
      <c r="A2217" s="124" t="s">
        <v>18243</v>
      </c>
      <c r="B2217" s="125" t="s">
        <v>18244</v>
      </c>
      <c r="C2217" s="126" t="s">
        <v>18245</v>
      </c>
      <c r="D2217" s="127" t="s">
        <v>18246</v>
      </c>
      <c r="E2217" s="28" t="str">
        <f>IFERROR(__xludf.DUMMYFUNCTION("GOOGLETRANSLATE(D2217,""zh-CN"",""vi"")"),"Ý tưởng của anh ta quá ngây thơ.")</f>
        <v>Ý tưởng của anh ta quá ngây thơ.</v>
      </c>
      <c r="F2217" s="137"/>
      <c r="G2217" s="36" t="b">
        <f t="shared" si="1"/>
        <v>0</v>
      </c>
      <c r="H2217" s="35" t="b">
        <v>1</v>
      </c>
      <c r="I2217" s="35" t="b">
        <v>0</v>
      </c>
      <c r="J2217" s="35" t="b">
        <v>0</v>
      </c>
      <c r="K2217" s="35" t="b">
        <v>0</v>
      </c>
      <c r="L2217" s="35" t="b">
        <v>0</v>
      </c>
      <c r="M2217" s="35" t="b">
        <v>0</v>
      </c>
      <c r="N2217" s="35" t="b">
        <v>0</v>
      </c>
      <c r="O2217" s="35" t="b">
        <v>0</v>
      </c>
      <c r="P2217" s="35" t="b">
        <v>0</v>
      </c>
      <c r="Q2217" s="35" t="b">
        <v>0</v>
      </c>
      <c r="R2217" s="14"/>
      <c r="S2217" s="14"/>
      <c r="T2217" s="14"/>
      <c r="U2217" s="14"/>
      <c r="V2217" s="14"/>
      <c r="W2217" s="14"/>
    </row>
    <row r="2218" ht="31.5" customHeight="1">
      <c r="A2218" s="124" t="s">
        <v>18247</v>
      </c>
      <c r="B2218" s="125" t="s">
        <v>18248</v>
      </c>
      <c r="C2218" s="126" t="s">
        <v>18249</v>
      </c>
      <c r="D2218" s="127" t="s">
        <v>18250</v>
      </c>
      <c r="E2218" s="28" t="str">
        <f>IFERROR(__xludf.DUMMYFUNCTION("GOOGLETRANSLATE(D2218,""zh-CN"",""vi"")"),"Hành vi của anh ta vô cùng ngu ngốc.")</f>
        <v>Hành vi của anh ta vô cùng ngu ngốc.</v>
      </c>
      <c r="F2218" s="137"/>
      <c r="G2218" s="36" t="b">
        <f t="shared" si="1"/>
        <v>0</v>
      </c>
      <c r="H2218" s="35" t="b">
        <v>1</v>
      </c>
      <c r="I2218" s="35" t="b">
        <v>0</v>
      </c>
      <c r="J2218" s="35" t="b">
        <v>0</v>
      </c>
      <c r="K2218" s="35" t="b">
        <v>0</v>
      </c>
      <c r="L2218" s="35" t="b">
        <v>0</v>
      </c>
      <c r="M2218" s="35" t="b">
        <v>0</v>
      </c>
      <c r="N2218" s="35" t="b">
        <v>0</v>
      </c>
      <c r="O2218" s="35" t="b">
        <v>0</v>
      </c>
      <c r="P2218" s="35" t="b">
        <v>0</v>
      </c>
      <c r="Q2218" s="35" t="b">
        <v>0</v>
      </c>
      <c r="R2218" s="14"/>
      <c r="S2218" s="14"/>
      <c r="T2218" s="14"/>
      <c r="U2218" s="14"/>
      <c r="V2218" s="14"/>
      <c r="W2218" s="14"/>
    </row>
    <row r="2219" ht="31.5" customHeight="1">
      <c r="A2219" s="124" t="s">
        <v>18251</v>
      </c>
      <c r="B2219" s="125" t="s">
        <v>18252</v>
      </c>
      <c r="C2219" s="126" t="s">
        <v>18253</v>
      </c>
      <c r="D2219" s="127" t="s">
        <v>18254</v>
      </c>
      <c r="E2219" s="28" t="str">
        <f>IFERROR(__xludf.DUMMYFUNCTION("GOOGLETRANSLATE(D2219,""zh-CN"",""vi"")"),"Dư luận có tác động đáng kể đến ông.")</f>
        <v>Dư luận có tác động đáng kể đến ông.</v>
      </c>
      <c r="F2219" s="137"/>
      <c r="G2219" s="36" t="b">
        <f t="shared" si="1"/>
        <v>0</v>
      </c>
      <c r="H2219" s="35" t="b">
        <v>1</v>
      </c>
      <c r="I2219" s="35" t="b">
        <v>0</v>
      </c>
      <c r="J2219" s="35" t="b">
        <v>0</v>
      </c>
      <c r="K2219" s="35" t="b">
        <v>0</v>
      </c>
      <c r="L2219" s="35" t="b">
        <v>0</v>
      </c>
      <c r="M2219" s="35" t="b">
        <v>0</v>
      </c>
      <c r="N2219" s="35" t="b">
        <v>0</v>
      </c>
      <c r="O2219" s="35" t="b">
        <v>0</v>
      </c>
      <c r="P2219" s="35" t="b">
        <v>0</v>
      </c>
      <c r="Q2219" s="35" t="b">
        <v>0</v>
      </c>
      <c r="R2219" s="14"/>
      <c r="S2219" s="14"/>
      <c r="T2219" s="14"/>
      <c r="U2219" s="14"/>
      <c r="V2219" s="14"/>
      <c r="W2219" s="14"/>
    </row>
    <row r="2220" ht="31.5" customHeight="1">
      <c r="A2220" s="124" t="s">
        <v>18255</v>
      </c>
      <c r="B2220" s="125" t="s">
        <v>18256</v>
      </c>
      <c r="C2220" s="126" t="s">
        <v>18257</v>
      </c>
      <c r="D2220" s="127" t="s">
        <v>18258</v>
      </c>
      <c r="E2220" s="28" t="str">
        <f>IFERROR(__xludf.DUMMYFUNCTION("GOOGLETRANSLATE(D2220,""zh-CN"",""vi"")"),"Họ ngu dốt và khờ dại.")</f>
        <v>Họ ngu dốt và khờ dại.</v>
      </c>
      <c r="F2220" s="137"/>
      <c r="G2220" s="36" t="b">
        <f t="shared" si="1"/>
        <v>0</v>
      </c>
      <c r="H2220" s="35" t="b">
        <v>1</v>
      </c>
      <c r="I2220" s="35" t="b">
        <v>0</v>
      </c>
      <c r="J2220" s="35" t="b">
        <v>0</v>
      </c>
      <c r="K2220" s="35" t="b">
        <v>0</v>
      </c>
      <c r="L2220" s="35" t="b">
        <v>0</v>
      </c>
      <c r="M2220" s="35" t="b">
        <v>0</v>
      </c>
      <c r="N2220" s="35" t="b">
        <v>0</v>
      </c>
      <c r="O2220" s="35" t="b">
        <v>0</v>
      </c>
      <c r="P2220" s="35" t="b">
        <v>0</v>
      </c>
      <c r="Q2220" s="35" t="b">
        <v>0</v>
      </c>
      <c r="R2220" s="14"/>
      <c r="S2220" s="14"/>
      <c r="T2220" s="14"/>
      <c r="U2220" s="14"/>
      <c r="V2220" s="14"/>
      <c r="W2220" s="14"/>
    </row>
    <row r="2221" ht="31.5" customHeight="1">
      <c r="A2221" s="124" t="s">
        <v>18259</v>
      </c>
      <c r="B2221" s="125" t="s">
        <v>18260</v>
      </c>
      <c r="C2221" s="126" t="s">
        <v>18261</v>
      </c>
      <c r="D2221" s="127" t="s">
        <v>18262</v>
      </c>
      <c r="E2221" s="28" t="str">
        <f>IFERROR(__xludf.DUMMYFUNCTION("GOOGLETRANSLATE(D2221,""zh-CN"",""vi"")"),"Ngư dân dậy sớm để đi đánh cá.")</f>
        <v>Ngư dân dậy sớm để đi đánh cá.</v>
      </c>
      <c r="F2221" s="137"/>
      <c r="G2221" s="36" t="b">
        <f t="shared" si="1"/>
        <v>0</v>
      </c>
      <c r="H2221" s="35" t="b">
        <v>1</v>
      </c>
      <c r="I2221" s="35" t="b">
        <v>0</v>
      </c>
      <c r="J2221" s="35" t="b">
        <v>0</v>
      </c>
      <c r="K2221" s="35" t="b">
        <v>0</v>
      </c>
      <c r="L2221" s="35" t="b">
        <v>0</v>
      </c>
      <c r="M2221" s="35" t="b">
        <v>0</v>
      </c>
      <c r="N2221" s="35" t="b">
        <v>0</v>
      </c>
      <c r="O2221" s="35" t="b">
        <v>0</v>
      </c>
      <c r="P2221" s="35" t="b">
        <v>0</v>
      </c>
      <c r="Q2221" s="35" t="b">
        <v>0</v>
      </c>
      <c r="R2221" s="14"/>
      <c r="S2221" s="14"/>
      <c r="T2221" s="14"/>
      <c r="U2221" s="14"/>
      <c r="V2221" s="14"/>
      <c r="W2221" s="14"/>
    </row>
    <row r="2222" ht="31.5" customHeight="1">
      <c r="A2222" s="124" t="s">
        <v>18263</v>
      </c>
      <c r="B2222" s="125" t="s">
        <v>18264</v>
      </c>
      <c r="C2222" s="126" t="s">
        <v>18265</v>
      </c>
      <c r="D2222" s="127" t="s">
        <v>18266</v>
      </c>
      <c r="E2222" s="28" t="str">
        <f>IFERROR(__xludf.DUMMYFUNCTION("GOOGLETRANSLATE(D2222,""zh-CN"",""vi"")"),"Dân số thành phố đang tăng lên mỗi ngày.")</f>
        <v>Dân số thành phố đang tăng lên mỗi ngày.</v>
      </c>
      <c r="F2222" s="137"/>
      <c r="G2222" s="36" t="b">
        <f t="shared" si="1"/>
        <v>0</v>
      </c>
      <c r="H2222" s="35" t="b">
        <v>1</v>
      </c>
      <c r="I2222" s="35" t="b">
        <v>0</v>
      </c>
      <c r="J2222" s="35" t="b">
        <v>0</v>
      </c>
      <c r="K2222" s="35" t="b">
        <v>0</v>
      </c>
      <c r="L2222" s="35" t="b">
        <v>0</v>
      </c>
      <c r="M2222" s="35" t="b">
        <v>0</v>
      </c>
      <c r="N2222" s="35" t="b">
        <v>0</v>
      </c>
      <c r="O2222" s="35" t="b">
        <v>0</v>
      </c>
      <c r="P2222" s="35" t="b">
        <v>0</v>
      </c>
      <c r="Q2222" s="35" t="b">
        <v>0</v>
      </c>
      <c r="R2222" s="14"/>
      <c r="S2222" s="14"/>
      <c r="T2222" s="14"/>
      <c r="U2222" s="14"/>
      <c r="V2222" s="14"/>
      <c r="W2222" s="14"/>
    </row>
    <row r="2223" ht="31.5" customHeight="1">
      <c r="A2223" s="124" t="s">
        <v>18267</v>
      </c>
      <c r="B2223" s="125" t="s">
        <v>18268</v>
      </c>
      <c r="C2223" s="126" t="s">
        <v>18269</v>
      </c>
      <c r="D2223" s="127" t="s">
        <v>18270</v>
      </c>
      <c r="E2223" s="28" t="str">
        <f>IFERROR(__xludf.DUMMYFUNCTION("GOOGLETRANSLATE(D2223,""zh-CN"",""vi"")"),"Tôi mặc áo khoác lông vũ vào mùa đông.")</f>
        <v>Tôi mặc áo khoác lông vũ vào mùa đông.</v>
      </c>
      <c r="F2223" s="137"/>
      <c r="G2223" s="36" t="b">
        <f t="shared" si="1"/>
        <v>0</v>
      </c>
      <c r="H2223" s="35" t="b">
        <v>1</v>
      </c>
      <c r="I2223" s="35" t="b">
        <v>0</v>
      </c>
      <c r="J2223" s="35" t="b">
        <v>0</v>
      </c>
      <c r="K2223" s="35" t="b">
        <v>0</v>
      </c>
      <c r="L2223" s="35" t="b">
        <v>0</v>
      </c>
      <c r="M2223" s="35" t="b">
        <v>0</v>
      </c>
      <c r="N2223" s="35" t="b">
        <v>0</v>
      </c>
      <c r="O2223" s="35" t="b">
        <v>0</v>
      </c>
      <c r="P2223" s="35" t="b">
        <v>0</v>
      </c>
      <c r="Q2223" s="35" t="b">
        <v>0</v>
      </c>
      <c r="R2223" s="14"/>
      <c r="S2223" s="14"/>
      <c r="T2223" s="14"/>
      <c r="U2223" s="14"/>
      <c r="V2223" s="14"/>
      <c r="W2223" s="14"/>
    </row>
    <row r="2224" ht="31.5" customHeight="1">
      <c r="A2224" s="124" t="s">
        <v>18271</v>
      </c>
      <c r="B2224" s="125" t="s">
        <v>18272</v>
      </c>
      <c r="C2224" s="126" t="s">
        <v>18273</v>
      </c>
      <c r="D2224" s="127" t="s">
        <v>18274</v>
      </c>
      <c r="E2224" s="28" t="str">
        <f>IFERROR(__xludf.DUMMYFUNCTION("GOOGLETRANSLATE(D2224,""zh-CN"",""vi"")"),"Vui lòng hỗ trợ.")</f>
        <v>Vui lòng hỗ trợ.</v>
      </c>
      <c r="F2224" s="137"/>
      <c r="G2224" s="36" t="b">
        <f t="shared" si="1"/>
        <v>0</v>
      </c>
      <c r="H2224" s="35" t="b">
        <v>1</v>
      </c>
      <c r="I2224" s="35" t="b">
        <v>0</v>
      </c>
      <c r="J2224" s="35" t="b">
        <v>0</v>
      </c>
      <c r="K2224" s="35" t="b">
        <v>0</v>
      </c>
      <c r="L2224" s="35" t="b">
        <v>0</v>
      </c>
      <c r="M2224" s="35" t="b">
        <v>0</v>
      </c>
      <c r="N2224" s="35" t="b">
        <v>0</v>
      </c>
      <c r="O2224" s="35" t="b">
        <v>0</v>
      </c>
      <c r="P2224" s="35" t="b">
        <v>0</v>
      </c>
      <c r="Q2224" s="35" t="b">
        <v>0</v>
      </c>
      <c r="R2224" s="14"/>
      <c r="S2224" s="14"/>
      <c r="T2224" s="14"/>
      <c r="U2224" s="14"/>
      <c r="V2224" s="14"/>
      <c r="W2224" s="14"/>
    </row>
    <row r="2225" ht="31.5" customHeight="1">
      <c r="A2225" s="124" t="s">
        <v>18275</v>
      </c>
      <c r="B2225" s="125" t="s">
        <v>18276</v>
      </c>
      <c r="C2225" s="126" t="s">
        <v>18277</v>
      </c>
      <c r="D2225" s="127" t="s">
        <v>18278</v>
      </c>
      <c r="E2225" s="28" t="str">
        <f>IFERROR(__xludf.DUMMYFUNCTION("GOOGLETRANSLATE(D2225,""zh-CN"",""vi"")"),"Thời tiết ngày càng trở lạnh.")</f>
        <v>Thời tiết ngày càng trở lạnh.</v>
      </c>
      <c r="F2225" s="137"/>
      <c r="G2225" s="36" t="b">
        <f t="shared" si="1"/>
        <v>0</v>
      </c>
      <c r="H2225" s="35" t="b">
        <v>1</v>
      </c>
      <c r="I2225" s="35" t="b">
        <v>0</v>
      </c>
      <c r="J2225" s="35" t="b">
        <v>0</v>
      </c>
      <c r="K2225" s="35" t="b">
        <v>0</v>
      </c>
      <c r="L2225" s="35" t="b">
        <v>0</v>
      </c>
      <c r="M2225" s="35" t="b">
        <v>0</v>
      </c>
      <c r="N2225" s="35" t="b">
        <v>0</v>
      </c>
      <c r="O2225" s="35" t="b">
        <v>0</v>
      </c>
      <c r="P2225" s="35" t="b">
        <v>0</v>
      </c>
      <c r="Q2225" s="35" t="b">
        <v>0</v>
      </c>
      <c r="R2225" s="14"/>
      <c r="S2225" s="14"/>
      <c r="T2225" s="14"/>
      <c r="U2225" s="14"/>
      <c r="V2225" s="14"/>
      <c r="W2225" s="14"/>
    </row>
    <row r="2226" ht="31.5" customHeight="1">
      <c r="A2226" s="124" t="s">
        <v>18279</v>
      </c>
      <c r="B2226" s="125" t="s">
        <v>18280</v>
      </c>
      <c r="C2226" s="126" t="s">
        <v>18281</v>
      </c>
      <c r="D2226" s="127" t="s">
        <v>18282</v>
      </c>
      <c r="E2226" s="28" t="str">
        <f>IFERROR(__xludf.DUMMYFUNCTION("GOOGLETRANSLATE(D2226,""zh-CN"",""vi"")"),"Anh ấy ủi quần áo rất gọn gàng.")</f>
        <v>Anh ấy ủi quần áo rất gọn gàng.</v>
      </c>
      <c r="F2226" s="137"/>
      <c r="G2226" s="36" t="b">
        <f t="shared" si="1"/>
        <v>0</v>
      </c>
      <c r="H2226" s="35" t="b">
        <v>1</v>
      </c>
      <c r="I2226" s="35" t="b">
        <v>0</v>
      </c>
      <c r="J2226" s="35" t="b">
        <v>0</v>
      </c>
      <c r="K2226" s="35" t="b">
        <v>0</v>
      </c>
      <c r="L2226" s="35" t="b">
        <v>0</v>
      </c>
      <c r="M2226" s="35" t="b">
        <v>0</v>
      </c>
      <c r="N2226" s="35" t="b">
        <v>0</v>
      </c>
      <c r="O2226" s="35" t="b">
        <v>0</v>
      </c>
      <c r="P2226" s="35" t="b">
        <v>0</v>
      </c>
      <c r="Q2226" s="35" t="b">
        <v>0</v>
      </c>
      <c r="R2226" s="14"/>
      <c r="S2226" s="14"/>
      <c r="T2226" s="14"/>
      <c r="U2226" s="14"/>
      <c r="V2226" s="14"/>
      <c r="W2226" s="14"/>
    </row>
    <row r="2227" ht="31.5" customHeight="1">
      <c r="A2227" s="124" t="s">
        <v>18283</v>
      </c>
      <c r="B2227" s="125" t="s">
        <v>18284</v>
      </c>
      <c r="C2227" s="126" t="s">
        <v>18064</v>
      </c>
      <c r="D2227" s="127" t="s">
        <v>18285</v>
      </c>
      <c r="E2227" s="28" t="str">
        <f>IFERROR(__xludf.DUMMYFUNCTION("GOOGLETRANSLATE(D2227,""zh-CN"",""vi"")"),"Màn trình diễn của anh ấy thật ngoài sức tưởng tượng.")</f>
        <v>Màn trình diễn của anh ấy thật ngoài sức tưởng tượng.</v>
      </c>
      <c r="F2227" s="137"/>
      <c r="G2227" s="36" t="b">
        <f t="shared" si="1"/>
        <v>0</v>
      </c>
      <c r="H2227" s="35" t="b">
        <v>1</v>
      </c>
      <c r="I2227" s="35" t="b">
        <v>0</v>
      </c>
      <c r="J2227" s="35" t="b">
        <v>0</v>
      </c>
      <c r="K2227" s="35" t="b">
        <v>0</v>
      </c>
      <c r="L2227" s="35" t="b">
        <v>0</v>
      </c>
      <c r="M2227" s="35" t="b">
        <v>0</v>
      </c>
      <c r="N2227" s="35" t="b">
        <v>0</v>
      </c>
      <c r="O2227" s="35" t="b">
        <v>0</v>
      </c>
      <c r="P2227" s="35" t="b">
        <v>0</v>
      </c>
      <c r="Q2227" s="35" t="b">
        <v>0</v>
      </c>
      <c r="R2227" s="14"/>
      <c r="S2227" s="14"/>
      <c r="T2227" s="14"/>
      <c r="U2227" s="14"/>
      <c r="V2227" s="14"/>
      <c r="W2227" s="14"/>
    </row>
    <row r="2228" ht="31.5" customHeight="1">
      <c r="A2228" s="124" t="s">
        <v>18286</v>
      </c>
      <c r="B2228" s="125" t="s">
        <v>18287</v>
      </c>
      <c r="C2228" s="126" t="s">
        <v>18288</v>
      </c>
      <c r="D2228" s="127" t="s">
        <v>18289</v>
      </c>
      <c r="E2228" s="28" t="str">
        <f>IFERROR(__xludf.DUMMYFUNCTION("GOOGLETRANSLATE(D2228,""zh-CN"",""vi"")"),"Họ kỳ vọng dự án sẽ hoàn thành đúng thời hạn.")</f>
        <v>Họ kỳ vọng dự án sẽ hoàn thành đúng thời hạn.</v>
      </c>
      <c r="F2228" s="137"/>
      <c r="G2228" s="36" t="b">
        <f t="shared" si="1"/>
        <v>0</v>
      </c>
      <c r="H2228" s="35" t="b">
        <v>1</v>
      </c>
      <c r="I2228" s="35" t="b">
        <v>0</v>
      </c>
      <c r="J2228" s="35" t="b">
        <v>0</v>
      </c>
      <c r="K2228" s="35" t="b">
        <v>0</v>
      </c>
      <c r="L2228" s="35" t="b">
        <v>0</v>
      </c>
      <c r="M2228" s="35" t="b">
        <v>0</v>
      </c>
      <c r="N2228" s="35" t="b">
        <v>0</v>
      </c>
      <c r="O2228" s="35" t="b">
        <v>0</v>
      </c>
      <c r="P2228" s="35" t="b">
        <v>0</v>
      </c>
      <c r="Q2228" s="35" t="b">
        <v>0</v>
      </c>
      <c r="R2228" s="14"/>
      <c r="S2228" s="14"/>
      <c r="T2228" s="14"/>
      <c r="U2228" s="14"/>
      <c r="V2228" s="14"/>
      <c r="W2228" s="14"/>
    </row>
    <row r="2229" ht="31.5" customHeight="1">
      <c r="A2229" s="124" t="s">
        <v>18290</v>
      </c>
      <c r="B2229" s="125" t="s">
        <v>18291</v>
      </c>
      <c r="C2229" s="126" t="s">
        <v>18292</v>
      </c>
      <c r="D2229" s="127" t="s">
        <v>18293</v>
      </c>
      <c r="E2229" s="28" t="str">
        <f>IFERROR(__xludf.DUMMYFUNCTION("GOOGLETRANSLATE(D2229,""zh-CN"",""vi"")"),"Kết quả vòng sơ loại sẽ quyết định ai được vào chung kết.")</f>
        <v>Kết quả vòng sơ loại sẽ quyết định ai được vào chung kết.</v>
      </c>
      <c r="F2229" s="137"/>
      <c r="G2229" s="36" t="b">
        <f t="shared" si="1"/>
        <v>0</v>
      </c>
      <c r="H2229" s="35" t="b">
        <v>1</v>
      </c>
      <c r="I2229" s="35" t="b">
        <v>0</v>
      </c>
      <c r="J2229" s="35" t="b">
        <v>0</v>
      </c>
      <c r="K2229" s="35" t="b">
        <v>0</v>
      </c>
      <c r="L2229" s="35" t="b">
        <v>0</v>
      </c>
      <c r="M2229" s="35" t="b">
        <v>0</v>
      </c>
      <c r="N2229" s="35" t="b">
        <v>0</v>
      </c>
      <c r="O2229" s="35" t="b">
        <v>0</v>
      </c>
      <c r="P2229" s="35" t="b">
        <v>0</v>
      </c>
      <c r="Q2229" s="35" t="b">
        <v>0</v>
      </c>
      <c r="R2229" s="14"/>
      <c r="S2229" s="14"/>
      <c r="T2229" s="14"/>
      <c r="U2229" s="14"/>
      <c r="V2229" s="14"/>
      <c r="W2229" s="14"/>
    </row>
    <row r="2230" ht="31.5" customHeight="1">
      <c r="A2230" s="124" t="s">
        <v>18294</v>
      </c>
      <c r="B2230" s="125" t="s">
        <v>18295</v>
      </c>
      <c r="C2230" s="126" t="s">
        <v>18296</v>
      </c>
      <c r="D2230" s="127" t="s">
        <v>18297</v>
      </c>
      <c r="E2230" s="28" t="str">
        <f>IFERROR(__xludf.DUMMYFUNCTION("GOOGLETRANSLATE(D2230,""zh-CN"",""vi"")"),"Chúng ta cần lập ngân sách.")</f>
        <v>Chúng ta cần lập ngân sách.</v>
      </c>
      <c r="F2230" s="137"/>
      <c r="G2230" s="36" t="b">
        <f t="shared" si="1"/>
        <v>0</v>
      </c>
      <c r="H2230" s="35" t="b">
        <v>1</v>
      </c>
      <c r="I2230" s="35" t="b">
        <v>0</v>
      </c>
      <c r="J2230" s="35" t="b">
        <v>0</v>
      </c>
      <c r="K2230" s="35" t="b">
        <v>0</v>
      </c>
      <c r="L2230" s="35" t="b">
        <v>0</v>
      </c>
      <c r="M2230" s="35" t="b">
        <v>0</v>
      </c>
      <c r="N2230" s="35" t="b">
        <v>0</v>
      </c>
      <c r="O2230" s="35" t="b">
        <v>0</v>
      </c>
      <c r="P2230" s="35" t="b">
        <v>0</v>
      </c>
      <c r="Q2230" s="35" t="b">
        <v>0</v>
      </c>
      <c r="R2230" s="14"/>
      <c r="S2230" s="14"/>
      <c r="T2230" s="14"/>
      <c r="U2230" s="14"/>
      <c r="V2230" s="14"/>
      <c r="W2230" s="14"/>
    </row>
    <row r="2231" ht="31.5" customHeight="1">
      <c r="A2231" s="124" t="s">
        <v>18298</v>
      </c>
      <c r="B2231" s="125" t="s">
        <v>18299</v>
      </c>
      <c r="C2231" s="126" t="s">
        <v>18300</v>
      </c>
      <c r="D2231" s="127" t="s">
        <v>18301</v>
      </c>
      <c r="E2231" s="28" t="str">
        <f>IFERROR(__xludf.DUMMYFUNCTION("GOOGLETRANSLATE(D2231,""zh-CN"",""vi"")"),"Anh ấy tràn đầy khát vọng sống.")</f>
        <v>Anh ấy tràn đầy khát vọng sống.</v>
      </c>
      <c r="F2231" s="137"/>
      <c r="G2231" s="36" t="b">
        <f t="shared" si="1"/>
        <v>0</v>
      </c>
      <c r="H2231" s="35" t="b">
        <v>1</v>
      </c>
      <c r="I2231" s="35" t="b">
        <v>0</v>
      </c>
      <c r="J2231" s="35" t="b">
        <v>0</v>
      </c>
      <c r="K2231" s="35" t="b">
        <v>0</v>
      </c>
      <c r="L2231" s="35" t="b">
        <v>0</v>
      </c>
      <c r="M2231" s="35" t="b">
        <v>0</v>
      </c>
      <c r="N2231" s="35" t="b">
        <v>0</v>
      </c>
      <c r="O2231" s="35" t="b">
        <v>0</v>
      </c>
      <c r="P2231" s="35" t="b">
        <v>0</v>
      </c>
      <c r="Q2231" s="35" t="b">
        <v>0</v>
      </c>
      <c r="R2231" s="14"/>
      <c r="S2231" s="14"/>
      <c r="T2231" s="14"/>
      <c r="U2231" s="14"/>
      <c r="V2231" s="14"/>
      <c r="W2231" s="14"/>
    </row>
    <row r="2232" ht="31.5" customHeight="1">
      <c r="A2232" s="124" t="s">
        <v>18302</v>
      </c>
      <c r="B2232" s="125" t="s">
        <v>18303</v>
      </c>
      <c r="C2232" s="126" t="s">
        <v>18304</v>
      </c>
      <c r="D2232" s="127" t="s">
        <v>18305</v>
      </c>
      <c r="E2232" s="28" t="str">
        <f>IFERROR(__xludf.DUMMYFUNCTION("GOOGLETRANSLATE(D2232,""zh-CN"",""vi"")"),"Chúng tôi đã chuẩn bị sẵn tất cả các vật liệu.")</f>
        <v>Chúng tôi đã chuẩn bị sẵn tất cả các vật liệu.</v>
      </c>
      <c r="F2232" s="137"/>
      <c r="G2232" s="36" t="b">
        <f t="shared" si="1"/>
        <v>0</v>
      </c>
      <c r="H2232" s="35" t="b">
        <v>1</v>
      </c>
      <c r="I2232" s="35" t="b">
        <v>0</v>
      </c>
      <c r="J2232" s="35" t="b">
        <v>0</v>
      </c>
      <c r="K2232" s="35" t="b">
        <v>0</v>
      </c>
      <c r="L2232" s="35" t="b">
        <v>0</v>
      </c>
      <c r="M2232" s="35" t="b">
        <v>0</v>
      </c>
      <c r="N2232" s="35" t="b">
        <v>0</v>
      </c>
      <c r="O2232" s="35" t="b">
        <v>0</v>
      </c>
      <c r="P2232" s="35" t="b">
        <v>0</v>
      </c>
      <c r="Q2232" s="35" t="b">
        <v>0</v>
      </c>
      <c r="R2232" s="14"/>
      <c r="S2232" s="14"/>
      <c r="T2232" s="14"/>
      <c r="U2232" s="14"/>
      <c r="V2232" s="14"/>
      <c r="W2232" s="14"/>
    </row>
    <row r="2233" ht="31.5" customHeight="1">
      <c r="A2233" s="124" t="s">
        <v>18306</v>
      </c>
      <c r="B2233" s="125" t="s">
        <v>18307</v>
      </c>
      <c r="C2233" s="126" t="s">
        <v>18308</v>
      </c>
      <c r="D2233" s="127" t="s">
        <v>18309</v>
      </c>
      <c r="E2233" s="28" t="str">
        <f>IFERROR(__xludf.DUMMYFUNCTION("GOOGLETRANSLATE(D2233,""zh-CN"",""vi"")"),"Vị tiên tri đã dự đoán những thay đổi trong tương lai.")</f>
        <v>Vị tiên tri đã dự đoán những thay đổi trong tương lai.</v>
      </c>
      <c r="F2233" s="137"/>
      <c r="G2233" s="36" t="b">
        <f t="shared" si="1"/>
        <v>0</v>
      </c>
      <c r="H2233" s="35" t="b">
        <v>1</v>
      </c>
      <c r="I2233" s="35" t="b">
        <v>0</v>
      </c>
      <c r="J2233" s="35" t="b">
        <v>0</v>
      </c>
      <c r="K2233" s="35" t="b">
        <v>0</v>
      </c>
      <c r="L2233" s="35" t="b">
        <v>0</v>
      </c>
      <c r="M2233" s="35" t="b">
        <v>0</v>
      </c>
      <c r="N2233" s="35" t="b">
        <v>0</v>
      </c>
      <c r="O2233" s="35" t="b">
        <v>0</v>
      </c>
      <c r="P2233" s="35" t="b">
        <v>0</v>
      </c>
      <c r="Q2233" s="35" t="b">
        <v>0</v>
      </c>
      <c r="R2233" s="14"/>
      <c r="S2233" s="14"/>
      <c r="T2233" s="14"/>
      <c r="U2233" s="14"/>
      <c r="V2233" s="14"/>
      <c r="W2233" s="14"/>
    </row>
    <row r="2234" ht="31.5" customHeight="1">
      <c r="A2234" s="124" t="s">
        <v>18310</v>
      </c>
      <c r="B2234" s="125" t="s">
        <v>18307</v>
      </c>
      <c r="C2234" s="126" t="s">
        <v>18311</v>
      </c>
      <c r="D2234" s="127" t="s">
        <v>18312</v>
      </c>
      <c r="E2234" s="28" t="str">
        <f>IFERROR(__xludf.DUMMYFUNCTION("GOOGLETRANSLATE(D2234,""zh-CN"",""vi"")"),"Ông kể cho bọn trẻ nghe một câu chuyện ngụ ngôn.")</f>
        <v>Ông kể cho bọn trẻ nghe một câu chuyện ngụ ngôn.</v>
      </c>
      <c r="F2234" s="137"/>
      <c r="G2234" s="36" t="b">
        <f t="shared" si="1"/>
        <v>0</v>
      </c>
      <c r="H2234" s="35" t="b">
        <v>1</v>
      </c>
      <c r="I2234" s="35" t="b">
        <v>0</v>
      </c>
      <c r="J2234" s="35" t="b">
        <v>0</v>
      </c>
      <c r="K2234" s="35" t="b">
        <v>0</v>
      </c>
      <c r="L2234" s="35" t="b">
        <v>0</v>
      </c>
      <c r="M2234" s="35" t="b">
        <v>0</v>
      </c>
      <c r="N2234" s="35" t="b">
        <v>0</v>
      </c>
      <c r="O2234" s="35" t="b">
        <v>0</v>
      </c>
      <c r="P2234" s="35" t="b">
        <v>0</v>
      </c>
      <c r="Q2234" s="35" t="b">
        <v>0</v>
      </c>
      <c r="R2234" s="14"/>
      <c r="S2234" s="14"/>
      <c r="T2234" s="14"/>
      <c r="U2234" s="14"/>
      <c r="V2234" s="14"/>
      <c r="W2234" s="14"/>
    </row>
    <row r="2235" ht="31.5" customHeight="1">
      <c r="A2235" s="124" t="s">
        <v>18313</v>
      </c>
      <c r="B2235" s="125" t="s">
        <v>18314</v>
      </c>
      <c r="C2235" s="126" t="s">
        <v>18315</v>
      </c>
      <c r="D2235" s="127" t="s">
        <v>18316</v>
      </c>
      <c r="E2235" s="28" t="str">
        <f>IFERROR(__xludf.DUMMYFUNCTION("GOOGLETRANSLATE(D2235,""zh-CN"",""vi"")"),"Những đám mây đen trên bầu trời báo hiệu một cơn bão sắp đến.")</f>
        <v>Những đám mây đen trên bầu trời báo hiệu một cơn bão sắp đến.</v>
      </c>
      <c r="F2235" s="137"/>
      <c r="G2235" s="36" t="b">
        <f t="shared" si="1"/>
        <v>0</v>
      </c>
      <c r="H2235" s="35" t="b">
        <v>1</v>
      </c>
      <c r="I2235" s="35" t="b">
        <v>0</v>
      </c>
      <c r="J2235" s="35" t="b">
        <v>0</v>
      </c>
      <c r="K2235" s="35" t="b">
        <v>0</v>
      </c>
      <c r="L2235" s="35" t="b">
        <v>0</v>
      </c>
      <c r="M2235" s="35" t="b">
        <v>0</v>
      </c>
      <c r="N2235" s="35" t="b">
        <v>0</v>
      </c>
      <c r="O2235" s="35" t="b">
        <v>0</v>
      </c>
      <c r="P2235" s="35" t="b">
        <v>0</v>
      </c>
      <c r="Q2235" s="35" t="b">
        <v>0</v>
      </c>
      <c r="R2235" s="14"/>
      <c r="S2235" s="14"/>
      <c r="T2235" s="14"/>
      <c r="U2235" s="14"/>
      <c r="V2235" s="14"/>
      <c r="W2235" s="14"/>
    </row>
    <row r="2236" ht="31.5" customHeight="1">
      <c r="A2236" s="124" t="s">
        <v>18317</v>
      </c>
      <c r="B2236" s="125" t="s">
        <v>18318</v>
      </c>
      <c r="C2236" s="126" t="s">
        <v>18319</v>
      </c>
      <c r="D2236" s="127" t="s">
        <v>18320</v>
      </c>
      <c r="E2236" s="28" t="str">
        <f>IFERROR(__xludf.DUMMYFUNCTION("GOOGLETRANSLATE(D2236,""zh-CN"",""vi"")"),"Anh ấy cảm thấy mình đã bị đối xử bất công.")</f>
        <v>Anh ấy cảm thấy mình đã bị đối xử bất công.</v>
      </c>
      <c r="F2236" s="137"/>
      <c r="G2236" s="36" t="b">
        <f t="shared" si="1"/>
        <v>0</v>
      </c>
      <c r="H2236" s="35" t="b">
        <v>1</v>
      </c>
      <c r="I2236" s="35" t="b">
        <v>0</v>
      </c>
      <c r="J2236" s="35" t="b">
        <v>0</v>
      </c>
      <c r="K2236" s="35" t="b">
        <v>0</v>
      </c>
      <c r="L2236" s="35" t="b">
        <v>0</v>
      </c>
      <c r="M2236" s="35" t="b">
        <v>0</v>
      </c>
      <c r="N2236" s="35" t="b">
        <v>0</v>
      </c>
      <c r="O2236" s="35" t="b">
        <v>0</v>
      </c>
      <c r="P2236" s="35" t="b">
        <v>0</v>
      </c>
      <c r="Q2236" s="35" t="b">
        <v>0</v>
      </c>
      <c r="R2236" s="14"/>
      <c r="S2236" s="14"/>
      <c r="T2236" s="14"/>
      <c r="U2236" s="14"/>
      <c r="V2236" s="14"/>
      <c r="W2236" s="14"/>
    </row>
    <row r="2237" ht="31.5" customHeight="1">
      <c r="A2237" s="124" t="s">
        <v>18321</v>
      </c>
      <c r="B2237" s="125" t="s">
        <v>18322</v>
      </c>
      <c r="C2237" s="126" t="s">
        <v>18323</v>
      </c>
      <c r="D2237" s="127" t="s">
        <v>18324</v>
      </c>
      <c r="E2237" s="28" t="str">
        <f>IFERROR(__xludf.DUMMYFUNCTION("GOOGLETRANSLATE(D2237,""zh-CN"",""vi"")"),"Nguyên đơn đã trình bày các sự kiện trước tòa.")</f>
        <v>Nguyên đơn đã trình bày các sự kiện trước tòa.</v>
      </c>
      <c r="F2237" s="137"/>
      <c r="G2237" s="36" t="b">
        <f t="shared" si="1"/>
        <v>0</v>
      </c>
      <c r="H2237" s="35" t="b">
        <v>1</v>
      </c>
      <c r="I2237" s="35" t="b">
        <v>0</v>
      </c>
      <c r="J2237" s="35" t="b">
        <v>0</v>
      </c>
      <c r="K2237" s="35" t="b">
        <v>0</v>
      </c>
      <c r="L2237" s="35" t="b">
        <v>0</v>
      </c>
      <c r="M2237" s="35" t="b">
        <v>0</v>
      </c>
      <c r="N2237" s="35" t="b">
        <v>0</v>
      </c>
      <c r="O2237" s="35" t="b">
        <v>0</v>
      </c>
      <c r="P2237" s="35" t="b">
        <v>0</v>
      </c>
      <c r="Q2237" s="35" t="b">
        <v>0</v>
      </c>
      <c r="R2237" s="14"/>
      <c r="S2237" s="14"/>
      <c r="T2237" s="14"/>
      <c r="U2237" s="14"/>
      <c r="V2237" s="14"/>
      <c r="W2237" s="14"/>
    </row>
    <row r="2238" ht="31.5" customHeight="1">
      <c r="A2238" s="124" t="s">
        <v>18325</v>
      </c>
      <c r="B2238" s="125" t="s">
        <v>18326</v>
      </c>
      <c r="C2238" s="126" t="s">
        <v>18327</v>
      </c>
      <c r="D2238" s="127" t="s">
        <v>18328</v>
      </c>
      <c r="E2238" s="28" t="str">
        <f>IFERROR(__xludf.DUMMYFUNCTION("GOOGLETRANSLATE(D2238,""zh-CN"",""vi"")"),"Đây là một nguyên lý khoa học quan trọng.")</f>
        <v>Đây là một nguyên lý khoa học quan trọng.</v>
      </c>
      <c r="F2238" s="137"/>
      <c r="G2238" s="36" t="b">
        <f t="shared" si="1"/>
        <v>0</v>
      </c>
      <c r="H2238" s="35" t="b">
        <v>1</v>
      </c>
      <c r="I2238" s="35" t="b">
        <v>0</v>
      </c>
      <c r="J2238" s="35" t="b">
        <v>0</v>
      </c>
      <c r="K2238" s="35" t="b">
        <v>0</v>
      </c>
      <c r="L2238" s="35" t="b">
        <v>0</v>
      </c>
      <c r="M2238" s="35" t="b">
        <v>0</v>
      </c>
      <c r="N2238" s="35" t="b">
        <v>0</v>
      </c>
      <c r="O2238" s="35" t="b">
        <v>0</v>
      </c>
      <c r="P2238" s="35" t="b">
        <v>0</v>
      </c>
      <c r="Q2238" s="35" t="b">
        <v>0</v>
      </c>
      <c r="R2238" s="14"/>
      <c r="S2238" s="14"/>
      <c r="T2238" s="14"/>
      <c r="U2238" s="14"/>
      <c r="V2238" s="14"/>
      <c r="W2238" s="14"/>
    </row>
    <row r="2239" ht="31.5" customHeight="1">
      <c r="A2239" s="124" t="s">
        <v>18329</v>
      </c>
      <c r="B2239" s="125" t="s">
        <v>18330</v>
      </c>
      <c r="C2239" s="126" t="s">
        <v>18331</v>
      </c>
      <c r="D2239" s="127" t="s">
        <v>18332</v>
      </c>
      <c r="E2239" s="28" t="str">
        <f>IFERROR(__xludf.DUMMYFUNCTION("GOOGLETRANSLATE(D2239,""zh-CN"",""vi"")"),"Công viên này có những khu vườn tuyệt đẹp.")</f>
        <v>Công viên này có những khu vườn tuyệt đẹp.</v>
      </c>
      <c r="F2239" s="137"/>
      <c r="G2239" s="36" t="b">
        <f t="shared" si="1"/>
        <v>0</v>
      </c>
      <c r="H2239" s="35" t="b">
        <v>1</v>
      </c>
      <c r="I2239" s="35" t="b">
        <v>0</v>
      </c>
      <c r="J2239" s="35" t="b">
        <v>0</v>
      </c>
      <c r="K2239" s="35" t="b">
        <v>0</v>
      </c>
      <c r="L2239" s="35" t="b">
        <v>0</v>
      </c>
      <c r="M2239" s="35" t="b">
        <v>0</v>
      </c>
      <c r="N2239" s="35" t="b">
        <v>0</v>
      </c>
      <c r="O2239" s="35" t="b">
        <v>0</v>
      </c>
      <c r="P2239" s="35" t="b">
        <v>0</v>
      </c>
      <c r="Q2239" s="35" t="b">
        <v>0</v>
      </c>
      <c r="R2239" s="14"/>
      <c r="S2239" s="14"/>
      <c r="T2239" s="14"/>
      <c r="U2239" s="14"/>
      <c r="V2239" s="14"/>
      <c r="W2239" s="14"/>
    </row>
    <row r="2240" ht="31.5" customHeight="1">
      <c r="A2240" s="124" t="s">
        <v>18333</v>
      </c>
      <c r="B2240" s="125" t="s">
        <v>18334</v>
      </c>
      <c r="C2240" s="126" t="s">
        <v>18335</v>
      </c>
      <c r="D2240" s="127" t="s">
        <v>18336</v>
      </c>
      <c r="E2240" s="28" t="str">
        <f>IFERROR(__xludf.DUMMYFUNCTION("GOOGLETRANSLATE(D2240,""zh-CN"",""vi"")"),"Chúng tôi đã hoàn thành nhiệm vụ một cách thành công.")</f>
        <v>Chúng tôi đã hoàn thành nhiệm vụ một cách thành công.</v>
      </c>
      <c r="F2240" s="137"/>
      <c r="G2240" s="36" t="b">
        <f t="shared" si="1"/>
        <v>0</v>
      </c>
      <c r="H2240" s="35" t="b">
        <v>1</v>
      </c>
      <c r="I2240" s="35" t="b">
        <v>0</v>
      </c>
      <c r="J2240" s="35" t="b">
        <v>0</v>
      </c>
      <c r="K2240" s="35" t="b">
        <v>0</v>
      </c>
      <c r="L2240" s="35" t="b">
        <v>0</v>
      </c>
      <c r="M2240" s="35" t="b">
        <v>0</v>
      </c>
      <c r="N2240" s="35" t="b">
        <v>0</v>
      </c>
      <c r="O2240" s="35" t="b">
        <v>0</v>
      </c>
      <c r="P2240" s="35" t="b">
        <v>0</v>
      </c>
      <c r="Q2240" s="35" t="b">
        <v>0</v>
      </c>
      <c r="R2240" s="14"/>
      <c r="S2240" s="14"/>
      <c r="T2240" s="14"/>
      <c r="U2240" s="14"/>
      <c r="V2240" s="14"/>
      <c r="W2240" s="14"/>
    </row>
    <row r="2241" ht="31.5" customHeight="1">
      <c r="A2241" s="124" t="s">
        <v>18337</v>
      </c>
      <c r="B2241" s="125" t="s">
        <v>18338</v>
      </c>
      <c r="C2241" s="126" t="s">
        <v>18339</v>
      </c>
      <c r="D2241" s="127" t="s">
        <v>18340</v>
      </c>
      <c r="E2241" s="28" t="str">
        <f>IFERROR(__xludf.DUMMYFUNCTION("GOOGLETRANSLATE(D2241,""zh-CN"",""vi"")"),"Nguồn gốc của sự đổi mới nằm ở việc học hỏi không ngừng.")</f>
        <v>Nguồn gốc của sự đổi mới nằm ở việc học hỏi không ngừng.</v>
      </c>
      <c r="F2241" s="137"/>
      <c r="G2241" s="36" t="b">
        <f t="shared" si="1"/>
        <v>0</v>
      </c>
      <c r="H2241" s="35" t="b">
        <v>1</v>
      </c>
      <c r="I2241" s="35" t="b">
        <v>0</v>
      </c>
      <c r="J2241" s="35" t="b">
        <v>0</v>
      </c>
      <c r="K2241" s="35" t="b">
        <v>0</v>
      </c>
      <c r="L2241" s="35" t="b">
        <v>0</v>
      </c>
      <c r="M2241" s="35" t="b">
        <v>0</v>
      </c>
      <c r="N2241" s="35" t="b">
        <v>0</v>
      </c>
      <c r="O2241" s="35" t="b">
        <v>0</v>
      </c>
      <c r="P2241" s="35" t="b">
        <v>0</v>
      </c>
      <c r="Q2241" s="35" t="b">
        <v>0</v>
      </c>
      <c r="R2241" s="14"/>
      <c r="S2241" s="14"/>
      <c r="T2241" s="14"/>
      <c r="U2241" s="14"/>
      <c r="V2241" s="14"/>
      <c r="W2241" s="14"/>
    </row>
    <row r="2242" ht="31.5" customHeight="1">
      <c r="A2242" s="124" t="s">
        <v>18341</v>
      </c>
      <c r="B2242" s="125" t="s">
        <v>18342</v>
      </c>
      <c r="C2242" s="126" t="s">
        <v>18343</v>
      </c>
      <c r="D2242" s="127" t="s">
        <v>18344</v>
      </c>
      <c r="E2242" s="28" t="str">
        <f>IFERROR(__xludf.DUMMYFUNCTION("GOOGLETRANSLATE(D2242,""zh-CN"",""vi"")"),"Khu vực này vẫn giữ được môi trường sinh thái nguyên bản.")</f>
        <v>Khu vực này vẫn giữ được môi trường sinh thái nguyên bản.</v>
      </c>
      <c r="F2242" s="137"/>
      <c r="G2242" s="36" t="b">
        <f t="shared" si="1"/>
        <v>0</v>
      </c>
      <c r="H2242" s="35" t="b">
        <v>1</v>
      </c>
      <c r="I2242" s="35" t="b">
        <v>0</v>
      </c>
      <c r="J2242" s="35" t="b">
        <v>0</v>
      </c>
      <c r="K2242" s="35" t="b">
        <v>0</v>
      </c>
      <c r="L2242" s="35" t="b">
        <v>0</v>
      </c>
      <c r="M2242" s="35" t="b">
        <v>0</v>
      </c>
      <c r="N2242" s="35" t="b">
        <v>0</v>
      </c>
      <c r="O2242" s="35" t="b">
        <v>0</v>
      </c>
      <c r="P2242" s="35" t="b">
        <v>0</v>
      </c>
      <c r="Q2242" s="35" t="b">
        <v>0</v>
      </c>
      <c r="R2242" s="14"/>
      <c r="S2242" s="14"/>
      <c r="T2242" s="14"/>
      <c r="U2242" s="14"/>
      <c r="V2242" s="14"/>
      <c r="W2242" s="14"/>
    </row>
    <row r="2243" ht="31.5" customHeight="1">
      <c r="A2243" s="124" t="s">
        <v>18345</v>
      </c>
      <c r="B2243" s="125" t="s">
        <v>18346</v>
      </c>
      <c r="C2243" s="126" t="s">
        <v>18347</v>
      </c>
      <c r="D2243" s="127" t="s">
        <v>18348</v>
      </c>
      <c r="E2243" s="28" t="str">
        <f>IFERROR(__xludf.DUMMYFUNCTION("GOOGLETRANSLATE(D2243,""zh-CN"",""vi"")"),"Người đứng đầu nhà nước đã có một bài phát biểu quan trọng.")</f>
        <v>Người đứng đầu nhà nước đã có một bài phát biểu quan trọng.</v>
      </c>
      <c r="F2243" s="137"/>
      <c r="G2243" s="36" t="b">
        <f t="shared" si="1"/>
        <v>0</v>
      </c>
      <c r="H2243" s="35" t="b">
        <v>1</v>
      </c>
      <c r="I2243" s="35" t="b">
        <v>0</v>
      </c>
      <c r="J2243" s="35" t="b">
        <v>0</v>
      </c>
      <c r="K2243" s="35" t="b">
        <v>0</v>
      </c>
      <c r="L2243" s="35" t="b">
        <v>0</v>
      </c>
      <c r="M2243" s="35" t="b">
        <v>0</v>
      </c>
      <c r="N2243" s="35" t="b">
        <v>0</v>
      </c>
      <c r="O2243" s="35" t="b">
        <v>0</v>
      </c>
      <c r="P2243" s="35" t="b">
        <v>0</v>
      </c>
      <c r="Q2243" s="35" t="b">
        <v>0</v>
      </c>
      <c r="R2243" s="14"/>
      <c r="S2243" s="14"/>
      <c r="T2243" s="14"/>
      <c r="U2243" s="14"/>
      <c r="V2243" s="14"/>
      <c r="W2243" s="14"/>
    </row>
    <row r="2244" ht="31.5" customHeight="1">
      <c r="A2244" s="124" t="s">
        <v>18349</v>
      </c>
      <c r="B2244" s="125" t="s">
        <v>18350</v>
      </c>
      <c r="C2244" s="126" t="s">
        <v>18351</v>
      </c>
      <c r="D2244" s="127" t="s">
        <v>18352</v>
      </c>
      <c r="E2244" s="28" t="str">
        <f>IFERROR(__xludf.DUMMYFUNCTION("GOOGLETRANSLATE(D2244,""zh-CN"",""vi"")"),"Các nguyên tố hóa học có tác động đáng kể đến sức khỏe con người.")</f>
        <v>Các nguyên tố hóa học có tác động đáng kể đến sức khỏe con người.</v>
      </c>
      <c r="F2244" s="137"/>
      <c r="G2244" s="36" t="b">
        <f t="shared" si="1"/>
        <v>0</v>
      </c>
      <c r="H2244" s="35" t="b">
        <v>1</v>
      </c>
      <c r="I2244" s="35" t="b">
        <v>0</v>
      </c>
      <c r="J2244" s="35" t="b">
        <v>0</v>
      </c>
      <c r="K2244" s="35" t="b">
        <v>0</v>
      </c>
      <c r="L2244" s="35" t="b">
        <v>0</v>
      </c>
      <c r="M2244" s="35" t="b">
        <v>0</v>
      </c>
      <c r="N2244" s="35" t="b">
        <v>0</v>
      </c>
      <c r="O2244" s="35" t="b">
        <v>0</v>
      </c>
      <c r="P2244" s="35" t="b">
        <v>0</v>
      </c>
      <c r="Q2244" s="35" t="b">
        <v>0</v>
      </c>
      <c r="R2244" s="14"/>
      <c r="S2244" s="14"/>
      <c r="T2244" s="14"/>
      <c r="U2244" s="14"/>
      <c r="V2244" s="14"/>
      <c r="W2244" s="14"/>
    </row>
    <row r="2245" ht="31.5" customHeight="1">
      <c r="A2245" s="124" t="s">
        <v>18353</v>
      </c>
      <c r="B2245" s="125" t="s">
        <v>18354</v>
      </c>
      <c r="C2245" s="126" t="s">
        <v>17252</v>
      </c>
      <c r="D2245" s="127" t="s">
        <v>18355</v>
      </c>
      <c r="E2245" s="28" t="str">
        <f>IFERROR(__xludf.DUMMYFUNCTION("GOOGLETRANSLATE(D2245,""zh-CN"",""vi"")"),"Trước đây ông ấy là giáo viên, giờ thì ông ấy là hiệu trưởng.")</f>
        <v>Trước đây ông ấy là giáo viên, giờ thì ông ấy là hiệu trưởng.</v>
      </c>
      <c r="F2245" s="137"/>
      <c r="G2245" s="36" t="b">
        <f t="shared" si="1"/>
        <v>0</v>
      </c>
      <c r="H2245" s="35" t="b">
        <v>1</v>
      </c>
      <c r="I2245" s="35" t="b">
        <v>0</v>
      </c>
      <c r="J2245" s="35" t="b">
        <v>0</v>
      </c>
      <c r="K2245" s="35" t="b">
        <v>0</v>
      </c>
      <c r="L2245" s="35" t="b">
        <v>0</v>
      </c>
      <c r="M2245" s="35" t="b">
        <v>0</v>
      </c>
      <c r="N2245" s="35" t="b">
        <v>0</v>
      </c>
      <c r="O2245" s="35" t="b">
        <v>0</v>
      </c>
      <c r="P2245" s="35" t="b">
        <v>0</v>
      </c>
      <c r="Q2245" s="35" t="b">
        <v>0</v>
      </c>
      <c r="R2245" s="14"/>
      <c r="S2245" s="14"/>
      <c r="T2245" s="14"/>
      <c r="U2245" s="14"/>
      <c r="V2245" s="14"/>
      <c r="W2245" s="14"/>
    </row>
    <row r="2246" ht="31.5" customHeight="1">
      <c r="A2246" s="124" t="s">
        <v>18356</v>
      </c>
      <c r="B2246" s="125" t="s">
        <v>18357</v>
      </c>
      <c r="C2246" s="126" t="s">
        <v>18358</v>
      </c>
      <c r="D2246" s="127" t="s">
        <v>18359</v>
      </c>
      <c r="E2246" s="28" t="str">
        <f>IFERROR(__xludf.DUMMYFUNCTION("GOOGLETRANSLATE(D2246,""zh-CN"",""vi"")"),"Lễ hội đèn lồng là một lễ hội truyền thống của Trung Quốc.")</f>
        <v>Lễ hội đèn lồng là một lễ hội truyền thống của Trung Quốc.</v>
      </c>
      <c r="F2246" s="137"/>
      <c r="G2246" s="36" t="b">
        <f t="shared" si="1"/>
        <v>0</v>
      </c>
      <c r="H2246" s="35" t="b">
        <v>1</v>
      </c>
      <c r="I2246" s="35" t="b">
        <v>0</v>
      </c>
      <c r="J2246" s="35" t="b">
        <v>0</v>
      </c>
      <c r="K2246" s="35" t="b">
        <v>0</v>
      </c>
      <c r="L2246" s="35" t="b">
        <v>0</v>
      </c>
      <c r="M2246" s="35" t="b">
        <v>0</v>
      </c>
      <c r="N2246" s="35" t="b">
        <v>0</v>
      </c>
      <c r="O2246" s="35" t="b">
        <v>0</v>
      </c>
      <c r="P2246" s="35" t="b">
        <v>0</v>
      </c>
      <c r="Q2246" s="35" t="b">
        <v>0</v>
      </c>
      <c r="R2246" s="14"/>
      <c r="S2246" s="14"/>
      <c r="T2246" s="14"/>
      <c r="U2246" s="14"/>
      <c r="V2246" s="14"/>
      <c r="W2246" s="14"/>
    </row>
    <row r="2247" ht="31.5" customHeight="1">
      <c r="A2247" s="124" t="s">
        <v>18360</v>
      </c>
      <c r="B2247" s="125" t="s">
        <v>18361</v>
      </c>
      <c r="C2247" s="126" t="s">
        <v>16264</v>
      </c>
      <c r="D2247" s="127" t="s">
        <v>18362</v>
      </c>
      <c r="E2247" s="28" t="str">
        <f>IFERROR(__xludf.DUMMYFUNCTION("GOOGLETRANSLATE(D2247,""zh-CN"",""vi"")"),"Lời nói của ông ấy đã có tác dụng kiềm chế đáng kể.")</f>
        <v>Lời nói của ông ấy đã có tác dụng kiềm chế đáng kể.</v>
      </c>
      <c r="F2247" s="137"/>
      <c r="G2247" s="36" t="b">
        <f t="shared" si="1"/>
        <v>0</v>
      </c>
      <c r="H2247" s="35" t="b">
        <v>1</v>
      </c>
      <c r="I2247" s="35" t="b">
        <v>0</v>
      </c>
      <c r="J2247" s="35" t="b">
        <v>0</v>
      </c>
      <c r="K2247" s="35" t="b">
        <v>0</v>
      </c>
      <c r="L2247" s="35" t="b">
        <v>0</v>
      </c>
      <c r="M2247" s="35" t="b">
        <v>0</v>
      </c>
      <c r="N2247" s="35" t="b">
        <v>0</v>
      </c>
      <c r="O2247" s="35" t="b">
        <v>0</v>
      </c>
      <c r="P2247" s="35" t="b">
        <v>0</v>
      </c>
      <c r="Q2247" s="35" t="b">
        <v>0</v>
      </c>
      <c r="R2247" s="14"/>
      <c r="S2247" s="14"/>
      <c r="T2247" s="14"/>
      <c r="U2247" s="14"/>
      <c r="V2247" s="14"/>
      <c r="W2247" s="14"/>
    </row>
    <row r="2248" ht="31.5" customHeight="1">
      <c r="A2248" s="124" t="s">
        <v>18363</v>
      </c>
      <c r="B2248" s="125" t="s">
        <v>18364</v>
      </c>
      <c r="C2248" s="126" t="s">
        <v>18365</v>
      </c>
      <c r="D2248" s="127" t="s">
        <v>18366</v>
      </c>
      <c r="E2248" s="28" t="str">
        <f>IFERROR(__xludf.DUMMYFUNCTION("GOOGLETRANSLATE(D2248,""zh-CN"",""vi"")"),"Ông ấy là bố chồng tôi.")</f>
        <v>Ông ấy là bố chồng tôi.</v>
      </c>
      <c r="F2248" s="137"/>
      <c r="G2248" s="36" t="b">
        <f t="shared" si="1"/>
        <v>0</v>
      </c>
      <c r="H2248" s="35" t="b">
        <v>1</v>
      </c>
      <c r="I2248" s="35" t="b">
        <v>0</v>
      </c>
      <c r="J2248" s="35" t="b">
        <v>0</v>
      </c>
      <c r="K2248" s="35" t="b">
        <v>0</v>
      </c>
      <c r="L2248" s="35" t="b">
        <v>0</v>
      </c>
      <c r="M2248" s="35" t="b">
        <v>0</v>
      </c>
      <c r="N2248" s="35" t="b">
        <v>0</v>
      </c>
      <c r="O2248" s="35" t="b">
        <v>0</v>
      </c>
      <c r="P2248" s="35" t="b">
        <v>0</v>
      </c>
      <c r="Q2248" s="35" t="b">
        <v>0</v>
      </c>
      <c r="R2248" s="14"/>
      <c r="S2248" s="14"/>
      <c r="T2248" s="14"/>
      <c r="U2248" s="14"/>
      <c r="V2248" s="14"/>
      <c r="W2248" s="14"/>
    </row>
    <row r="2249" ht="31.5" customHeight="1">
      <c r="A2249" s="124" t="s">
        <v>18367</v>
      </c>
      <c r="B2249" s="125" t="s">
        <v>18368</v>
      </c>
      <c r="C2249" s="126" t="s">
        <v>18369</v>
      </c>
      <c r="D2249" s="127" t="s">
        <v>18370</v>
      </c>
      <c r="E2249" s="28" t="str">
        <f>IFERROR(__xludf.DUMMYFUNCTION("GOOGLETRANSLATE(D2249,""zh-CN"",""vi"")"),"Bản nhạc này rất nổi tiếng.")</f>
        <v>Bản nhạc này rất nổi tiếng.</v>
      </c>
      <c r="F2249" s="137"/>
      <c r="G2249" s="36" t="b">
        <f t="shared" si="1"/>
        <v>0</v>
      </c>
      <c r="H2249" s="35" t="b">
        <v>1</v>
      </c>
      <c r="I2249" s="35" t="b">
        <v>0</v>
      </c>
      <c r="J2249" s="35" t="b">
        <v>0</v>
      </c>
      <c r="K2249" s="35" t="b">
        <v>0</v>
      </c>
      <c r="L2249" s="35" t="b">
        <v>0</v>
      </c>
      <c r="M2249" s="35" t="b">
        <v>0</v>
      </c>
      <c r="N2249" s="35" t="b">
        <v>0</v>
      </c>
      <c r="O2249" s="35" t="b">
        <v>0</v>
      </c>
      <c r="P2249" s="35" t="b">
        <v>0</v>
      </c>
      <c r="Q2249" s="35" t="b">
        <v>0</v>
      </c>
      <c r="R2249" s="14"/>
      <c r="S2249" s="14"/>
      <c r="T2249" s="14"/>
      <c r="U2249" s="14"/>
      <c r="V2249" s="14"/>
      <c r="W2249" s="14"/>
    </row>
    <row r="2250" ht="31.5" customHeight="1">
      <c r="A2250" s="124" t="s">
        <v>18371</v>
      </c>
      <c r="B2250" s="125" t="s">
        <v>18372</v>
      </c>
      <c r="C2250" s="126" t="s">
        <v>15687</v>
      </c>
      <c r="D2250" s="127" t="s">
        <v>18373</v>
      </c>
      <c r="E2250" s="28" t="str">
        <f>IFERROR(__xludf.DUMMYFUNCTION("GOOGLETRANSLATE(D2250,""zh-CN"",""vi"")"),"Nơi này rất giàu tài nguyên.")</f>
        <v>Nơi này rất giàu tài nguyên.</v>
      </c>
      <c r="F2250" s="137"/>
      <c r="G2250" s="36" t="b">
        <f t="shared" si="1"/>
        <v>0</v>
      </c>
      <c r="H2250" s="35" t="b">
        <v>1</v>
      </c>
      <c r="I2250" s="35" t="b">
        <v>0</v>
      </c>
      <c r="J2250" s="35" t="b">
        <v>0</v>
      </c>
      <c r="K2250" s="35" t="b">
        <v>0</v>
      </c>
      <c r="L2250" s="35" t="b">
        <v>0</v>
      </c>
      <c r="M2250" s="35" t="b">
        <v>0</v>
      </c>
      <c r="N2250" s="35" t="b">
        <v>0</v>
      </c>
      <c r="O2250" s="35" t="b">
        <v>0</v>
      </c>
      <c r="P2250" s="35" t="b">
        <v>0</v>
      </c>
      <c r="Q2250" s="35" t="b">
        <v>0</v>
      </c>
      <c r="R2250" s="14"/>
      <c r="S2250" s="14"/>
      <c r="T2250" s="14"/>
      <c r="U2250" s="14"/>
      <c r="V2250" s="14"/>
      <c r="W2250" s="14"/>
    </row>
    <row r="2251" ht="31.5" customHeight="1">
      <c r="A2251" s="124" t="s">
        <v>18374</v>
      </c>
      <c r="B2251" s="125" t="s">
        <v>18375</v>
      </c>
      <c r="C2251" s="126" t="s">
        <v>18376</v>
      </c>
      <c r="D2251" s="127" t="s">
        <v>18377</v>
      </c>
      <c r="E2251" s="28" t="str">
        <f>IFERROR(__xludf.DUMMYFUNCTION("GOOGLETRANSLATE(D2251,""zh-CN"",""vi"")"),"Họ đang ấp ủ một kế hoạch mới.")</f>
        <v>Họ đang ấp ủ một kế hoạch mới.</v>
      </c>
      <c r="F2251" s="137"/>
      <c r="G2251" s="36" t="b">
        <f t="shared" si="1"/>
        <v>0</v>
      </c>
      <c r="H2251" s="35" t="b">
        <v>1</v>
      </c>
      <c r="I2251" s="35" t="b">
        <v>0</v>
      </c>
      <c r="J2251" s="35" t="b">
        <v>0</v>
      </c>
      <c r="K2251" s="35" t="b">
        <v>0</v>
      </c>
      <c r="L2251" s="35" t="b">
        <v>0</v>
      </c>
      <c r="M2251" s="35" t="b">
        <v>0</v>
      </c>
      <c r="N2251" s="35" t="b">
        <v>0</v>
      </c>
      <c r="O2251" s="35" t="b">
        <v>0</v>
      </c>
      <c r="P2251" s="35" t="b">
        <v>0</v>
      </c>
      <c r="Q2251" s="35" t="b">
        <v>0</v>
      </c>
      <c r="R2251" s="14"/>
      <c r="S2251" s="14"/>
      <c r="T2251" s="14"/>
      <c r="U2251" s="14"/>
      <c r="V2251" s="14"/>
      <c r="W2251" s="14"/>
    </row>
    <row r="2252" ht="31.5" customHeight="1">
      <c r="A2252" s="124" t="s">
        <v>18378</v>
      </c>
      <c r="B2252" s="125" t="s">
        <v>18379</v>
      </c>
      <c r="C2252" s="126" t="s">
        <v>18380</v>
      </c>
      <c r="D2252" s="127" t="s">
        <v>18381</v>
      </c>
      <c r="E2252" s="28" t="str">
        <f>IFERROR(__xludf.DUMMYFUNCTION("GOOGLETRANSLATE(D2252,""zh-CN"",""vi"")"),"Ông ấy phụ trách công việc điện toán của công ty.")</f>
        <v>Ông ấy phụ trách công việc điện toán của công ty.</v>
      </c>
      <c r="F2252" s="137"/>
      <c r="G2252" s="36" t="b">
        <f t="shared" si="1"/>
        <v>0</v>
      </c>
      <c r="H2252" s="35" t="b">
        <v>1</v>
      </c>
      <c r="I2252" s="35" t="b">
        <v>0</v>
      </c>
      <c r="J2252" s="35" t="b">
        <v>0</v>
      </c>
      <c r="K2252" s="35" t="b">
        <v>0</v>
      </c>
      <c r="L2252" s="35" t="b">
        <v>0</v>
      </c>
      <c r="M2252" s="35" t="b">
        <v>0</v>
      </c>
      <c r="N2252" s="35" t="b">
        <v>0</v>
      </c>
      <c r="O2252" s="35" t="b">
        <v>0</v>
      </c>
      <c r="P2252" s="35" t="b">
        <v>0</v>
      </c>
      <c r="Q2252" s="35" t="b">
        <v>0</v>
      </c>
      <c r="R2252" s="14"/>
      <c r="S2252" s="14"/>
      <c r="T2252" s="14"/>
      <c r="U2252" s="14"/>
      <c r="V2252" s="14"/>
      <c r="W2252" s="14"/>
    </row>
    <row r="2253" ht="31.5" customHeight="1">
      <c r="A2253" s="124" t="s">
        <v>18382</v>
      </c>
      <c r="B2253" s="125" t="s">
        <v>18383</v>
      </c>
      <c r="C2253" s="126" t="s">
        <v>18384</v>
      </c>
      <c r="D2253" s="127" t="s">
        <v>18385</v>
      </c>
      <c r="E2253" s="28" t="str">
        <f>IFERROR(__xludf.DUMMYFUNCTION("GOOGLETRANSLATE(D2253,""zh-CN"",""vi"")"),"Tàu đang hoạt động bình thường.")</f>
        <v>Tàu đang hoạt động bình thường.</v>
      </c>
      <c r="F2253" s="137"/>
      <c r="G2253" s="36" t="b">
        <f t="shared" si="1"/>
        <v>0</v>
      </c>
      <c r="H2253" s="35" t="b">
        <v>0</v>
      </c>
      <c r="I2253" s="35" t="b">
        <v>0</v>
      </c>
      <c r="J2253" s="35" t="b">
        <v>0</v>
      </c>
      <c r="K2253" s="35" t="b">
        <v>0</v>
      </c>
      <c r="L2253" s="35" t="b">
        <v>0</v>
      </c>
      <c r="M2253" s="35" t="b">
        <v>0</v>
      </c>
      <c r="N2253" s="35" t="b">
        <v>0</v>
      </c>
      <c r="O2253" s="35" t="b">
        <v>0</v>
      </c>
      <c r="P2253" s="35" t="b">
        <v>0</v>
      </c>
      <c r="Q2253" s="35" t="b">
        <v>0</v>
      </c>
      <c r="R2253" s="14"/>
      <c r="S2253" s="14"/>
      <c r="T2253" s="14"/>
      <c r="U2253" s="14"/>
      <c r="V2253" s="14"/>
      <c r="W2253" s="14"/>
    </row>
    <row r="2254" ht="31.5" customHeight="1">
      <c r="A2254" s="124" t="s">
        <v>18386</v>
      </c>
      <c r="B2254" s="125" t="s">
        <v>18387</v>
      </c>
      <c r="C2254" s="126" t="s">
        <v>18388</v>
      </c>
      <c r="D2254" s="127" t="s">
        <v>18389</v>
      </c>
      <c r="E2254" s="28" t="str">
        <f>IFERROR(__xludf.DUMMYFUNCTION("GOOGLETRANSLATE(D2254,""zh-CN"",""vi"")"),"Cô ấy đang mang trong mình một sinh linh mới.")</f>
        <v>Cô ấy đang mang trong mình một sinh linh mới.</v>
      </c>
      <c r="F2254" s="137"/>
      <c r="G2254" s="36" t="b">
        <f t="shared" si="1"/>
        <v>0</v>
      </c>
      <c r="H2254" s="35" t="b">
        <v>0</v>
      </c>
      <c r="I2254" s="35" t="b">
        <v>0</v>
      </c>
      <c r="J2254" s="35" t="b">
        <v>0</v>
      </c>
      <c r="K2254" s="35" t="b">
        <v>0</v>
      </c>
      <c r="L2254" s="35" t="b">
        <v>0</v>
      </c>
      <c r="M2254" s="35" t="b">
        <v>0</v>
      </c>
      <c r="N2254" s="35" t="b">
        <v>0</v>
      </c>
      <c r="O2254" s="35" t="b">
        <v>0</v>
      </c>
      <c r="P2254" s="35" t="b">
        <v>0</v>
      </c>
      <c r="Q2254" s="35" t="b">
        <v>0</v>
      </c>
      <c r="R2254" s="14"/>
      <c r="S2254" s="14"/>
      <c r="T2254" s="14"/>
      <c r="U2254" s="14"/>
      <c r="V2254" s="14"/>
      <c r="W2254" s="14"/>
    </row>
    <row r="2255" ht="31.5" customHeight="1">
      <c r="A2255" s="124" t="s">
        <v>18390</v>
      </c>
      <c r="B2255" s="125" t="s">
        <v>18391</v>
      </c>
      <c r="C2255" s="126" t="s">
        <v>18392</v>
      </c>
      <c r="D2255" s="127" t="s">
        <v>18393</v>
      </c>
      <c r="E2255" s="28" t="str">
        <f>IFERROR(__xludf.DUMMYFUNCTION("GOOGLETRANSLATE(D2255,""zh-CN"",""vi"")"),"Anh ta đập vỡ chiếc ly.")</f>
        <v>Anh ta đập vỡ chiếc ly.</v>
      </c>
      <c r="F2255" s="137"/>
      <c r="G2255" s="36" t="b">
        <f t="shared" si="1"/>
        <v>0</v>
      </c>
      <c r="H2255" s="35" t="b">
        <v>0</v>
      </c>
      <c r="I2255" s="35" t="b">
        <v>0</v>
      </c>
      <c r="J2255" s="35" t="b">
        <v>0</v>
      </c>
      <c r="K2255" s="35" t="b">
        <v>0</v>
      </c>
      <c r="L2255" s="35" t="b">
        <v>0</v>
      </c>
      <c r="M2255" s="35" t="b">
        <v>0</v>
      </c>
      <c r="N2255" s="35" t="b">
        <v>0</v>
      </c>
      <c r="O2255" s="35" t="b">
        <v>0</v>
      </c>
      <c r="P2255" s="35" t="b">
        <v>0</v>
      </c>
      <c r="Q2255" s="35" t="b">
        <v>0</v>
      </c>
      <c r="R2255" s="14"/>
      <c r="S2255" s="14"/>
      <c r="T2255" s="14"/>
      <c r="U2255" s="14"/>
      <c r="V2255" s="14"/>
      <c r="W2255" s="14"/>
    </row>
    <row r="2256" ht="31.5" customHeight="1">
      <c r="A2256" s="124" t="s">
        <v>18394</v>
      </c>
      <c r="B2256" s="125" t="s">
        <v>18395</v>
      </c>
      <c r="C2256" s="126" t="s">
        <v>18396</v>
      </c>
      <c r="D2256" s="127" t="s">
        <v>18397</v>
      </c>
      <c r="E2256" s="28" t="str">
        <f>IFERROR(__xludf.DUMMYFUNCTION("GOOGLETRANSLATE(D2256,""zh-CN"",""vi"")"),"Màn trình diễn nhào lộn thật ngoạn mục.")</f>
        <v>Màn trình diễn nhào lộn thật ngoạn mục.</v>
      </c>
      <c r="F2256" s="137"/>
      <c r="G2256" s="36" t="b">
        <f t="shared" si="1"/>
        <v>0</v>
      </c>
      <c r="H2256" s="35" t="b">
        <v>0</v>
      </c>
      <c r="I2256" s="35" t="b">
        <v>0</v>
      </c>
      <c r="J2256" s="35" t="b">
        <v>0</v>
      </c>
      <c r="K2256" s="35" t="b">
        <v>0</v>
      </c>
      <c r="L2256" s="35" t="b">
        <v>0</v>
      </c>
      <c r="M2256" s="35" t="b">
        <v>0</v>
      </c>
      <c r="N2256" s="35" t="b">
        <v>0</v>
      </c>
      <c r="O2256" s="35" t="b">
        <v>0</v>
      </c>
      <c r="P2256" s="35" t="b">
        <v>0</v>
      </c>
      <c r="Q2256" s="35" t="b">
        <v>0</v>
      </c>
      <c r="R2256" s="14"/>
      <c r="S2256" s="14"/>
      <c r="T2256" s="14"/>
      <c r="U2256" s="14"/>
      <c r="V2256" s="14"/>
      <c r="W2256" s="14"/>
    </row>
    <row r="2257" ht="31.5" customHeight="1">
      <c r="A2257" s="124" t="s">
        <v>18398</v>
      </c>
      <c r="B2257" s="125" t="s">
        <v>18399</v>
      </c>
      <c r="C2257" s="126" t="s">
        <v>18400</v>
      </c>
      <c r="D2257" s="127" t="s">
        <v>18401</v>
      </c>
      <c r="E2257" s="28" t="str">
        <f>IFERROR(__xludf.DUMMYFUNCTION("GOOGLETRANSLATE(D2257,""zh-CN"",""vi"")"),"Năng suất lúa lai đã tăng lên đáng kể.")</f>
        <v>Năng suất lúa lai đã tăng lên đáng kể.</v>
      </c>
      <c r="F2257" s="137"/>
      <c r="G2257" s="36" t="b">
        <f t="shared" si="1"/>
        <v>0</v>
      </c>
      <c r="H2257" s="35" t="b">
        <v>0</v>
      </c>
      <c r="I2257" s="35" t="b">
        <v>0</v>
      </c>
      <c r="J2257" s="35" t="b">
        <v>0</v>
      </c>
      <c r="K2257" s="35" t="b">
        <v>0</v>
      </c>
      <c r="L2257" s="35" t="b">
        <v>0</v>
      </c>
      <c r="M2257" s="35" t="b">
        <v>0</v>
      </c>
      <c r="N2257" s="35" t="b">
        <v>0</v>
      </c>
      <c r="O2257" s="35" t="b">
        <v>0</v>
      </c>
      <c r="P2257" s="35" t="b">
        <v>0</v>
      </c>
      <c r="Q2257" s="35" t="b">
        <v>0</v>
      </c>
      <c r="R2257" s="14"/>
      <c r="S2257" s="14"/>
      <c r="T2257" s="14"/>
      <c r="U2257" s="14"/>
      <c r="V2257" s="14"/>
      <c r="W2257" s="14"/>
    </row>
    <row r="2258" ht="31.5" customHeight="1">
      <c r="A2258" s="124" t="s">
        <v>18402</v>
      </c>
      <c r="B2258" s="125" t="s">
        <v>18403</v>
      </c>
      <c r="C2258" s="126" t="s">
        <v>18404</v>
      </c>
      <c r="D2258" s="127" t="s">
        <v>18405</v>
      </c>
      <c r="E2258" s="28" t="str">
        <f>IFERROR(__xludf.DUMMYFUNCTION("GOOGLETRANSLATE(D2258,""zh-CN"",""vi"")"),"Chúng ta nên làm gì về vấn đề này?")</f>
        <v>Chúng ta nên làm gì về vấn đề này?</v>
      </c>
      <c r="F2258" s="137"/>
      <c r="G2258" s="36" t="b">
        <f t="shared" si="1"/>
        <v>0</v>
      </c>
      <c r="H2258" s="35" t="b">
        <v>0</v>
      </c>
      <c r="I2258" s="35" t="b">
        <v>0</v>
      </c>
      <c r="J2258" s="35" t="b">
        <v>0</v>
      </c>
      <c r="K2258" s="35" t="b">
        <v>0</v>
      </c>
      <c r="L2258" s="35" t="b">
        <v>0</v>
      </c>
      <c r="M2258" s="35" t="b">
        <v>0</v>
      </c>
      <c r="N2258" s="35" t="b">
        <v>0</v>
      </c>
      <c r="O2258" s="35" t="b">
        <v>0</v>
      </c>
      <c r="P2258" s="35" t="b">
        <v>0</v>
      </c>
      <c r="Q2258" s="35" t="b">
        <v>0</v>
      </c>
      <c r="R2258" s="14"/>
      <c r="S2258" s="14"/>
      <c r="T2258" s="14"/>
      <c r="U2258" s="14"/>
      <c r="V2258" s="14"/>
      <c r="W2258" s="14"/>
    </row>
    <row r="2259" ht="31.5" customHeight="1">
      <c r="A2259" s="124" t="s">
        <v>18406</v>
      </c>
      <c r="B2259" s="125" t="s">
        <v>18407</v>
      </c>
      <c r="C2259" s="126" t="s">
        <v>18408</v>
      </c>
      <c r="D2259" s="127" t="s">
        <v>18409</v>
      </c>
      <c r="E2259" s="28" t="str">
        <f>IFERROR(__xludf.DUMMYFUNCTION("GOOGLETRANSLATE(D2259,""zh-CN"",""vi"")"),"Động đất là một thảm họa khủng khiếp.")</f>
        <v>Động đất là một thảm họa khủng khiếp.</v>
      </c>
      <c r="F2259" s="137"/>
      <c r="G2259" s="36" t="b">
        <f t="shared" si="1"/>
        <v>0</v>
      </c>
      <c r="H2259" s="35" t="b">
        <v>0</v>
      </c>
      <c r="I2259" s="35" t="b">
        <v>0</v>
      </c>
      <c r="J2259" s="35" t="b">
        <v>0</v>
      </c>
      <c r="K2259" s="35" t="b">
        <v>0</v>
      </c>
      <c r="L2259" s="35" t="b">
        <v>0</v>
      </c>
      <c r="M2259" s="35" t="b">
        <v>0</v>
      </c>
      <c r="N2259" s="35" t="b">
        <v>0</v>
      </c>
      <c r="O2259" s="35" t="b">
        <v>0</v>
      </c>
      <c r="P2259" s="35" t="b">
        <v>0</v>
      </c>
      <c r="Q2259" s="35" t="b">
        <v>0</v>
      </c>
      <c r="R2259" s="14"/>
      <c r="S2259" s="14"/>
      <c r="T2259" s="14"/>
      <c r="U2259" s="14"/>
      <c r="V2259" s="14"/>
      <c r="W2259" s="14"/>
    </row>
    <row r="2260" ht="31.5" customHeight="1">
      <c r="A2260" s="124" t="s">
        <v>18410</v>
      </c>
      <c r="B2260" s="125" t="s">
        <v>18411</v>
      </c>
      <c r="C2260" s="126" t="s">
        <v>18412</v>
      </c>
      <c r="D2260" s="127" t="s">
        <v>18413</v>
      </c>
      <c r="E2260" s="28" t="str">
        <f>IFERROR(__xludf.DUMMYFUNCTION("GOOGLETRANSLATE(D2260,""zh-CN"",""vi"")"),"Nông dân chăm sóc cây ăn quả rất cẩn thận.")</f>
        <v>Nông dân chăm sóc cây ăn quả rất cẩn thận.</v>
      </c>
      <c r="F2260" s="137"/>
      <c r="G2260" s="36" t="b">
        <f t="shared" si="1"/>
        <v>0</v>
      </c>
      <c r="H2260" s="35" t="b">
        <v>0</v>
      </c>
      <c r="I2260" s="35" t="b">
        <v>0</v>
      </c>
      <c r="J2260" s="35" t="b">
        <v>0</v>
      </c>
      <c r="K2260" s="35" t="b">
        <v>0</v>
      </c>
      <c r="L2260" s="35" t="b">
        <v>0</v>
      </c>
      <c r="M2260" s="35" t="b">
        <v>0</v>
      </c>
      <c r="N2260" s="35" t="b">
        <v>0</v>
      </c>
      <c r="O2260" s="35" t="b">
        <v>0</v>
      </c>
      <c r="P2260" s="35" t="b">
        <v>0</v>
      </c>
      <c r="Q2260" s="35" t="b">
        <v>0</v>
      </c>
      <c r="R2260" s="14"/>
      <c r="S2260" s="14"/>
      <c r="T2260" s="14"/>
      <c r="U2260" s="14"/>
      <c r="V2260" s="14"/>
      <c r="W2260" s="14"/>
    </row>
    <row r="2261" ht="31.5" customHeight="1">
      <c r="A2261" s="124" t="s">
        <v>18414</v>
      </c>
      <c r="B2261" s="125" t="s">
        <v>18415</v>
      </c>
      <c r="C2261" s="126" t="s">
        <v>18416</v>
      </c>
      <c r="D2261" s="127" t="s">
        <v>18417</v>
      </c>
      <c r="E2261" s="28" t="str">
        <f>IFERROR(__xludf.DUMMYFUNCTION("GOOGLETRANSLATE(D2261,""zh-CN"",""vi"")"),"Anh ta muốn làm thịt một con gà.")</f>
        <v>Anh ta muốn làm thịt một con gà.</v>
      </c>
      <c r="F2261" s="137"/>
      <c r="G2261" s="36" t="b">
        <f t="shared" si="1"/>
        <v>0</v>
      </c>
      <c r="H2261" s="35" t="b">
        <v>0</v>
      </c>
      <c r="I2261" s="35" t="b">
        <v>0</v>
      </c>
      <c r="J2261" s="35" t="b">
        <v>0</v>
      </c>
      <c r="K2261" s="35" t="b">
        <v>0</v>
      </c>
      <c r="L2261" s="35" t="b">
        <v>0</v>
      </c>
      <c r="M2261" s="35" t="b">
        <v>0</v>
      </c>
      <c r="N2261" s="35" t="b">
        <v>0</v>
      </c>
      <c r="O2261" s="35" t="b">
        <v>0</v>
      </c>
      <c r="P2261" s="35" t="b">
        <v>0</v>
      </c>
      <c r="Q2261" s="35" t="b">
        <v>0</v>
      </c>
      <c r="R2261" s="14"/>
      <c r="S2261" s="14"/>
      <c r="T2261" s="14"/>
      <c r="U2261" s="14"/>
      <c r="V2261" s="14"/>
      <c r="W2261" s="14"/>
    </row>
    <row r="2262" ht="31.5" customHeight="1">
      <c r="A2262" s="124" t="s">
        <v>13597</v>
      </c>
      <c r="B2262" s="125" t="s">
        <v>18418</v>
      </c>
      <c r="C2262" s="126" t="s">
        <v>18419</v>
      </c>
      <c r="D2262" s="127" t="s">
        <v>18420</v>
      </c>
      <c r="E2262" s="28" t="str">
        <f>IFERROR(__xludf.DUMMYFUNCTION("GOOGLETRANSLATE(D2262,""zh-CN"",""vi"")"),"Anh ấy không quan tâm người khác nghĩ gì.")</f>
        <v>Anh ấy không quan tâm người khác nghĩ gì.</v>
      </c>
      <c r="F2262" s="137"/>
      <c r="G2262" s="36" t="b">
        <f t="shared" si="1"/>
        <v>0</v>
      </c>
      <c r="H2262" s="35" t="b">
        <v>0</v>
      </c>
      <c r="I2262" s="35" t="b">
        <v>0</v>
      </c>
      <c r="J2262" s="35" t="b">
        <v>0</v>
      </c>
      <c r="K2262" s="35" t="b">
        <v>0</v>
      </c>
      <c r="L2262" s="35" t="b">
        <v>0</v>
      </c>
      <c r="M2262" s="35" t="b">
        <v>0</v>
      </c>
      <c r="N2262" s="35" t="b">
        <v>0</v>
      </c>
      <c r="O2262" s="35" t="b">
        <v>0</v>
      </c>
      <c r="P2262" s="35" t="b">
        <v>0</v>
      </c>
      <c r="Q2262" s="35" t="b">
        <v>0</v>
      </c>
      <c r="R2262" s="14"/>
      <c r="S2262" s="14"/>
      <c r="T2262" s="14"/>
      <c r="U2262" s="14"/>
      <c r="V2262" s="14"/>
      <c r="W2262" s="14"/>
    </row>
    <row r="2263" ht="31.5" customHeight="1">
      <c r="A2263" s="124" t="s">
        <v>18421</v>
      </c>
      <c r="B2263" s="125" t="s">
        <v>18422</v>
      </c>
      <c r="C2263" s="126" t="s">
        <v>18423</v>
      </c>
      <c r="D2263" s="127" t="s">
        <v>18424</v>
      </c>
      <c r="E2263" s="28" t="str">
        <f>IFERROR(__xludf.DUMMYFUNCTION("GOOGLETRANSLATE(D2263,""zh-CN"",""vi"")"),"Hãy tiếp tục phát huy những thành quả tốt đẹp này.")</f>
        <v>Hãy tiếp tục phát huy những thành quả tốt đẹp này.</v>
      </c>
      <c r="F2263" s="137"/>
      <c r="G2263" s="36" t="b">
        <f t="shared" si="1"/>
        <v>0</v>
      </c>
      <c r="H2263" s="35" t="b">
        <v>0</v>
      </c>
      <c r="I2263" s="35" t="b">
        <v>0</v>
      </c>
      <c r="J2263" s="35" t="b">
        <v>0</v>
      </c>
      <c r="K2263" s="35" t="b">
        <v>0</v>
      </c>
      <c r="L2263" s="35" t="b">
        <v>0</v>
      </c>
      <c r="M2263" s="35" t="b">
        <v>0</v>
      </c>
      <c r="N2263" s="35" t="b">
        <v>0</v>
      </c>
      <c r="O2263" s="35" t="b">
        <v>0</v>
      </c>
      <c r="P2263" s="35" t="b">
        <v>0</v>
      </c>
      <c r="Q2263" s="35" t="b">
        <v>0</v>
      </c>
      <c r="R2263" s="14"/>
      <c r="S2263" s="14"/>
      <c r="T2263" s="14"/>
      <c r="U2263" s="14"/>
      <c r="V2263" s="14"/>
      <c r="W2263" s="14"/>
    </row>
    <row r="2264" ht="31.5" customHeight="1">
      <c r="A2264" s="124" t="s">
        <v>18425</v>
      </c>
      <c r="B2264" s="125" t="s">
        <v>18426</v>
      </c>
      <c r="C2264" s="126" t="s">
        <v>18419</v>
      </c>
      <c r="D2264" s="127" t="s">
        <v>18427</v>
      </c>
      <c r="E2264" s="28" t="str">
        <f>IFERROR(__xludf.DUMMYFUNCTION("GOOGLETRANSLATE(D2264,""zh-CN"",""vi"")"),"Cô ấy rất quan tâm đến điều này.")</f>
        <v>Cô ấy rất quan tâm đến điều này.</v>
      </c>
      <c r="F2264" s="137"/>
      <c r="G2264" s="36" t="b">
        <f t="shared" si="1"/>
        <v>0</v>
      </c>
      <c r="H2264" s="35" t="b">
        <v>0</v>
      </c>
      <c r="I2264" s="35" t="b">
        <v>0</v>
      </c>
      <c r="J2264" s="35" t="b">
        <v>0</v>
      </c>
      <c r="K2264" s="35" t="b">
        <v>0</v>
      </c>
      <c r="L2264" s="35" t="b">
        <v>0</v>
      </c>
      <c r="M2264" s="35" t="b">
        <v>0</v>
      </c>
      <c r="N2264" s="35" t="b">
        <v>0</v>
      </c>
      <c r="O2264" s="35" t="b">
        <v>0</v>
      </c>
      <c r="P2264" s="35" t="b">
        <v>0</v>
      </c>
      <c r="Q2264" s="35" t="b">
        <v>0</v>
      </c>
      <c r="R2264" s="14"/>
      <c r="S2264" s="14"/>
      <c r="T2264" s="14"/>
      <c r="U2264" s="14"/>
      <c r="V2264" s="14"/>
      <c r="W2264" s="14"/>
    </row>
    <row r="2265" ht="31.5" customHeight="1">
      <c r="A2265" s="124" t="s">
        <v>18428</v>
      </c>
      <c r="B2265" s="125" t="s">
        <v>18429</v>
      </c>
      <c r="C2265" s="126" t="s">
        <v>18430</v>
      </c>
      <c r="D2265" s="127" t="s">
        <v>18431</v>
      </c>
      <c r="E2265" s="28" t="str">
        <f>IFERROR(__xludf.DUMMYFUNCTION("GOOGLETRANSLATE(D2265,""zh-CN"",""vi"")"),"Anh ấy đã tiết kiệm được rất nhiều tiền.")</f>
        <v>Anh ấy đã tiết kiệm được rất nhiều tiền.</v>
      </c>
      <c r="F2265" s="137"/>
      <c r="G2265" s="36" t="b">
        <f t="shared" si="1"/>
        <v>0</v>
      </c>
      <c r="H2265" s="35" t="b">
        <v>0</v>
      </c>
      <c r="I2265" s="35" t="b">
        <v>0</v>
      </c>
      <c r="J2265" s="35" t="b">
        <v>0</v>
      </c>
      <c r="K2265" s="35" t="b">
        <v>0</v>
      </c>
      <c r="L2265" s="35" t="b">
        <v>0</v>
      </c>
      <c r="M2265" s="35" t="b">
        <v>0</v>
      </c>
      <c r="N2265" s="35" t="b">
        <v>0</v>
      </c>
      <c r="O2265" s="35" t="b">
        <v>0</v>
      </c>
      <c r="P2265" s="35" t="b">
        <v>0</v>
      </c>
      <c r="Q2265" s="35" t="b">
        <v>0</v>
      </c>
      <c r="R2265" s="14"/>
      <c r="S2265" s="14"/>
      <c r="T2265" s="14"/>
      <c r="U2265" s="14"/>
      <c r="V2265" s="14"/>
      <c r="W2265" s="14"/>
    </row>
    <row r="2266" ht="31.5" customHeight="1">
      <c r="A2266" s="124" t="s">
        <v>18432</v>
      </c>
      <c r="B2266" s="125" t="s">
        <v>18433</v>
      </c>
      <c r="C2266" s="126" t="s">
        <v>18434</v>
      </c>
      <c r="D2266" s="127" t="s">
        <v>18435</v>
      </c>
      <c r="E2266" s="28" t="str">
        <f>IFERROR(__xludf.DUMMYFUNCTION("GOOGLETRANSLATE(D2266,""zh-CN"",""vi"")"),"Chúng ta hãy nghỉ giải lao một chút.")</f>
        <v>Chúng ta hãy nghỉ giải lao một chút.</v>
      </c>
      <c r="F2266" s="137"/>
      <c r="G2266" s="36" t="b">
        <f t="shared" si="1"/>
        <v>0</v>
      </c>
      <c r="H2266" s="35" t="b">
        <v>0</v>
      </c>
      <c r="I2266" s="35" t="b">
        <v>0</v>
      </c>
      <c r="J2266" s="35" t="b">
        <v>0</v>
      </c>
      <c r="K2266" s="35" t="b">
        <v>0</v>
      </c>
      <c r="L2266" s="35" t="b">
        <v>0</v>
      </c>
      <c r="M2266" s="35" t="b">
        <v>0</v>
      </c>
      <c r="N2266" s="35" t="b">
        <v>0</v>
      </c>
      <c r="O2266" s="35" t="b">
        <v>0</v>
      </c>
      <c r="P2266" s="35" t="b">
        <v>0</v>
      </c>
      <c r="Q2266" s="35" t="b">
        <v>0</v>
      </c>
      <c r="R2266" s="14"/>
      <c r="S2266" s="14"/>
      <c r="T2266" s="14"/>
      <c r="U2266" s="14"/>
      <c r="V2266" s="14"/>
      <c r="W2266" s="14"/>
    </row>
    <row r="2267" ht="31.5" customHeight="1">
      <c r="A2267" s="124" t="s">
        <v>18436</v>
      </c>
      <c r="B2267" s="125" t="s">
        <v>18437</v>
      </c>
      <c r="C2267" s="126" t="s">
        <v>18438</v>
      </c>
      <c r="D2267" s="127" t="s">
        <v>18439</v>
      </c>
      <c r="E2267" s="28" t="str">
        <f>IFERROR(__xludf.DUMMYFUNCTION("GOOGLETRANSLATE(D2267,""zh-CN"",""vi"")"),"Chúng tôi hết lời khen ngợi bài phát biểu của ông ấy.")</f>
        <v>Chúng tôi hết lời khen ngợi bài phát biểu của ông ấy.</v>
      </c>
      <c r="F2267" s="137"/>
      <c r="G2267" s="36" t="b">
        <f t="shared" si="1"/>
        <v>0</v>
      </c>
      <c r="H2267" s="35" t="b">
        <v>0</v>
      </c>
      <c r="I2267" s="35" t="b">
        <v>0</v>
      </c>
      <c r="J2267" s="35" t="b">
        <v>0</v>
      </c>
      <c r="K2267" s="35" t="b">
        <v>0</v>
      </c>
      <c r="L2267" s="35" t="b">
        <v>0</v>
      </c>
      <c r="M2267" s="35" t="b">
        <v>0</v>
      </c>
      <c r="N2267" s="35" t="b">
        <v>0</v>
      </c>
      <c r="O2267" s="35" t="b">
        <v>0</v>
      </c>
      <c r="P2267" s="35" t="b">
        <v>0</v>
      </c>
      <c r="Q2267" s="35" t="b">
        <v>0</v>
      </c>
      <c r="R2267" s="14"/>
      <c r="S2267" s="14"/>
      <c r="T2267" s="14"/>
      <c r="U2267" s="14"/>
      <c r="V2267" s="14"/>
      <c r="W2267" s="14"/>
    </row>
    <row r="2268" ht="31.5" customHeight="1">
      <c r="A2268" s="124" t="s">
        <v>18440</v>
      </c>
      <c r="B2268" s="125" t="s">
        <v>18441</v>
      </c>
      <c r="C2268" s="126" t="s">
        <v>18442</v>
      </c>
      <c r="D2268" s="127" t="s">
        <v>18443</v>
      </c>
      <c r="E2268" s="28" t="str">
        <f>IFERROR(__xludf.DUMMYFUNCTION("GOOGLETRANSLATE(D2268,""zh-CN"",""vi"")"),"Chúng tôi đồng ý với quan điểm của anh ấy.")</f>
        <v>Chúng tôi đồng ý với quan điểm của anh ấy.</v>
      </c>
      <c r="F2268" s="137"/>
      <c r="G2268" s="36" t="b">
        <f t="shared" si="1"/>
        <v>0</v>
      </c>
      <c r="H2268" s="35" t="b">
        <v>0</v>
      </c>
      <c r="I2268" s="35" t="b">
        <v>0</v>
      </c>
      <c r="J2268" s="35" t="b">
        <v>0</v>
      </c>
      <c r="K2268" s="35" t="b">
        <v>0</v>
      </c>
      <c r="L2268" s="35" t="b">
        <v>0</v>
      </c>
      <c r="M2268" s="35" t="b">
        <v>0</v>
      </c>
      <c r="N2268" s="35" t="b">
        <v>0</v>
      </c>
      <c r="O2268" s="35" t="b">
        <v>0</v>
      </c>
      <c r="P2268" s="35" t="b">
        <v>0</v>
      </c>
      <c r="Q2268" s="35" t="b">
        <v>0</v>
      </c>
      <c r="R2268" s="14"/>
      <c r="S2268" s="14"/>
      <c r="T2268" s="14"/>
      <c r="U2268" s="14"/>
      <c r="V2268" s="14"/>
      <c r="W2268" s="14"/>
    </row>
    <row r="2269" ht="31.5" customHeight="1">
      <c r="A2269" s="124" t="s">
        <v>18444</v>
      </c>
      <c r="B2269" s="125" t="s">
        <v>18445</v>
      </c>
      <c r="C2269" s="126" t="s">
        <v>18438</v>
      </c>
      <c r="D2269" s="127" t="s">
        <v>18446</v>
      </c>
      <c r="E2269" s="28" t="str">
        <f>IFERROR(__xludf.DUMMYFUNCTION("GOOGLETRANSLATE(D2269,""zh-CN"",""vi"")"),"Anh ấy đã được khen ngợi vì màn trình diễn xuất sắc của mình.")</f>
        <v>Anh ấy đã được khen ngợi vì màn trình diễn xuất sắc của mình.</v>
      </c>
      <c r="F2269" s="137"/>
      <c r="G2269" s="36" t="b">
        <f t="shared" si="1"/>
        <v>0</v>
      </c>
      <c r="H2269" s="35" t="b">
        <v>0</v>
      </c>
      <c r="I2269" s="35" t="b">
        <v>0</v>
      </c>
      <c r="J2269" s="35" t="b">
        <v>0</v>
      </c>
      <c r="K2269" s="35" t="b">
        <v>0</v>
      </c>
      <c r="L2269" s="35" t="b">
        <v>0</v>
      </c>
      <c r="M2269" s="35" t="b">
        <v>0</v>
      </c>
      <c r="N2269" s="35" t="b">
        <v>0</v>
      </c>
      <c r="O2269" s="35" t="b">
        <v>0</v>
      </c>
      <c r="P2269" s="35" t="b">
        <v>0</v>
      </c>
      <c r="Q2269" s="35" t="b">
        <v>0</v>
      </c>
      <c r="R2269" s="14"/>
      <c r="S2269" s="14"/>
      <c r="T2269" s="14"/>
      <c r="U2269" s="14"/>
      <c r="V2269" s="14"/>
      <c r="W2269" s="14"/>
    </row>
    <row r="2270" ht="31.5" customHeight="1">
      <c r="A2270" s="124" t="s">
        <v>18447</v>
      </c>
      <c r="B2270" s="125" t="s">
        <v>18448</v>
      </c>
      <c r="C2270" s="126" t="s">
        <v>18449</v>
      </c>
      <c r="D2270" s="127" t="s">
        <v>18450</v>
      </c>
      <c r="E2270" s="28" t="str">
        <f>IFERROR(__xludf.DUMMYFUNCTION("GOOGLETRANSLATE(D2270,""zh-CN"",""vi"")"),"Họ là nhà tài trợ cho sự kiện này.")</f>
        <v>Họ là nhà tài trợ cho sự kiện này.</v>
      </c>
      <c r="F2270" s="137"/>
      <c r="G2270" s="36" t="b">
        <f t="shared" si="1"/>
        <v>0</v>
      </c>
      <c r="H2270" s="35" t="b">
        <v>0</v>
      </c>
      <c r="I2270" s="35" t="b">
        <v>0</v>
      </c>
      <c r="J2270" s="35" t="b">
        <v>0</v>
      </c>
      <c r="K2270" s="35" t="b">
        <v>0</v>
      </c>
      <c r="L2270" s="35" t="b">
        <v>0</v>
      </c>
      <c r="M2270" s="35" t="b">
        <v>0</v>
      </c>
      <c r="N2270" s="35" t="b">
        <v>0</v>
      </c>
      <c r="O2270" s="35" t="b">
        <v>0</v>
      </c>
      <c r="P2270" s="35" t="b">
        <v>0</v>
      </c>
      <c r="Q2270" s="35" t="b">
        <v>0</v>
      </c>
      <c r="R2270" s="14"/>
      <c r="S2270" s="14"/>
      <c r="T2270" s="14"/>
      <c r="U2270" s="14"/>
      <c r="V2270" s="14"/>
      <c r="W2270" s="14"/>
    </row>
    <row r="2271" ht="31.5" customHeight="1">
      <c r="A2271" s="124" t="s">
        <v>18451</v>
      </c>
      <c r="B2271" s="125" t="s">
        <v>18452</v>
      </c>
      <c r="C2271" s="126" t="s">
        <v>18453</v>
      </c>
      <c r="D2271" s="127" t="s">
        <v>18454</v>
      </c>
      <c r="E2271" s="28" t="str">
        <f>IFERROR(__xludf.DUMMYFUNCTION("GOOGLETRANSLATE(D2271,""zh-CN"",""vi"")"),"Ông ấy bị thương nặng trong chiến tranh.")</f>
        <v>Ông ấy bị thương nặng trong chiến tranh.</v>
      </c>
      <c r="F2271" s="137"/>
      <c r="G2271" s="36" t="b">
        <f t="shared" si="1"/>
        <v>0</v>
      </c>
      <c r="H2271" s="35" t="b">
        <v>0</v>
      </c>
      <c r="I2271" s="35" t="b">
        <v>0</v>
      </c>
      <c r="J2271" s="35" t="b">
        <v>0</v>
      </c>
      <c r="K2271" s="35" t="b">
        <v>0</v>
      </c>
      <c r="L2271" s="35" t="b">
        <v>0</v>
      </c>
      <c r="M2271" s="35" t="b">
        <v>0</v>
      </c>
      <c r="N2271" s="35" t="b">
        <v>0</v>
      </c>
      <c r="O2271" s="35" t="b">
        <v>0</v>
      </c>
      <c r="P2271" s="35" t="b">
        <v>0</v>
      </c>
      <c r="Q2271" s="35" t="b">
        <v>0</v>
      </c>
      <c r="R2271" s="14"/>
      <c r="S2271" s="14"/>
      <c r="T2271" s="14"/>
      <c r="U2271" s="14"/>
      <c r="V2271" s="14"/>
      <c r="W2271" s="14"/>
    </row>
    <row r="2272" ht="31.5" customHeight="1">
      <c r="A2272" s="124" t="s">
        <v>18455</v>
      </c>
      <c r="B2272" s="125" t="s">
        <v>18456</v>
      </c>
      <c r="C2272" s="126" t="s">
        <v>18457</v>
      </c>
      <c r="D2272" s="127" t="s">
        <v>18458</v>
      </c>
      <c r="E2272" s="28" t="str">
        <f>IFERROR(__xludf.DUMMYFUNCTION("GOOGLETRANSLATE(D2272,""zh-CN"",""vi"")"),"Đừng lãng phí thức ăn.")</f>
        <v>Đừng lãng phí thức ăn.</v>
      </c>
      <c r="F2272" s="137"/>
      <c r="G2272" s="36" t="b">
        <f t="shared" si="1"/>
        <v>0</v>
      </c>
      <c r="H2272" s="35" t="b">
        <v>0</v>
      </c>
      <c r="I2272" s="35" t="b">
        <v>0</v>
      </c>
      <c r="J2272" s="35" t="b">
        <v>0</v>
      </c>
      <c r="K2272" s="35" t="b">
        <v>0</v>
      </c>
      <c r="L2272" s="35" t="b">
        <v>0</v>
      </c>
      <c r="M2272" s="35" t="b">
        <v>0</v>
      </c>
      <c r="N2272" s="35" t="b">
        <v>0</v>
      </c>
      <c r="O2272" s="35" t="b">
        <v>0</v>
      </c>
      <c r="P2272" s="35" t="b">
        <v>0</v>
      </c>
      <c r="Q2272" s="35" t="b">
        <v>0</v>
      </c>
      <c r="R2272" s="14"/>
      <c r="S2272" s="14"/>
      <c r="T2272" s="14"/>
      <c r="U2272" s="14"/>
      <c r="V2272" s="14"/>
      <c r="W2272" s="14"/>
    </row>
    <row r="2273" ht="31.5" customHeight="1">
      <c r="A2273" s="124" t="s">
        <v>18459</v>
      </c>
      <c r="B2273" s="125" t="s">
        <v>18460</v>
      </c>
      <c r="C2273" s="126" t="s">
        <v>18461</v>
      </c>
      <c r="D2273" s="127" t="s">
        <v>18462</v>
      </c>
      <c r="E2273" s="28" t="str">
        <f>IFERROR(__xludf.DUMMYFUNCTION("GOOGLETRANSLATE(D2273,""zh-CN"",""vi"")"),"Trận lũ lụt đã gây ra nhiều đau khổ cho nhiều người.")</f>
        <v>Trận lũ lụt đã gây ra nhiều đau khổ cho nhiều người.</v>
      </c>
      <c r="F2273" s="137"/>
      <c r="G2273" s="36" t="b">
        <f t="shared" si="1"/>
        <v>0</v>
      </c>
      <c r="H2273" s="35" t="b">
        <v>0</v>
      </c>
      <c r="I2273" s="35" t="b">
        <v>0</v>
      </c>
      <c r="J2273" s="35" t="b">
        <v>0</v>
      </c>
      <c r="K2273" s="35" t="b">
        <v>0</v>
      </c>
      <c r="L2273" s="35" t="b">
        <v>0</v>
      </c>
      <c r="M2273" s="35" t="b">
        <v>0</v>
      </c>
      <c r="N2273" s="35" t="b">
        <v>0</v>
      </c>
      <c r="O2273" s="35" t="b">
        <v>0</v>
      </c>
      <c r="P2273" s="35" t="b">
        <v>0</v>
      </c>
      <c r="Q2273" s="35" t="b">
        <v>0</v>
      </c>
      <c r="R2273" s="14"/>
      <c r="S2273" s="14"/>
      <c r="T2273" s="14"/>
      <c r="U2273" s="14"/>
      <c r="V2273" s="14"/>
      <c r="W2273" s="14"/>
    </row>
    <row r="2274" ht="31.5" customHeight="1">
      <c r="A2274" s="124" t="s">
        <v>18463</v>
      </c>
      <c r="B2274" s="125" t="s">
        <v>18464</v>
      </c>
      <c r="C2274" s="126" t="s">
        <v>18465</v>
      </c>
      <c r="D2274" s="127" t="s">
        <v>18466</v>
      </c>
      <c r="E2274" s="28" t="str">
        <f>IFERROR(__xludf.DUMMYFUNCTION("GOOGLETRANSLATE(D2274,""zh-CN"",""vi"")"),"Anh ấy đã gặp nhiều khó khăn trong công việc.")</f>
        <v>Anh ấy đã gặp nhiều khó khăn trong công việc.</v>
      </c>
      <c r="F2274" s="137"/>
      <c r="G2274" s="36" t="b">
        <f t="shared" si="1"/>
        <v>0</v>
      </c>
      <c r="H2274" s="35" t="b">
        <v>0</v>
      </c>
      <c r="I2274" s="35" t="b">
        <v>0</v>
      </c>
      <c r="J2274" s="35" t="b">
        <v>0</v>
      </c>
      <c r="K2274" s="35" t="b">
        <v>0</v>
      </c>
      <c r="L2274" s="35" t="b">
        <v>0</v>
      </c>
      <c r="M2274" s="35" t="b">
        <v>0</v>
      </c>
      <c r="N2274" s="35" t="b">
        <v>0</v>
      </c>
      <c r="O2274" s="35" t="b">
        <v>0</v>
      </c>
      <c r="P2274" s="35" t="b">
        <v>0</v>
      </c>
      <c r="Q2274" s="35" t="b">
        <v>0</v>
      </c>
      <c r="R2274" s="14"/>
      <c r="S2274" s="14"/>
      <c r="T2274" s="14"/>
      <c r="U2274" s="14"/>
      <c r="V2274" s="14"/>
      <c r="W2274" s="14"/>
    </row>
    <row r="2275" ht="31.5" customHeight="1">
      <c r="A2275" s="124" t="s">
        <v>18467</v>
      </c>
      <c r="B2275" s="125" t="s">
        <v>18468</v>
      </c>
      <c r="C2275" s="126" t="s">
        <v>18469</v>
      </c>
      <c r="D2275" s="127" t="s">
        <v>18470</v>
      </c>
      <c r="E2275" s="28" t="str">
        <f>IFERROR(__xludf.DUMMYFUNCTION("GOOGLETRANSLATE(D2275,""zh-CN"",""vi"")"),"Nông dân nổi dậy.")</f>
        <v>Nông dân nổi dậy.</v>
      </c>
      <c r="F2275" s="137"/>
      <c r="G2275" s="36" t="b">
        <f t="shared" si="1"/>
        <v>0</v>
      </c>
      <c r="H2275" s="35" t="b">
        <v>0</v>
      </c>
      <c r="I2275" s="35" t="b">
        <v>0</v>
      </c>
      <c r="J2275" s="35" t="b">
        <v>0</v>
      </c>
      <c r="K2275" s="35" t="b">
        <v>0</v>
      </c>
      <c r="L2275" s="35" t="b">
        <v>0</v>
      </c>
      <c r="M2275" s="35" t="b">
        <v>0</v>
      </c>
      <c r="N2275" s="35" t="b">
        <v>0</v>
      </c>
      <c r="O2275" s="35" t="b">
        <v>0</v>
      </c>
      <c r="P2275" s="35" t="b">
        <v>0</v>
      </c>
      <c r="Q2275" s="35" t="b">
        <v>0</v>
      </c>
      <c r="R2275" s="14"/>
      <c r="S2275" s="14"/>
      <c r="T2275" s="14"/>
      <c r="U2275" s="14"/>
      <c r="V2275" s="14"/>
      <c r="W2275" s="14"/>
    </row>
    <row r="2276" ht="31.5" customHeight="1">
      <c r="A2276" s="124" t="s">
        <v>18471</v>
      </c>
      <c r="B2276" s="125" t="s">
        <v>18472</v>
      </c>
      <c r="C2276" s="126" t="s">
        <v>18473</v>
      </c>
      <c r="D2276" s="127" t="s">
        <v>18474</v>
      </c>
      <c r="E2276" s="28" t="str">
        <f>IFERROR(__xludf.DUMMYFUNCTION("GOOGLETRANSLATE(D2276,""zh-CN"",""vi"")"),"Bức tượng có thiết kế rất độc đáo.")</f>
        <v>Bức tượng có thiết kế rất độc đáo.</v>
      </c>
      <c r="F2276" s="137"/>
      <c r="G2276" s="36" t="b">
        <f t="shared" si="1"/>
        <v>0</v>
      </c>
      <c r="H2276" s="35" t="b">
        <v>0</v>
      </c>
      <c r="I2276" s="35" t="b">
        <v>0</v>
      </c>
      <c r="J2276" s="35" t="b">
        <v>0</v>
      </c>
      <c r="K2276" s="35" t="b">
        <v>0</v>
      </c>
      <c r="L2276" s="35" t="b">
        <v>0</v>
      </c>
      <c r="M2276" s="35" t="b">
        <v>0</v>
      </c>
      <c r="N2276" s="35" t="b">
        <v>0</v>
      </c>
      <c r="O2276" s="35" t="b">
        <v>0</v>
      </c>
      <c r="P2276" s="35" t="b">
        <v>0</v>
      </c>
      <c r="Q2276" s="35" t="b">
        <v>0</v>
      </c>
      <c r="R2276" s="14"/>
      <c r="S2276" s="14"/>
      <c r="T2276" s="14"/>
      <c r="U2276" s="14"/>
      <c r="V2276" s="14"/>
      <c r="W2276" s="14"/>
    </row>
    <row r="2277" ht="31.5" customHeight="1">
      <c r="A2277" s="124" t="s">
        <v>18475</v>
      </c>
      <c r="B2277" s="125" t="s">
        <v>18476</v>
      </c>
      <c r="C2277" s="126" t="s">
        <v>18477</v>
      </c>
      <c r="D2277" s="127" t="s">
        <v>18478</v>
      </c>
      <c r="E2277" s="28" t="str">
        <f>IFERROR(__xludf.DUMMYFUNCTION("GOOGLETRANSLATE(D2277,""zh-CN"",""vi"")"),"Thành phố rất ồn ào.")</f>
        <v>Thành phố rất ồn ào.</v>
      </c>
      <c r="F2277" s="137"/>
      <c r="G2277" s="36" t="b">
        <f t="shared" si="1"/>
        <v>0</v>
      </c>
      <c r="H2277" s="35" t="b">
        <v>0</v>
      </c>
      <c r="I2277" s="35" t="b">
        <v>0</v>
      </c>
      <c r="J2277" s="35" t="b">
        <v>0</v>
      </c>
      <c r="K2277" s="35" t="b">
        <v>0</v>
      </c>
      <c r="L2277" s="35" t="b">
        <v>0</v>
      </c>
      <c r="M2277" s="35" t="b">
        <v>0</v>
      </c>
      <c r="N2277" s="35" t="b">
        <v>0</v>
      </c>
      <c r="O2277" s="35" t="b">
        <v>0</v>
      </c>
      <c r="P2277" s="35" t="b">
        <v>0</v>
      </c>
      <c r="Q2277" s="35" t="b">
        <v>0</v>
      </c>
      <c r="R2277" s="14"/>
      <c r="S2277" s="14"/>
      <c r="T2277" s="14"/>
      <c r="U2277" s="14"/>
      <c r="V2277" s="14"/>
      <c r="W2277" s="14"/>
    </row>
    <row r="2278" ht="31.5" customHeight="1">
      <c r="A2278" s="124" t="s">
        <v>18479</v>
      </c>
      <c r="B2278" s="125" t="s">
        <v>18480</v>
      </c>
      <c r="C2278" s="126" t="s">
        <v>18481</v>
      </c>
      <c r="D2278" s="127" t="s">
        <v>18482</v>
      </c>
      <c r="E2278" s="28" t="str">
        <f>IFERROR(__xludf.DUMMYFUNCTION("GOOGLETRANSLATE(D2278,""zh-CN"",""vi"")"),"Anh ta đổ lỗi cho tôi vì đã không hoàn thành nhiệm vụ.")</f>
        <v>Anh ta đổ lỗi cho tôi vì đã không hoàn thành nhiệm vụ.</v>
      </c>
      <c r="F2278" s="137"/>
      <c r="G2278" s="36" t="b">
        <f t="shared" si="1"/>
        <v>0</v>
      </c>
      <c r="H2278" s="35" t="b">
        <v>0</v>
      </c>
      <c r="I2278" s="35" t="b">
        <v>0</v>
      </c>
      <c r="J2278" s="35" t="b">
        <v>0</v>
      </c>
      <c r="K2278" s="35" t="b">
        <v>0</v>
      </c>
      <c r="L2278" s="35" t="b">
        <v>0</v>
      </c>
      <c r="M2278" s="35" t="b">
        <v>0</v>
      </c>
      <c r="N2278" s="35" t="b">
        <v>0</v>
      </c>
      <c r="O2278" s="35" t="b">
        <v>0</v>
      </c>
      <c r="P2278" s="35" t="b">
        <v>0</v>
      </c>
      <c r="Q2278" s="35" t="b">
        <v>0</v>
      </c>
      <c r="R2278" s="14"/>
      <c r="S2278" s="14"/>
      <c r="T2278" s="14"/>
      <c r="U2278" s="14"/>
      <c r="V2278" s="14"/>
      <c r="W2278" s="14"/>
    </row>
    <row r="2279" ht="31.5" customHeight="1">
      <c r="A2279" s="124" t="s">
        <v>18483</v>
      </c>
      <c r="B2279" s="125" t="s">
        <v>18484</v>
      </c>
      <c r="C2279" s="126" t="s">
        <v>18485</v>
      </c>
      <c r="D2279" s="127" t="s">
        <v>18486</v>
      </c>
      <c r="E2279" s="28" t="str">
        <f>IFERROR(__xludf.DUMMYFUNCTION("GOOGLETRANSLATE(D2279,""zh-CN"",""vi"")"),"Cảnh sát vừa bắt được tên trộm.")</f>
        <v>Cảnh sát vừa bắt được tên trộm.</v>
      </c>
      <c r="F2279" s="137"/>
      <c r="G2279" s="36" t="b">
        <f t="shared" si="1"/>
        <v>0</v>
      </c>
      <c r="H2279" s="35" t="b">
        <v>0</v>
      </c>
      <c r="I2279" s="35" t="b">
        <v>0</v>
      </c>
      <c r="J2279" s="35" t="b">
        <v>0</v>
      </c>
      <c r="K2279" s="35" t="b">
        <v>0</v>
      </c>
      <c r="L2279" s="35" t="b">
        <v>0</v>
      </c>
      <c r="M2279" s="35" t="b">
        <v>0</v>
      </c>
      <c r="N2279" s="35" t="b">
        <v>0</v>
      </c>
      <c r="O2279" s="35" t="b">
        <v>0</v>
      </c>
      <c r="P2279" s="35" t="b">
        <v>0</v>
      </c>
      <c r="Q2279" s="35" t="b">
        <v>0</v>
      </c>
      <c r="R2279" s="14"/>
      <c r="S2279" s="14"/>
      <c r="T2279" s="14"/>
      <c r="U2279" s="14"/>
      <c r="V2279" s="14"/>
      <c r="W2279" s="14"/>
    </row>
    <row r="2280" ht="31.5" customHeight="1">
      <c r="A2280" s="124" t="s">
        <v>18487</v>
      </c>
      <c r="B2280" s="125" t="s">
        <v>18488</v>
      </c>
      <c r="C2280" s="126" t="s">
        <v>18489</v>
      </c>
      <c r="D2280" s="127" t="s">
        <v>18490</v>
      </c>
      <c r="E2280" s="28" t="str">
        <f>IFERROR(__xludf.DUMMYFUNCTION("GOOGLETRANSLATE(D2280,""zh-CN"",""vi"")"),"Các thành viên mới đã mang lại sức sống mới cho đội.")</f>
        <v>Các thành viên mới đã mang lại sức sống mới cho đội.</v>
      </c>
      <c r="F2280" s="137"/>
      <c r="G2280" s="36" t="b">
        <f t="shared" si="1"/>
        <v>0</v>
      </c>
      <c r="H2280" s="35" t="b">
        <v>0</v>
      </c>
      <c r="I2280" s="35" t="b">
        <v>0</v>
      </c>
      <c r="J2280" s="35" t="b">
        <v>0</v>
      </c>
      <c r="K2280" s="35" t="b">
        <v>0</v>
      </c>
      <c r="L2280" s="35" t="b">
        <v>0</v>
      </c>
      <c r="M2280" s="35" t="b">
        <v>0</v>
      </c>
      <c r="N2280" s="35" t="b">
        <v>0</v>
      </c>
      <c r="O2280" s="35" t="b">
        <v>0</v>
      </c>
      <c r="P2280" s="35" t="b">
        <v>0</v>
      </c>
      <c r="Q2280" s="35" t="b">
        <v>0</v>
      </c>
      <c r="R2280" s="14"/>
      <c r="S2280" s="14"/>
      <c r="T2280" s="14"/>
      <c r="U2280" s="14"/>
      <c r="V2280" s="14"/>
      <c r="W2280" s="14"/>
    </row>
    <row r="2281" ht="31.5" customHeight="1">
      <c r="A2281" s="124" t="s">
        <v>18491</v>
      </c>
      <c r="B2281" s="125" t="s">
        <v>18492</v>
      </c>
      <c r="C2281" s="126" t="s">
        <v>18493</v>
      </c>
      <c r="D2281" s="127" t="s">
        <v>18494</v>
      </c>
      <c r="E2281" s="28" t="str">
        <f>IFERROR(__xludf.DUMMYFUNCTION("GOOGLETRANSLATE(D2281,""zh-CN"",""vi"")"),"Anh ấy tặng tôi một cuốn sách.")</f>
        <v>Anh ấy tặng tôi một cuốn sách.</v>
      </c>
      <c r="F2281" s="137"/>
      <c r="G2281" s="36" t="b">
        <f t="shared" si="1"/>
        <v>0</v>
      </c>
      <c r="H2281" s="35" t="b">
        <v>0</v>
      </c>
      <c r="I2281" s="35" t="b">
        <v>0</v>
      </c>
      <c r="J2281" s="35" t="b">
        <v>0</v>
      </c>
      <c r="K2281" s="35" t="b">
        <v>0</v>
      </c>
      <c r="L2281" s="35" t="b">
        <v>0</v>
      </c>
      <c r="M2281" s="35" t="b">
        <v>0</v>
      </c>
      <c r="N2281" s="35" t="b">
        <v>0</v>
      </c>
      <c r="O2281" s="35" t="b">
        <v>0</v>
      </c>
      <c r="P2281" s="35" t="b">
        <v>0</v>
      </c>
      <c r="Q2281" s="35" t="b">
        <v>0</v>
      </c>
      <c r="R2281" s="14"/>
      <c r="S2281" s="14"/>
      <c r="T2281" s="14"/>
      <c r="U2281" s="14"/>
      <c r="V2281" s="14"/>
      <c r="W2281" s="14"/>
    </row>
    <row r="2282" ht="31.5" customHeight="1">
      <c r="A2282" s="124" t="s">
        <v>18495</v>
      </c>
      <c r="B2282" s="125" t="s">
        <v>18496</v>
      </c>
      <c r="C2282" s="126" t="s">
        <v>18497</v>
      </c>
      <c r="D2282" s="127" t="s">
        <v>18498</v>
      </c>
      <c r="E2282" s="28" t="str">
        <f>IFERROR(__xludf.DUMMYFUNCTION("GOOGLETRANSLATE(D2282,""zh-CN"",""vi"")"),"Những loại trái cây này có rất nhiều thịt quả.")</f>
        <v>Những loại trái cây này có rất nhiều thịt quả.</v>
      </c>
      <c r="F2282" s="137"/>
      <c r="G2282" s="36" t="b">
        <f t="shared" si="1"/>
        <v>0</v>
      </c>
      <c r="H2282" s="35" t="b">
        <v>0</v>
      </c>
      <c r="I2282" s="35" t="b">
        <v>0</v>
      </c>
      <c r="J2282" s="35" t="b">
        <v>0</v>
      </c>
      <c r="K2282" s="35" t="b">
        <v>0</v>
      </c>
      <c r="L2282" s="35" t="b">
        <v>0</v>
      </c>
      <c r="M2282" s="35" t="b">
        <v>0</v>
      </c>
      <c r="N2282" s="35" t="b">
        <v>0</v>
      </c>
      <c r="O2282" s="35" t="b">
        <v>0</v>
      </c>
      <c r="P2282" s="35" t="b">
        <v>0</v>
      </c>
      <c r="Q2282" s="35" t="b">
        <v>0</v>
      </c>
      <c r="R2282" s="14"/>
      <c r="S2282" s="14"/>
      <c r="T2282" s="14"/>
      <c r="U2282" s="14"/>
      <c r="V2282" s="14"/>
      <c r="W2282" s="14"/>
    </row>
    <row r="2283" ht="31.5" customHeight="1">
      <c r="A2283" s="124" t="s">
        <v>18499</v>
      </c>
      <c r="B2283" s="125" t="s">
        <v>18496</v>
      </c>
      <c r="C2283" s="126" t="s">
        <v>18500</v>
      </c>
      <c r="D2283" s="127" t="s">
        <v>18501</v>
      </c>
      <c r="E2283" s="28" t="str">
        <f>IFERROR(__xludf.DUMMYFUNCTION("GOOGLETRANSLATE(D2283,""zh-CN"",""vi"")"),"Anh ta bị kim châm vào ngón tay.")</f>
        <v>Anh ta bị kim châm vào ngón tay.</v>
      </c>
      <c r="F2283" s="137"/>
      <c r="G2283" s="36" t="b">
        <f t="shared" si="1"/>
        <v>0</v>
      </c>
      <c r="H2283" s="35" t="b">
        <v>0</v>
      </c>
      <c r="I2283" s="35" t="b">
        <v>0</v>
      </c>
      <c r="J2283" s="35" t="b">
        <v>0</v>
      </c>
      <c r="K2283" s="35" t="b">
        <v>0</v>
      </c>
      <c r="L2283" s="35" t="b">
        <v>0</v>
      </c>
      <c r="M2283" s="35" t="b">
        <v>0</v>
      </c>
      <c r="N2283" s="35" t="b">
        <v>0</v>
      </c>
      <c r="O2283" s="35" t="b">
        <v>0</v>
      </c>
      <c r="P2283" s="35" t="b">
        <v>0</v>
      </c>
      <c r="Q2283" s="35" t="b">
        <v>0</v>
      </c>
      <c r="R2283" s="14"/>
      <c r="S2283" s="14"/>
      <c r="T2283" s="14"/>
      <c r="U2283" s="14"/>
      <c r="V2283" s="14"/>
      <c r="W2283" s="14"/>
    </row>
    <row r="2284" ht="31.5" customHeight="1">
      <c r="A2284" s="124" t="s">
        <v>18502</v>
      </c>
      <c r="B2284" s="125" t="s">
        <v>18503</v>
      </c>
      <c r="C2284" s="126" t="s">
        <v>16094</v>
      </c>
      <c r="D2284" s="127" t="s">
        <v>18504</v>
      </c>
      <c r="E2284" s="28" t="str">
        <f>IFERROR(__xludf.DUMMYFUNCTION("GOOGLETRANSLATE(D2284,""zh-CN"",""vi"")"),"Nền tảng của chúng tôi rất vững chắc.")</f>
        <v>Nền tảng của chúng tôi rất vững chắc.</v>
      </c>
      <c r="F2284" s="137"/>
      <c r="G2284" s="36" t="b">
        <f t="shared" si="1"/>
        <v>0</v>
      </c>
      <c r="H2284" s="35" t="b">
        <v>0</v>
      </c>
      <c r="I2284" s="35" t="b">
        <v>0</v>
      </c>
      <c r="J2284" s="35" t="b">
        <v>0</v>
      </c>
      <c r="K2284" s="35" t="b">
        <v>0</v>
      </c>
      <c r="L2284" s="35" t="b">
        <v>0</v>
      </c>
      <c r="M2284" s="35" t="b">
        <v>0</v>
      </c>
      <c r="N2284" s="35" t="b">
        <v>0</v>
      </c>
      <c r="O2284" s="35" t="b">
        <v>0</v>
      </c>
      <c r="P2284" s="35" t="b">
        <v>0</v>
      </c>
      <c r="Q2284" s="35" t="b">
        <v>0</v>
      </c>
      <c r="R2284" s="14"/>
      <c r="S2284" s="14"/>
      <c r="T2284" s="14"/>
      <c r="U2284" s="14"/>
      <c r="V2284" s="14"/>
      <c r="W2284" s="14"/>
    </row>
    <row r="2285" ht="31.5" customHeight="1">
      <c r="A2285" s="124" t="s">
        <v>18505</v>
      </c>
      <c r="B2285" s="125" t="s">
        <v>18506</v>
      </c>
      <c r="C2285" s="126" t="s">
        <v>18507</v>
      </c>
      <c r="D2285" s="127" t="s">
        <v>18508</v>
      </c>
      <c r="E2285" s="28" t="str">
        <f>IFERROR(__xludf.DUMMYFUNCTION("GOOGLETRANSLATE(D2285,""zh-CN"",""vi"")"),"Anh ta chớp mắt.")</f>
        <v>Anh ta chớp mắt.</v>
      </c>
      <c r="F2285" s="137"/>
      <c r="G2285" s="36" t="b">
        <f t="shared" si="1"/>
        <v>0</v>
      </c>
      <c r="H2285" s="35" t="b">
        <v>0</v>
      </c>
      <c r="I2285" s="35" t="b">
        <v>0</v>
      </c>
      <c r="J2285" s="35" t="b">
        <v>0</v>
      </c>
      <c r="K2285" s="35" t="b">
        <v>0</v>
      </c>
      <c r="L2285" s="35" t="b">
        <v>0</v>
      </c>
      <c r="M2285" s="35" t="b">
        <v>0</v>
      </c>
      <c r="N2285" s="35" t="b">
        <v>0</v>
      </c>
      <c r="O2285" s="35" t="b">
        <v>0</v>
      </c>
      <c r="P2285" s="35" t="b">
        <v>0</v>
      </c>
      <c r="Q2285" s="35" t="b">
        <v>0</v>
      </c>
      <c r="R2285" s="14"/>
      <c r="S2285" s="14"/>
      <c r="T2285" s="14"/>
      <c r="U2285" s="14"/>
      <c r="V2285" s="14"/>
      <c r="W2285" s="14"/>
    </row>
    <row r="2286" ht="31.5" customHeight="1">
      <c r="A2286" s="124" t="s">
        <v>18509</v>
      </c>
      <c r="B2286" s="125" t="s">
        <v>18510</v>
      </c>
      <c r="C2286" s="126" t="s">
        <v>18511</v>
      </c>
      <c r="D2286" s="127" t="s">
        <v>18512</v>
      </c>
      <c r="E2286" s="28" t="str">
        <f>IFERROR(__xludf.DUMMYFUNCTION("GOOGLETRANSLATE(D2286,""zh-CN"",""vi"")"),"Ông ta bị buộc tội lừa đảo.")</f>
        <v>Ông ta bị buộc tội lừa đảo.</v>
      </c>
      <c r="F2286" s="137"/>
      <c r="G2286" s="36" t="b">
        <f t="shared" si="1"/>
        <v>0</v>
      </c>
      <c r="H2286" s="35" t="b">
        <v>0</v>
      </c>
      <c r="I2286" s="35" t="b">
        <v>0</v>
      </c>
      <c r="J2286" s="35" t="b">
        <v>0</v>
      </c>
      <c r="K2286" s="35" t="b">
        <v>0</v>
      </c>
      <c r="L2286" s="35" t="b">
        <v>0</v>
      </c>
      <c r="M2286" s="35" t="b">
        <v>0</v>
      </c>
      <c r="N2286" s="35" t="b">
        <v>0</v>
      </c>
      <c r="O2286" s="35" t="b">
        <v>0</v>
      </c>
      <c r="P2286" s="35" t="b">
        <v>0</v>
      </c>
      <c r="Q2286" s="35" t="b">
        <v>0</v>
      </c>
      <c r="R2286" s="14"/>
      <c r="S2286" s="14"/>
      <c r="T2286" s="14"/>
      <c r="U2286" s="14"/>
      <c r="V2286" s="14"/>
      <c r="W2286" s="14"/>
    </row>
    <row r="2287" ht="31.5" customHeight="1">
      <c r="A2287" s="124" t="s">
        <v>18513</v>
      </c>
      <c r="B2287" s="125" t="s">
        <v>18514</v>
      </c>
      <c r="C2287" s="126" t="s">
        <v>18515</v>
      </c>
      <c r="D2287" s="127" t="s">
        <v>18516</v>
      </c>
      <c r="E2287" s="28" t="str">
        <f>IFERROR(__xludf.DUMMYFUNCTION("GOOGLETRANSLATE(D2287,""zh-CN"",""vi"")"),"Tóm tắt bài viết này rất quan trọng.")</f>
        <v>Tóm tắt bài viết này rất quan trọng.</v>
      </c>
      <c r="F2287" s="137"/>
      <c r="G2287" s="36" t="b">
        <f t="shared" si="1"/>
        <v>0</v>
      </c>
      <c r="H2287" s="35" t="b">
        <v>0</v>
      </c>
      <c r="I2287" s="35" t="b">
        <v>0</v>
      </c>
      <c r="J2287" s="35" t="b">
        <v>0</v>
      </c>
      <c r="K2287" s="35" t="b">
        <v>0</v>
      </c>
      <c r="L2287" s="35" t="b">
        <v>0</v>
      </c>
      <c r="M2287" s="35" t="b">
        <v>0</v>
      </c>
      <c r="N2287" s="35" t="b">
        <v>0</v>
      </c>
      <c r="O2287" s="35" t="b">
        <v>0</v>
      </c>
      <c r="P2287" s="35" t="b">
        <v>0</v>
      </c>
      <c r="Q2287" s="35" t="b">
        <v>0</v>
      </c>
      <c r="R2287" s="14"/>
      <c r="S2287" s="14"/>
      <c r="T2287" s="14"/>
      <c r="U2287" s="14"/>
      <c r="V2287" s="14"/>
      <c r="W2287" s="14"/>
    </row>
    <row r="2288" ht="31.5" customHeight="1">
      <c r="A2288" s="124" t="s">
        <v>18517</v>
      </c>
      <c r="B2288" s="125" t="s">
        <v>18518</v>
      </c>
      <c r="C2288" s="126" t="s">
        <v>18519</v>
      </c>
      <c r="D2288" s="127" t="s">
        <v>18520</v>
      </c>
      <c r="E2288" s="28" t="str">
        <f>IFERROR(__xludf.DUMMYFUNCTION("GOOGLETRANSLATE(D2288,""zh-CN"",""vi"")"),"Ông ta đã mua trái phiếu chính phủ.")</f>
        <v>Ông ta đã mua trái phiếu chính phủ.</v>
      </c>
      <c r="F2288" s="137"/>
      <c r="G2288" s="36" t="b">
        <f t="shared" si="1"/>
        <v>0</v>
      </c>
      <c r="H2288" s="35" t="b">
        <v>0</v>
      </c>
      <c r="I2288" s="35" t="b">
        <v>0</v>
      </c>
      <c r="J2288" s="35" t="b">
        <v>0</v>
      </c>
      <c r="K2288" s="35" t="b">
        <v>0</v>
      </c>
      <c r="L2288" s="35" t="b">
        <v>0</v>
      </c>
      <c r="M2288" s="35" t="b">
        <v>0</v>
      </c>
      <c r="N2288" s="35" t="b">
        <v>0</v>
      </c>
      <c r="O2288" s="35" t="b">
        <v>0</v>
      </c>
      <c r="P2288" s="35" t="b">
        <v>0</v>
      </c>
      <c r="Q2288" s="35" t="b">
        <v>0</v>
      </c>
      <c r="R2288" s="14"/>
      <c r="S2288" s="14"/>
      <c r="T2288" s="14"/>
      <c r="U2288" s="14"/>
      <c r="V2288" s="14"/>
      <c r="W2288" s="14"/>
    </row>
    <row r="2289" ht="31.5" customHeight="1">
      <c r="A2289" s="124" t="s">
        <v>18521</v>
      </c>
      <c r="B2289" s="125" t="s">
        <v>18522</v>
      </c>
      <c r="C2289" s="126" t="s">
        <v>18523</v>
      </c>
      <c r="D2289" s="127" t="s">
        <v>18524</v>
      </c>
      <c r="E2289" s="28" t="str">
        <f>IFERROR(__xludf.DUMMYFUNCTION("GOOGLETRANSLATE(D2289,""zh-CN"",""vi"")"),"Lần này chúng ta thực sự đã thu được lợi ích lớn.")</f>
        <v>Lần này chúng ta thực sự đã thu được lợi ích lớn.</v>
      </c>
      <c r="F2289" s="137"/>
      <c r="G2289" s="36" t="b">
        <f t="shared" si="1"/>
        <v>0</v>
      </c>
      <c r="H2289" s="35" t="b">
        <v>0</v>
      </c>
      <c r="I2289" s="35" t="b">
        <v>0</v>
      </c>
      <c r="J2289" s="35" t="b">
        <v>0</v>
      </c>
      <c r="K2289" s="35" t="b">
        <v>0</v>
      </c>
      <c r="L2289" s="35" t="b">
        <v>0</v>
      </c>
      <c r="M2289" s="35" t="b">
        <v>0</v>
      </c>
      <c r="N2289" s="35" t="b">
        <v>0</v>
      </c>
      <c r="O2289" s="35" t="b">
        <v>0</v>
      </c>
      <c r="P2289" s="35" t="b">
        <v>0</v>
      </c>
      <c r="Q2289" s="35" t="b">
        <v>0</v>
      </c>
      <c r="R2289" s="14"/>
      <c r="S2289" s="14"/>
      <c r="T2289" s="14"/>
      <c r="U2289" s="14"/>
      <c r="V2289" s="14"/>
      <c r="W2289" s="14"/>
    </row>
    <row r="2290" ht="31.5" customHeight="1">
      <c r="A2290" s="124" t="s">
        <v>18525</v>
      </c>
      <c r="B2290" s="125" t="s">
        <v>18526</v>
      </c>
      <c r="C2290" s="126" t="s">
        <v>18527</v>
      </c>
      <c r="D2290" s="127" t="s">
        <v>18528</v>
      </c>
      <c r="E2290" s="28" t="str">
        <f>IFERROR(__xludf.DUMMYFUNCTION("GOOGLETRANSLATE(D2290,""zh-CN"",""vi"")"),"Họ đã đến viếng tượng đài các liệt sĩ để bày tỏ lòng kính trọng.")</f>
        <v>Họ đã đến viếng tượng đài các liệt sĩ để bày tỏ lòng kính trọng.</v>
      </c>
      <c r="F2290" s="137"/>
      <c r="G2290" s="36" t="b">
        <f t="shared" si="1"/>
        <v>0</v>
      </c>
      <c r="H2290" s="35" t="b">
        <v>0</v>
      </c>
      <c r="I2290" s="35" t="b">
        <v>0</v>
      </c>
      <c r="J2290" s="35" t="b">
        <v>0</v>
      </c>
      <c r="K2290" s="35" t="b">
        <v>0</v>
      </c>
      <c r="L2290" s="35" t="b">
        <v>0</v>
      </c>
      <c r="M2290" s="35" t="b">
        <v>0</v>
      </c>
      <c r="N2290" s="35" t="b">
        <v>0</v>
      </c>
      <c r="O2290" s="35" t="b">
        <v>0</v>
      </c>
      <c r="P2290" s="35" t="b">
        <v>0</v>
      </c>
      <c r="Q2290" s="35" t="b">
        <v>0</v>
      </c>
      <c r="R2290" s="14"/>
      <c r="S2290" s="14"/>
      <c r="T2290" s="14"/>
      <c r="U2290" s="14"/>
      <c r="V2290" s="14"/>
      <c r="W2290" s="14"/>
    </row>
    <row r="2291" ht="31.5" customHeight="1">
      <c r="A2291" s="124" t="s">
        <v>18529</v>
      </c>
      <c r="B2291" s="125" t="s">
        <v>18530</v>
      </c>
      <c r="C2291" s="126" t="s">
        <v>18531</v>
      </c>
      <c r="D2291" s="127" t="s">
        <v>18532</v>
      </c>
      <c r="E2291" s="28" t="str">
        <f>IFERROR(__xludf.DUMMYFUNCTION("GOOGLETRANSLATE(D2291,""zh-CN"",""vi"")"),"Ông ấy nói với sự chắc chắn tuyệt đối.")</f>
        <v>Ông ấy nói với sự chắc chắn tuyệt đối.</v>
      </c>
      <c r="F2291" s="137"/>
      <c r="G2291" s="36" t="b">
        <f t="shared" si="1"/>
        <v>0</v>
      </c>
      <c r="H2291" s="35" t="b">
        <v>0</v>
      </c>
      <c r="I2291" s="35" t="b">
        <v>0</v>
      </c>
      <c r="J2291" s="35" t="b">
        <v>0</v>
      </c>
      <c r="K2291" s="35" t="b">
        <v>0</v>
      </c>
      <c r="L2291" s="35" t="b">
        <v>0</v>
      </c>
      <c r="M2291" s="35" t="b">
        <v>0</v>
      </c>
      <c r="N2291" s="35" t="b">
        <v>0</v>
      </c>
      <c r="O2291" s="35" t="b">
        <v>0</v>
      </c>
      <c r="P2291" s="35" t="b">
        <v>0</v>
      </c>
      <c r="Q2291" s="35" t="b">
        <v>0</v>
      </c>
      <c r="R2291" s="14"/>
      <c r="S2291" s="14"/>
      <c r="T2291" s="14"/>
      <c r="U2291" s="14"/>
      <c r="V2291" s="14"/>
      <c r="W2291" s="14"/>
    </row>
    <row r="2292" ht="31.5" customHeight="1">
      <c r="A2292" s="124" t="s">
        <v>18533</v>
      </c>
      <c r="B2292" s="125" t="s">
        <v>18534</v>
      </c>
      <c r="C2292" s="126" t="s">
        <v>18535</v>
      </c>
      <c r="D2292" s="127" t="s">
        <v>18536</v>
      </c>
      <c r="E2292" s="28" t="str">
        <f>IFERROR(__xludf.DUMMYFUNCTION("GOOGLETRANSLATE(D2292,""zh-CN"",""vi"")"),"Họ đã giới thiệu các sản phẩm mới của mình.")</f>
        <v>Họ đã giới thiệu các sản phẩm mới của mình.</v>
      </c>
      <c r="F2292" s="137"/>
      <c r="G2292" s="36" t="b">
        <f t="shared" si="1"/>
        <v>0</v>
      </c>
      <c r="H2292" s="35" t="b">
        <v>0</v>
      </c>
      <c r="I2292" s="35" t="b">
        <v>0</v>
      </c>
      <c r="J2292" s="35" t="b">
        <v>0</v>
      </c>
      <c r="K2292" s="35" t="b">
        <v>0</v>
      </c>
      <c r="L2292" s="35" t="b">
        <v>0</v>
      </c>
      <c r="M2292" s="35" t="b">
        <v>0</v>
      </c>
      <c r="N2292" s="35" t="b">
        <v>0</v>
      </c>
      <c r="O2292" s="35" t="b">
        <v>0</v>
      </c>
      <c r="P2292" s="35" t="b">
        <v>0</v>
      </c>
      <c r="Q2292" s="35" t="b">
        <v>0</v>
      </c>
      <c r="R2292" s="14"/>
      <c r="S2292" s="14"/>
      <c r="T2292" s="14"/>
      <c r="U2292" s="14"/>
      <c r="V2292" s="14"/>
      <c r="W2292" s="14"/>
    </row>
    <row r="2293" ht="31.5" customHeight="1">
      <c r="A2293" s="124" t="s">
        <v>18537</v>
      </c>
      <c r="B2293" s="125" t="s">
        <v>18538</v>
      </c>
      <c r="C2293" s="126" t="s">
        <v>18539</v>
      </c>
      <c r="D2293" s="127" t="s">
        <v>18540</v>
      </c>
      <c r="E2293" s="28" t="str">
        <f>IFERROR(__xludf.DUMMYFUNCTION("GOOGLETRANSLATE(D2293,""zh-CN"",""vi"")"),"Chúng tôi mong chờ những diễn biến trong tương lai.")</f>
        <v>Chúng tôi mong chờ những diễn biến trong tương lai.</v>
      </c>
      <c r="F2293" s="137"/>
      <c r="G2293" s="36" t="b">
        <f t="shared" si="1"/>
        <v>0</v>
      </c>
      <c r="H2293" s="35" t="b">
        <v>0</v>
      </c>
      <c r="I2293" s="35" t="b">
        <v>0</v>
      </c>
      <c r="J2293" s="35" t="b">
        <v>0</v>
      </c>
      <c r="K2293" s="35" t="b">
        <v>0</v>
      </c>
      <c r="L2293" s="35" t="b">
        <v>0</v>
      </c>
      <c r="M2293" s="35" t="b">
        <v>0</v>
      </c>
      <c r="N2293" s="35" t="b">
        <v>0</v>
      </c>
      <c r="O2293" s="35" t="b">
        <v>0</v>
      </c>
      <c r="P2293" s="35" t="b">
        <v>0</v>
      </c>
      <c r="Q2293" s="35" t="b">
        <v>0</v>
      </c>
      <c r="R2293" s="14"/>
      <c r="S2293" s="14"/>
      <c r="T2293" s="14"/>
      <c r="U2293" s="14"/>
      <c r="V2293" s="14"/>
      <c r="W2293" s="14"/>
    </row>
    <row r="2294" ht="31.5" customHeight="1">
      <c r="A2294" s="124" t="s">
        <v>18541</v>
      </c>
      <c r="B2294" s="125" t="s">
        <v>18542</v>
      </c>
      <c r="C2294" s="126" t="s">
        <v>18543</v>
      </c>
      <c r="D2294" s="127" t="s">
        <v>18544</v>
      </c>
      <c r="E2294" s="28" t="str">
        <f>IFERROR(__xludf.DUMMYFUNCTION("GOOGLETRANSLATE(D2294,""zh-CN"",""vi"")"),"Cô ấy đã thể hiện tài năng của mình trên sân khấu.")</f>
        <v>Cô ấy đã thể hiện tài năng của mình trên sân khấu.</v>
      </c>
      <c r="F2294" s="137"/>
      <c r="G2294" s="36" t="b">
        <f t="shared" si="1"/>
        <v>0</v>
      </c>
      <c r="H2294" s="35" t="b">
        <v>0</v>
      </c>
      <c r="I2294" s="35" t="b">
        <v>0</v>
      </c>
      <c r="J2294" s="35" t="b">
        <v>0</v>
      </c>
      <c r="K2294" s="35" t="b">
        <v>0</v>
      </c>
      <c r="L2294" s="35" t="b">
        <v>0</v>
      </c>
      <c r="M2294" s="35" t="b">
        <v>0</v>
      </c>
      <c r="N2294" s="35" t="b">
        <v>0</v>
      </c>
      <c r="O2294" s="35" t="b">
        <v>0</v>
      </c>
      <c r="P2294" s="35" t="b">
        <v>0</v>
      </c>
      <c r="Q2294" s="35" t="b">
        <v>0</v>
      </c>
      <c r="R2294" s="14"/>
      <c r="S2294" s="14"/>
      <c r="T2294" s="14"/>
      <c r="U2294" s="14"/>
      <c r="V2294" s="14"/>
      <c r="W2294" s="14"/>
    </row>
    <row r="2295" ht="31.5" customHeight="1">
      <c r="A2295" s="124" t="s">
        <v>18545</v>
      </c>
      <c r="B2295" s="125" t="s">
        <v>18546</v>
      </c>
      <c r="C2295" s="126" t="s">
        <v>18547</v>
      </c>
      <c r="D2295" s="127" t="s">
        <v>18548</v>
      </c>
      <c r="E2295" s="28" t="str">
        <f>IFERROR(__xludf.DUMMYFUNCTION("GOOGLETRANSLATE(D2295,""zh-CN"",""vi"")"),"Đây là một khởi đầu hoàn toàn mới.")</f>
        <v>Đây là một khởi đầu hoàn toàn mới.</v>
      </c>
      <c r="F2295" s="137"/>
      <c r="G2295" s="36" t="b">
        <f t="shared" si="1"/>
        <v>0</v>
      </c>
      <c r="H2295" s="35" t="b">
        <v>0</v>
      </c>
      <c r="I2295" s="35" t="b">
        <v>0</v>
      </c>
      <c r="J2295" s="35" t="b">
        <v>0</v>
      </c>
      <c r="K2295" s="35" t="b">
        <v>0</v>
      </c>
      <c r="L2295" s="35" t="b">
        <v>0</v>
      </c>
      <c r="M2295" s="35" t="b">
        <v>0</v>
      </c>
      <c r="N2295" s="35" t="b">
        <v>0</v>
      </c>
      <c r="O2295" s="35" t="b">
        <v>0</v>
      </c>
      <c r="P2295" s="35" t="b">
        <v>0</v>
      </c>
      <c r="Q2295" s="35" t="b">
        <v>0</v>
      </c>
      <c r="R2295" s="14"/>
      <c r="S2295" s="14"/>
      <c r="T2295" s="14"/>
      <c r="U2295" s="14"/>
      <c r="V2295" s="14"/>
      <c r="W2295" s="14"/>
    </row>
    <row r="2296" ht="31.5" customHeight="1">
      <c r="A2296" s="124" t="s">
        <v>18549</v>
      </c>
      <c r="B2296" s="125" t="s">
        <v>18550</v>
      </c>
      <c r="C2296" s="126" t="s">
        <v>18551</v>
      </c>
      <c r="D2296" s="127" t="s">
        <v>18552</v>
      </c>
      <c r="E2296" s="28" t="str">
        <f>IFERROR(__xludf.DUMMYFUNCTION("GOOGLETRANSLATE(D2296,""zh-CN"",""vi"")"),"Các binh sĩ đang chiến đấu ở tiền tuyến.")</f>
        <v>Các binh sĩ đang chiến đấu ở tiền tuyến.</v>
      </c>
      <c r="F2296" s="137"/>
      <c r="G2296" s="36" t="b">
        <f t="shared" si="1"/>
        <v>0</v>
      </c>
      <c r="H2296" s="35" t="b">
        <v>0</v>
      </c>
      <c r="I2296" s="35" t="b">
        <v>0</v>
      </c>
      <c r="J2296" s="35" t="b">
        <v>0</v>
      </c>
      <c r="K2296" s="35" t="b">
        <v>0</v>
      </c>
      <c r="L2296" s="35" t="b">
        <v>0</v>
      </c>
      <c r="M2296" s="35" t="b">
        <v>0</v>
      </c>
      <c r="N2296" s="35" t="b">
        <v>0</v>
      </c>
      <c r="O2296" s="35" t="b">
        <v>0</v>
      </c>
      <c r="P2296" s="35" t="b">
        <v>0</v>
      </c>
      <c r="Q2296" s="35" t="b">
        <v>0</v>
      </c>
      <c r="R2296" s="14"/>
      <c r="S2296" s="14"/>
      <c r="T2296" s="14"/>
      <c r="U2296" s="14"/>
      <c r="V2296" s="14"/>
      <c r="W2296" s="14"/>
    </row>
    <row r="2297" ht="31.5" customHeight="1">
      <c r="A2297" s="124" t="s">
        <v>18553</v>
      </c>
      <c r="B2297" s="125" t="s">
        <v>18554</v>
      </c>
      <c r="C2297" s="126" t="s">
        <v>18555</v>
      </c>
      <c r="D2297" s="127" t="s">
        <v>18556</v>
      </c>
      <c r="E2297" s="28" t="str">
        <f>IFERROR(__xludf.DUMMYFUNCTION("GOOGLETRANSLATE(D2297,""zh-CN"",""vi"")"),"Ông ta đã có một lập trường thuận lợi.")</f>
        <v>Ông ta đã có một lập trường thuận lợi.</v>
      </c>
      <c r="F2297" s="157"/>
      <c r="G2297" s="36" t="b">
        <f t="shared" si="1"/>
        <v>0</v>
      </c>
      <c r="H2297" s="35" t="b">
        <v>1</v>
      </c>
      <c r="I2297" s="35" t="b">
        <v>0</v>
      </c>
      <c r="J2297" s="35" t="b">
        <v>0</v>
      </c>
      <c r="K2297" s="35" t="b">
        <v>0</v>
      </c>
      <c r="L2297" s="35" t="b">
        <v>0</v>
      </c>
      <c r="M2297" s="35" t="b">
        <v>0</v>
      </c>
      <c r="N2297" s="35" t="b">
        <v>0</v>
      </c>
      <c r="O2297" s="35" t="b">
        <v>0</v>
      </c>
      <c r="P2297" s="35" t="b">
        <v>0</v>
      </c>
      <c r="Q2297" s="35" t="b">
        <v>0</v>
      </c>
      <c r="R2297" s="14"/>
      <c r="S2297" s="14"/>
      <c r="T2297" s="14"/>
      <c r="U2297" s="14"/>
      <c r="V2297" s="14"/>
      <c r="W2297" s="14"/>
    </row>
    <row r="2298" ht="31.5" customHeight="1">
      <c r="A2298" s="124" t="s">
        <v>18557</v>
      </c>
      <c r="B2298" s="125" t="s">
        <v>18558</v>
      </c>
      <c r="C2298" s="126" t="s">
        <v>18559</v>
      </c>
      <c r="D2298" s="127" t="s">
        <v>18560</v>
      </c>
      <c r="E2298" s="28" t="str">
        <f>IFERROR(__xludf.DUMMYFUNCTION("GOOGLETRANSLATE(D2298,""zh-CN"",""vi"")"),"Quân đội đã chiếm đóng thành phố.")</f>
        <v>Quân đội đã chiếm đóng thành phố.</v>
      </c>
      <c r="F2298" s="157"/>
      <c r="G2298" s="36" t="b">
        <f t="shared" si="1"/>
        <v>0</v>
      </c>
      <c r="H2298" s="35" t="b">
        <v>1</v>
      </c>
      <c r="I2298" s="35" t="b">
        <v>0</v>
      </c>
      <c r="J2298" s="35" t="b">
        <v>0</v>
      </c>
      <c r="K2298" s="35" t="b">
        <v>0</v>
      </c>
      <c r="L2298" s="35" t="b">
        <v>0</v>
      </c>
      <c r="M2298" s="35" t="b">
        <v>0</v>
      </c>
      <c r="N2298" s="35" t="b">
        <v>0</v>
      </c>
      <c r="O2298" s="35" t="b">
        <v>0</v>
      </c>
      <c r="P2298" s="35" t="b">
        <v>0</v>
      </c>
      <c r="Q2298" s="35" t="b">
        <v>0</v>
      </c>
      <c r="R2298" s="14"/>
      <c r="S2298" s="14"/>
      <c r="T2298" s="14"/>
      <c r="U2298" s="14"/>
      <c r="V2298" s="14"/>
      <c r="W2298" s="14"/>
    </row>
    <row r="2299" ht="31.5" customHeight="1">
      <c r="A2299" s="124" t="s">
        <v>18561</v>
      </c>
      <c r="B2299" s="125" t="s">
        <v>18562</v>
      </c>
      <c r="C2299" s="126" t="s">
        <v>18563</v>
      </c>
      <c r="D2299" s="127" t="s">
        <v>18564</v>
      </c>
      <c r="E2299" s="28" t="str">
        <f>IFERROR(__xludf.DUMMYFUNCTION("GOOGLETRANSLATE(D2299,""zh-CN"",""vi"")"),"Chúng ta cần xây dựng một chiến lược.")</f>
        <v>Chúng ta cần xây dựng một chiến lược.</v>
      </c>
      <c r="F2299" s="157"/>
      <c r="G2299" s="36" t="b">
        <f t="shared" si="1"/>
        <v>0</v>
      </c>
      <c r="H2299" s="35" t="b">
        <v>1</v>
      </c>
      <c r="I2299" s="35" t="b">
        <v>0</v>
      </c>
      <c r="J2299" s="35" t="b">
        <v>0</v>
      </c>
      <c r="K2299" s="35" t="b">
        <v>0</v>
      </c>
      <c r="L2299" s="35" t="b">
        <v>0</v>
      </c>
      <c r="M2299" s="35" t="b">
        <v>0</v>
      </c>
      <c r="N2299" s="35" t="b">
        <v>0</v>
      </c>
      <c r="O2299" s="35" t="b">
        <v>0</v>
      </c>
      <c r="P2299" s="35" t="b">
        <v>0</v>
      </c>
      <c r="Q2299" s="35" t="b">
        <v>0</v>
      </c>
      <c r="R2299" s="14"/>
      <c r="S2299" s="14"/>
      <c r="T2299" s="14"/>
      <c r="U2299" s="14"/>
      <c r="V2299" s="14"/>
      <c r="W2299" s="14"/>
    </row>
    <row r="2300" ht="31.5" customHeight="1">
      <c r="A2300" s="124" t="s">
        <v>18565</v>
      </c>
      <c r="B2300" s="125" t="s">
        <v>18566</v>
      </c>
      <c r="C2300" s="126" t="s">
        <v>18567</v>
      </c>
      <c r="D2300" s="127" t="s">
        <v>18568</v>
      </c>
      <c r="E2300" s="28" t="str">
        <f>IFERROR(__xludf.DUMMYFUNCTION("GOOGLETRANSLATE(D2300,""zh-CN"",""vi"")"),"Chiến thuật của ông ấy rất xuất sắc.")</f>
        <v>Chiến thuật của ông ấy rất xuất sắc.</v>
      </c>
      <c r="F2300" s="157"/>
      <c r="G2300" s="36" t="b">
        <f t="shared" si="1"/>
        <v>0</v>
      </c>
      <c r="H2300" s="35" t="b">
        <v>1</v>
      </c>
      <c r="I2300" s="35" t="b">
        <v>0</v>
      </c>
      <c r="J2300" s="35" t="b">
        <v>0</v>
      </c>
      <c r="K2300" s="35" t="b">
        <v>0</v>
      </c>
      <c r="L2300" s="35" t="b">
        <v>0</v>
      </c>
      <c r="M2300" s="35" t="b">
        <v>0</v>
      </c>
      <c r="N2300" s="35" t="b">
        <v>0</v>
      </c>
      <c r="O2300" s="35" t="b">
        <v>0</v>
      </c>
      <c r="P2300" s="35" t="b">
        <v>0</v>
      </c>
      <c r="Q2300" s="35" t="b">
        <v>0</v>
      </c>
      <c r="R2300" s="14"/>
      <c r="S2300" s="14"/>
      <c r="T2300" s="14"/>
      <c r="U2300" s="14"/>
      <c r="V2300" s="14"/>
      <c r="W2300" s="14"/>
    </row>
    <row r="2301" ht="31.5" customHeight="1">
      <c r="A2301" s="124" t="s">
        <v>18569</v>
      </c>
      <c r="B2301" s="125" t="s">
        <v>18570</v>
      </c>
      <c r="C2301" s="126" t="s">
        <v>18571</v>
      </c>
      <c r="D2301" s="127" t="s">
        <v>18572</v>
      </c>
      <c r="E2301" s="28" t="str">
        <f>IFERROR(__xludf.DUMMYFUNCTION("GOOGLETRANSLATE(D2301,""zh-CN"",""vi"")"),"Trận chiến này đã quyết định kết cục của cuộc chiến.")</f>
        <v>Trận chiến này đã quyết định kết cục của cuộc chiến.</v>
      </c>
      <c r="F2301" s="157"/>
      <c r="G2301" s="36" t="b">
        <f t="shared" si="1"/>
        <v>0</v>
      </c>
      <c r="H2301" s="35" t="b">
        <v>1</v>
      </c>
      <c r="I2301" s="35" t="b">
        <v>0</v>
      </c>
      <c r="J2301" s="35" t="b">
        <v>0</v>
      </c>
      <c r="K2301" s="35" t="b">
        <v>0</v>
      </c>
      <c r="L2301" s="35" t="b">
        <v>0</v>
      </c>
      <c r="M2301" s="35" t="b">
        <v>0</v>
      </c>
      <c r="N2301" s="35" t="b">
        <v>0</v>
      </c>
      <c r="O2301" s="35" t="b">
        <v>0</v>
      </c>
      <c r="P2301" s="35" t="b">
        <v>0</v>
      </c>
      <c r="Q2301" s="35" t="b">
        <v>0</v>
      </c>
      <c r="R2301" s="14"/>
      <c r="S2301" s="14"/>
      <c r="T2301" s="14"/>
      <c r="U2301" s="14"/>
      <c r="V2301" s="14"/>
      <c r="W2301" s="14"/>
    </row>
    <row r="2302" ht="31.5" customHeight="1">
      <c r="A2302" s="124" t="s">
        <v>18573</v>
      </c>
      <c r="B2302" s="125" t="s">
        <v>18574</v>
      </c>
      <c r="C2302" s="126" t="s">
        <v>18575</v>
      </c>
      <c r="D2302" s="127" t="s">
        <v>18576</v>
      </c>
      <c r="E2302" s="28" t="str">
        <f>IFERROR(__xludf.DUMMYFUNCTION("GOOGLETRANSLATE(D2302,""zh-CN"",""vi"")"),"Ông ta sở hữu rất nhiều nguồn lực.")</f>
        <v>Ông ta sở hữu rất nhiều nguồn lực.</v>
      </c>
      <c r="F2302" s="157"/>
      <c r="G2302" s="36" t="b">
        <f t="shared" si="1"/>
        <v>0</v>
      </c>
      <c r="H2302" s="35" t="b">
        <v>1</v>
      </c>
      <c r="I2302" s="35" t="b">
        <v>0</v>
      </c>
      <c r="J2302" s="35" t="b">
        <v>0</v>
      </c>
      <c r="K2302" s="35" t="b">
        <v>0</v>
      </c>
      <c r="L2302" s="35" t="b">
        <v>0</v>
      </c>
      <c r="M2302" s="35" t="b">
        <v>0</v>
      </c>
      <c r="N2302" s="35" t="b">
        <v>0</v>
      </c>
      <c r="O2302" s="35" t="b">
        <v>0</v>
      </c>
      <c r="P2302" s="35" t="b">
        <v>0</v>
      </c>
      <c r="Q2302" s="35" t="b">
        <v>0</v>
      </c>
      <c r="R2302" s="14"/>
      <c r="S2302" s="14"/>
      <c r="T2302" s="14"/>
      <c r="U2302" s="14"/>
      <c r="V2302" s="14"/>
      <c r="W2302" s="14"/>
    </row>
    <row r="2303" ht="31.5" customHeight="1">
      <c r="A2303" s="124" t="s">
        <v>18577</v>
      </c>
      <c r="B2303" s="125" t="s">
        <v>18578</v>
      </c>
      <c r="C2303" s="126" t="s">
        <v>18579</v>
      </c>
      <c r="D2303" s="127" t="s">
        <v>18580</v>
      </c>
      <c r="E2303" s="28" t="str">
        <f>IFERROR(__xludf.DUMMYFUNCTION("GOOGLETRANSLATE(D2303,""zh-CN"",""vi"")"),"Điều lệ công ty cần được sửa đổi.")</f>
        <v>Điều lệ công ty cần được sửa đổi.</v>
      </c>
      <c r="F2303" s="157"/>
      <c r="G2303" s="36" t="b">
        <f t="shared" si="1"/>
        <v>0</v>
      </c>
      <c r="H2303" s="35" t="b">
        <v>1</v>
      </c>
      <c r="I2303" s="35" t="b">
        <v>0</v>
      </c>
      <c r="J2303" s="35" t="b">
        <v>0</v>
      </c>
      <c r="K2303" s="35" t="b">
        <v>0</v>
      </c>
      <c r="L2303" s="35" t="b">
        <v>0</v>
      </c>
      <c r="M2303" s="35" t="b">
        <v>0</v>
      </c>
      <c r="N2303" s="35" t="b">
        <v>0</v>
      </c>
      <c r="O2303" s="35" t="b">
        <v>0</v>
      </c>
      <c r="P2303" s="35" t="b">
        <v>0</v>
      </c>
      <c r="Q2303" s="35" t="b">
        <v>0</v>
      </c>
      <c r="R2303" s="14"/>
      <c r="S2303" s="14"/>
      <c r="T2303" s="14"/>
      <c r="U2303" s="14"/>
      <c r="V2303" s="14"/>
      <c r="W2303" s="14"/>
    </row>
    <row r="2304" ht="31.5" customHeight="1">
      <c r="A2304" s="124" t="s">
        <v>13713</v>
      </c>
      <c r="B2304" s="125" t="s">
        <v>18581</v>
      </c>
      <c r="C2304" s="126" t="s">
        <v>18582</v>
      </c>
      <c r="D2304" s="127" t="s">
        <v>18583</v>
      </c>
      <c r="E2304" s="28" t="str">
        <f>IFERROR(__xludf.DUMMYFUNCTION("GOOGLETRANSLATE(D2304,""zh-CN"",""vi"")"),"Chúng ta kính trọng người lớn tuổi.")</f>
        <v>Chúng ta kính trọng người lớn tuổi.</v>
      </c>
      <c r="F2304" s="157"/>
      <c r="G2304" s="36" t="b">
        <f t="shared" si="1"/>
        <v>0</v>
      </c>
      <c r="H2304" s="35" t="b">
        <v>1</v>
      </c>
      <c r="I2304" s="35" t="b">
        <v>0</v>
      </c>
      <c r="J2304" s="35" t="b">
        <v>0</v>
      </c>
      <c r="K2304" s="35" t="b">
        <v>0</v>
      </c>
      <c r="L2304" s="35" t="b">
        <v>0</v>
      </c>
      <c r="M2304" s="35" t="b">
        <v>0</v>
      </c>
      <c r="N2304" s="35" t="b">
        <v>0</v>
      </c>
      <c r="O2304" s="35" t="b">
        <v>0</v>
      </c>
      <c r="P2304" s="35" t="b">
        <v>0</v>
      </c>
      <c r="Q2304" s="35" t="b">
        <v>0</v>
      </c>
      <c r="R2304" s="14"/>
      <c r="S2304" s="14"/>
      <c r="T2304" s="14"/>
      <c r="U2304" s="14"/>
      <c r="V2304" s="14"/>
      <c r="W2304" s="14"/>
    </row>
    <row r="2305" ht="31.5" customHeight="1">
      <c r="A2305" s="124" t="s">
        <v>18584</v>
      </c>
      <c r="B2305" s="125" t="s">
        <v>18585</v>
      </c>
      <c r="C2305" s="126" t="s">
        <v>18586</v>
      </c>
      <c r="D2305" s="127" t="s">
        <v>18587</v>
      </c>
      <c r="E2305" s="28" t="str">
        <f>IFERROR(__xludf.DUMMYFUNCTION("GOOGLETRANSLATE(D2305,""zh-CN"",""vi"")"),"Kế hoạch này đã gặp phải nhiều trở ngại.")</f>
        <v>Kế hoạch này đã gặp phải nhiều trở ngại.</v>
      </c>
      <c r="F2305" s="157"/>
      <c r="G2305" s="36" t="b">
        <f t="shared" si="1"/>
        <v>0</v>
      </c>
      <c r="H2305" s="35" t="b">
        <v>1</v>
      </c>
      <c r="I2305" s="35" t="b">
        <v>0</v>
      </c>
      <c r="J2305" s="35" t="b">
        <v>0</v>
      </c>
      <c r="K2305" s="35" t="b">
        <v>0</v>
      </c>
      <c r="L2305" s="35" t="b">
        <v>0</v>
      </c>
      <c r="M2305" s="35" t="b">
        <v>0</v>
      </c>
      <c r="N2305" s="35" t="b">
        <v>0</v>
      </c>
      <c r="O2305" s="35" t="b">
        <v>0</v>
      </c>
      <c r="P2305" s="35" t="b">
        <v>0</v>
      </c>
      <c r="Q2305" s="35" t="b">
        <v>0</v>
      </c>
      <c r="R2305" s="14"/>
      <c r="S2305" s="14"/>
      <c r="T2305" s="14"/>
      <c r="U2305" s="14"/>
      <c r="V2305" s="14"/>
      <c r="W2305" s="14"/>
    </row>
    <row r="2306" ht="31.5" customHeight="1">
      <c r="A2306" s="124" t="s">
        <v>18588</v>
      </c>
      <c r="B2306" s="125" t="s">
        <v>18589</v>
      </c>
      <c r="C2306" s="126" t="s">
        <v>18590</v>
      </c>
      <c r="D2306" s="127" t="s">
        <v>18591</v>
      </c>
      <c r="E2306" s="28" t="str">
        <f>IFERROR(__xludf.DUMMYFUNCTION("GOOGLETRANSLATE(D2306,""zh-CN"",""vi"")"),"Chúng tôi dựng lều.")</f>
        <v>Chúng tôi dựng lều.</v>
      </c>
      <c r="F2306" s="157"/>
      <c r="G2306" s="36" t="b">
        <f t="shared" si="1"/>
        <v>0</v>
      </c>
      <c r="H2306" s="35" t="b">
        <v>1</v>
      </c>
      <c r="I2306" s="35" t="b">
        <v>0</v>
      </c>
      <c r="J2306" s="35" t="b">
        <v>0</v>
      </c>
      <c r="K2306" s="35" t="b">
        <v>0</v>
      </c>
      <c r="L2306" s="35" t="b">
        <v>0</v>
      </c>
      <c r="M2306" s="35" t="b">
        <v>0</v>
      </c>
      <c r="N2306" s="35" t="b">
        <v>0</v>
      </c>
      <c r="O2306" s="35" t="b">
        <v>0</v>
      </c>
      <c r="P2306" s="35" t="b">
        <v>0</v>
      </c>
      <c r="Q2306" s="35" t="b">
        <v>0</v>
      </c>
      <c r="R2306" s="14"/>
      <c r="S2306" s="14"/>
      <c r="T2306" s="14"/>
      <c r="U2306" s="14"/>
      <c r="V2306" s="14"/>
      <c r="W2306" s="14"/>
    </row>
    <row r="2307" ht="31.5" customHeight="1">
      <c r="A2307" s="124" t="s">
        <v>18592</v>
      </c>
      <c r="B2307" s="125" t="s">
        <v>18593</v>
      </c>
      <c r="C2307" s="126" t="s">
        <v>18594</v>
      </c>
      <c r="D2307" s="127" t="s">
        <v>18595</v>
      </c>
      <c r="E2307" s="28" t="str">
        <f>IFERROR(__xludf.DUMMYFUNCTION("GOOGLETRANSLATE(D2307,""zh-CN"",""vi"")"),"Bọn trẻ tràn đầy năng lượng.")</f>
        <v>Bọn trẻ tràn đầy năng lượng.</v>
      </c>
      <c r="F2307" s="157"/>
      <c r="G2307" s="36" t="b">
        <f t="shared" si="1"/>
        <v>0</v>
      </c>
      <c r="H2307" s="35" t="b">
        <v>1</v>
      </c>
      <c r="I2307" s="35" t="b">
        <v>0</v>
      </c>
      <c r="J2307" s="35" t="b">
        <v>0</v>
      </c>
      <c r="K2307" s="35" t="b">
        <v>0</v>
      </c>
      <c r="L2307" s="35" t="b">
        <v>0</v>
      </c>
      <c r="M2307" s="35" t="b">
        <v>0</v>
      </c>
      <c r="N2307" s="35" t="b">
        <v>0</v>
      </c>
      <c r="O2307" s="35" t="b">
        <v>0</v>
      </c>
      <c r="P2307" s="35" t="b">
        <v>0</v>
      </c>
      <c r="Q2307" s="35" t="b">
        <v>0</v>
      </c>
      <c r="R2307" s="14"/>
      <c r="S2307" s="14"/>
      <c r="T2307" s="14"/>
      <c r="U2307" s="14"/>
      <c r="V2307" s="14"/>
      <c r="W2307" s="14"/>
    </row>
    <row r="2308" ht="31.5" customHeight="1">
      <c r="A2308" s="124" t="s">
        <v>18596</v>
      </c>
      <c r="B2308" s="125" t="s">
        <v>18597</v>
      </c>
      <c r="C2308" s="126" t="s">
        <v>18598</v>
      </c>
      <c r="D2308" s="127" t="s">
        <v>18599</v>
      </c>
      <c r="E2308" s="28" t="str">
        <f>IFERROR(__xludf.DUMMYFUNCTION("GOOGLETRANSLATE(D2308,""zh-CN"",""vi"")"),"Trường đã tuyển sinh học sinh mới.")</f>
        <v>Trường đã tuyển sinh học sinh mới.</v>
      </c>
      <c r="F2308" s="157"/>
      <c r="G2308" s="36" t="b">
        <f t="shared" si="1"/>
        <v>0</v>
      </c>
      <c r="H2308" s="35" t="b">
        <v>1</v>
      </c>
      <c r="I2308" s="35" t="b">
        <v>0</v>
      </c>
      <c r="J2308" s="35" t="b">
        <v>0</v>
      </c>
      <c r="K2308" s="35" t="b">
        <v>0</v>
      </c>
      <c r="L2308" s="35" t="b">
        <v>0</v>
      </c>
      <c r="M2308" s="35" t="b">
        <v>0</v>
      </c>
      <c r="N2308" s="35" t="b">
        <v>0</v>
      </c>
      <c r="O2308" s="35" t="b">
        <v>0</v>
      </c>
      <c r="P2308" s="35" t="b">
        <v>0</v>
      </c>
      <c r="Q2308" s="35" t="b">
        <v>0</v>
      </c>
      <c r="R2308" s="14"/>
      <c r="S2308" s="14"/>
      <c r="T2308" s="14"/>
      <c r="U2308" s="14"/>
      <c r="V2308" s="14"/>
      <c r="W2308" s="14"/>
    </row>
    <row r="2309" ht="31.5" customHeight="1">
      <c r="A2309" s="124" t="s">
        <v>18600</v>
      </c>
      <c r="B2309" s="125" t="s">
        <v>18601</v>
      </c>
      <c r="C2309" s="126" t="s">
        <v>18602</v>
      </c>
      <c r="D2309" s="127" t="s">
        <v>18603</v>
      </c>
      <c r="E2309" s="28" t="str">
        <f>IFERROR(__xludf.DUMMYFUNCTION("GOOGLETRANSLATE(D2309,""zh-CN"",""vi"")"),"Dự án này hiện đang trong quá trình đấu thầu.")</f>
        <v>Dự án này hiện đang trong quá trình đấu thầu.</v>
      </c>
      <c r="F2309" s="157"/>
      <c r="G2309" s="36" t="b">
        <f t="shared" si="1"/>
        <v>0</v>
      </c>
      <c r="H2309" s="35" t="b">
        <v>1</v>
      </c>
      <c r="I2309" s="35" t="b">
        <v>0</v>
      </c>
      <c r="J2309" s="35" t="b">
        <v>0</v>
      </c>
      <c r="K2309" s="35" t="b">
        <v>0</v>
      </c>
      <c r="L2309" s="35" t="b">
        <v>0</v>
      </c>
      <c r="M2309" s="35" t="b">
        <v>0</v>
      </c>
      <c r="N2309" s="35" t="b">
        <v>0</v>
      </c>
      <c r="O2309" s="35" t="b">
        <v>0</v>
      </c>
      <c r="P2309" s="35" t="b">
        <v>0</v>
      </c>
      <c r="Q2309" s="35" t="b">
        <v>0</v>
      </c>
      <c r="R2309" s="14"/>
      <c r="S2309" s="14"/>
      <c r="T2309" s="14"/>
      <c r="U2309" s="14"/>
      <c r="V2309" s="14"/>
      <c r="W2309" s="14"/>
    </row>
    <row r="2310" ht="31.5" customHeight="1">
      <c r="A2310" s="124" t="s">
        <v>18604</v>
      </c>
      <c r="B2310" s="125" t="s">
        <v>18605</v>
      </c>
      <c r="C2310" s="126" t="s">
        <v>14290</v>
      </c>
      <c r="D2310" s="127" t="s">
        <v>18606</v>
      </c>
      <c r="E2310" s="28" t="str">
        <f>IFERROR(__xludf.DUMMYFUNCTION("GOOGLETRANSLATE(D2310,""zh-CN"",""vi"")"),"Cô ấy rất thích thú với câu chuyện đó.")</f>
        <v>Cô ấy rất thích thú với câu chuyện đó.</v>
      </c>
      <c r="F2310" s="157"/>
      <c r="G2310" s="36" t="b">
        <f t="shared" si="1"/>
        <v>0</v>
      </c>
      <c r="H2310" s="35" t="b">
        <v>1</v>
      </c>
      <c r="I2310" s="35" t="b">
        <v>0</v>
      </c>
      <c r="J2310" s="35" t="b">
        <v>0</v>
      </c>
      <c r="K2310" s="35" t="b">
        <v>0</v>
      </c>
      <c r="L2310" s="35" t="b">
        <v>0</v>
      </c>
      <c r="M2310" s="35" t="b">
        <v>0</v>
      </c>
      <c r="N2310" s="35" t="b">
        <v>0</v>
      </c>
      <c r="O2310" s="35" t="b">
        <v>0</v>
      </c>
      <c r="P2310" s="35" t="b">
        <v>0</v>
      </c>
      <c r="Q2310" s="35" t="b">
        <v>0</v>
      </c>
      <c r="R2310" s="14"/>
      <c r="S2310" s="14"/>
      <c r="T2310" s="14"/>
      <c r="U2310" s="14"/>
      <c r="V2310" s="14"/>
      <c r="W2310" s="14"/>
    </row>
    <row r="2311" ht="31.5" customHeight="1">
      <c r="A2311" s="124" t="s">
        <v>18607</v>
      </c>
      <c r="B2311" s="125" t="s">
        <v>18608</v>
      </c>
      <c r="C2311" s="126" t="s">
        <v>18609</v>
      </c>
      <c r="D2311" s="127" t="s">
        <v>18610</v>
      </c>
      <c r="E2311" s="28" t="str">
        <f>IFERROR(__xludf.DUMMYFUNCTION("GOOGLETRANSLATE(D2311,""zh-CN"",""vi"")"),"Ở đây có một vùng đầm lầy rộng lớn.")</f>
        <v>Ở đây có một vùng đầm lầy rộng lớn.</v>
      </c>
      <c r="F2311" s="157"/>
      <c r="G2311" s="36" t="b">
        <f t="shared" si="1"/>
        <v>0</v>
      </c>
      <c r="H2311" s="35" t="b">
        <v>1</v>
      </c>
      <c r="I2311" s="35" t="b">
        <v>0</v>
      </c>
      <c r="J2311" s="35" t="b">
        <v>0</v>
      </c>
      <c r="K2311" s="35" t="b">
        <v>0</v>
      </c>
      <c r="L2311" s="35" t="b">
        <v>0</v>
      </c>
      <c r="M2311" s="35" t="b">
        <v>0</v>
      </c>
      <c r="N2311" s="35" t="b">
        <v>0</v>
      </c>
      <c r="O2311" s="35" t="b">
        <v>0</v>
      </c>
      <c r="P2311" s="35" t="b">
        <v>0</v>
      </c>
      <c r="Q2311" s="35" t="b">
        <v>0</v>
      </c>
      <c r="R2311" s="14"/>
      <c r="S2311" s="14"/>
      <c r="T2311" s="14"/>
      <c r="U2311" s="14"/>
      <c r="V2311" s="14"/>
      <c r="W2311" s="14"/>
    </row>
    <row r="2312" ht="31.5" customHeight="1">
      <c r="A2312" s="124" t="s">
        <v>18611</v>
      </c>
      <c r="B2312" s="125" t="s">
        <v>18612</v>
      </c>
      <c r="C2312" s="126" t="s">
        <v>18613</v>
      </c>
      <c r="D2312" s="127" t="s">
        <v>18614</v>
      </c>
      <c r="E2312" s="28" t="str">
        <f>IFERROR(__xludf.DUMMYFUNCTION("GOOGLETRANSLATE(D2312,""zh-CN"",""vi"")"),"Chúng ta cần phải chăm sóc trẻ em.")</f>
        <v>Chúng ta cần phải chăm sóc trẻ em.</v>
      </c>
      <c r="F2312" s="157"/>
      <c r="G2312" s="36" t="b">
        <f t="shared" si="1"/>
        <v>0</v>
      </c>
      <c r="H2312" s="35" t="b">
        <v>1</v>
      </c>
      <c r="I2312" s="35" t="b">
        <v>0</v>
      </c>
      <c r="J2312" s="35" t="b">
        <v>0</v>
      </c>
      <c r="K2312" s="35" t="b">
        <v>0</v>
      </c>
      <c r="L2312" s="35" t="b">
        <v>0</v>
      </c>
      <c r="M2312" s="35" t="b">
        <v>0</v>
      </c>
      <c r="N2312" s="35" t="b">
        <v>0</v>
      </c>
      <c r="O2312" s="35" t="b">
        <v>0</v>
      </c>
      <c r="P2312" s="35" t="b">
        <v>0</v>
      </c>
      <c r="Q2312" s="35" t="b">
        <v>0</v>
      </c>
      <c r="R2312" s="14"/>
      <c r="S2312" s="14"/>
      <c r="T2312" s="14"/>
      <c r="U2312" s="14"/>
      <c r="V2312" s="14"/>
      <c r="W2312" s="14"/>
    </row>
    <row r="2313" ht="31.5" customHeight="1">
      <c r="A2313" s="124" t="s">
        <v>18615</v>
      </c>
      <c r="B2313" s="125" t="s">
        <v>18616</v>
      </c>
      <c r="C2313" s="126" t="s">
        <v>18617</v>
      </c>
      <c r="D2313" s="127" t="s">
        <v>18618</v>
      </c>
      <c r="E2313" s="28" t="str">
        <f>IFERROR(__xludf.DUMMYFUNCTION("GOOGLETRANSLATE(D2313,""zh-CN"",""vi"")"),"Mọi việc diễn ra như thường lệ.")</f>
        <v>Mọi việc diễn ra như thường lệ.</v>
      </c>
      <c r="F2313" s="157"/>
      <c r="G2313" s="36" t="b">
        <f t="shared" si="1"/>
        <v>0</v>
      </c>
      <c r="H2313" s="35" t="b">
        <v>1</v>
      </c>
      <c r="I2313" s="35" t="b">
        <v>0</v>
      </c>
      <c r="J2313" s="35" t="b">
        <v>0</v>
      </c>
      <c r="K2313" s="35" t="b">
        <v>0</v>
      </c>
      <c r="L2313" s="35" t="b">
        <v>0</v>
      </c>
      <c r="M2313" s="35" t="b">
        <v>0</v>
      </c>
      <c r="N2313" s="35" t="b">
        <v>0</v>
      </c>
      <c r="O2313" s="35" t="b">
        <v>0</v>
      </c>
      <c r="P2313" s="35" t="b">
        <v>0</v>
      </c>
      <c r="Q2313" s="35" t="b">
        <v>0</v>
      </c>
      <c r="R2313" s="14"/>
      <c r="S2313" s="14"/>
      <c r="T2313" s="14"/>
      <c r="U2313" s="14"/>
      <c r="V2313" s="14"/>
      <c r="W2313" s="14"/>
    </row>
    <row r="2314" ht="31.5" customHeight="1">
      <c r="A2314" s="124" t="s">
        <v>18619</v>
      </c>
      <c r="B2314" s="125" t="s">
        <v>18620</v>
      </c>
      <c r="C2314" s="126" t="s">
        <v>18621</v>
      </c>
      <c r="D2314" s="127" t="s">
        <v>18622</v>
      </c>
      <c r="E2314" s="28" t="str">
        <f>IFERROR(__xludf.DUMMYFUNCTION("GOOGLETRANSLATE(D2314,""zh-CN"",""vi"")"),"Mặt trời chiếu sáng trái đất.")</f>
        <v>Mặt trời chiếu sáng trái đất.</v>
      </c>
      <c r="F2314" s="157"/>
      <c r="G2314" s="36" t="b">
        <f t="shared" si="1"/>
        <v>0</v>
      </c>
      <c r="H2314" s="35" t="b">
        <v>1</v>
      </c>
      <c r="I2314" s="35" t="b">
        <v>0</v>
      </c>
      <c r="J2314" s="35" t="b">
        <v>0</v>
      </c>
      <c r="K2314" s="35" t="b">
        <v>0</v>
      </c>
      <c r="L2314" s="35" t="b">
        <v>0</v>
      </c>
      <c r="M2314" s="35" t="b">
        <v>0</v>
      </c>
      <c r="N2314" s="35" t="b">
        <v>0</v>
      </c>
      <c r="O2314" s="35" t="b">
        <v>0</v>
      </c>
      <c r="P2314" s="35" t="b">
        <v>0</v>
      </c>
      <c r="Q2314" s="35" t="b">
        <v>0</v>
      </c>
      <c r="R2314" s="14"/>
      <c r="S2314" s="14"/>
      <c r="T2314" s="14"/>
      <c r="U2314" s="14"/>
      <c r="V2314" s="14"/>
      <c r="W2314" s="14"/>
    </row>
    <row r="2315" ht="31.5" customHeight="1">
      <c r="A2315" s="124" t="s">
        <v>18623</v>
      </c>
      <c r="B2315" s="125" t="s">
        <v>18624</v>
      </c>
      <c r="C2315" s="126" t="s">
        <v>18625</v>
      </c>
      <c r="D2315" s="127" t="s">
        <v>18626</v>
      </c>
      <c r="E2315" s="28" t="str">
        <f>IFERROR(__xludf.DUMMYFUNCTION("GOOGLETRANSLATE(D2315,""zh-CN"",""vi"")"),"Họ chăm sóc lẫn nhau.")</f>
        <v>Họ chăm sóc lẫn nhau.</v>
      </c>
      <c r="F2315" s="157"/>
      <c r="G2315" s="36" t="b">
        <f t="shared" si="1"/>
        <v>0</v>
      </c>
      <c r="H2315" s="35" t="b">
        <v>1</v>
      </c>
      <c r="I2315" s="35" t="b">
        <v>0</v>
      </c>
      <c r="J2315" s="35" t="b">
        <v>0</v>
      </c>
      <c r="K2315" s="35" t="b">
        <v>0</v>
      </c>
      <c r="L2315" s="35" t="b">
        <v>0</v>
      </c>
      <c r="M2315" s="35" t="b">
        <v>0</v>
      </c>
      <c r="N2315" s="35" t="b">
        <v>0</v>
      </c>
      <c r="O2315" s="35" t="b">
        <v>0</v>
      </c>
      <c r="P2315" s="35" t="b">
        <v>0</v>
      </c>
      <c r="Q2315" s="35" t="b">
        <v>0</v>
      </c>
      <c r="R2315" s="14"/>
      <c r="S2315" s="14"/>
      <c r="T2315" s="14"/>
      <c r="U2315" s="14"/>
      <c r="V2315" s="14"/>
      <c r="W2315" s="14"/>
    </row>
    <row r="2316" ht="31.5" customHeight="1">
      <c r="A2316" s="124" t="s">
        <v>18627</v>
      </c>
      <c r="B2316" s="125" t="s">
        <v>18628</v>
      </c>
      <c r="C2316" s="126" t="s">
        <v>18629</v>
      </c>
      <c r="D2316" s="127" t="s">
        <v>18630</v>
      </c>
      <c r="E2316" s="28" t="str">
        <f>IFERROR(__xludf.DUMMYFUNCTION("GOOGLETRANSLATE(D2316,""zh-CN"",""vi"")"),"Cây cổ thụ lớn che khuất ánh nắng mặt trời.")</f>
        <v>Cây cổ thụ lớn che khuất ánh nắng mặt trời.</v>
      </c>
      <c r="F2316" s="157"/>
      <c r="G2316" s="36" t="b">
        <f t="shared" si="1"/>
        <v>0</v>
      </c>
      <c r="H2316" s="35" t="b">
        <v>1</v>
      </c>
      <c r="I2316" s="35" t="b">
        <v>0</v>
      </c>
      <c r="J2316" s="35" t="b">
        <v>0</v>
      </c>
      <c r="K2316" s="35" t="b">
        <v>0</v>
      </c>
      <c r="L2316" s="35" t="b">
        <v>0</v>
      </c>
      <c r="M2316" s="35" t="b">
        <v>0</v>
      </c>
      <c r="N2316" s="35" t="b">
        <v>0</v>
      </c>
      <c r="O2316" s="35" t="b">
        <v>0</v>
      </c>
      <c r="P2316" s="35" t="b">
        <v>0</v>
      </c>
      <c r="Q2316" s="35" t="b">
        <v>0</v>
      </c>
      <c r="R2316" s="14"/>
      <c r="S2316" s="14"/>
      <c r="T2316" s="14"/>
      <c r="U2316" s="14"/>
      <c r="V2316" s="14"/>
      <c r="W2316" s="14"/>
    </row>
    <row r="2317" ht="31.5" customHeight="1">
      <c r="A2317" s="124" t="s">
        <v>18631</v>
      </c>
      <c r="B2317" s="125" t="s">
        <v>18632</v>
      </c>
      <c r="C2317" s="126" t="s">
        <v>18633</v>
      </c>
      <c r="D2317" s="127" t="s">
        <v>18634</v>
      </c>
      <c r="E2317" s="28" t="str">
        <f>IFERROR(__xludf.DUMMYFUNCTION("GOOGLETRANSLATE(D2317,""zh-CN"",""vi"")"),"Các bệnh mãn tính thực sự rất phiền toái.")</f>
        <v>Các bệnh mãn tính thực sự rất phiền toái.</v>
      </c>
      <c r="F2317" s="157"/>
      <c r="G2317" s="36" t="b">
        <f t="shared" si="1"/>
        <v>0</v>
      </c>
      <c r="H2317" s="35" t="b">
        <v>1</v>
      </c>
      <c r="I2317" s="35" t="b">
        <v>0</v>
      </c>
      <c r="J2317" s="35" t="b">
        <v>0</v>
      </c>
      <c r="K2317" s="35" t="b">
        <v>0</v>
      </c>
      <c r="L2317" s="35" t="b">
        <v>0</v>
      </c>
      <c r="M2317" s="35" t="b">
        <v>0</v>
      </c>
      <c r="N2317" s="35" t="b">
        <v>0</v>
      </c>
      <c r="O2317" s="35" t="b">
        <v>0</v>
      </c>
      <c r="P2317" s="35" t="b">
        <v>0</v>
      </c>
      <c r="Q2317" s="35" t="b">
        <v>0</v>
      </c>
      <c r="R2317" s="14"/>
      <c r="S2317" s="14"/>
      <c r="T2317" s="14"/>
      <c r="U2317" s="14"/>
      <c r="V2317" s="14"/>
      <c r="W2317" s="14"/>
    </row>
    <row r="2318" ht="31.5" customHeight="1">
      <c r="A2318" s="124" t="s">
        <v>18635</v>
      </c>
      <c r="B2318" s="125" t="s">
        <v>18636</v>
      </c>
      <c r="C2318" s="126" t="s">
        <v>18637</v>
      </c>
      <c r="D2318" s="127" t="s">
        <v>18638</v>
      </c>
      <c r="E2318" s="28" t="str">
        <f>IFERROR(__xludf.DUMMYFUNCTION("GOOGLETRANSLATE(D2318,""zh-CN"",""vi"")"),"Anh ta bẻ một cành cây.")</f>
        <v>Anh ta bẻ một cành cây.</v>
      </c>
      <c r="F2318" s="157"/>
      <c r="G2318" s="36" t="b">
        <f t="shared" si="1"/>
        <v>0</v>
      </c>
      <c r="H2318" s="35" t="b">
        <v>1</v>
      </c>
      <c r="I2318" s="35" t="b">
        <v>0</v>
      </c>
      <c r="J2318" s="35" t="b">
        <v>0</v>
      </c>
      <c r="K2318" s="35" t="b">
        <v>0</v>
      </c>
      <c r="L2318" s="35" t="b">
        <v>0</v>
      </c>
      <c r="M2318" s="35" t="b">
        <v>0</v>
      </c>
      <c r="N2318" s="35" t="b">
        <v>0</v>
      </c>
      <c r="O2318" s="35" t="b">
        <v>0</v>
      </c>
      <c r="P2318" s="35" t="b">
        <v>0</v>
      </c>
      <c r="Q2318" s="35" t="b">
        <v>0</v>
      </c>
      <c r="R2318" s="14"/>
      <c r="S2318" s="14"/>
      <c r="T2318" s="14"/>
      <c r="U2318" s="14"/>
      <c r="V2318" s="14"/>
      <c r="W2318" s="14"/>
    </row>
    <row r="2319" ht="31.5" customHeight="1">
      <c r="A2319" s="124" t="s">
        <v>18639</v>
      </c>
      <c r="B2319" s="125" t="s">
        <v>18640</v>
      </c>
      <c r="C2319" s="126" t="s">
        <v>18641</v>
      </c>
      <c r="D2319" s="127" t="s">
        <v>18642</v>
      </c>
      <c r="E2319" s="28" t="str">
        <f>IFERROR(__xludf.DUMMYFUNCTION("GOOGLETRANSLATE(D2319,""zh-CN"",""vi"")"),"Ông ấy đã bị tra tấn dã man.")</f>
        <v>Ông ấy đã bị tra tấn dã man.</v>
      </c>
      <c r="F2319" s="157"/>
      <c r="G2319" s="36" t="b">
        <f t="shared" si="1"/>
        <v>0</v>
      </c>
      <c r="H2319" s="35" t="b">
        <v>1</v>
      </c>
      <c r="I2319" s="35" t="b">
        <v>0</v>
      </c>
      <c r="J2319" s="35" t="b">
        <v>0</v>
      </c>
      <c r="K2319" s="35" t="b">
        <v>0</v>
      </c>
      <c r="L2319" s="35" t="b">
        <v>0</v>
      </c>
      <c r="M2319" s="35" t="b">
        <v>0</v>
      </c>
      <c r="N2319" s="35" t="b">
        <v>0</v>
      </c>
      <c r="O2319" s="35" t="b">
        <v>0</v>
      </c>
      <c r="P2319" s="35" t="b">
        <v>0</v>
      </c>
      <c r="Q2319" s="35" t="b">
        <v>0</v>
      </c>
      <c r="R2319" s="14"/>
      <c r="S2319" s="14"/>
      <c r="T2319" s="14"/>
      <c r="U2319" s="14"/>
      <c r="V2319" s="14"/>
      <c r="W2319" s="14"/>
    </row>
    <row r="2320" ht="31.5" customHeight="1">
      <c r="A2320" s="124" t="s">
        <v>18643</v>
      </c>
      <c r="B2320" s="125" t="s">
        <v>18644</v>
      </c>
      <c r="C2320" s="126" t="s">
        <v>18645</v>
      </c>
      <c r="D2320" s="127" t="s">
        <v>18646</v>
      </c>
      <c r="E2320" s="28" t="str">
        <f>IFERROR(__xludf.DUMMYFUNCTION("GOOGLETRANSLATE(D2320,""zh-CN"",""vi"")"),"Món quà này rất quý giá.")</f>
        <v>Món quà này rất quý giá.</v>
      </c>
      <c r="F2320" s="157"/>
      <c r="G2320" s="36" t="b">
        <f t="shared" si="1"/>
        <v>0</v>
      </c>
      <c r="H2320" s="35" t="b">
        <v>1</v>
      </c>
      <c r="I2320" s="35" t="b">
        <v>0</v>
      </c>
      <c r="J2320" s="35" t="b">
        <v>0</v>
      </c>
      <c r="K2320" s="35" t="b">
        <v>0</v>
      </c>
      <c r="L2320" s="35" t="b">
        <v>0</v>
      </c>
      <c r="M2320" s="35" t="b">
        <v>0</v>
      </c>
      <c r="N2320" s="35" t="b">
        <v>0</v>
      </c>
      <c r="O2320" s="35" t="b">
        <v>0</v>
      </c>
      <c r="P2320" s="35" t="b">
        <v>0</v>
      </c>
      <c r="Q2320" s="35" t="b">
        <v>0</v>
      </c>
      <c r="R2320" s="14"/>
      <c r="S2320" s="14"/>
      <c r="T2320" s="14"/>
      <c r="U2320" s="14"/>
      <c r="V2320" s="14"/>
      <c r="W2320" s="14"/>
    </row>
    <row r="2321" ht="31.5" customHeight="1">
      <c r="A2321" s="124" t="s">
        <v>18647</v>
      </c>
      <c r="B2321" s="125" t="s">
        <v>18648</v>
      </c>
      <c r="C2321" s="126" t="s">
        <v>18649</v>
      </c>
      <c r="D2321" s="127" t="s">
        <v>18650</v>
      </c>
      <c r="E2321" s="28" t="str">
        <f>IFERROR(__xludf.DUMMYFUNCTION("GOOGLETRANSLATE(D2321,""zh-CN"",""vi"")"),"Ông ấy là một thám tử nổi tiếng.")</f>
        <v>Ông ấy là một thám tử nổi tiếng.</v>
      </c>
      <c r="F2321" s="157"/>
      <c r="G2321" s="36" t="b">
        <f t="shared" si="1"/>
        <v>0</v>
      </c>
      <c r="H2321" s="35" t="b">
        <v>1</v>
      </c>
      <c r="I2321" s="35" t="b">
        <v>0</v>
      </c>
      <c r="J2321" s="35" t="b">
        <v>0</v>
      </c>
      <c r="K2321" s="35" t="b">
        <v>0</v>
      </c>
      <c r="L2321" s="35" t="b">
        <v>0</v>
      </c>
      <c r="M2321" s="35" t="b">
        <v>0</v>
      </c>
      <c r="N2321" s="35" t="b">
        <v>0</v>
      </c>
      <c r="O2321" s="35" t="b">
        <v>0</v>
      </c>
      <c r="P2321" s="35" t="b">
        <v>0</v>
      </c>
      <c r="Q2321" s="35" t="b">
        <v>0</v>
      </c>
      <c r="R2321" s="14"/>
      <c r="S2321" s="14"/>
      <c r="T2321" s="14"/>
      <c r="U2321" s="14"/>
      <c r="V2321" s="14"/>
      <c r="W2321" s="14"/>
    </row>
    <row r="2322" ht="31.5" customHeight="1">
      <c r="A2322" s="124" t="s">
        <v>18651</v>
      </c>
      <c r="B2322" s="125" t="s">
        <v>18652</v>
      </c>
      <c r="C2322" s="126" t="s">
        <v>18653</v>
      </c>
      <c r="D2322" s="127" t="s">
        <v>18654</v>
      </c>
      <c r="E2322" s="28" t="str">
        <f>IFERROR(__xludf.DUMMYFUNCTION("GOOGLETRANSLATE(D2322,""zh-CN"",""vi"")"),"Loài động vật này cực kỳ hiếm.")</f>
        <v>Loài động vật này cực kỳ hiếm.</v>
      </c>
      <c r="F2322" s="157"/>
      <c r="G2322" s="36" t="b">
        <f t="shared" si="1"/>
        <v>0</v>
      </c>
      <c r="H2322" s="35" t="b">
        <v>1</v>
      </c>
      <c r="I2322" s="35" t="b">
        <v>0</v>
      </c>
      <c r="J2322" s="35" t="b">
        <v>0</v>
      </c>
      <c r="K2322" s="35" t="b">
        <v>0</v>
      </c>
      <c r="L2322" s="35" t="b">
        <v>0</v>
      </c>
      <c r="M2322" s="35" t="b">
        <v>0</v>
      </c>
      <c r="N2322" s="35" t="b">
        <v>0</v>
      </c>
      <c r="O2322" s="35" t="b">
        <v>0</v>
      </c>
      <c r="P2322" s="35" t="b">
        <v>0</v>
      </c>
      <c r="Q2322" s="35" t="b">
        <v>0</v>
      </c>
      <c r="R2322" s="14"/>
      <c r="S2322" s="14"/>
      <c r="T2322" s="14"/>
      <c r="U2322" s="14"/>
      <c r="V2322" s="14"/>
      <c r="W2322" s="14"/>
    </row>
    <row r="2323" ht="31.5" customHeight="1">
      <c r="A2323" s="124" t="s">
        <v>18655</v>
      </c>
      <c r="B2323" s="125" t="s">
        <v>18656</v>
      </c>
      <c r="C2323" s="126" t="s">
        <v>18657</v>
      </c>
      <c r="D2323" s="127" t="s">
        <v>18658</v>
      </c>
      <c r="E2323" s="28" t="str">
        <f>IFERROR(__xludf.DUMMYFUNCTION("GOOGLETRANSLATE(D2323,""zh-CN"",""vi"")"),"Sự thật cuối cùng đã được phơi bày.")</f>
        <v>Sự thật cuối cùng đã được phơi bày.</v>
      </c>
      <c r="F2323" s="157"/>
      <c r="G2323" s="36" t="b">
        <f t="shared" si="1"/>
        <v>0</v>
      </c>
      <c r="H2323" s="35" t="b">
        <v>1</v>
      </c>
      <c r="I2323" s="35" t="b">
        <v>0</v>
      </c>
      <c r="J2323" s="35" t="b">
        <v>0</v>
      </c>
      <c r="K2323" s="35" t="b">
        <v>0</v>
      </c>
      <c r="L2323" s="35" t="b">
        <v>0</v>
      </c>
      <c r="M2323" s="35" t="b">
        <v>0</v>
      </c>
      <c r="N2323" s="35" t="b">
        <v>0</v>
      </c>
      <c r="O2323" s="35" t="b">
        <v>0</v>
      </c>
      <c r="P2323" s="35" t="b">
        <v>0</v>
      </c>
      <c r="Q2323" s="35" t="b">
        <v>0</v>
      </c>
      <c r="R2323" s="14"/>
      <c r="S2323" s="14"/>
      <c r="T2323" s="14"/>
      <c r="U2323" s="14"/>
      <c r="V2323" s="14"/>
      <c r="W2323" s="14"/>
    </row>
    <row r="2324" ht="31.5" customHeight="1">
      <c r="A2324" s="124" t="s">
        <v>18659</v>
      </c>
      <c r="B2324" s="125" t="s">
        <v>18660</v>
      </c>
      <c r="C2324" s="126" t="s">
        <v>18661</v>
      </c>
      <c r="D2324" s="127" t="s">
        <v>18662</v>
      </c>
      <c r="E2324" s="28" t="str">
        <f>IFERROR(__xludf.DUMMYFUNCTION("GOOGLETRANSLATE(D2324,""zh-CN"",""vi"")"),"Anh ấy rất chân thành với bạn bè.")</f>
        <v>Anh ấy rất chân thành với bạn bè.</v>
      </c>
      <c r="F2324" s="157"/>
      <c r="G2324" s="36" t="b">
        <f t="shared" si="1"/>
        <v>0</v>
      </c>
      <c r="H2324" s="35" t="b">
        <v>1</v>
      </c>
      <c r="I2324" s="35" t="b">
        <v>0</v>
      </c>
      <c r="J2324" s="35" t="b">
        <v>0</v>
      </c>
      <c r="K2324" s="35" t="b">
        <v>0</v>
      </c>
      <c r="L2324" s="35" t="b">
        <v>0</v>
      </c>
      <c r="M2324" s="35" t="b">
        <v>0</v>
      </c>
      <c r="N2324" s="35" t="b">
        <v>0</v>
      </c>
      <c r="O2324" s="35" t="b">
        <v>0</v>
      </c>
      <c r="P2324" s="35" t="b">
        <v>0</v>
      </c>
      <c r="Q2324" s="35" t="b">
        <v>0</v>
      </c>
      <c r="R2324" s="14"/>
      <c r="S2324" s="14"/>
      <c r="T2324" s="14"/>
      <c r="U2324" s="14"/>
      <c r="V2324" s="14"/>
      <c r="W2324" s="14"/>
    </row>
    <row r="2325" ht="31.5" customHeight="1">
      <c r="A2325" s="124" t="s">
        <v>18663</v>
      </c>
      <c r="B2325" s="125" t="s">
        <v>18664</v>
      </c>
      <c r="C2325" s="126" t="s">
        <v>18665</v>
      </c>
      <c r="D2325" s="127" t="s">
        <v>18666</v>
      </c>
      <c r="E2325" s="28" t="str">
        <f>IFERROR(__xludf.DUMMYFUNCTION("GOOGLETRANSLATE(D2325,""zh-CN"",""vi"")"),"Viên ngọc trai này thật đẹp.")</f>
        <v>Viên ngọc trai này thật đẹp.</v>
      </c>
      <c r="F2325" s="157"/>
      <c r="G2325" s="36" t="b">
        <f t="shared" si="1"/>
        <v>0</v>
      </c>
      <c r="H2325" s="35" t="b">
        <v>1</v>
      </c>
      <c r="I2325" s="35" t="b">
        <v>0</v>
      </c>
      <c r="J2325" s="35" t="b">
        <v>0</v>
      </c>
      <c r="K2325" s="35" t="b">
        <v>0</v>
      </c>
      <c r="L2325" s="35" t="b">
        <v>0</v>
      </c>
      <c r="M2325" s="35" t="b">
        <v>0</v>
      </c>
      <c r="N2325" s="35" t="b">
        <v>0</v>
      </c>
      <c r="O2325" s="35" t="b">
        <v>0</v>
      </c>
      <c r="P2325" s="35" t="b">
        <v>0</v>
      </c>
      <c r="Q2325" s="35" t="b">
        <v>0</v>
      </c>
      <c r="R2325" s="14"/>
      <c r="S2325" s="14"/>
      <c r="T2325" s="14"/>
      <c r="U2325" s="14"/>
      <c r="V2325" s="14"/>
      <c r="W2325" s="14"/>
    </row>
    <row r="2326" ht="31.5" customHeight="1">
      <c r="A2326" s="124" t="s">
        <v>18667</v>
      </c>
      <c r="B2326" s="125" t="s">
        <v>18668</v>
      </c>
      <c r="C2326" s="126" t="s">
        <v>18669</v>
      </c>
      <c r="D2326" s="127" t="s">
        <v>18670</v>
      </c>
      <c r="E2326" s="28" t="str">
        <f>IFERROR(__xludf.DUMMYFUNCTION("GOOGLETRANSLATE(D2326,""zh-CN"",""vi"")"),"Chúng ta cần cân nhắc điều này một cách cẩn thận.")</f>
        <v>Chúng ta cần cân nhắc điều này một cách cẩn thận.</v>
      </c>
      <c r="F2326" s="157"/>
      <c r="G2326" s="36" t="b">
        <f t="shared" si="1"/>
        <v>0</v>
      </c>
      <c r="H2326" s="35" t="b">
        <v>1</v>
      </c>
      <c r="I2326" s="35" t="b">
        <v>0</v>
      </c>
      <c r="J2326" s="35" t="b">
        <v>0</v>
      </c>
      <c r="K2326" s="35" t="b">
        <v>0</v>
      </c>
      <c r="L2326" s="35" t="b">
        <v>0</v>
      </c>
      <c r="M2326" s="35" t="b">
        <v>0</v>
      </c>
      <c r="N2326" s="35" t="b">
        <v>0</v>
      </c>
      <c r="O2326" s="35" t="b">
        <v>0</v>
      </c>
      <c r="P2326" s="35" t="b">
        <v>0</v>
      </c>
      <c r="Q2326" s="35" t="b">
        <v>0</v>
      </c>
      <c r="R2326" s="14"/>
      <c r="S2326" s="14"/>
      <c r="T2326" s="14"/>
      <c r="U2326" s="14"/>
      <c r="V2326" s="14"/>
      <c r="W2326" s="14"/>
    </row>
    <row r="2327" ht="31.5" customHeight="1">
      <c r="A2327" s="124" t="s">
        <v>18671</v>
      </c>
      <c r="B2327" s="125" t="s">
        <v>18672</v>
      </c>
      <c r="C2327" s="126" t="s">
        <v>18673</v>
      </c>
      <c r="D2327" s="127" t="s">
        <v>18674</v>
      </c>
      <c r="E2327" s="28" t="str">
        <f>IFERROR(__xludf.DUMMYFUNCTION("GOOGLETRANSLATE(D2327,""zh-CN"",""vi"")"),"Quân đội đã thiết lập các vị trí trên tiền tuyến.")</f>
        <v>Quân đội đã thiết lập các vị trí trên tiền tuyến.</v>
      </c>
      <c r="F2327" s="157"/>
      <c r="G2327" s="36" t="b">
        <f t="shared" si="1"/>
        <v>0</v>
      </c>
      <c r="H2327" s="35" t="b">
        <v>1</v>
      </c>
      <c r="I2327" s="35" t="b">
        <v>0</v>
      </c>
      <c r="J2327" s="35" t="b">
        <v>0</v>
      </c>
      <c r="K2327" s="35" t="b">
        <v>0</v>
      </c>
      <c r="L2327" s="35" t="b">
        <v>0</v>
      </c>
      <c r="M2327" s="35" t="b">
        <v>0</v>
      </c>
      <c r="N2327" s="35" t="b">
        <v>0</v>
      </c>
      <c r="O2327" s="35" t="b">
        <v>0</v>
      </c>
      <c r="P2327" s="35" t="b">
        <v>0</v>
      </c>
      <c r="Q2327" s="35" t="b">
        <v>0</v>
      </c>
      <c r="R2327" s="14"/>
      <c r="S2327" s="14"/>
      <c r="T2327" s="14"/>
      <c r="U2327" s="14"/>
      <c r="V2327" s="14"/>
      <c r="W2327" s="14"/>
    </row>
    <row r="2328" ht="31.5" customHeight="1">
      <c r="A2328" s="124" t="s">
        <v>18675</v>
      </c>
      <c r="B2328" s="125" t="s">
        <v>18676</v>
      </c>
      <c r="C2328" s="126" t="s">
        <v>18677</v>
      </c>
      <c r="D2328" s="127" t="s">
        <v>18678</v>
      </c>
      <c r="E2328" s="28" t="str">
        <f>IFERROR(__xludf.DUMMYFUNCTION("GOOGLETRANSLATE(D2328,""zh-CN"",""vi"")"),"Anh ấy đã xử lý vấn đề một cách bình tĩnh và điềm đạm.")</f>
        <v>Anh ấy đã xử lý vấn đề một cách bình tĩnh và điềm đạm.</v>
      </c>
      <c r="F2328" s="157"/>
      <c r="G2328" s="36" t="b">
        <f t="shared" si="1"/>
        <v>0</v>
      </c>
      <c r="H2328" s="35" t="b">
        <v>1</v>
      </c>
      <c r="I2328" s="35" t="b">
        <v>0</v>
      </c>
      <c r="J2328" s="35" t="b">
        <v>0</v>
      </c>
      <c r="K2328" s="35" t="b">
        <v>0</v>
      </c>
      <c r="L2328" s="35" t="b">
        <v>0</v>
      </c>
      <c r="M2328" s="35" t="b">
        <v>0</v>
      </c>
      <c r="N2328" s="35" t="b">
        <v>0</v>
      </c>
      <c r="O2328" s="35" t="b">
        <v>0</v>
      </c>
      <c r="P2328" s="35" t="b">
        <v>0</v>
      </c>
      <c r="Q2328" s="35" t="b">
        <v>0</v>
      </c>
      <c r="R2328" s="14"/>
      <c r="S2328" s="14"/>
      <c r="T2328" s="14"/>
      <c r="U2328" s="14"/>
      <c r="V2328" s="14"/>
      <c r="W2328" s="14"/>
    </row>
    <row r="2329" ht="31.5" customHeight="1">
      <c r="A2329" s="124" t="s">
        <v>18679</v>
      </c>
      <c r="B2329" s="125" t="s">
        <v>18680</v>
      </c>
      <c r="C2329" s="126" t="s">
        <v>17522</v>
      </c>
      <c r="D2329" s="127" t="s">
        <v>18681</v>
      </c>
      <c r="E2329" s="28" t="str">
        <f>IFERROR(__xludf.DUMMYFUNCTION("GOOGLETRANSLATE(D2329,""zh-CN"",""vi"")"),"Bài phát biểu của ông ấy rất truyền cảm hứng.")</f>
        <v>Bài phát biểu của ông ấy rất truyền cảm hứng.</v>
      </c>
      <c r="F2329" s="157"/>
      <c r="G2329" s="36" t="b">
        <f t="shared" si="1"/>
        <v>0</v>
      </c>
      <c r="H2329" s="35" t="b">
        <v>1</v>
      </c>
      <c r="I2329" s="35" t="b">
        <v>0</v>
      </c>
      <c r="J2329" s="35" t="b">
        <v>0</v>
      </c>
      <c r="K2329" s="35" t="b">
        <v>0</v>
      </c>
      <c r="L2329" s="35" t="b">
        <v>0</v>
      </c>
      <c r="M2329" s="35" t="b">
        <v>0</v>
      </c>
      <c r="N2329" s="35" t="b">
        <v>0</v>
      </c>
      <c r="O2329" s="35" t="b">
        <v>0</v>
      </c>
      <c r="P2329" s="35" t="b">
        <v>0</v>
      </c>
      <c r="Q2329" s="35" t="b">
        <v>0</v>
      </c>
      <c r="R2329" s="14"/>
      <c r="S2329" s="14"/>
      <c r="T2329" s="14"/>
      <c r="U2329" s="14"/>
      <c r="V2329" s="14"/>
      <c r="W2329" s="14"/>
    </row>
    <row r="2330" ht="31.5" customHeight="1">
      <c r="A2330" s="124" t="s">
        <v>18682</v>
      </c>
      <c r="B2330" s="125" t="s">
        <v>18683</v>
      </c>
      <c r="C2330" s="126" t="s">
        <v>18684</v>
      </c>
      <c r="D2330" s="127" t="s">
        <v>18685</v>
      </c>
      <c r="E2330" s="28" t="str">
        <f>IFERROR(__xludf.DUMMYFUNCTION("GOOGLETRANSLATE(D2330,""zh-CN"",""vi"")"),"Tin này thật gây sốc.")</f>
        <v>Tin này thật gây sốc.</v>
      </c>
      <c r="F2330" s="157"/>
      <c r="G2330" s="36" t="b">
        <f t="shared" si="1"/>
        <v>0</v>
      </c>
      <c r="H2330" s="35" t="b">
        <v>1</v>
      </c>
      <c r="I2330" s="35" t="b">
        <v>0</v>
      </c>
      <c r="J2330" s="35" t="b">
        <v>0</v>
      </c>
      <c r="K2330" s="35" t="b">
        <v>0</v>
      </c>
      <c r="L2330" s="35" t="b">
        <v>0</v>
      </c>
      <c r="M2330" s="35" t="b">
        <v>0</v>
      </c>
      <c r="N2330" s="35" t="b">
        <v>0</v>
      </c>
      <c r="O2330" s="35" t="b">
        <v>0</v>
      </c>
      <c r="P2330" s="35" t="b">
        <v>0</v>
      </c>
      <c r="Q2330" s="35" t="b">
        <v>0</v>
      </c>
      <c r="R2330" s="14"/>
      <c r="S2330" s="14"/>
      <c r="T2330" s="14"/>
      <c r="U2330" s="14"/>
      <c r="V2330" s="14"/>
      <c r="W2330" s="14"/>
    </row>
    <row r="2331" ht="31.5" customHeight="1">
      <c r="A2331" s="124" t="s">
        <v>18686</v>
      </c>
      <c r="B2331" s="125" t="s">
        <v>18687</v>
      </c>
      <c r="C2331" s="126" t="s">
        <v>18688</v>
      </c>
      <c r="D2331" s="127" t="s">
        <v>18689</v>
      </c>
      <c r="E2331" s="28" t="str">
        <f>IFERROR(__xludf.DUMMYFUNCTION("GOOGLETRANSLATE(D2331,""zh-CN"",""vi"")"),"Vị bác sĩ vẫn giữ bình tĩnh.")</f>
        <v>Vị bác sĩ vẫn giữ bình tĩnh.</v>
      </c>
      <c r="F2331" s="157"/>
      <c r="G2331" s="36" t="b">
        <f t="shared" si="1"/>
        <v>0</v>
      </c>
      <c r="H2331" s="35" t="b">
        <v>1</v>
      </c>
      <c r="I2331" s="35" t="b">
        <v>0</v>
      </c>
      <c r="J2331" s="35" t="b">
        <v>0</v>
      </c>
      <c r="K2331" s="35" t="b">
        <v>0</v>
      </c>
      <c r="L2331" s="35" t="b">
        <v>0</v>
      </c>
      <c r="M2331" s="35" t="b">
        <v>0</v>
      </c>
      <c r="N2331" s="35" t="b">
        <v>0</v>
      </c>
      <c r="O2331" s="35" t="b">
        <v>0</v>
      </c>
      <c r="P2331" s="35" t="b">
        <v>0</v>
      </c>
      <c r="Q2331" s="35" t="b">
        <v>0</v>
      </c>
      <c r="R2331" s="14"/>
      <c r="S2331" s="14"/>
      <c r="T2331" s="14"/>
      <c r="U2331" s="14"/>
      <c r="V2331" s="14"/>
      <c r="W2331" s="14"/>
    </row>
    <row r="2332" ht="31.5" customHeight="1">
      <c r="A2332" s="124" t="s">
        <v>18690</v>
      </c>
      <c r="B2332" s="125" t="s">
        <v>18691</v>
      </c>
      <c r="C2332" s="126" t="s">
        <v>18692</v>
      </c>
      <c r="D2332" s="127" t="s">
        <v>18693</v>
      </c>
      <c r="E2332" s="28" t="str">
        <f>IFERROR(__xludf.DUMMYFUNCTION("GOOGLETRANSLATE(D2332,""zh-CN"",""vi"")"),"Họ đã tạo nên một đội hình mạnh mẽ.")</f>
        <v>Họ đã tạo nên một đội hình mạnh mẽ.</v>
      </c>
      <c r="F2332" s="157"/>
      <c r="G2332" s="36" t="b">
        <f t="shared" si="1"/>
        <v>0</v>
      </c>
      <c r="H2332" s="35" t="b">
        <v>1</v>
      </c>
      <c r="I2332" s="35" t="b">
        <v>0</v>
      </c>
      <c r="J2332" s="35" t="b">
        <v>0</v>
      </c>
      <c r="K2332" s="35" t="b">
        <v>0</v>
      </c>
      <c r="L2332" s="35" t="b">
        <v>0</v>
      </c>
      <c r="M2332" s="35" t="b">
        <v>0</v>
      </c>
      <c r="N2332" s="35" t="b">
        <v>0</v>
      </c>
      <c r="O2332" s="35" t="b">
        <v>0</v>
      </c>
      <c r="P2332" s="35" t="b">
        <v>0</v>
      </c>
      <c r="Q2332" s="35" t="b">
        <v>0</v>
      </c>
      <c r="R2332" s="14"/>
      <c r="S2332" s="14"/>
      <c r="T2332" s="14"/>
      <c r="U2332" s="14"/>
      <c r="V2332" s="14"/>
      <c r="W2332" s="14"/>
    </row>
    <row r="2333" ht="31.5" customHeight="1">
      <c r="A2333" s="124" t="s">
        <v>18694</v>
      </c>
      <c r="B2333" s="125" t="s">
        <v>18695</v>
      </c>
      <c r="C2333" s="126" t="s">
        <v>18696</v>
      </c>
      <c r="D2333" s="127" t="s">
        <v>18697</v>
      </c>
      <c r="E2333" s="28" t="str">
        <f>IFERROR(__xludf.DUMMYFUNCTION("GOOGLETRANSLATE(D2333,""zh-CN"",""vi"")"),"Chúng ta cần vực dậy nền kinh tế.")</f>
        <v>Chúng ta cần vực dậy nền kinh tế.</v>
      </c>
      <c r="F2333" s="157"/>
      <c r="G2333" s="36" t="b">
        <f t="shared" si="1"/>
        <v>0</v>
      </c>
      <c r="H2333" s="35" t="b">
        <v>1</v>
      </c>
      <c r="I2333" s="35" t="b">
        <v>0</v>
      </c>
      <c r="J2333" s="35" t="b">
        <v>0</v>
      </c>
      <c r="K2333" s="35" t="b">
        <v>0</v>
      </c>
      <c r="L2333" s="35" t="b">
        <v>0</v>
      </c>
      <c r="M2333" s="35" t="b">
        <v>0</v>
      </c>
      <c r="N2333" s="35" t="b">
        <v>0</v>
      </c>
      <c r="O2333" s="35" t="b">
        <v>0</v>
      </c>
      <c r="P2333" s="35" t="b">
        <v>0</v>
      </c>
      <c r="Q2333" s="35" t="b">
        <v>0</v>
      </c>
      <c r="R2333" s="14"/>
      <c r="S2333" s="14"/>
      <c r="T2333" s="14"/>
      <c r="U2333" s="14"/>
      <c r="V2333" s="14"/>
      <c r="W2333" s="14"/>
    </row>
    <row r="2334" ht="31.5" customHeight="1">
      <c r="A2334" s="124" t="s">
        <v>18698</v>
      </c>
      <c r="B2334" s="125" t="s">
        <v>18699</v>
      </c>
      <c r="C2334" s="126" t="s">
        <v>18700</v>
      </c>
      <c r="D2334" s="127" t="s">
        <v>18701</v>
      </c>
      <c r="E2334" s="28" t="str">
        <f>IFERROR(__xludf.DUMMYFUNCTION("GOOGLETRANSLATE(D2334,""zh-CN"",""vi"")"),"Chính quyền đã đàn áp cuộc nổi dậy.")</f>
        <v>Chính quyền đã đàn áp cuộc nổi dậy.</v>
      </c>
      <c r="F2334" s="157"/>
      <c r="G2334" s="36" t="b">
        <f t="shared" si="1"/>
        <v>0</v>
      </c>
      <c r="H2334" s="35" t="b">
        <v>1</v>
      </c>
      <c r="I2334" s="35" t="b">
        <v>0</v>
      </c>
      <c r="J2334" s="35" t="b">
        <v>0</v>
      </c>
      <c r="K2334" s="35" t="b">
        <v>0</v>
      </c>
      <c r="L2334" s="35" t="b">
        <v>0</v>
      </c>
      <c r="M2334" s="35" t="b">
        <v>0</v>
      </c>
      <c r="N2334" s="35" t="b">
        <v>0</v>
      </c>
      <c r="O2334" s="35" t="b">
        <v>0</v>
      </c>
      <c r="P2334" s="35" t="b">
        <v>0</v>
      </c>
      <c r="Q2334" s="35" t="b">
        <v>0</v>
      </c>
      <c r="R2334" s="14"/>
      <c r="S2334" s="14"/>
      <c r="T2334" s="14"/>
      <c r="U2334" s="14"/>
      <c r="V2334" s="14"/>
      <c r="W2334" s="14"/>
    </row>
    <row r="2335" ht="31.5" customHeight="1">
      <c r="A2335" s="124" t="s">
        <v>18702</v>
      </c>
      <c r="B2335" s="125" t="s">
        <v>18703</v>
      </c>
      <c r="C2335" s="126" t="s">
        <v>18704</v>
      </c>
      <c r="D2335" s="127" t="s">
        <v>18705</v>
      </c>
      <c r="E2335" s="28" t="str">
        <f>IFERROR(__xludf.DUMMYFUNCTION("GOOGLETRANSLATE(D2335,""zh-CN"",""vi"")"),"Tranh chấp giữa hai nước vẫn tiếp diễn.")</f>
        <v>Tranh chấp giữa hai nước vẫn tiếp diễn.</v>
      </c>
      <c r="F2335" s="157"/>
      <c r="G2335" s="36" t="b">
        <f t="shared" si="1"/>
        <v>0</v>
      </c>
      <c r="H2335" s="35" t="b">
        <v>1</v>
      </c>
      <c r="I2335" s="35" t="b">
        <v>0</v>
      </c>
      <c r="J2335" s="35" t="b">
        <v>0</v>
      </c>
      <c r="K2335" s="35" t="b">
        <v>0</v>
      </c>
      <c r="L2335" s="35" t="b">
        <v>0</v>
      </c>
      <c r="M2335" s="35" t="b">
        <v>0</v>
      </c>
      <c r="N2335" s="35" t="b">
        <v>0</v>
      </c>
      <c r="O2335" s="35" t="b">
        <v>0</v>
      </c>
      <c r="P2335" s="35" t="b">
        <v>0</v>
      </c>
      <c r="Q2335" s="35" t="b">
        <v>0</v>
      </c>
      <c r="R2335" s="14"/>
      <c r="S2335" s="14"/>
      <c r="T2335" s="14"/>
      <c r="U2335" s="14"/>
      <c r="V2335" s="14"/>
      <c r="W2335" s="14"/>
    </row>
    <row r="2336" ht="31.5" customHeight="1">
      <c r="A2336" s="124" t="s">
        <v>18706</v>
      </c>
      <c r="B2336" s="125" t="s">
        <v>18707</v>
      </c>
      <c r="C2336" s="126" t="s">
        <v>18708</v>
      </c>
      <c r="D2336" s="127" t="s">
        <v>18709</v>
      </c>
      <c r="E2336" s="28" t="str">
        <f>IFERROR(__xludf.DUMMYFUNCTION("GOOGLETRANSLATE(D2336,""zh-CN"",""vi"")"),"Họ đã tranh tài để giành chức vô địch.")</f>
        <v>Họ đã tranh tài để giành chức vô địch.</v>
      </c>
      <c r="F2336" s="157"/>
      <c r="G2336" s="36" t="b">
        <f t="shared" si="1"/>
        <v>0</v>
      </c>
      <c r="H2336" s="35" t="b">
        <v>1</v>
      </c>
      <c r="I2336" s="35" t="b">
        <v>0</v>
      </c>
      <c r="J2336" s="35" t="b">
        <v>0</v>
      </c>
      <c r="K2336" s="35" t="b">
        <v>0</v>
      </c>
      <c r="L2336" s="35" t="b">
        <v>0</v>
      </c>
      <c r="M2336" s="35" t="b">
        <v>0</v>
      </c>
      <c r="N2336" s="35" t="b">
        <v>0</v>
      </c>
      <c r="O2336" s="35" t="b">
        <v>0</v>
      </c>
      <c r="P2336" s="35" t="b">
        <v>0</v>
      </c>
      <c r="Q2336" s="35" t="b">
        <v>0</v>
      </c>
      <c r="R2336" s="14"/>
      <c r="S2336" s="14"/>
      <c r="T2336" s="14"/>
      <c r="U2336" s="14"/>
      <c r="V2336" s="14"/>
      <c r="W2336" s="14"/>
    </row>
    <row r="2337" ht="31.5" customHeight="1">
      <c r="A2337" s="124" t="s">
        <v>18710</v>
      </c>
      <c r="B2337" s="125" t="s">
        <v>18711</v>
      </c>
      <c r="C2337" s="126" t="s">
        <v>18712</v>
      </c>
      <c r="D2337" s="127" t="s">
        <v>18713</v>
      </c>
      <c r="E2337" s="28" t="str">
        <f>IFERROR(__xludf.DUMMYFUNCTION("GOOGLETRANSLATE(D2337,""zh-CN"",""vi"")"),"Nước sẽ bay hơi ở nhiệt độ cao.")</f>
        <v>Nước sẽ bay hơi ở nhiệt độ cao.</v>
      </c>
      <c r="F2337" s="157"/>
      <c r="G2337" s="36" t="b">
        <f t="shared" si="1"/>
        <v>0</v>
      </c>
      <c r="H2337" s="35" t="b">
        <v>1</v>
      </c>
      <c r="I2337" s="35" t="b">
        <v>0</v>
      </c>
      <c r="J2337" s="35" t="b">
        <v>0</v>
      </c>
      <c r="K2337" s="35" t="b">
        <v>0</v>
      </c>
      <c r="L2337" s="35" t="b">
        <v>0</v>
      </c>
      <c r="M2337" s="35" t="b">
        <v>0</v>
      </c>
      <c r="N2337" s="35" t="b">
        <v>0</v>
      </c>
      <c r="O2337" s="35" t="b">
        <v>0</v>
      </c>
      <c r="P2337" s="35" t="b">
        <v>0</v>
      </c>
      <c r="Q2337" s="35" t="b">
        <v>0</v>
      </c>
      <c r="R2337" s="14"/>
      <c r="S2337" s="14"/>
      <c r="T2337" s="14"/>
      <c r="U2337" s="14"/>
      <c r="V2337" s="14"/>
      <c r="W2337" s="14"/>
    </row>
    <row r="2338" ht="31.5" customHeight="1">
      <c r="A2338" s="124" t="s">
        <v>18714</v>
      </c>
      <c r="B2338" s="125" t="s">
        <v>18715</v>
      </c>
      <c r="C2338" s="126" t="s">
        <v>18716</v>
      </c>
      <c r="D2338" s="127" t="s">
        <v>18717</v>
      </c>
      <c r="E2338" s="28" t="str">
        <f>IFERROR(__xludf.DUMMYFUNCTION("GOOGLETRANSLATE(D2338,""zh-CN"",""vi"")"),"Chúng ta phải vượt qua những khó khăn.")</f>
        <v>Chúng ta phải vượt qua những khó khăn.</v>
      </c>
      <c r="F2338" s="157"/>
      <c r="G2338" s="36" t="b">
        <f t="shared" si="1"/>
        <v>0</v>
      </c>
      <c r="H2338" s="35" t="b">
        <v>1</v>
      </c>
      <c r="I2338" s="35" t="b">
        <v>0</v>
      </c>
      <c r="J2338" s="35" t="b">
        <v>0</v>
      </c>
      <c r="K2338" s="35" t="b">
        <v>0</v>
      </c>
      <c r="L2338" s="35" t="b">
        <v>0</v>
      </c>
      <c r="M2338" s="35" t="b">
        <v>0</v>
      </c>
      <c r="N2338" s="35" t="b">
        <v>0</v>
      </c>
      <c r="O2338" s="35" t="b">
        <v>0</v>
      </c>
      <c r="P2338" s="35" t="b">
        <v>0</v>
      </c>
      <c r="Q2338" s="35" t="b">
        <v>0</v>
      </c>
      <c r="R2338" s="14"/>
      <c r="S2338" s="14"/>
      <c r="T2338" s="14"/>
      <c r="U2338" s="14"/>
      <c r="V2338" s="14"/>
      <c r="W2338" s="14"/>
    </row>
    <row r="2339" ht="31.5" customHeight="1">
      <c r="A2339" s="124" t="s">
        <v>18718</v>
      </c>
      <c r="B2339" s="125" t="s">
        <v>18719</v>
      </c>
      <c r="C2339" s="126" t="s">
        <v>18720</v>
      </c>
      <c r="D2339" s="127" t="s">
        <v>18721</v>
      </c>
      <c r="E2339" s="28" t="str">
        <f>IFERROR(__xludf.DUMMYFUNCTION("GOOGLETRANSLATE(D2339,""zh-CN"",""vi"")"),"Anh ấy đã không phụ lòng kỳ vọng trong cuộc thi.")</f>
        <v>Anh ấy đã không phụ lòng kỳ vọng trong cuộc thi.</v>
      </c>
      <c r="F2339" s="157"/>
      <c r="G2339" s="36" t="b">
        <f t="shared" si="1"/>
        <v>0</v>
      </c>
      <c r="H2339" s="35" t="b">
        <v>1</v>
      </c>
      <c r="I2339" s="35" t="b">
        <v>0</v>
      </c>
      <c r="J2339" s="35" t="b">
        <v>0</v>
      </c>
      <c r="K2339" s="35" t="b">
        <v>0</v>
      </c>
      <c r="L2339" s="35" t="b">
        <v>0</v>
      </c>
      <c r="M2339" s="35" t="b">
        <v>0</v>
      </c>
      <c r="N2339" s="35" t="b">
        <v>0</v>
      </c>
      <c r="O2339" s="35" t="b">
        <v>0</v>
      </c>
      <c r="P2339" s="35" t="b">
        <v>0</v>
      </c>
      <c r="Q2339" s="35" t="b">
        <v>0</v>
      </c>
      <c r="R2339" s="14"/>
      <c r="S2339" s="14"/>
      <c r="T2339" s="14"/>
      <c r="U2339" s="14"/>
      <c r="V2339" s="14"/>
      <c r="W2339" s="14"/>
    </row>
    <row r="2340" ht="31.5" customHeight="1">
      <c r="A2340" s="124" t="s">
        <v>18722</v>
      </c>
      <c r="B2340" s="125" t="s">
        <v>18723</v>
      </c>
      <c r="C2340" s="126" t="s">
        <v>18724</v>
      </c>
      <c r="D2340" s="127" t="s">
        <v>18725</v>
      </c>
      <c r="E2340" s="28" t="str">
        <f>IFERROR(__xludf.DUMMYFUNCTION("GOOGLETRANSLATE(D2340,""zh-CN"",""vi"")"),"Chính phủ đang áp đặt các loại thuế mới.")</f>
        <v>Chính phủ đang áp đặt các loại thuế mới.</v>
      </c>
      <c r="F2340" s="157"/>
      <c r="G2340" s="36" t="b">
        <f t="shared" si="1"/>
        <v>0</v>
      </c>
      <c r="H2340" s="35" t="b">
        <v>1</v>
      </c>
      <c r="I2340" s="35" t="b">
        <v>0</v>
      </c>
      <c r="J2340" s="35" t="b">
        <v>0</v>
      </c>
      <c r="K2340" s="35" t="b">
        <v>0</v>
      </c>
      <c r="L2340" s="35" t="b">
        <v>0</v>
      </c>
      <c r="M2340" s="35" t="b">
        <v>0</v>
      </c>
      <c r="N2340" s="35" t="b">
        <v>0</v>
      </c>
      <c r="O2340" s="35" t="b">
        <v>0</v>
      </c>
      <c r="P2340" s="35" t="b">
        <v>0</v>
      </c>
      <c r="Q2340" s="35" t="b">
        <v>0</v>
      </c>
      <c r="R2340" s="14"/>
      <c r="S2340" s="14"/>
      <c r="T2340" s="14"/>
      <c r="U2340" s="14"/>
      <c r="V2340" s="14"/>
      <c r="W2340" s="14"/>
    </row>
    <row r="2341" ht="31.5" customHeight="1">
      <c r="A2341" s="124" t="s">
        <v>18726</v>
      </c>
      <c r="B2341" s="125" t="s">
        <v>18727</v>
      </c>
      <c r="C2341" s="126" t="s">
        <v>18728</v>
      </c>
      <c r="D2341" s="127" t="s">
        <v>18729</v>
      </c>
      <c r="E2341" s="28" t="str">
        <f>IFERROR(__xludf.DUMMYFUNCTION("GOOGLETRANSLATE(D2341,""zh-CN"",""vi"")"),"Bọn trẻ ùa ra sân chơi.")</f>
        <v>Bọn trẻ ùa ra sân chơi.</v>
      </c>
      <c r="F2341" s="157"/>
      <c r="G2341" s="36" t="b">
        <f t="shared" si="1"/>
        <v>0</v>
      </c>
      <c r="H2341" s="35" t="b">
        <v>1</v>
      </c>
      <c r="I2341" s="35" t="b">
        <v>0</v>
      </c>
      <c r="J2341" s="35" t="b">
        <v>0</v>
      </c>
      <c r="K2341" s="35" t="b">
        <v>0</v>
      </c>
      <c r="L2341" s="35" t="b">
        <v>0</v>
      </c>
      <c r="M2341" s="35" t="b">
        <v>0</v>
      </c>
      <c r="N2341" s="35" t="b">
        <v>0</v>
      </c>
      <c r="O2341" s="35" t="b">
        <v>0</v>
      </c>
      <c r="P2341" s="35" t="b">
        <v>0</v>
      </c>
      <c r="Q2341" s="35" t="b">
        <v>0</v>
      </c>
      <c r="R2341" s="14"/>
      <c r="S2341" s="14"/>
      <c r="T2341" s="14"/>
      <c r="U2341" s="14"/>
      <c r="V2341" s="14"/>
      <c r="W2341" s="14"/>
    </row>
    <row r="2342" ht="31.5" customHeight="1">
      <c r="A2342" s="124" t="s">
        <v>18730</v>
      </c>
      <c r="B2342" s="125" t="s">
        <v>18731</v>
      </c>
      <c r="C2342" s="126" t="s">
        <v>18732</v>
      </c>
      <c r="D2342" s="127" t="s">
        <v>18733</v>
      </c>
      <c r="E2342" s="28" t="str">
        <f>IFERROR(__xludf.DUMMYFUNCTION("GOOGLETRANSLATE(D2342,""zh-CN"",""vi"")"),"Chủ đề này đã gây ra nhiều tranh cãi.")</f>
        <v>Chủ đề này đã gây ra nhiều tranh cãi.</v>
      </c>
      <c r="F2342" s="157"/>
      <c r="G2342" s="36" t="b">
        <f t="shared" si="1"/>
        <v>0</v>
      </c>
      <c r="H2342" s="35" t="b">
        <v>1</v>
      </c>
      <c r="I2342" s="35" t="b">
        <v>0</v>
      </c>
      <c r="J2342" s="35" t="b">
        <v>0</v>
      </c>
      <c r="K2342" s="35" t="b">
        <v>0</v>
      </c>
      <c r="L2342" s="35" t="b">
        <v>0</v>
      </c>
      <c r="M2342" s="35" t="b">
        <v>0</v>
      </c>
      <c r="N2342" s="35" t="b">
        <v>0</v>
      </c>
      <c r="O2342" s="35" t="b">
        <v>0</v>
      </c>
      <c r="P2342" s="35" t="b">
        <v>0</v>
      </c>
      <c r="Q2342" s="35" t="b">
        <v>0</v>
      </c>
      <c r="R2342" s="14"/>
      <c r="S2342" s="14"/>
      <c r="T2342" s="14"/>
      <c r="U2342" s="14"/>
      <c r="V2342" s="14"/>
      <c r="W2342" s="14"/>
    </row>
    <row r="2343" ht="31.5" customHeight="1">
      <c r="A2343" s="124" t="s">
        <v>18734</v>
      </c>
      <c r="B2343" s="125" t="s">
        <v>18735</v>
      </c>
      <c r="C2343" s="126" t="s">
        <v>18736</v>
      </c>
      <c r="D2343" s="127" t="s">
        <v>18737</v>
      </c>
      <c r="E2343" s="28" t="str">
        <f>IFERROR(__xludf.DUMMYFUNCTION("GOOGLETRANSLATE(D2343,""zh-CN"",""vi"")"),"Tháng đầu tiên của Tết Nguyên đán Trung Quốc là tháng Giêng.")</f>
        <v>Tháng đầu tiên của Tết Nguyên đán Trung Quốc là tháng Giêng.</v>
      </c>
      <c r="F2343" s="157"/>
      <c r="G2343" s="36" t="b">
        <f t="shared" si="1"/>
        <v>0</v>
      </c>
      <c r="H2343" s="35" t="b">
        <v>1</v>
      </c>
      <c r="I2343" s="35" t="b">
        <v>0</v>
      </c>
      <c r="J2343" s="35" t="b">
        <v>0</v>
      </c>
      <c r="K2343" s="35" t="b">
        <v>0</v>
      </c>
      <c r="L2343" s="35" t="b">
        <v>0</v>
      </c>
      <c r="M2343" s="35" t="b">
        <v>0</v>
      </c>
      <c r="N2343" s="35" t="b">
        <v>0</v>
      </c>
      <c r="O2343" s="35" t="b">
        <v>0</v>
      </c>
      <c r="P2343" s="35" t="b">
        <v>0</v>
      </c>
      <c r="Q2343" s="35" t="b">
        <v>0</v>
      </c>
      <c r="R2343" s="14"/>
      <c r="S2343" s="14"/>
      <c r="T2343" s="14"/>
      <c r="U2343" s="14"/>
      <c r="V2343" s="14"/>
      <c r="W2343" s="14"/>
    </row>
    <row r="2344" ht="31.5" customHeight="1">
      <c r="A2344" s="124" t="s">
        <v>18738</v>
      </c>
      <c r="B2344" s="125" t="s">
        <v>18739</v>
      </c>
      <c r="C2344" s="126" t="s">
        <v>18740</v>
      </c>
      <c r="D2344" s="127" t="s">
        <v>18741</v>
      </c>
      <c r="E2344" s="28" t="str">
        <f>IFERROR(__xludf.DUMMYFUNCTION("GOOGLETRANSLATE(D2344,""zh-CN"",""vi"")"),"Anh ấy tìm thấy hy vọng trong cuộc đấu tranh của mình.")</f>
        <v>Anh ấy tìm thấy hy vọng trong cuộc đấu tranh của mình.</v>
      </c>
      <c r="F2344" s="157"/>
      <c r="G2344" s="36" t="b">
        <f t="shared" si="1"/>
        <v>0</v>
      </c>
      <c r="H2344" s="35" t="b">
        <v>1</v>
      </c>
      <c r="I2344" s="35" t="b">
        <v>0</v>
      </c>
      <c r="J2344" s="35" t="b">
        <v>0</v>
      </c>
      <c r="K2344" s="35" t="b">
        <v>0</v>
      </c>
      <c r="L2344" s="35" t="b">
        <v>0</v>
      </c>
      <c r="M2344" s="35" t="b">
        <v>0</v>
      </c>
      <c r="N2344" s="35" t="b">
        <v>0</v>
      </c>
      <c r="O2344" s="35" t="b">
        <v>0</v>
      </c>
      <c r="P2344" s="35" t="b">
        <v>0</v>
      </c>
      <c r="Q2344" s="35" t="b">
        <v>0</v>
      </c>
      <c r="R2344" s="14"/>
      <c r="S2344" s="14"/>
      <c r="T2344" s="14"/>
      <c r="U2344" s="14"/>
      <c r="V2344" s="14"/>
      <c r="W2344" s="14"/>
    </row>
    <row r="2345" ht="31.5" customHeight="1">
      <c r="A2345" s="124" t="s">
        <v>18742</v>
      </c>
      <c r="B2345" s="125" t="s">
        <v>18743</v>
      </c>
      <c r="C2345" s="126" t="s">
        <v>18744</v>
      </c>
      <c r="D2345" s="127" t="s">
        <v>18745</v>
      </c>
      <c r="E2345" s="28" t="str">
        <f>IFERROR(__xludf.DUMMYFUNCTION("GOOGLETRANSLATE(D2345,""zh-CN"",""vi"")"),"Công ty đang tái cấu trúc hoạt động của mình.")</f>
        <v>Công ty đang tái cấu trúc hoạt động của mình.</v>
      </c>
      <c r="F2345" s="157"/>
      <c r="G2345" s="36" t="b">
        <f t="shared" si="1"/>
        <v>0</v>
      </c>
      <c r="H2345" s="35" t="b">
        <v>1</v>
      </c>
      <c r="I2345" s="35" t="b">
        <v>0</v>
      </c>
      <c r="J2345" s="35" t="b">
        <v>0</v>
      </c>
      <c r="K2345" s="35" t="b">
        <v>0</v>
      </c>
      <c r="L2345" s="35" t="b">
        <v>0</v>
      </c>
      <c r="M2345" s="35" t="b">
        <v>0</v>
      </c>
      <c r="N2345" s="35" t="b">
        <v>0</v>
      </c>
      <c r="O2345" s="35" t="b">
        <v>0</v>
      </c>
      <c r="P2345" s="35" t="b">
        <v>0</v>
      </c>
      <c r="Q2345" s="35" t="b">
        <v>0</v>
      </c>
      <c r="R2345" s="14"/>
      <c r="S2345" s="14"/>
      <c r="T2345" s="14"/>
      <c r="U2345" s="14"/>
      <c r="V2345" s="14"/>
      <c r="W2345" s="14"/>
    </row>
    <row r="2346" ht="31.5" customHeight="1">
      <c r="A2346" s="124" t="s">
        <v>18746</v>
      </c>
      <c r="B2346" s="125" t="s">
        <v>18747</v>
      </c>
      <c r="C2346" s="126" t="s">
        <v>18748</v>
      </c>
      <c r="D2346" s="127" t="s">
        <v>18749</v>
      </c>
      <c r="E2346" s="28" t="str">
        <f>IFERROR(__xludf.DUMMYFUNCTION("GOOGLETRANSLATE(D2346,""zh-CN"",""vi"")"),"Đây là một yêu cầu hợp lệ.")</f>
        <v>Đây là một yêu cầu hợp lệ.</v>
      </c>
      <c r="F2346" s="157"/>
      <c r="G2346" s="36" t="b">
        <f t="shared" si="1"/>
        <v>0</v>
      </c>
      <c r="H2346" s="35" t="b">
        <v>1</v>
      </c>
      <c r="I2346" s="35" t="b">
        <v>0</v>
      </c>
      <c r="J2346" s="35" t="b">
        <v>0</v>
      </c>
      <c r="K2346" s="35" t="b">
        <v>0</v>
      </c>
      <c r="L2346" s="35" t="b">
        <v>0</v>
      </c>
      <c r="M2346" s="35" t="b">
        <v>0</v>
      </c>
      <c r="N2346" s="35" t="b">
        <v>0</v>
      </c>
      <c r="O2346" s="35" t="b">
        <v>0</v>
      </c>
      <c r="P2346" s="35" t="b">
        <v>0</v>
      </c>
      <c r="Q2346" s="35" t="b">
        <v>0</v>
      </c>
      <c r="R2346" s="14"/>
      <c r="S2346" s="14"/>
      <c r="T2346" s="14"/>
      <c r="U2346" s="14"/>
      <c r="V2346" s="14"/>
      <c r="W2346" s="14"/>
    </row>
    <row r="2347" ht="31.5" customHeight="1">
      <c r="A2347" s="124" t="s">
        <v>18750</v>
      </c>
      <c r="B2347" s="125" t="s">
        <v>18751</v>
      </c>
      <c r="C2347" s="126" t="s">
        <v>18752</v>
      </c>
      <c r="D2347" s="127" t="s">
        <v>18753</v>
      </c>
      <c r="E2347" s="28" t="str">
        <f>IFERROR(__xludf.DUMMYFUNCTION("GOOGLETRANSLATE(D2347,""zh-CN"",""vi"")"),"Cực dương và cực âm hút nhau.")</f>
        <v>Cực dương và cực âm hút nhau.</v>
      </c>
      <c r="F2347" s="157"/>
      <c r="G2347" s="36" t="b">
        <f t="shared" si="1"/>
        <v>0</v>
      </c>
      <c r="H2347" s="35" t="b">
        <v>1</v>
      </c>
      <c r="I2347" s="35" t="b">
        <v>0</v>
      </c>
      <c r="J2347" s="35" t="b">
        <v>0</v>
      </c>
      <c r="K2347" s="35" t="b">
        <v>0</v>
      </c>
      <c r="L2347" s="35" t="b">
        <v>0</v>
      </c>
      <c r="M2347" s="35" t="b">
        <v>0</v>
      </c>
      <c r="N2347" s="35" t="b">
        <v>0</v>
      </c>
      <c r="O2347" s="35" t="b">
        <v>0</v>
      </c>
      <c r="P2347" s="35" t="b">
        <v>0</v>
      </c>
      <c r="Q2347" s="35" t="b">
        <v>0</v>
      </c>
      <c r="R2347" s="14"/>
      <c r="S2347" s="14"/>
      <c r="T2347" s="14"/>
      <c r="U2347" s="14"/>
      <c r="V2347" s="14"/>
      <c r="W2347" s="14"/>
    </row>
    <row r="2348" ht="31.5" customHeight="1">
      <c r="A2348" s="124" t="s">
        <v>18754</v>
      </c>
      <c r="B2348" s="125" t="s">
        <v>18755</v>
      </c>
      <c r="C2348" s="126" t="s">
        <v>18756</v>
      </c>
      <c r="D2348" s="127" t="s">
        <v>18757</v>
      </c>
      <c r="E2348" s="28" t="str">
        <f>IFERROR(__xludf.DUMMYFUNCTION("GOOGLETRANSLATE(D2348,""zh-CN"",""vi"")"),"Chúng ta cần một hệ thống quản lý chính thức.")</f>
        <v>Chúng ta cần một hệ thống quản lý chính thức.</v>
      </c>
      <c r="F2348" s="157"/>
      <c r="G2348" s="36" t="b">
        <f t="shared" si="1"/>
        <v>0</v>
      </c>
      <c r="H2348" s="35" t="b">
        <v>1</v>
      </c>
      <c r="I2348" s="35" t="b">
        <v>0</v>
      </c>
      <c r="J2348" s="35" t="b">
        <v>0</v>
      </c>
      <c r="K2348" s="35" t="b">
        <v>0</v>
      </c>
      <c r="L2348" s="35" t="b">
        <v>0</v>
      </c>
      <c r="M2348" s="35" t="b">
        <v>0</v>
      </c>
      <c r="N2348" s="35" t="b">
        <v>0</v>
      </c>
      <c r="O2348" s="35" t="b">
        <v>0</v>
      </c>
      <c r="P2348" s="35" t="b">
        <v>0</v>
      </c>
      <c r="Q2348" s="35" t="b">
        <v>0</v>
      </c>
      <c r="R2348" s="14"/>
      <c r="S2348" s="14"/>
      <c r="T2348" s="14"/>
      <c r="U2348" s="14"/>
      <c r="V2348" s="14"/>
      <c r="W2348" s="14"/>
    </row>
    <row r="2349" ht="31.5" customHeight="1">
      <c r="A2349" s="124" t="s">
        <v>18758</v>
      </c>
      <c r="B2349" s="125" t="s">
        <v>18759</v>
      </c>
      <c r="C2349" s="126" t="s">
        <v>18760</v>
      </c>
      <c r="D2349" s="127" t="s">
        <v>18761</v>
      </c>
      <c r="E2349" s="28" t="str">
        <f>IFERROR(__xludf.DUMMYFUNCTION("GOOGLETRANSLATE(D2349,""zh-CN"",""vi"")"),"Anh ấy là một người tử tế.")</f>
        <v>Anh ấy là một người tử tế.</v>
      </c>
      <c r="F2349" s="157"/>
      <c r="G2349" s="36" t="b">
        <f t="shared" si="1"/>
        <v>0</v>
      </c>
      <c r="H2349" s="35" t="b">
        <v>1</v>
      </c>
      <c r="I2349" s="35" t="b">
        <v>0</v>
      </c>
      <c r="J2349" s="35" t="b">
        <v>0</v>
      </c>
      <c r="K2349" s="35" t="b">
        <v>0</v>
      </c>
      <c r="L2349" s="35" t="b">
        <v>0</v>
      </c>
      <c r="M2349" s="35" t="b">
        <v>0</v>
      </c>
      <c r="N2349" s="35" t="b">
        <v>0</v>
      </c>
      <c r="O2349" s="35" t="b">
        <v>0</v>
      </c>
      <c r="P2349" s="35" t="b">
        <v>0</v>
      </c>
      <c r="Q2349" s="35" t="b">
        <v>0</v>
      </c>
      <c r="R2349" s="14"/>
      <c r="S2349" s="14"/>
      <c r="T2349" s="14"/>
      <c r="U2349" s="14"/>
      <c r="V2349" s="14"/>
      <c r="W2349" s="14"/>
    </row>
    <row r="2350" ht="31.5" customHeight="1">
      <c r="A2350" s="124" t="s">
        <v>18762</v>
      </c>
      <c r="B2350" s="125" t="s">
        <v>18763</v>
      </c>
      <c r="C2350" s="126" t="s">
        <v>18764</v>
      </c>
      <c r="D2350" s="127" t="s">
        <v>18765</v>
      </c>
      <c r="E2350" s="28" t="str">
        <f>IFERROR(__xludf.DUMMYFUNCTION("GOOGLETRANSLATE(D2350,""zh-CN"",""vi"")"),"Hành động của ông ấy thể hiện sự chính trực.")</f>
        <v>Hành động của ông ấy thể hiện sự chính trực.</v>
      </c>
      <c r="F2350" s="157"/>
      <c r="G2350" s="36" t="b">
        <f t="shared" si="1"/>
        <v>0</v>
      </c>
      <c r="H2350" s="35" t="b">
        <v>1</v>
      </c>
      <c r="I2350" s="35" t="b">
        <v>0</v>
      </c>
      <c r="J2350" s="35" t="b">
        <v>0</v>
      </c>
      <c r="K2350" s="35" t="b">
        <v>0</v>
      </c>
      <c r="L2350" s="35" t="b">
        <v>0</v>
      </c>
      <c r="M2350" s="35" t="b">
        <v>0</v>
      </c>
      <c r="N2350" s="35" t="b">
        <v>0</v>
      </c>
      <c r="O2350" s="35" t="b">
        <v>0</v>
      </c>
      <c r="P2350" s="35" t="b">
        <v>0</v>
      </c>
      <c r="Q2350" s="35" t="b">
        <v>0</v>
      </c>
      <c r="R2350" s="14"/>
      <c r="S2350" s="14"/>
      <c r="T2350" s="14"/>
      <c r="U2350" s="14"/>
      <c r="V2350" s="14"/>
      <c r="W2350" s="14"/>
    </row>
    <row r="2351" ht="31.5" customHeight="1">
      <c r="A2351" s="124" t="s">
        <v>18766</v>
      </c>
      <c r="B2351" s="125" t="s">
        <v>18767</v>
      </c>
      <c r="C2351" s="126" t="s">
        <v>18768</v>
      </c>
      <c r="D2351" s="127" t="s">
        <v>18769</v>
      </c>
      <c r="E2351" s="28" t="str">
        <f>IFERROR(__xludf.DUMMYFUNCTION("GOOGLETRANSLATE(D2351,""zh-CN"",""vi"")"),"Chính phủ duy trì quyền lực nhà nước.")</f>
        <v>Chính phủ duy trì quyền lực nhà nước.</v>
      </c>
      <c r="F2351" s="157"/>
      <c r="G2351" s="36" t="b">
        <f t="shared" si="1"/>
        <v>0</v>
      </c>
      <c r="H2351" s="35" t="b">
        <v>1</v>
      </c>
      <c r="I2351" s="35" t="b">
        <v>0</v>
      </c>
      <c r="J2351" s="35" t="b">
        <v>0</v>
      </c>
      <c r="K2351" s="35" t="b">
        <v>0</v>
      </c>
      <c r="L2351" s="35" t="b">
        <v>0</v>
      </c>
      <c r="M2351" s="35" t="b">
        <v>0</v>
      </c>
      <c r="N2351" s="35" t="b">
        <v>0</v>
      </c>
      <c r="O2351" s="35" t="b">
        <v>0</v>
      </c>
      <c r="P2351" s="35" t="b">
        <v>0</v>
      </c>
      <c r="Q2351" s="35" t="b">
        <v>0</v>
      </c>
      <c r="R2351" s="14"/>
      <c r="S2351" s="14"/>
      <c r="T2351" s="14"/>
      <c r="U2351" s="14"/>
      <c r="V2351" s="14"/>
      <c r="W2351" s="14"/>
    </row>
    <row r="2352" ht="31.5" customHeight="1">
      <c r="A2352" s="124" t="s">
        <v>18770</v>
      </c>
      <c r="B2352" s="125" t="s">
        <v>18771</v>
      </c>
      <c r="C2352" s="126" t="s">
        <v>18772</v>
      </c>
      <c r="D2352" s="127" t="s">
        <v>18773</v>
      </c>
      <c r="E2352" s="28" t="str">
        <f>IFERROR(__xludf.DUMMYFUNCTION("GOOGLETRANSLATE(D2352,""zh-CN"",""vi"")"),"Kết quả thí nghiệm đã xác nhận giả thuyết của ông.")</f>
        <v>Kết quả thí nghiệm đã xác nhận giả thuyết của ông.</v>
      </c>
      <c r="F2352" s="157"/>
      <c r="G2352" s="36" t="b">
        <f t="shared" si="1"/>
        <v>0</v>
      </c>
      <c r="H2352" s="35" t="b">
        <v>1</v>
      </c>
      <c r="I2352" s="35" t="b">
        <v>0</v>
      </c>
      <c r="J2352" s="35" t="b">
        <v>0</v>
      </c>
      <c r="K2352" s="35" t="b">
        <v>0</v>
      </c>
      <c r="L2352" s="35" t="b">
        <v>0</v>
      </c>
      <c r="M2352" s="35" t="b">
        <v>0</v>
      </c>
      <c r="N2352" s="35" t="b">
        <v>0</v>
      </c>
      <c r="O2352" s="35" t="b">
        <v>0</v>
      </c>
      <c r="P2352" s="35" t="b">
        <v>0</v>
      </c>
      <c r="Q2352" s="35" t="b">
        <v>0</v>
      </c>
      <c r="R2352" s="156"/>
      <c r="S2352" s="156"/>
      <c r="T2352" s="156"/>
      <c r="U2352" s="156"/>
      <c r="V2352" s="156"/>
      <c r="W2352" s="156"/>
    </row>
    <row r="2353" ht="31.5" customHeight="1">
      <c r="A2353" s="124" t="s">
        <v>18774</v>
      </c>
      <c r="B2353" s="125" t="s">
        <v>18775</v>
      </c>
      <c r="C2353" s="126" t="s">
        <v>18776</v>
      </c>
      <c r="D2353" s="127" t="s">
        <v>18777</v>
      </c>
      <c r="E2353" s="28" t="str">
        <f>IFERROR(__xludf.DUMMYFUNCTION("GOOGLETRANSLATE(D2353,""zh-CN"",""vi"")"),"Cô ấy đã nhận được bằng tốt nghiệp xuất sắc.")</f>
        <v>Cô ấy đã nhận được bằng tốt nghiệp xuất sắc.</v>
      </c>
      <c r="F2353" s="157"/>
      <c r="G2353" s="36" t="b">
        <f t="shared" si="1"/>
        <v>0</v>
      </c>
      <c r="H2353" s="35" t="b">
        <v>1</v>
      </c>
      <c r="I2353" s="35" t="b">
        <v>0</v>
      </c>
      <c r="J2353" s="35" t="b">
        <v>0</v>
      </c>
      <c r="K2353" s="35" t="b">
        <v>0</v>
      </c>
      <c r="L2353" s="35" t="b">
        <v>0</v>
      </c>
      <c r="M2353" s="35" t="b">
        <v>0</v>
      </c>
      <c r="N2353" s="35" t="b">
        <v>0</v>
      </c>
      <c r="O2353" s="35" t="b">
        <v>0</v>
      </c>
      <c r="P2353" s="35" t="b">
        <v>0</v>
      </c>
      <c r="Q2353" s="35" t="b">
        <v>0</v>
      </c>
      <c r="R2353" s="14"/>
      <c r="S2353" s="14"/>
      <c r="T2353" s="14"/>
      <c r="U2353" s="14"/>
      <c r="V2353" s="14"/>
      <c r="W2353" s="14"/>
    </row>
    <row r="2354" ht="31.5" customHeight="1">
      <c r="A2354" s="124" t="s">
        <v>18778</v>
      </c>
      <c r="B2354" s="125" t="s">
        <v>18779</v>
      </c>
      <c r="C2354" s="126" t="s">
        <v>18780</v>
      </c>
      <c r="D2354" s="127" t="s">
        <v>18781</v>
      </c>
      <c r="E2354" s="28" t="str">
        <f>IFERROR(__xludf.DUMMYFUNCTION("GOOGLETRANSLATE(D2354,""zh-CN"",""vi"")"),"Chúng ta phải bảo vệ công lý.")</f>
        <v>Chúng ta phải bảo vệ công lý.</v>
      </c>
      <c r="F2354" s="157"/>
      <c r="G2354" s="36" t="b">
        <f t="shared" si="1"/>
        <v>0</v>
      </c>
      <c r="H2354" s="35" t="b">
        <v>1</v>
      </c>
      <c r="I2354" s="35" t="b">
        <v>0</v>
      </c>
      <c r="J2354" s="35" t="b">
        <v>0</v>
      </c>
      <c r="K2354" s="35" t="b">
        <v>0</v>
      </c>
      <c r="L2354" s="35" t="b">
        <v>0</v>
      </c>
      <c r="M2354" s="35" t="b">
        <v>0</v>
      </c>
      <c r="N2354" s="35" t="b">
        <v>0</v>
      </c>
      <c r="O2354" s="35" t="b">
        <v>0</v>
      </c>
      <c r="P2354" s="35" t="b">
        <v>0</v>
      </c>
      <c r="Q2354" s="35" t="b">
        <v>0</v>
      </c>
      <c r="R2354" s="14"/>
      <c r="S2354" s="14"/>
      <c r="T2354" s="14"/>
      <c r="U2354" s="14"/>
      <c r="V2354" s="14"/>
      <c r="W2354" s="14"/>
    </row>
    <row r="2355" ht="31.5" customHeight="1">
      <c r="A2355" s="124" t="s">
        <v>18782</v>
      </c>
      <c r="B2355" s="125" t="s">
        <v>18783</v>
      </c>
      <c r="C2355" s="126" t="s">
        <v>18784</v>
      </c>
      <c r="D2355" s="127" t="s">
        <v>18785</v>
      </c>
      <c r="E2355" s="28" t="str">
        <f>IFERROR(__xludf.DUMMYFUNCTION("GOOGLETRANSLATE(D2355,""zh-CN"",""vi"")"),"Ông trịnh trọng thông báo tin này.")</f>
        <v>Ông trịnh trọng thông báo tin này.</v>
      </c>
      <c r="F2355" s="157"/>
      <c r="G2355" s="36" t="b">
        <f t="shared" si="1"/>
        <v>0</v>
      </c>
      <c r="H2355" s="35" t="b">
        <v>1</v>
      </c>
      <c r="I2355" s="35" t="b">
        <v>0</v>
      </c>
      <c r="J2355" s="35" t="b">
        <v>0</v>
      </c>
      <c r="K2355" s="35" t="b">
        <v>0</v>
      </c>
      <c r="L2355" s="35" t="b">
        <v>0</v>
      </c>
      <c r="M2355" s="35" t="b">
        <v>0</v>
      </c>
      <c r="N2355" s="35" t="b">
        <v>0</v>
      </c>
      <c r="O2355" s="35" t="b">
        <v>0</v>
      </c>
      <c r="P2355" s="35" t="b">
        <v>0</v>
      </c>
      <c r="Q2355" s="35" t="b">
        <v>0</v>
      </c>
      <c r="R2355" s="14"/>
      <c r="S2355" s="14"/>
      <c r="T2355" s="14"/>
      <c r="U2355" s="14"/>
      <c r="V2355" s="14"/>
      <c r="W2355" s="14"/>
    </row>
    <row r="2356" ht="31.5" customHeight="1">
      <c r="A2356" s="124" t="s">
        <v>18786</v>
      </c>
      <c r="B2356" s="125" t="s">
        <v>18787</v>
      </c>
      <c r="C2356" s="126" t="s">
        <v>18788</v>
      </c>
      <c r="D2356" s="127" t="s">
        <v>18789</v>
      </c>
      <c r="E2356" s="28" t="str">
        <f>IFERROR(__xludf.DUMMYFUNCTION("GOOGLETRANSLATE(D2356,""zh-CN"",""vi"")"),"Các triệu chứng của căn bệnh này khá rõ ràng.")</f>
        <v>Các triệu chứng của căn bệnh này khá rõ ràng.</v>
      </c>
      <c r="F2356" s="157"/>
      <c r="G2356" s="36" t="b">
        <f t="shared" si="1"/>
        <v>0</v>
      </c>
      <c r="H2356" s="35" t="b">
        <v>1</v>
      </c>
      <c r="I2356" s="35" t="b">
        <v>0</v>
      </c>
      <c r="J2356" s="35" t="b">
        <v>0</v>
      </c>
      <c r="K2356" s="35" t="b">
        <v>0</v>
      </c>
      <c r="L2356" s="35" t="b">
        <v>0</v>
      </c>
      <c r="M2356" s="35" t="b">
        <v>0</v>
      </c>
      <c r="N2356" s="35" t="b">
        <v>0</v>
      </c>
      <c r="O2356" s="35" t="b">
        <v>0</v>
      </c>
      <c r="P2356" s="35" t="b">
        <v>0</v>
      </c>
      <c r="Q2356" s="35" t="b">
        <v>0</v>
      </c>
      <c r="R2356" s="14"/>
      <c r="S2356" s="14"/>
      <c r="T2356" s="14"/>
      <c r="U2356" s="14"/>
      <c r="V2356" s="14"/>
      <c r="W2356" s="14"/>
    </row>
    <row r="2357" ht="31.5" customHeight="1">
      <c r="A2357" s="124" t="s">
        <v>18790</v>
      </c>
      <c r="B2357" s="125" t="s">
        <v>4611</v>
      </c>
      <c r="C2357" s="126" t="s">
        <v>18791</v>
      </c>
      <c r="D2357" s="127" t="s">
        <v>18792</v>
      </c>
      <c r="E2357" s="28" t="str">
        <f>IFERROR(__xludf.DUMMYFUNCTION("GOOGLETRANSLATE(D2357,""zh-CN"",""vi"")"),"Cây này có nhiều cành.")</f>
        <v>Cây này có nhiều cành.</v>
      </c>
      <c r="F2357" s="157"/>
      <c r="G2357" s="36" t="b">
        <f t="shared" si="1"/>
        <v>0</v>
      </c>
      <c r="H2357" s="35" t="b">
        <v>1</v>
      </c>
      <c r="I2357" s="35" t="b">
        <v>0</v>
      </c>
      <c r="J2357" s="35" t="b">
        <v>0</v>
      </c>
      <c r="K2357" s="35" t="b">
        <v>0</v>
      </c>
      <c r="L2357" s="35" t="b">
        <v>0</v>
      </c>
      <c r="M2357" s="35" t="b">
        <v>0</v>
      </c>
      <c r="N2357" s="35" t="b">
        <v>0</v>
      </c>
      <c r="O2357" s="35" t="b">
        <v>0</v>
      </c>
      <c r="P2357" s="35" t="b">
        <v>0</v>
      </c>
      <c r="Q2357" s="35" t="b">
        <v>0</v>
      </c>
      <c r="R2357" s="14"/>
      <c r="S2357" s="14"/>
      <c r="T2357" s="14"/>
      <c r="U2357" s="14"/>
      <c r="V2357" s="14"/>
      <c r="W2357" s="14"/>
    </row>
    <row r="2358" ht="31.5" customHeight="1">
      <c r="A2358" s="124" t="s">
        <v>18793</v>
      </c>
      <c r="B2358" s="125" t="s">
        <v>18794</v>
      </c>
      <c r="C2358" s="126" t="s">
        <v>18795</v>
      </c>
      <c r="D2358" s="127" t="s">
        <v>18796</v>
      </c>
      <c r="E2358" s="28" t="str">
        <f>IFERROR(__xludf.DUMMYFUNCTION("GOOGLETRANSLATE(D2358,""zh-CN"",""vi"")"),"Ông ấy là trụ cột của gia đình.")</f>
        <v>Ông ấy là trụ cột của gia đình.</v>
      </c>
      <c r="F2358" s="157"/>
      <c r="G2358" s="36" t="b">
        <f t="shared" si="1"/>
        <v>0</v>
      </c>
      <c r="H2358" s="35" t="b">
        <v>1</v>
      </c>
      <c r="I2358" s="35" t="b">
        <v>0</v>
      </c>
      <c r="J2358" s="35" t="b">
        <v>0</v>
      </c>
      <c r="K2358" s="35" t="b">
        <v>0</v>
      </c>
      <c r="L2358" s="35" t="b">
        <v>0</v>
      </c>
      <c r="M2358" s="35" t="b">
        <v>0</v>
      </c>
      <c r="N2358" s="35" t="b">
        <v>0</v>
      </c>
      <c r="O2358" s="35" t="b">
        <v>0</v>
      </c>
      <c r="P2358" s="35" t="b">
        <v>0</v>
      </c>
      <c r="Q2358" s="35" t="b">
        <v>0</v>
      </c>
      <c r="R2358" s="14"/>
      <c r="S2358" s="14"/>
      <c r="T2358" s="14"/>
      <c r="U2358" s="14"/>
      <c r="V2358" s="14"/>
      <c r="W2358" s="14"/>
    </row>
    <row r="2359" ht="31.5" customHeight="1">
      <c r="A2359" s="124" t="s">
        <v>18797</v>
      </c>
      <c r="B2359" s="125" t="s">
        <v>18798</v>
      </c>
      <c r="C2359" s="126" t="s">
        <v>18799</v>
      </c>
      <c r="D2359" s="127" t="s">
        <v>18800</v>
      </c>
      <c r="E2359" s="28" t="str">
        <f>IFERROR(__xludf.DUMMYFUNCTION("GOOGLETRANSLATE(D2359,""zh-CN"",""vi"")"),"Công ty đã chi một khoản tiền lớn.")</f>
        <v>Công ty đã chi một khoản tiền lớn.</v>
      </c>
      <c r="F2359" s="157"/>
      <c r="G2359" s="36" t="b">
        <f t="shared" si="1"/>
        <v>0</v>
      </c>
      <c r="H2359" s="35" t="b">
        <v>1</v>
      </c>
      <c r="I2359" s="35" t="b">
        <v>0</v>
      </c>
      <c r="J2359" s="35" t="b">
        <v>0</v>
      </c>
      <c r="K2359" s="35" t="b">
        <v>0</v>
      </c>
      <c r="L2359" s="35" t="b">
        <v>0</v>
      </c>
      <c r="M2359" s="35" t="b">
        <v>0</v>
      </c>
      <c r="N2359" s="35" t="b">
        <v>0</v>
      </c>
      <c r="O2359" s="35" t="b">
        <v>0</v>
      </c>
      <c r="P2359" s="35" t="b">
        <v>0</v>
      </c>
      <c r="Q2359" s="35" t="b">
        <v>0</v>
      </c>
      <c r="R2359" s="14"/>
      <c r="S2359" s="14"/>
      <c r="T2359" s="14"/>
      <c r="U2359" s="14"/>
      <c r="V2359" s="14"/>
      <c r="W2359" s="14"/>
    </row>
    <row r="2360" ht="31.5" customHeight="1">
      <c r="A2360" s="124" t="s">
        <v>18801</v>
      </c>
      <c r="B2360" s="125" t="s">
        <v>18802</v>
      </c>
      <c r="C2360" s="126" t="s">
        <v>18803</v>
      </c>
      <c r="D2360" s="127" t="s">
        <v>18804</v>
      </c>
      <c r="E2360" s="28" t="str">
        <f>IFERROR(__xludf.DUMMYFUNCTION("GOOGLETRANSLATE(D2360,""zh-CN"",""vi"")"),"Lượng mỡ thừa có hại cho sức khỏe.")</f>
        <v>Lượng mỡ thừa có hại cho sức khỏe.</v>
      </c>
      <c r="F2360" s="157"/>
      <c r="G2360" s="36" t="b">
        <f t="shared" si="1"/>
        <v>0</v>
      </c>
      <c r="H2360" s="35" t="b">
        <v>1</v>
      </c>
      <c r="I2360" s="35" t="b">
        <v>0</v>
      </c>
      <c r="J2360" s="35" t="b">
        <v>0</v>
      </c>
      <c r="K2360" s="35" t="b">
        <v>0</v>
      </c>
      <c r="L2360" s="35" t="b">
        <v>0</v>
      </c>
      <c r="M2360" s="35" t="b">
        <v>0</v>
      </c>
      <c r="N2360" s="35" t="b">
        <v>0</v>
      </c>
      <c r="O2360" s="35" t="b">
        <v>0</v>
      </c>
      <c r="P2360" s="35" t="b">
        <v>0</v>
      </c>
      <c r="Q2360" s="35" t="b">
        <v>0</v>
      </c>
      <c r="R2360" s="14"/>
      <c r="S2360" s="14"/>
      <c r="T2360" s="14"/>
      <c r="U2360" s="14"/>
      <c r="V2360" s="14"/>
      <c r="W2360" s="14"/>
    </row>
    <row r="2361" ht="31.5" customHeight="1">
      <c r="A2361" s="124" t="s">
        <v>18805</v>
      </c>
      <c r="B2361" s="125" t="s">
        <v>18806</v>
      </c>
      <c r="C2361" s="126" t="s">
        <v>18807</v>
      </c>
      <c r="D2361" s="127" t="s">
        <v>18808</v>
      </c>
      <c r="E2361" s="28" t="str">
        <f>IFERROR(__xludf.DUMMYFUNCTION("GOOGLETRANSLATE(D2361,""zh-CN"",""vi"")"),"Anh ta bất tỉnh.")</f>
        <v>Anh ta bất tỉnh.</v>
      </c>
      <c r="F2361" s="157"/>
      <c r="G2361" s="36" t="b">
        <f t="shared" si="1"/>
        <v>0</v>
      </c>
      <c r="H2361" s="35" t="b">
        <v>1</v>
      </c>
      <c r="I2361" s="35" t="b">
        <v>0</v>
      </c>
      <c r="J2361" s="35" t="b">
        <v>0</v>
      </c>
      <c r="K2361" s="35" t="b">
        <v>0</v>
      </c>
      <c r="L2361" s="35" t="b">
        <v>0</v>
      </c>
      <c r="M2361" s="35" t="b">
        <v>0</v>
      </c>
      <c r="N2361" s="35" t="b">
        <v>0</v>
      </c>
      <c r="O2361" s="35" t="b">
        <v>0</v>
      </c>
      <c r="P2361" s="35" t="b">
        <v>0</v>
      </c>
      <c r="Q2361" s="35" t="b">
        <v>0</v>
      </c>
      <c r="R2361" s="14"/>
      <c r="S2361" s="14"/>
      <c r="T2361" s="14"/>
      <c r="U2361" s="14"/>
      <c r="V2361" s="14"/>
      <c r="W2361" s="14"/>
    </row>
    <row r="2362" ht="31.5" customHeight="1">
      <c r="A2362" s="124" t="s">
        <v>18809</v>
      </c>
      <c r="B2362" s="125" t="s">
        <v>18810</v>
      </c>
      <c r="C2362" s="126" t="s">
        <v>18811</v>
      </c>
      <c r="D2362" s="127" t="s">
        <v>18812</v>
      </c>
      <c r="E2362" s="28" t="str">
        <f>IFERROR(__xludf.DUMMYFUNCTION("GOOGLETRANSLATE(D2362,""zh-CN"",""vi"")"),"Các nhánh sông dần dần cạn khô.")</f>
        <v>Các nhánh sông dần dần cạn khô.</v>
      </c>
      <c r="F2362" s="157"/>
      <c r="G2362" s="36" t="b">
        <f t="shared" si="1"/>
        <v>0</v>
      </c>
      <c r="H2362" s="35" t="b">
        <v>1</v>
      </c>
      <c r="I2362" s="35" t="b">
        <v>0</v>
      </c>
      <c r="J2362" s="35" t="b">
        <v>0</v>
      </c>
      <c r="K2362" s="35" t="b">
        <v>0</v>
      </c>
      <c r="L2362" s="35" t="b">
        <v>0</v>
      </c>
      <c r="M2362" s="35" t="b">
        <v>0</v>
      </c>
      <c r="N2362" s="35" t="b">
        <v>0</v>
      </c>
      <c r="O2362" s="35" t="b">
        <v>0</v>
      </c>
      <c r="P2362" s="35" t="b">
        <v>0</v>
      </c>
      <c r="Q2362" s="35" t="b">
        <v>0</v>
      </c>
      <c r="R2362" s="14"/>
      <c r="S2362" s="14"/>
      <c r="T2362" s="14"/>
      <c r="U2362" s="14"/>
      <c r="V2362" s="14"/>
      <c r="W2362" s="14"/>
    </row>
    <row r="2363" ht="31.5" customHeight="1">
      <c r="A2363" s="124" t="s">
        <v>18813</v>
      </c>
      <c r="B2363" s="125" t="s">
        <v>18814</v>
      </c>
      <c r="C2363" s="126" t="s">
        <v>18815</v>
      </c>
      <c r="D2363" s="127" t="s">
        <v>18816</v>
      </c>
      <c r="E2363" s="28" t="str">
        <f>IFERROR(__xludf.DUMMYFUNCTION("GOOGLETRANSLATE(D2363,""zh-CN"",""vi"")"),"Ông ta nắm quyền kiểm soát cuộc sống gia đình.")</f>
        <v>Ông ta nắm quyền kiểm soát cuộc sống gia đình.</v>
      </c>
      <c r="F2363" s="157"/>
      <c r="G2363" s="36" t="b">
        <f t="shared" si="1"/>
        <v>0</v>
      </c>
      <c r="H2363" s="35" t="b">
        <v>1</v>
      </c>
      <c r="I2363" s="35" t="b">
        <v>0</v>
      </c>
      <c r="J2363" s="35" t="b">
        <v>0</v>
      </c>
      <c r="K2363" s="35" t="b">
        <v>0</v>
      </c>
      <c r="L2363" s="35" t="b">
        <v>0</v>
      </c>
      <c r="M2363" s="35" t="b">
        <v>0</v>
      </c>
      <c r="N2363" s="35" t="b">
        <v>0</v>
      </c>
      <c r="O2363" s="35" t="b">
        <v>0</v>
      </c>
      <c r="P2363" s="35" t="b">
        <v>0</v>
      </c>
      <c r="Q2363" s="35" t="b">
        <v>0</v>
      </c>
      <c r="R2363" s="14"/>
      <c r="S2363" s="14"/>
      <c r="T2363" s="14"/>
      <c r="U2363" s="14"/>
      <c r="V2363" s="14"/>
      <c r="W2363" s="14"/>
    </row>
    <row r="2364" ht="31.5" customHeight="1">
      <c r="A2364" s="124" t="s">
        <v>18817</v>
      </c>
      <c r="B2364" s="125" t="s">
        <v>18818</v>
      </c>
      <c r="C2364" s="126" t="s">
        <v>17424</v>
      </c>
      <c r="D2364" s="127" t="s">
        <v>18819</v>
      </c>
      <c r="E2364" s="28" t="str">
        <f>IFERROR(__xludf.DUMMYFUNCTION("GOOGLETRANSLATE(D2364,""zh-CN"",""vi"")"),"Chúng ta cần hỗ trợ những người lính ở tiền tuyến.")</f>
        <v>Chúng ta cần hỗ trợ những người lính ở tiền tuyến.</v>
      </c>
      <c r="F2364" s="157"/>
      <c r="G2364" s="36" t="b">
        <f t="shared" si="1"/>
        <v>0</v>
      </c>
      <c r="H2364" s="35" t="b">
        <v>1</v>
      </c>
      <c r="I2364" s="35" t="b">
        <v>0</v>
      </c>
      <c r="J2364" s="35" t="b">
        <v>0</v>
      </c>
      <c r="K2364" s="35" t="b">
        <v>0</v>
      </c>
      <c r="L2364" s="35" t="b">
        <v>0</v>
      </c>
      <c r="M2364" s="35" t="b">
        <v>0</v>
      </c>
      <c r="N2364" s="35" t="b">
        <v>0</v>
      </c>
      <c r="O2364" s="35" t="b">
        <v>0</v>
      </c>
      <c r="P2364" s="35" t="b">
        <v>0</v>
      </c>
      <c r="Q2364" s="35" t="b">
        <v>0</v>
      </c>
      <c r="R2364" s="14"/>
      <c r="S2364" s="14"/>
      <c r="T2364" s="14"/>
      <c r="U2364" s="14"/>
      <c r="V2364" s="14"/>
      <c r="W2364" s="14"/>
    </row>
    <row r="2365" ht="31.5" customHeight="1">
      <c r="A2365" s="124" t="s">
        <v>18820</v>
      </c>
      <c r="B2365" s="125" t="s">
        <v>18821</v>
      </c>
      <c r="C2365" s="126" t="s">
        <v>18822</v>
      </c>
      <c r="D2365" s="127" t="s">
        <v>18823</v>
      </c>
      <c r="E2365" s="28" t="str">
        <f>IFERROR(__xludf.DUMMYFUNCTION("GOOGLETRANSLATE(D2365,""zh-CN"",""vi"")"),"Gia đình là trụ cột của xã hội.")</f>
        <v>Gia đình là trụ cột của xã hội.</v>
      </c>
      <c r="F2365" s="157"/>
      <c r="G2365" s="36" t="b">
        <f t="shared" si="1"/>
        <v>0</v>
      </c>
      <c r="H2365" s="35" t="b">
        <v>1</v>
      </c>
      <c r="I2365" s="35" t="b">
        <v>0</v>
      </c>
      <c r="J2365" s="35" t="b">
        <v>0</v>
      </c>
      <c r="K2365" s="35" t="b">
        <v>0</v>
      </c>
      <c r="L2365" s="35" t="b">
        <v>0</v>
      </c>
      <c r="M2365" s="35" t="b">
        <v>0</v>
      </c>
      <c r="N2365" s="35" t="b">
        <v>0</v>
      </c>
      <c r="O2365" s="35" t="b">
        <v>0</v>
      </c>
      <c r="P2365" s="35" t="b">
        <v>0</v>
      </c>
      <c r="Q2365" s="35" t="b">
        <v>0</v>
      </c>
      <c r="R2365" s="14"/>
      <c r="S2365" s="14"/>
      <c r="T2365" s="14"/>
      <c r="U2365" s="14"/>
      <c r="V2365" s="14"/>
      <c r="W2365" s="14"/>
    </row>
    <row r="2366" ht="31.5" customHeight="1">
      <c r="A2366" s="124" t="s">
        <v>18824</v>
      </c>
      <c r="B2366" s="125" t="s">
        <v>18825</v>
      </c>
      <c r="C2366" s="126" t="s">
        <v>18826</v>
      </c>
      <c r="D2366" s="127" t="s">
        <v>18827</v>
      </c>
      <c r="E2366" s="28" t="str">
        <f>IFERROR(__xludf.DUMMYFUNCTION("GOOGLETRANSLATE(D2366,""zh-CN"",""vi"")"),"Sự mãn nguyện mang lại hạnh phúc; đó là trí tuệ của cuộc sống.")</f>
        <v>Sự mãn nguyện mang lại hạnh phúc; đó là trí tuệ của cuộc sống.</v>
      </c>
      <c r="F2366" s="157"/>
      <c r="G2366" s="36" t="b">
        <f t="shared" si="1"/>
        <v>0</v>
      </c>
      <c r="H2366" s="35" t="b">
        <v>1</v>
      </c>
      <c r="I2366" s="35" t="b">
        <v>0</v>
      </c>
      <c r="J2366" s="35" t="b">
        <v>0</v>
      </c>
      <c r="K2366" s="35" t="b">
        <v>0</v>
      </c>
      <c r="L2366" s="35" t="b">
        <v>0</v>
      </c>
      <c r="M2366" s="35" t="b">
        <v>0</v>
      </c>
      <c r="N2366" s="35" t="b">
        <v>0</v>
      </c>
      <c r="O2366" s="35" t="b">
        <v>0</v>
      </c>
      <c r="P2366" s="35" t="b">
        <v>0</v>
      </c>
      <c r="Q2366" s="35" t="b">
        <v>0</v>
      </c>
      <c r="R2366" s="14"/>
      <c r="S2366" s="14"/>
      <c r="T2366" s="14"/>
      <c r="U2366" s="14"/>
      <c r="V2366" s="14"/>
      <c r="W2366" s="14"/>
    </row>
    <row r="2367" ht="31.5" customHeight="1">
      <c r="A2367" s="124" t="s">
        <v>18828</v>
      </c>
      <c r="B2367" s="125" t="s">
        <v>18829</v>
      </c>
      <c r="C2367" s="126" t="s">
        <v>18830</v>
      </c>
      <c r="D2367" s="127" t="s">
        <v>18831</v>
      </c>
      <c r="E2367" s="28" t="str">
        <f>IFERROR(__xludf.DUMMYFUNCTION("GOOGLETRANSLATE(D2367,""zh-CN"",""vi"")"),"Anh ấy trực đêm nay.")</f>
        <v>Anh ấy trực đêm nay.</v>
      </c>
      <c r="F2367" s="157"/>
      <c r="G2367" s="36" t="b">
        <f t="shared" si="1"/>
        <v>0</v>
      </c>
      <c r="H2367" s="35" t="b">
        <v>1</v>
      </c>
      <c r="I2367" s="35" t="b">
        <v>0</v>
      </c>
      <c r="J2367" s="35" t="b">
        <v>0</v>
      </c>
      <c r="K2367" s="35" t="b">
        <v>0</v>
      </c>
      <c r="L2367" s="35" t="b">
        <v>0</v>
      </c>
      <c r="M2367" s="35" t="b">
        <v>0</v>
      </c>
      <c r="N2367" s="35" t="b">
        <v>0</v>
      </c>
      <c r="O2367" s="35" t="b">
        <v>0</v>
      </c>
      <c r="P2367" s="35" t="b">
        <v>0</v>
      </c>
      <c r="Q2367" s="35" t="b">
        <v>0</v>
      </c>
      <c r="R2367" s="14"/>
      <c r="S2367" s="14"/>
      <c r="T2367" s="14"/>
      <c r="U2367" s="14"/>
      <c r="V2367" s="14"/>
      <c r="W2367" s="14"/>
    </row>
    <row r="2368" ht="31.5" customHeight="1">
      <c r="A2368" s="124" t="s">
        <v>18832</v>
      </c>
      <c r="B2368" s="125" t="s">
        <v>18833</v>
      </c>
      <c r="C2368" s="126" t="s">
        <v>18834</v>
      </c>
      <c r="D2368" s="127" t="s">
        <v>18835</v>
      </c>
      <c r="E2368" s="28" t="str">
        <f>IFERROR(__xludf.DUMMYFUNCTION("GOOGLETRANSLATE(D2368,""zh-CN"",""vi"")"),"Tôi thích xem các chương trình phát sóng thể thao trực tiếp.")</f>
        <v>Tôi thích xem các chương trình phát sóng thể thao trực tiếp.</v>
      </c>
      <c r="F2368" s="157"/>
      <c r="G2368" s="36" t="b">
        <f t="shared" si="1"/>
        <v>0</v>
      </c>
      <c r="H2368" s="35" t="b">
        <v>1</v>
      </c>
      <c r="I2368" s="35" t="b">
        <v>0</v>
      </c>
      <c r="J2368" s="35" t="b">
        <v>0</v>
      </c>
      <c r="K2368" s="35" t="b">
        <v>0</v>
      </c>
      <c r="L2368" s="35" t="b">
        <v>0</v>
      </c>
      <c r="M2368" s="35" t="b">
        <v>0</v>
      </c>
      <c r="N2368" s="35" t="b">
        <v>0</v>
      </c>
      <c r="O2368" s="35" t="b">
        <v>0</v>
      </c>
      <c r="P2368" s="35" t="b">
        <v>0</v>
      </c>
      <c r="Q2368" s="35" t="b">
        <v>0</v>
      </c>
      <c r="R2368" s="14"/>
      <c r="S2368" s="14"/>
      <c r="T2368" s="14"/>
      <c r="U2368" s="14"/>
      <c r="V2368" s="14"/>
      <c r="W2368" s="14"/>
    </row>
    <row r="2369" ht="31.5" customHeight="1">
      <c r="A2369" s="124" t="s">
        <v>18836</v>
      </c>
      <c r="B2369" s="125" t="s">
        <v>18837</v>
      </c>
      <c r="C2369" s="126" t="s">
        <v>18838</v>
      </c>
      <c r="D2369" s="127" t="s">
        <v>18839</v>
      </c>
      <c r="E2369" s="28" t="str">
        <f>IFERROR(__xludf.DUMMYFUNCTION("GOOGLETRANSLATE(D2369,""zh-CN"",""vi"")"),"Lịch sử các thuộc địa đầy rẫy những cuộc đấu tranh.")</f>
        <v>Lịch sử các thuộc địa đầy rẫy những cuộc đấu tranh.</v>
      </c>
      <c r="F2369" s="157"/>
      <c r="G2369" s="36" t="b">
        <f t="shared" si="1"/>
        <v>0</v>
      </c>
      <c r="H2369" s="35" t="b">
        <v>1</v>
      </c>
      <c r="I2369" s="35" t="b">
        <v>0</v>
      </c>
      <c r="J2369" s="35" t="b">
        <v>0</v>
      </c>
      <c r="K2369" s="35" t="b">
        <v>0</v>
      </c>
      <c r="L2369" s="35" t="b">
        <v>0</v>
      </c>
      <c r="M2369" s="35" t="b">
        <v>0</v>
      </c>
      <c r="N2369" s="35" t="b">
        <v>0</v>
      </c>
      <c r="O2369" s="35" t="b">
        <v>0</v>
      </c>
      <c r="P2369" s="35" t="b">
        <v>0</v>
      </c>
      <c r="Q2369" s="35" t="b">
        <v>0</v>
      </c>
      <c r="R2369" s="14"/>
      <c r="S2369" s="14"/>
      <c r="T2369" s="14"/>
      <c r="U2369" s="14"/>
      <c r="V2369" s="14"/>
      <c r="W2369" s="14"/>
    </row>
    <row r="2370" ht="31.5" customHeight="1">
      <c r="A2370" s="124" t="s">
        <v>18840</v>
      </c>
      <c r="B2370" s="125" t="s">
        <v>18841</v>
      </c>
      <c r="C2370" s="126" t="s">
        <v>18842</v>
      </c>
      <c r="D2370" s="127" t="s">
        <v>18843</v>
      </c>
      <c r="E2370" s="28" t="str">
        <f>IFERROR(__xludf.DUMMYFUNCTION("GOOGLETRANSLATE(D2370,""zh-CN"",""vi"")"),"Trách nhiệm của ông bao gồm quản lý và đào tạo.")</f>
        <v>Trách nhiệm của ông bao gồm quản lý và đào tạo.</v>
      </c>
      <c r="F2370" s="157"/>
      <c r="G2370" s="36" t="b">
        <f t="shared" si="1"/>
        <v>0</v>
      </c>
      <c r="H2370" s="35" t="b">
        <v>1</v>
      </c>
      <c r="I2370" s="35" t="b">
        <v>0</v>
      </c>
      <c r="J2370" s="35" t="b">
        <v>0</v>
      </c>
      <c r="K2370" s="35" t="b">
        <v>0</v>
      </c>
      <c r="L2370" s="35" t="b">
        <v>0</v>
      </c>
      <c r="M2370" s="35" t="b">
        <v>0</v>
      </c>
      <c r="N2370" s="35" t="b">
        <v>0</v>
      </c>
      <c r="O2370" s="35" t="b">
        <v>0</v>
      </c>
      <c r="P2370" s="35" t="b">
        <v>0</v>
      </c>
      <c r="Q2370" s="35" t="b">
        <v>0</v>
      </c>
      <c r="R2370" s="14"/>
      <c r="S2370" s="14"/>
      <c r="T2370" s="14"/>
      <c r="U2370" s="14"/>
      <c r="V2370" s="14"/>
      <c r="W2370" s="14"/>
    </row>
    <row r="2371" ht="31.5" customHeight="1">
      <c r="A2371" s="124" t="s">
        <v>18844</v>
      </c>
      <c r="B2371" s="125" t="s">
        <v>18845</v>
      </c>
      <c r="C2371" s="126" t="s">
        <v>18846</v>
      </c>
      <c r="D2371" s="127" t="s">
        <v>18847</v>
      </c>
      <c r="E2371" s="28" t="str">
        <f>IFERROR(__xludf.DUMMYFUNCTION("GOOGLETRANSLATE(D2371,""zh-CN"",""vi"")"),"Anh ấy đã ứng tuyển vào một vị trí cấp cao.")</f>
        <v>Anh ấy đã ứng tuyển vào một vị trí cấp cao.</v>
      </c>
      <c r="F2371" s="157"/>
      <c r="G2371" s="36" t="b">
        <f t="shared" si="1"/>
        <v>0</v>
      </c>
      <c r="H2371" s="35" t="b">
        <v>1</v>
      </c>
      <c r="I2371" s="35" t="b">
        <v>0</v>
      </c>
      <c r="J2371" s="35" t="b">
        <v>0</v>
      </c>
      <c r="K2371" s="35" t="b">
        <v>0</v>
      </c>
      <c r="L2371" s="35" t="b">
        <v>0</v>
      </c>
      <c r="M2371" s="35" t="b">
        <v>0</v>
      </c>
      <c r="N2371" s="35" t="b">
        <v>0</v>
      </c>
      <c r="O2371" s="35" t="b">
        <v>0</v>
      </c>
      <c r="P2371" s="35" t="b">
        <v>0</v>
      </c>
      <c r="Q2371" s="35" t="b">
        <v>0</v>
      </c>
      <c r="R2371" s="14"/>
      <c r="S2371" s="14"/>
      <c r="T2371" s="14"/>
      <c r="U2371" s="14"/>
      <c r="V2371" s="14"/>
      <c r="W2371" s="14"/>
    </row>
    <row r="2372" ht="31.5" customHeight="1">
      <c r="A2372" s="124" t="s">
        <v>18848</v>
      </c>
      <c r="B2372" s="125" t="s">
        <v>18849</v>
      </c>
      <c r="C2372" s="126" t="s">
        <v>18850</v>
      </c>
      <c r="D2372" s="127" t="s">
        <v>18851</v>
      </c>
      <c r="E2372" s="28" t="str">
        <f>IFERROR(__xludf.DUMMYFUNCTION("GOOGLETRANSLATE(D2372,""zh-CN"",""vi"")"),"Ông từng giữ chức giám đốc nhà máy.")</f>
        <v>Ông từng giữ chức giám đốc nhà máy.</v>
      </c>
      <c r="F2372" s="157"/>
      <c r="G2372" s="36" t="b">
        <f t="shared" si="1"/>
        <v>0</v>
      </c>
      <c r="H2372" s="35" t="b">
        <v>1</v>
      </c>
      <c r="I2372" s="35" t="b">
        <v>0</v>
      </c>
      <c r="J2372" s="35" t="b">
        <v>0</v>
      </c>
      <c r="K2372" s="35" t="b">
        <v>0</v>
      </c>
      <c r="L2372" s="35" t="b">
        <v>0</v>
      </c>
      <c r="M2372" s="35" t="b">
        <v>0</v>
      </c>
      <c r="N2372" s="35" t="b">
        <v>0</v>
      </c>
      <c r="O2372" s="35" t="b">
        <v>0</v>
      </c>
      <c r="P2372" s="35" t="b">
        <v>0</v>
      </c>
      <c r="Q2372" s="35" t="b">
        <v>0</v>
      </c>
      <c r="R2372" s="14"/>
      <c r="S2372" s="14"/>
      <c r="T2372" s="14"/>
      <c r="U2372" s="14"/>
      <c r="V2372" s="14"/>
      <c r="W2372" s="14"/>
    </row>
    <row r="2373" ht="31.5" customHeight="1">
      <c r="A2373" s="124" t="s">
        <v>18852</v>
      </c>
      <c r="B2373" s="125" t="s">
        <v>18853</v>
      </c>
      <c r="C2373" s="126" t="s">
        <v>18854</v>
      </c>
      <c r="D2373" s="127" t="s">
        <v>18855</v>
      </c>
      <c r="E2373" s="28" t="str">
        <f>IFERROR(__xludf.DUMMYFUNCTION("GOOGLETRANSLATE(D2373,""zh-CN"",""vi"")"),"Các chỉ số hiệu quả hoạt động của công ty đáp ứng kỳ vọng.")</f>
        <v>Các chỉ số hiệu quả hoạt động của công ty đáp ứng kỳ vọng.</v>
      </c>
      <c r="F2373" s="157"/>
      <c r="G2373" s="36" t="b">
        <f t="shared" si="1"/>
        <v>0</v>
      </c>
      <c r="H2373" s="35" t="b">
        <v>1</v>
      </c>
      <c r="I2373" s="35" t="b">
        <v>0</v>
      </c>
      <c r="J2373" s="35" t="b">
        <v>0</v>
      </c>
      <c r="K2373" s="35" t="b">
        <v>0</v>
      </c>
      <c r="L2373" s="35" t="b">
        <v>0</v>
      </c>
      <c r="M2373" s="35" t="b">
        <v>0</v>
      </c>
      <c r="N2373" s="35" t="b">
        <v>0</v>
      </c>
      <c r="O2373" s="35" t="b">
        <v>0</v>
      </c>
      <c r="P2373" s="35" t="b">
        <v>0</v>
      </c>
      <c r="Q2373" s="35" t="b">
        <v>0</v>
      </c>
      <c r="R2373" s="14"/>
      <c r="S2373" s="14"/>
      <c r="T2373" s="14"/>
      <c r="U2373" s="14"/>
      <c r="V2373" s="14"/>
      <c r="W2373" s="14"/>
    </row>
    <row r="2374" ht="31.5" customHeight="1">
      <c r="A2374" s="124" t="s">
        <v>18856</v>
      </c>
      <c r="B2374" s="125" t="s">
        <v>18857</v>
      </c>
      <c r="C2374" s="126" t="s">
        <v>18858</v>
      </c>
      <c r="D2374" s="127" t="s">
        <v>18859</v>
      </c>
      <c r="E2374" s="28" t="str">
        <f>IFERROR(__xludf.DUMMYFUNCTION("GOOGLETRANSLATE(D2374,""zh-CN"",""vi"")"),"Người quản lý đã bổ nhiệm anh ta làm trưởng dự án.")</f>
        <v>Người quản lý đã bổ nhiệm anh ta làm trưởng dự án.</v>
      </c>
      <c r="F2374" s="157"/>
      <c r="G2374" s="36" t="b">
        <f t="shared" si="1"/>
        <v>0</v>
      </c>
      <c r="H2374" s="35" t="b">
        <v>1</v>
      </c>
      <c r="I2374" s="35" t="b">
        <v>0</v>
      </c>
      <c r="J2374" s="35" t="b">
        <v>0</v>
      </c>
      <c r="K2374" s="35" t="b">
        <v>0</v>
      </c>
      <c r="L2374" s="35" t="b">
        <v>0</v>
      </c>
      <c r="M2374" s="35" t="b">
        <v>0</v>
      </c>
      <c r="N2374" s="35" t="b">
        <v>0</v>
      </c>
      <c r="O2374" s="35" t="b">
        <v>0</v>
      </c>
      <c r="P2374" s="35" t="b">
        <v>0</v>
      </c>
      <c r="Q2374" s="35" t="b">
        <v>0</v>
      </c>
      <c r="R2374" s="14"/>
      <c r="S2374" s="14"/>
      <c r="T2374" s="14"/>
      <c r="U2374" s="14"/>
      <c r="V2374" s="14"/>
      <c r="W2374" s="14"/>
    </row>
    <row r="2375" ht="31.5" customHeight="1">
      <c r="A2375" s="124" t="s">
        <v>18860</v>
      </c>
      <c r="B2375" s="125" t="s">
        <v>18861</v>
      </c>
      <c r="C2375" s="126" t="s">
        <v>18862</v>
      </c>
      <c r="D2375" s="127" t="s">
        <v>18863</v>
      </c>
      <c r="E2375" s="28" t="str">
        <f>IFERROR(__xludf.DUMMYFUNCTION("GOOGLETRANSLATE(D2375,""zh-CN"",""vi"")"),"Móng tay của cô ấy rất dài.")</f>
        <v>Móng tay của cô ấy rất dài.</v>
      </c>
      <c r="F2375" s="157"/>
      <c r="G2375" s="36" t="b">
        <f t="shared" si="1"/>
        <v>0</v>
      </c>
      <c r="H2375" s="35" t="b">
        <v>1</v>
      </c>
      <c r="I2375" s="35" t="b">
        <v>0</v>
      </c>
      <c r="J2375" s="35" t="b">
        <v>0</v>
      </c>
      <c r="K2375" s="35" t="b">
        <v>0</v>
      </c>
      <c r="L2375" s="35" t="b">
        <v>0</v>
      </c>
      <c r="M2375" s="35" t="b">
        <v>0</v>
      </c>
      <c r="N2375" s="35" t="b">
        <v>0</v>
      </c>
      <c r="O2375" s="35" t="b">
        <v>0</v>
      </c>
      <c r="P2375" s="35" t="b">
        <v>0</v>
      </c>
      <c r="Q2375" s="35" t="b">
        <v>0</v>
      </c>
      <c r="R2375" s="14"/>
      <c r="S2375" s="14"/>
      <c r="T2375" s="14"/>
      <c r="U2375" s="14"/>
      <c r="V2375" s="14"/>
      <c r="W2375" s="14"/>
    </row>
    <row r="2376" ht="31.5" customHeight="1">
      <c r="A2376" s="124" t="s">
        <v>18864</v>
      </c>
      <c r="B2376" s="125" t="s">
        <v>18865</v>
      </c>
      <c r="C2376" s="126" t="s">
        <v>18866</v>
      </c>
      <c r="D2376" s="127" t="s">
        <v>18867</v>
      </c>
      <c r="E2376" s="28" t="str">
        <f>IFERROR(__xludf.DUMMYFUNCTION("GOOGLETRANSLATE(D2376,""zh-CN"",""vi"")"),"Ông ta đã ban hành chỉ thị mới.")</f>
        <v>Ông ta đã ban hành chỉ thị mới.</v>
      </c>
      <c r="F2376" s="157"/>
      <c r="G2376" s="36" t="b">
        <f t="shared" si="1"/>
        <v>0</v>
      </c>
      <c r="H2376" s="35" t="b">
        <v>1</v>
      </c>
      <c r="I2376" s="35" t="b">
        <v>0</v>
      </c>
      <c r="J2376" s="35" t="b">
        <v>0</v>
      </c>
      <c r="K2376" s="35" t="b">
        <v>0</v>
      </c>
      <c r="L2376" s="35" t="b">
        <v>0</v>
      </c>
      <c r="M2376" s="35" t="b">
        <v>0</v>
      </c>
      <c r="N2376" s="35" t="b">
        <v>0</v>
      </c>
      <c r="O2376" s="35" t="b">
        <v>0</v>
      </c>
      <c r="P2376" s="35" t="b">
        <v>0</v>
      </c>
      <c r="Q2376" s="35" t="b">
        <v>0</v>
      </c>
      <c r="R2376" s="14"/>
      <c r="S2376" s="14"/>
      <c r="T2376" s="14"/>
      <c r="U2376" s="14"/>
      <c r="V2376" s="14"/>
      <c r="W2376" s="14"/>
    </row>
    <row r="2377" ht="31.5" customHeight="1">
      <c r="A2377" s="124" t="s">
        <v>18868</v>
      </c>
      <c r="B2377" s="125" t="s">
        <v>18869</v>
      </c>
      <c r="C2377" s="126" t="s">
        <v>18870</v>
      </c>
      <c r="D2377" s="127" t="s">
        <v>18871</v>
      </c>
      <c r="E2377" s="28" t="str">
        <f>IFERROR(__xludf.DUMMYFUNCTION("GOOGLETRANSLATE(D2377,""zh-CN"",""vi"")"),"Chúng ta sử dụng la bàn để xác định phương hướng.")</f>
        <v>Chúng ta sử dụng la bàn để xác định phương hướng.</v>
      </c>
      <c r="F2377" s="157"/>
      <c r="G2377" s="36" t="b">
        <f t="shared" si="1"/>
        <v>0</v>
      </c>
      <c r="H2377" s="35" t="b">
        <v>1</v>
      </c>
      <c r="I2377" s="35" t="b">
        <v>0</v>
      </c>
      <c r="J2377" s="35" t="b">
        <v>0</v>
      </c>
      <c r="K2377" s="35" t="b">
        <v>0</v>
      </c>
      <c r="L2377" s="35" t="b">
        <v>0</v>
      </c>
      <c r="M2377" s="35" t="b">
        <v>0</v>
      </c>
      <c r="N2377" s="35" t="b">
        <v>0</v>
      </c>
      <c r="O2377" s="35" t="b">
        <v>0</v>
      </c>
      <c r="P2377" s="35" t="b">
        <v>0</v>
      </c>
      <c r="Q2377" s="35" t="b">
        <v>0</v>
      </c>
      <c r="R2377" s="14"/>
      <c r="S2377" s="14"/>
      <c r="T2377" s="14"/>
      <c r="U2377" s="14"/>
      <c r="V2377" s="14"/>
      <c r="W2377" s="14"/>
    </row>
    <row r="2378" ht="31.5" customHeight="1">
      <c r="A2378" s="124" t="s">
        <v>18872</v>
      </c>
      <c r="B2378" s="125" t="s">
        <v>18873</v>
      </c>
      <c r="C2378" s="126" t="s">
        <v>18866</v>
      </c>
      <c r="D2378" s="127" t="s">
        <v>18874</v>
      </c>
      <c r="E2378" s="28" t="str">
        <f>IFERROR(__xludf.DUMMYFUNCTION("GOOGLETRANSLATE(D2378,""zh-CN"",""vi"")"),"Cô giáo hướng dẫn học sinh hoàn thành bài tập về nhà.")</f>
        <v>Cô giáo hướng dẫn học sinh hoàn thành bài tập về nhà.</v>
      </c>
      <c r="F2378" s="157"/>
      <c r="G2378" s="36" t="b">
        <f t="shared" si="1"/>
        <v>0</v>
      </c>
      <c r="H2378" s="35" t="b">
        <v>1</v>
      </c>
      <c r="I2378" s="35" t="b">
        <v>0</v>
      </c>
      <c r="J2378" s="35" t="b">
        <v>0</v>
      </c>
      <c r="K2378" s="35" t="b">
        <v>0</v>
      </c>
      <c r="L2378" s="35" t="b">
        <v>0</v>
      </c>
      <c r="M2378" s="35" t="b">
        <v>0</v>
      </c>
      <c r="N2378" s="35" t="b">
        <v>0</v>
      </c>
      <c r="O2378" s="35" t="b">
        <v>0</v>
      </c>
      <c r="P2378" s="35" t="b">
        <v>0</v>
      </c>
      <c r="Q2378" s="35" t="b">
        <v>0</v>
      </c>
      <c r="R2378" s="14"/>
      <c r="S2378" s="14"/>
      <c r="T2378" s="14"/>
      <c r="U2378" s="14"/>
      <c r="V2378" s="14"/>
      <c r="W2378" s="14"/>
    </row>
    <row r="2379" ht="31.5" customHeight="1">
      <c r="A2379" s="124" t="s">
        <v>18875</v>
      </c>
      <c r="B2379" s="125" t="s">
        <v>18876</v>
      </c>
      <c r="C2379" s="126" t="s">
        <v>18877</v>
      </c>
      <c r="D2379" s="127" t="s">
        <v>18878</v>
      </c>
      <c r="E2379" s="28" t="str">
        <f>IFERROR(__xludf.DUMMYFUNCTION("GOOGLETRANSLATE(D2379,""zh-CN"",""vi"")"),"Cậu ấy hy vọng sẽ đạt điểm cao trong kỳ thi.")</f>
        <v>Cậu ấy hy vọng sẽ đạt điểm cao trong kỳ thi.</v>
      </c>
      <c r="F2379" s="157"/>
      <c r="G2379" s="36" t="b">
        <f t="shared" si="1"/>
        <v>0</v>
      </c>
      <c r="H2379" s="35" t="b">
        <v>1</v>
      </c>
      <c r="I2379" s="35" t="b">
        <v>0</v>
      </c>
      <c r="J2379" s="35" t="b">
        <v>0</v>
      </c>
      <c r="K2379" s="35" t="b">
        <v>0</v>
      </c>
      <c r="L2379" s="35" t="b">
        <v>0</v>
      </c>
      <c r="M2379" s="35" t="b">
        <v>0</v>
      </c>
      <c r="N2379" s="35" t="b">
        <v>0</v>
      </c>
      <c r="O2379" s="35" t="b">
        <v>0</v>
      </c>
      <c r="P2379" s="35" t="b">
        <v>0</v>
      </c>
      <c r="Q2379" s="35" t="b">
        <v>0</v>
      </c>
      <c r="R2379" s="14"/>
      <c r="S2379" s="14"/>
      <c r="T2379" s="14"/>
      <c r="U2379" s="14"/>
      <c r="V2379" s="14"/>
      <c r="W2379" s="14"/>
    </row>
    <row r="2380" ht="31.5" customHeight="1">
      <c r="A2380" s="124" t="s">
        <v>18879</v>
      </c>
      <c r="B2380" s="125" t="s">
        <v>18880</v>
      </c>
      <c r="C2380" s="126" t="s">
        <v>18881</v>
      </c>
      <c r="D2380" s="127" t="s">
        <v>18882</v>
      </c>
      <c r="E2380" s="28" t="str">
        <f>IFERROR(__xludf.DUMMYFUNCTION("GOOGLETRANSLATE(D2380,""zh-CN"",""vi"")"),"Họ cáo buộc tôi không cố gắng hết sức.")</f>
        <v>Họ cáo buộc tôi không cố gắng hết sức.</v>
      </c>
      <c r="F2380" s="157"/>
      <c r="G2380" s="36" t="b">
        <f t="shared" si="1"/>
        <v>0</v>
      </c>
      <c r="H2380" s="35" t="b">
        <v>1</v>
      </c>
      <c r="I2380" s="35" t="b">
        <v>0</v>
      </c>
      <c r="J2380" s="35" t="b">
        <v>0</v>
      </c>
      <c r="K2380" s="35" t="b">
        <v>0</v>
      </c>
      <c r="L2380" s="35" t="b">
        <v>0</v>
      </c>
      <c r="M2380" s="35" t="b">
        <v>0</v>
      </c>
      <c r="N2380" s="35" t="b">
        <v>0</v>
      </c>
      <c r="O2380" s="35" t="b">
        <v>0</v>
      </c>
      <c r="P2380" s="35" t="b">
        <v>0</v>
      </c>
      <c r="Q2380" s="35" t="b">
        <v>0</v>
      </c>
      <c r="R2380" s="14"/>
      <c r="S2380" s="14"/>
      <c r="T2380" s="14"/>
      <c r="U2380" s="14"/>
      <c r="V2380" s="14"/>
      <c r="W2380" s="14"/>
    </row>
    <row r="2381" ht="31.5" customHeight="1">
      <c r="A2381" s="124" t="s">
        <v>18883</v>
      </c>
      <c r="B2381" s="125" t="s">
        <v>18884</v>
      </c>
      <c r="C2381" s="126" t="s">
        <v>18885</v>
      </c>
      <c r="D2381" s="127" t="s">
        <v>18886</v>
      </c>
      <c r="E2381" s="28" t="str">
        <f>IFERROR(__xludf.DUMMYFUNCTION("GOOGLETRANSLATE(D2381,""zh-CN"",""vi"")"),"Cảnh sát duy trì trật tự trong cộng đồng.")</f>
        <v>Cảnh sát duy trì trật tự trong cộng đồng.</v>
      </c>
      <c r="F2381" s="157"/>
      <c r="G2381" s="36" t="b">
        <f t="shared" si="1"/>
        <v>0</v>
      </c>
      <c r="H2381" s="35" t="b">
        <v>1</v>
      </c>
      <c r="I2381" s="35" t="b">
        <v>0</v>
      </c>
      <c r="J2381" s="35" t="b">
        <v>0</v>
      </c>
      <c r="K2381" s="35" t="b">
        <v>0</v>
      </c>
      <c r="L2381" s="35" t="b">
        <v>0</v>
      </c>
      <c r="M2381" s="35" t="b">
        <v>0</v>
      </c>
      <c r="N2381" s="35" t="b">
        <v>0</v>
      </c>
      <c r="O2381" s="35" t="b">
        <v>0</v>
      </c>
      <c r="P2381" s="35" t="b">
        <v>0</v>
      </c>
      <c r="Q2381" s="35" t="b">
        <v>0</v>
      </c>
      <c r="R2381" s="14"/>
      <c r="S2381" s="14"/>
      <c r="T2381" s="14"/>
      <c r="U2381" s="14"/>
      <c r="V2381" s="14"/>
      <c r="W2381" s="14"/>
    </row>
    <row r="2382" ht="31.5" customHeight="1">
      <c r="A2382" s="124" t="s">
        <v>18887</v>
      </c>
      <c r="B2382" s="125" t="s">
        <v>18888</v>
      </c>
      <c r="C2382" s="126" t="s">
        <v>18889</v>
      </c>
      <c r="D2382" s="127" t="s">
        <v>18890</v>
      </c>
      <c r="E2382" s="28" t="str">
        <f>IFERROR(__xludf.DUMMYFUNCTION("GOOGLETRANSLATE(D2382,""zh-CN"",""vi"")"),"Những kẻ vi phạm pháp luật sẽ bị trừng phạt.")</f>
        <v>Những kẻ vi phạm pháp luật sẽ bị trừng phạt.</v>
      </c>
      <c r="F2382" s="157"/>
      <c r="G2382" s="36" t="b">
        <f t="shared" si="1"/>
        <v>0</v>
      </c>
      <c r="H2382" s="35" t="b">
        <v>1</v>
      </c>
      <c r="I2382" s="35" t="b">
        <v>0</v>
      </c>
      <c r="J2382" s="35" t="b">
        <v>0</v>
      </c>
      <c r="K2382" s="35" t="b">
        <v>0</v>
      </c>
      <c r="L2382" s="35" t="b">
        <v>0</v>
      </c>
      <c r="M2382" s="35" t="b">
        <v>0</v>
      </c>
      <c r="N2382" s="35" t="b">
        <v>0</v>
      </c>
      <c r="O2382" s="35" t="b">
        <v>0</v>
      </c>
      <c r="P2382" s="35" t="b">
        <v>0</v>
      </c>
      <c r="Q2382" s="35" t="b">
        <v>0</v>
      </c>
      <c r="R2382" s="14"/>
      <c r="S2382" s="14"/>
      <c r="T2382" s="14"/>
      <c r="U2382" s="14"/>
      <c r="V2382" s="14"/>
      <c r="W2382" s="14"/>
    </row>
    <row r="2383" ht="31.5" customHeight="1">
      <c r="A2383" s="124" t="s">
        <v>18891</v>
      </c>
      <c r="B2383" s="125" t="s">
        <v>18892</v>
      </c>
      <c r="C2383" s="126" t="s">
        <v>18893</v>
      </c>
      <c r="D2383" s="127" t="s">
        <v>18894</v>
      </c>
      <c r="E2383" s="28" t="str">
        <f>IFERROR(__xludf.DUMMYFUNCTION("GOOGLETRANSLATE(D2383,""zh-CN"",""vi"")"),"Ông đã có bài phát biểu tại cuộc họp.")</f>
        <v>Ông đã có bài phát biểu tại cuộc họp.</v>
      </c>
      <c r="F2383" s="157"/>
      <c r="G2383" s="36" t="b">
        <f t="shared" si="1"/>
        <v>0</v>
      </c>
      <c r="H2383" s="35" t="b">
        <v>1</v>
      </c>
      <c r="I2383" s="35" t="b">
        <v>0</v>
      </c>
      <c r="J2383" s="35" t="b">
        <v>0</v>
      </c>
      <c r="K2383" s="35" t="b">
        <v>0</v>
      </c>
      <c r="L2383" s="35" t="b">
        <v>0</v>
      </c>
      <c r="M2383" s="35" t="b">
        <v>0</v>
      </c>
      <c r="N2383" s="35" t="b">
        <v>0</v>
      </c>
      <c r="O2383" s="35" t="b">
        <v>0</v>
      </c>
      <c r="P2383" s="35" t="b">
        <v>0</v>
      </c>
      <c r="Q2383" s="35" t="b">
        <v>0</v>
      </c>
      <c r="R2383" s="14"/>
      <c r="S2383" s="14"/>
      <c r="T2383" s="14"/>
      <c r="U2383" s="14"/>
      <c r="V2383" s="14"/>
      <c r="W2383" s="14"/>
    </row>
    <row r="2384" ht="31.5" customHeight="1">
      <c r="A2384" s="124" t="s">
        <v>18895</v>
      </c>
      <c r="B2384" s="125" t="s">
        <v>18896</v>
      </c>
      <c r="C2384" s="126" t="s">
        <v>18897</v>
      </c>
      <c r="D2384" s="127" t="s">
        <v>18898</v>
      </c>
      <c r="E2384" s="28" t="str">
        <f>IFERROR(__xludf.DUMMYFUNCTION("GOOGLETRANSLATE(D2384,""zh-CN"",""vi"")"),"Chúng ta cần lập một kế hoạch chi tiết.")</f>
        <v>Chúng ta cần lập một kế hoạch chi tiết.</v>
      </c>
      <c r="F2384" s="157"/>
      <c r="G2384" s="36" t="b">
        <f t="shared" si="1"/>
        <v>0</v>
      </c>
      <c r="H2384" s="35" t="b">
        <v>1</v>
      </c>
      <c r="I2384" s="35" t="b">
        <v>0</v>
      </c>
      <c r="J2384" s="35" t="b">
        <v>0</v>
      </c>
      <c r="K2384" s="35" t="b">
        <v>0</v>
      </c>
      <c r="L2384" s="35" t="b">
        <v>0</v>
      </c>
      <c r="M2384" s="35" t="b">
        <v>0</v>
      </c>
      <c r="N2384" s="35" t="b">
        <v>0</v>
      </c>
      <c r="O2384" s="35" t="b">
        <v>0</v>
      </c>
      <c r="P2384" s="35" t="b">
        <v>0</v>
      </c>
      <c r="Q2384" s="35" t="b">
        <v>0</v>
      </c>
      <c r="R2384" s="14"/>
      <c r="S2384" s="14"/>
      <c r="T2384" s="14"/>
      <c r="U2384" s="14"/>
      <c r="V2384" s="14"/>
      <c r="W2384" s="14"/>
    </row>
    <row r="2385" ht="31.5" customHeight="1">
      <c r="A2385" s="124" t="s">
        <v>18899</v>
      </c>
      <c r="B2385" s="125" t="s">
        <v>18900</v>
      </c>
      <c r="C2385" s="126" t="s">
        <v>18901</v>
      </c>
      <c r="D2385" s="127" t="s">
        <v>18902</v>
      </c>
      <c r="E2385" s="28" t="str">
        <f>IFERROR(__xludf.DUMMYFUNCTION("GOOGLETRANSLATE(D2385,""zh-CN"",""vi"")"),"Anh ấy đến chỗ làm trong bộ đồng phục.")</f>
        <v>Anh ấy đến chỗ làm trong bộ đồng phục.</v>
      </c>
      <c r="F2385" s="157"/>
      <c r="G2385" s="36" t="b">
        <f t="shared" si="1"/>
        <v>0</v>
      </c>
      <c r="H2385" s="35" t="b">
        <v>1</v>
      </c>
      <c r="I2385" s="35" t="b">
        <v>0</v>
      </c>
      <c r="J2385" s="35" t="b">
        <v>0</v>
      </c>
      <c r="K2385" s="35" t="b">
        <v>0</v>
      </c>
      <c r="L2385" s="35" t="b">
        <v>0</v>
      </c>
      <c r="M2385" s="35" t="b">
        <v>0</v>
      </c>
      <c r="N2385" s="35" t="b">
        <v>0</v>
      </c>
      <c r="O2385" s="35" t="b">
        <v>0</v>
      </c>
      <c r="P2385" s="35" t="b">
        <v>0</v>
      </c>
      <c r="Q2385" s="35" t="b">
        <v>0</v>
      </c>
      <c r="R2385" s="14"/>
      <c r="S2385" s="14"/>
      <c r="T2385" s="14"/>
      <c r="U2385" s="14"/>
      <c r="V2385" s="14"/>
      <c r="W2385" s="14"/>
    </row>
    <row r="2386" ht="31.5" customHeight="1">
      <c r="A2386" s="124" t="s">
        <v>18903</v>
      </c>
      <c r="B2386" s="125" t="s">
        <v>18904</v>
      </c>
      <c r="C2386" s="126" t="s">
        <v>18905</v>
      </c>
      <c r="D2386" s="127" t="s">
        <v>18906</v>
      </c>
      <c r="E2386" s="28" t="str">
        <f>IFERROR(__xludf.DUMMYFUNCTION("GOOGLETRANSLATE(D2386,""zh-CN"",""vi"")"),"Chúng ta phải điều hành đất nước này thật tốt.")</f>
        <v>Chúng ta phải điều hành đất nước này thật tốt.</v>
      </c>
      <c r="F2386" s="157"/>
      <c r="G2386" s="36" t="b">
        <f t="shared" si="1"/>
        <v>0</v>
      </c>
      <c r="H2386" s="35" t="b">
        <v>1</v>
      </c>
      <c r="I2386" s="35" t="b">
        <v>0</v>
      </c>
      <c r="J2386" s="35" t="b">
        <v>0</v>
      </c>
      <c r="K2386" s="35" t="b">
        <v>0</v>
      </c>
      <c r="L2386" s="35" t="b">
        <v>0</v>
      </c>
      <c r="M2386" s="35" t="b">
        <v>0</v>
      </c>
      <c r="N2386" s="35" t="b">
        <v>0</v>
      </c>
      <c r="O2386" s="35" t="b">
        <v>0</v>
      </c>
      <c r="P2386" s="35" t="b">
        <v>0</v>
      </c>
      <c r="Q2386" s="35" t="b">
        <v>0</v>
      </c>
      <c r="R2386" s="14"/>
      <c r="S2386" s="14"/>
      <c r="T2386" s="14"/>
      <c r="U2386" s="14"/>
      <c r="V2386" s="14"/>
      <c r="W2386" s="14"/>
    </row>
    <row r="2387" ht="31.5" customHeight="1">
      <c r="A2387" s="124" t="s">
        <v>18907</v>
      </c>
      <c r="B2387" s="125" t="s">
        <v>18908</v>
      </c>
      <c r="C2387" s="126" t="s">
        <v>18909</v>
      </c>
      <c r="D2387" s="127" t="s">
        <v>18910</v>
      </c>
      <c r="E2387" s="28" t="str">
        <f>IFERROR(__xludf.DUMMYFUNCTION("GOOGLETRANSLATE(D2387,""zh-CN"",""vi"")"),"Trí thông minh là một yếu tố quan trọng trong quá trình học tập.")</f>
        <v>Trí thông minh là một yếu tố quan trọng trong quá trình học tập.</v>
      </c>
      <c r="F2387" s="157"/>
      <c r="G2387" s="36" t="b">
        <f t="shared" si="1"/>
        <v>0</v>
      </c>
      <c r="H2387" s="35" t="b">
        <v>1</v>
      </c>
      <c r="I2387" s="35" t="b">
        <v>0</v>
      </c>
      <c r="J2387" s="35" t="b">
        <v>0</v>
      </c>
      <c r="K2387" s="35" t="b">
        <v>0</v>
      </c>
      <c r="L2387" s="35" t="b">
        <v>0</v>
      </c>
      <c r="M2387" s="35" t="b">
        <v>0</v>
      </c>
      <c r="N2387" s="35" t="b">
        <v>0</v>
      </c>
      <c r="O2387" s="35" t="b">
        <v>0</v>
      </c>
      <c r="P2387" s="35" t="b">
        <v>0</v>
      </c>
      <c r="Q2387" s="35" t="b">
        <v>0</v>
      </c>
      <c r="R2387" s="14"/>
      <c r="S2387" s="14"/>
      <c r="T2387" s="14"/>
      <c r="U2387" s="14"/>
      <c r="V2387" s="14"/>
      <c r="W2387" s="14"/>
    </row>
    <row r="2388" ht="31.5" customHeight="1">
      <c r="A2388" s="124" t="s">
        <v>18911</v>
      </c>
      <c r="B2388" s="125" t="s">
        <v>18912</v>
      </c>
      <c r="C2388" s="126" t="s">
        <v>18913</v>
      </c>
      <c r="D2388" s="127" t="s">
        <v>18914</v>
      </c>
      <c r="E2388" s="28" t="str">
        <f>IFERROR(__xludf.DUMMYFUNCTION("GOOGLETRANSLATE(D2388,""zh-CN"",""vi"")"),"Ông ấy hết lòng vì việc bảo vệ môi trường.")</f>
        <v>Ông ấy hết lòng vì việc bảo vệ môi trường.</v>
      </c>
      <c r="F2388" s="157"/>
      <c r="G2388" s="36" t="b">
        <f t="shared" si="1"/>
        <v>0</v>
      </c>
      <c r="H2388" s="35" t="b">
        <v>1</v>
      </c>
      <c r="I2388" s="35" t="b">
        <v>0</v>
      </c>
      <c r="J2388" s="35" t="b">
        <v>0</v>
      </c>
      <c r="K2388" s="35" t="b">
        <v>0</v>
      </c>
      <c r="L2388" s="35" t="b">
        <v>0</v>
      </c>
      <c r="M2388" s="35" t="b">
        <v>0</v>
      </c>
      <c r="N2388" s="35" t="b">
        <v>0</v>
      </c>
      <c r="O2388" s="35" t="b">
        <v>0</v>
      </c>
      <c r="P2388" s="35" t="b">
        <v>0</v>
      </c>
      <c r="Q2388" s="35" t="b">
        <v>0</v>
      </c>
      <c r="R2388" s="14"/>
      <c r="S2388" s="14"/>
      <c r="T2388" s="14"/>
      <c r="U2388" s="14"/>
      <c r="V2388" s="14"/>
      <c r="W2388" s="14"/>
    </row>
    <row r="2389" ht="31.5" customHeight="1">
      <c r="A2389" s="124" t="s">
        <v>18915</v>
      </c>
      <c r="B2389" s="125" t="s">
        <v>18916</v>
      </c>
      <c r="C2389" s="126" t="s">
        <v>18917</v>
      </c>
      <c r="D2389" s="127" t="s">
        <v>18918</v>
      </c>
      <c r="E2389" s="28" t="str">
        <f>IFERROR(__xludf.DUMMYFUNCTION("GOOGLETRANSLATE(D2389,""zh-CN"",""vi"")"),"Anh ấy bị kẹt xe trên đường.")</f>
        <v>Anh ấy bị kẹt xe trên đường.</v>
      </c>
      <c r="F2389" s="157"/>
      <c r="G2389" s="36" t="b">
        <f t="shared" si="1"/>
        <v>0</v>
      </c>
      <c r="H2389" s="35" t="b">
        <v>1</v>
      </c>
      <c r="I2389" s="35" t="b">
        <v>0</v>
      </c>
      <c r="J2389" s="35" t="b">
        <v>0</v>
      </c>
      <c r="K2389" s="35" t="b">
        <v>0</v>
      </c>
      <c r="L2389" s="35" t="b">
        <v>0</v>
      </c>
      <c r="M2389" s="35" t="b">
        <v>0</v>
      </c>
      <c r="N2389" s="35" t="b">
        <v>0</v>
      </c>
      <c r="O2389" s="35" t="b">
        <v>0</v>
      </c>
      <c r="P2389" s="35" t="b">
        <v>0</v>
      </c>
      <c r="Q2389" s="35" t="b">
        <v>0</v>
      </c>
      <c r="R2389" s="14"/>
      <c r="S2389" s="14"/>
      <c r="T2389" s="14"/>
      <c r="U2389" s="14"/>
      <c r="V2389" s="14"/>
      <c r="W2389" s="14"/>
    </row>
    <row r="2390" ht="31.5" customHeight="1">
      <c r="A2390" s="124" t="s">
        <v>18919</v>
      </c>
      <c r="B2390" s="125" t="s">
        <v>18920</v>
      </c>
      <c r="C2390" s="126" t="s">
        <v>18921</v>
      </c>
      <c r="D2390" s="127" t="s">
        <v>18922</v>
      </c>
      <c r="E2390" s="28" t="str">
        <f>IFERROR(__xludf.DUMMYFUNCTION("GOOGLETRANSLATE(D2390,""zh-CN"",""vi"")"),"Chúng tôi đã phát triển điện thoại thông minh.")</f>
        <v>Chúng tôi đã phát triển điện thoại thông minh.</v>
      </c>
      <c r="F2390" s="157"/>
      <c r="G2390" s="36" t="b">
        <f t="shared" si="1"/>
        <v>0</v>
      </c>
      <c r="H2390" s="35" t="b">
        <v>1</v>
      </c>
      <c r="I2390" s="35" t="b">
        <v>0</v>
      </c>
      <c r="J2390" s="35" t="b">
        <v>0</v>
      </c>
      <c r="K2390" s="35" t="b">
        <v>0</v>
      </c>
      <c r="L2390" s="35" t="b">
        <v>0</v>
      </c>
      <c r="M2390" s="35" t="b">
        <v>0</v>
      </c>
      <c r="N2390" s="35" t="b">
        <v>0</v>
      </c>
      <c r="O2390" s="35" t="b">
        <v>0</v>
      </c>
      <c r="P2390" s="35" t="b">
        <v>0</v>
      </c>
      <c r="Q2390" s="35" t="b">
        <v>0</v>
      </c>
      <c r="R2390" s="14"/>
      <c r="S2390" s="14"/>
      <c r="T2390" s="14"/>
      <c r="U2390" s="14"/>
      <c r="V2390" s="14"/>
      <c r="W2390" s="14"/>
    </row>
    <row r="2391" ht="31.5" customHeight="1">
      <c r="A2391" s="124" t="s">
        <v>18923</v>
      </c>
      <c r="B2391" s="125" t="s">
        <v>18924</v>
      </c>
      <c r="C2391" s="126" t="s">
        <v>18925</v>
      </c>
      <c r="D2391" s="127" t="s">
        <v>18926</v>
      </c>
      <c r="E2391" s="28" t="str">
        <f>IFERROR(__xludf.DUMMYFUNCTION("GOOGLETRANSLATE(D2391,""zh-CN"",""vi"")"),"Anh ấy có hoài bão lớn.")</f>
        <v>Anh ấy có hoài bão lớn.</v>
      </c>
      <c r="F2391" s="157"/>
      <c r="G2391" s="36" t="b">
        <f t="shared" si="1"/>
        <v>0</v>
      </c>
      <c r="H2391" s="35" t="b">
        <v>1</v>
      </c>
      <c r="I2391" s="35" t="b">
        <v>0</v>
      </c>
      <c r="J2391" s="35" t="b">
        <v>0</v>
      </c>
      <c r="K2391" s="35" t="b">
        <v>0</v>
      </c>
      <c r="L2391" s="35" t="b">
        <v>0</v>
      </c>
      <c r="M2391" s="35" t="b">
        <v>0</v>
      </c>
      <c r="N2391" s="35" t="b">
        <v>0</v>
      </c>
      <c r="O2391" s="35" t="b">
        <v>0</v>
      </c>
      <c r="P2391" s="35" t="b">
        <v>0</v>
      </c>
      <c r="Q2391" s="35" t="b">
        <v>0</v>
      </c>
      <c r="R2391" s="14"/>
      <c r="S2391" s="14"/>
      <c r="T2391" s="14"/>
      <c r="U2391" s="14"/>
      <c r="V2391" s="14"/>
      <c r="W2391" s="14"/>
    </row>
    <row r="2392" ht="31.5" customHeight="1">
      <c r="A2392" s="124" t="s">
        <v>18927</v>
      </c>
      <c r="B2392" s="125" t="s">
        <v>18928</v>
      </c>
      <c r="C2392" s="126" t="s">
        <v>18929</v>
      </c>
      <c r="D2392" s="127" t="s">
        <v>18930</v>
      </c>
      <c r="E2392" s="28" t="str">
        <f>IFERROR(__xludf.DUMMYFUNCTION("GOOGLETRANSLATE(D2392,""zh-CN"",""vi"")"),"Các bài kiểm tra IQ có thể đánh giá mức độ thông minh của một người.")</f>
        <v>Các bài kiểm tra IQ có thể đánh giá mức độ thông minh của một người.</v>
      </c>
      <c r="F2392" s="157"/>
      <c r="G2392" s="36" t="b">
        <f t="shared" si="1"/>
        <v>0</v>
      </c>
      <c r="H2392" s="35" t="b">
        <v>1</v>
      </c>
      <c r="I2392" s="35" t="b">
        <v>0</v>
      </c>
      <c r="J2392" s="35" t="b">
        <v>0</v>
      </c>
      <c r="K2392" s="35" t="b">
        <v>0</v>
      </c>
      <c r="L2392" s="35" t="b">
        <v>0</v>
      </c>
      <c r="M2392" s="35" t="b">
        <v>0</v>
      </c>
      <c r="N2392" s="35" t="b">
        <v>0</v>
      </c>
      <c r="O2392" s="35" t="b">
        <v>0</v>
      </c>
      <c r="P2392" s="35" t="b">
        <v>0</v>
      </c>
      <c r="Q2392" s="35" t="b">
        <v>0</v>
      </c>
      <c r="R2392" s="14"/>
      <c r="S2392" s="14"/>
      <c r="T2392" s="14"/>
      <c r="U2392" s="14"/>
      <c r="V2392" s="14"/>
      <c r="W2392" s="14"/>
    </row>
    <row r="2393" ht="31.5" customHeight="1">
      <c r="A2393" s="124" t="s">
        <v>18931</v>
      </c>
      <c r="B2393" s="125" t="s">
        <v>18932</v>
      </c>
      <c r="C2393" s="126" t="s">
        <v>18933</v>
      </c>
      <c r="D2393" s="127" t="s">
        <v>18934</v>
      </c>
      <c r="E2393" s="28" t="str">
        <f>IFERROR(__xludf.DUMMYFUNCTION("GOOGLETRANSLATE(D2393,""zh-CN"",""vi"")"),"Sai lầm của anh ta đã khiến kế hoạch thất bại.")</f>
        <v>Sai lầm của anh ta đã khiến kế hoạch thất bại.</v>
      </c>
      <c r="F2393" s="157"/>
      <c r="G2393" s="36" t="b">
        <f t="shared" si="1"/>
        <v>0</v>
      </c>
      <c r="H2393" s="35" t="b">
        <v>1</v>
      </c>
      <c r="I2393" s="35" t="b">
        <v>0</v>
      </c>
      <c r="J2393" s="35" t="b">
        <v>0</v>
      </c>
      <c r="K2393" s="35" t="b">
        <v>0</v>
      </c>
      <c r="L2393" s="35" t="b">
        <v>0</v>
      </c>
      <c r="M2393" s="35" t="b">
        <v>0</v>
      </c>
      <c r="N2393" s="35" t="b">
        <v>0</v>
      </c>
      <c r="O2393" s="35" t="b">
        <v>0</v>
      </c>
      <c r="P2393" s="35" t="b">
        <v>0</v>
      </c>
      <c r="Q2393" s="35" t="b">
        <v>0</v>
      </c>
      <c r="R2393" s="14"/>
      <c r="S2393" s="14"/>
      <c r="T2393" s="14"/>
      <c r="U2393" s="14"/>
      <c r="V2393" s="14"/>
      <c r="W2393" s="14"/>
    </row>
    <row r="2394" ht="31.5" customHeight="1">
      <c r="A2394" s="124" t="s">
        <v>18935</v>
      </c>
      <c r="B2394" s="125" t="s">
        <v>18936</v>
      </c>
      <c r="C2394" s="126" t="s">
        <v>18937</v>
      </c>
      <c r="D2394" s="127" t="s">
        <v>18938</v>
      </c>
      <c r="E2394" s="28" t="str">
        <f>IFERROR(__xludf.DUMMYFUNCTION("GOOGLETRANSLATE(D2394,""zh-CN"",""vi"")"),"Tình trạng thiếu hụt nguồn cung đã hạn chế sản xuất.")</f>
        <v>Tình trạng thiếu hụt nguồn cung đã hạn chế sản xuất.</v>
      </c>
      <c r="F2394" s="157"/>
      <c r="G2394" s="36" t="b">
        <f t="shared" si="1"/>
        <v>0</v>
      </c>
      <c r="H2394" s="35" t="b">
        <v>1</v>
      </c>
      <c r="I2394" s="35" t="b">
        <v>0</v>
      </c>
      <c r="J2394" s="35" t="b">
        <v>0</v>
      </c>
      <c r="K2394" s="35" t="b">
        <v>0</v>
      </c>
      <c r="L2394" s="35" t="b">
        <v>0</v>
      </c>
      <c r="M2394" s="35" t="b">
        <v>0</v>
      </c>
      <c r="N2394" s="35" t="b">
        <v>0</v>
      </c>
      <c r="O2394" s="35" t="b">
        <v>0</v>
      </c>
      <c r="P2394" s="35" t="b">
        <v>0</v>
      </c>
      <c r="Q2394" s="35" t="b">
        <v>0</v>
      </c>
      <c r="R2394" s="14"/>
      <c r="S2394" s="14"/>
      <c r="T2394" s="14"/>
      <c r="U2394" s="14"/>
      <c r="V2394" s="14"/>
      <c r="W2394" s="14"/>
    </row>
    <row r="2395" ht="31.5" customHeight="1">
      <c r="A2395" s="124" t="s">
        <v>18939</v>
      </c>
      <c r="B2395" s="125" t="s">
        <v>18940</v>
      </c>
      <c r="C2395" s="126" t="s">
        <v>18941</v>
      </c>
      <c r="D2395" s="127" t="s">
        <v>18942</v>
      </c>
      <c r="E2395" s="28" t="str">
        <f>IFERROR(__xludf.DUMMYFUNCTION("GOOGLETRANSLATE(D2395,""zh-CN"",""vi"")"),"Anh ấy đã ngăn chặn cuộc tranh cãi của họ.")</f>
        <v>Anh ấy đã ngăn chặn cuộc tranh cãi của họ.</v>
      </c>
      <c r="F2395" s="157"/>
      <c r="G2395" s="36" t="b">
        <f t="shared" si="1"/>
        <v>0</v>
      </c>
      <c r="H2395" s="35" t="b">
        <v>1</v>
      </c>
      <c r="I2395" s="35" t="b">
        <v>0</v>
      </c>
      <c r="J2395" s="35" t="b">
        <v>0</v>
      </c>
      <c r="K2395" s="35" t="b">
        <v>0</v>
      </c>
      <c r="L2395" s="35" t="b">
        <v>0</v>
      </c>
      <c r="M2395" s="35" t="b">
        <v>0</v>
      </c>
      <c r="N2395" s="35" t="b">
        <v>0</v>
      </c>
      <c r="O2395" s="35" t="b">
        <v>0</v>
      </c>
      <c r="P2395" s="35" t="b">
        <v>0</v>
      </c>
      <c r="Q2395" s="35" t="b">
        <v>0</v>
      </c>
      <c r="R2395" s="14"/>
      <c r="S2395" s="14"/>
      <c r="T2395" s="14"/>
      <c r="U2395" s="14"/>
      <c r="V2395" s="14"/>
      <c r="W2395" s="14"/>
    </row>
    <row r="2396" ht="31.5" customHeight="1">
      <c r="A2396" s="124" t="s">
        <v>18943</v>
      </c>
      <c r="B2396" s="125" t="s">
        <v>18944</v>
      </c>
      <c r="C2396" s="126" t="s">
        <v>18945</v>
      </c>
      <c r="D2396" s="127" t="s">
        <v>18946</v>
      </c>
      <c r="E2396" s="28" t="str">
        <f>IFERROR(__xludf.DUMMYFUNCTION("GOOGLETRANSLATE(D2396,""zh-CN"",""vi"")"),"Ông ấy vô cùng trung thành với đất nước.")</f>
        <v>Ông ấy vô cùng trung thành với đất nước.</v>
      </c>
      <c r="F2396" s="157"/>
      <c r="G2396" s="36" t="b">
        <f t="shared" si="1"/>
        <v>0</v>
      </c>
      <c r="H2396" s="35" t="b">
        <v>1</v>
      </c>
      <c r="I2396" s="35" t="b">
        <v>0</v>
      </c>
      <c r="J2396" s="35" t="b">
        <v>0</v>
      </c>
      <c r="K2396" s="35" t="b">
        <v>0</v>
      </c>
      <c r="L2396" s="35" t="b">
        <v>0</v>
      </c>
      <c r="M2396" s="35" t="b">
        <v>0</v>
      </c>
      <c r="N2396" s="35" t="b">
        <v>0</v>
      </c>
      <c r="O2396" s="35" t="b">
        <v>0</v>
      </c>
      <c r="P2396" s="35" t="b">
        <v>0</v>
      </c>
      <c r="Q2396" s="35" t="b">
        <v>0</v>
      </c>
      <c r="R2396" s="14"/>
      <c r="S2396" s="14"/>
      <c r="T2396" s="14"/>
      <c r="U2396" s="14"/>
      <c r="V2396" s="14"/>
      <c r="W2396" s="14"/>
    </row>
    <row r="2397" ht="31.5" customHeight="1">
      <c r="A2397" s="124" t="s">
        <v>18947</v>
      </c>
      <c r="B2397" s="125" t="s">
        <v>18948</v>
      </c>
      <c r="C2397" s="126" t="s">
        <v>18949</v>
      </c>
      <c r="D2397" s="127" t="s">
        <v>18950</v>
      </c>
      <c r="E2397" s="28" t="str">
        <f>IFERROR(__xludf.DUMMYFUNCTION("GOOGLETRANSLATE(D2397,""zh-CN"",""vi"")"),"Vạch đích của cuộc đua đã ở ngay trước mắt.")</f>
        <v>Vạch đích của cuộc đua đã ở ngay trước mắt.</v>
      </c>
      <c r="F2397" s="157"/>
      <c r="G2397" s="36" t="b">
        <f t="shared" si="1"/>
        <v>0</v>
      </c>
      <c r="H2397" s="35" t="b">
        <v>1</v>
      </c>
      <c r="I2397" s="35" t="b">
        <v>0</v>
      </c>
      <c r="J2397" s="35" t="b">
        <v>0</v>
      </c>
      <c r="K2397" s="35" t="b">
        <v>0</v>
      </c>
      <c r="L2397" s="35" t="b">
        <v>0</v>
      </c>
      <c r="M2397" s="35" t="b">
        <v>0</v>
      </c>
      <c r="N2397" s="35" t="b">
        <v>0</v>
      </c>
      <c r="O2397" s="35" t="b">
        <v>0</v>
      </c>
      <c r="P2397" s="35" t="b">
        <v>0</v>
      </c>
      <c r="Q2397" s="35" t="b">
        <v>0</v>
      </c>
      <c r="R2397" s="14"/>
      <c r="S2397" s="14"/>
      <c r="T2397" s="14"/>
      <c r="U2397" s="14"/>
      <c r="V2397" s="14"/>
      <c r="W2397" s="14"/>
    </row>
    <row r="2398" ht="31.5" customHeight="1">
      <c r="A2398" s="124" t="s">
        <v>18951</v>
      </c>
      <c r="B2398" s="125" t="s">
        <v>18952</v>
      </c>
      <c r="C2398" s="126" t="s">
        <v>18953</v>
      </c>
      <c r="D2398" s="127" t="s">
        <v>18954</v>
      </c>
      <c r="E2398" s="28" t="str">
        <f>IFERROR(__xludf.DUMMYFUNCTION("GOOGLETRANSLATE(D2398,""zh-CN"",""vi"")"),"Sự hợp tác của họ đột ngột chấm dứt.")</f>
        <v>Sự hợp tác của họ đột ngột chấm dứt.</v>
      </c>
      <c r="F2398" s="157"/>
      <c r="G2398" s="36" t="b">
        <f t="shared" si="1"/>
        <v>0</v>
      </c>
      <c r="H2398" s="35" t="b">
        <v>1</v>
      </c>
      <c r="I2398" s="35" t="b">
        <v>0</v>
      </c>
      <c r="J2398" s="35" t="b">
        <v>0</v>
      </c>
      <c r="K2398" s="35" t="b">
        <v>0</v>
      </c>
      <c r="L2398" s="35" t="b">
        <v>0</v>
      </c>
      <c r="M2398" s="35" t="b">
        <v>0</v>
      </c>
      <c r="N2398" s="35" t="b">
        <v>0</v>
      </c>
      <c r="O2398" s="35" t="b">
        <v>0</v>
      </c>
      <c r="P2398" s="35" t="b">
        <v>0</v>
      </c>
      <c r="Q2398" s="35" t="b">
        <v>0</v>
      </c>
      <c r="R2398" s="14"/>
      <c r="S2398" s="14"/>
      <c r="T2398" s="14"/>
      <c r="U2398" s="14"/>
      <c r="V2398" s="14"/>
      <c r="W2398" s="14"/>
    </row>
    <row r="2399" ht="31.5" customHeight="1">
      <c r="A2399" s="124" t="s">
        <v>18955</v>
      </c>
      <c r="B2399" s="125" t="s">
        <v>18956</v>
      </c>
      <c r="C2399" s="126" t="s">
        <v>18957</v>
      </c>
      <c r="D2399" s="127" t="s">
        <v>18958</v>
      </c>
      <c r="E2399" s="28" t="str">
        <f>IFERROR(__xludf.DUMMYFUNCTION("GOOGLETRANSLATE(D2399,""zh-CN"",""vi"")"),"Rồi cuối cùng anh ấy cũng sẽ hiểu thôi.")</f>
        <v>Rồi cuối cùng anh ấy cũng sẽ hiểu thôi.</v>
      </c>
      <c r="F2399" s="157"/>
      <c r="G2399" s="36" t="b">
        <f t="shared" si="1"/>
        <v>0</v>
      </c>
      <c r="H2399" s="35" t="b">
        <v>1</v>
      </c>
      <c r="I2399" s="35" t="b">
        <v>0</v>
      </c>
      <c r="J2399" s="35" t="b">
        <v>0</v>
      </c>
      <c r="K2399" s="35" t="b">
        <v>0</v>
      </c>
      <c r="L2399" s="35" t="b">
        <v>0</v>
      </c>
      <c r="M2399" s="35" t="b">
        <v>0</v>
      </c>
      <c r="N2399" s="35" t="b">
        <v>0</v>
      </c>
      <c r="O2399" s="35" t="b">
        <v>0</v>
      </c>
      <c r="P2399" s="35" t="b">
        <v>0</v>
      </c>
      <c r="Q2399" s="35" t="b">
        <v>0</v>
      </c>
      <c r="R2399" s="14"/>
      <c r="S2399" s="14"/>
      <c r="T2399" s="14"/>
      <c r="U2399" s="14"/>
      <c r="V2399" s="14"/>
      <c r="W2399" s="14"/>
    </row>
    <row r="2400" ht="31.5" customHeight="1">
      <c r="A2400" s="124" t="s">
        <v>18959</v>
      </c>
      <c r="B2400" s="125" t="s">
        <v>18960</v>
      </c>
      <c r="C2400" s="126" t="s">
        <v>18961</v>
      </c>
      <c r="D2400" s="127" t="s">
        <v>18962</v>
      </c>
      <c r="E2400" s="28" t="str">
        <f>IFERROR(__xludf.DUMMYFUNCTION("GOOGLETRANSLATE(D2400,""zh-CN"",""vi"")"),"Chúng ta phải giữ thái độ trung lập.")</f>
        <v>Chúng ta phải giữ thái độ trung lập.</v>
      </c>
      <c r="F2400" s="157"/>
      <c r="G2400" s="36" t="b">
        <f t="shared" si="1"/>
        <v>0</v>
      </c>
      <c r="H2400" s="35" t="b">
        <v>1</v>
      </c>
      <c r="I2400" s="35" t="b">
        <v>0</v>
      </c>
      <c r="J2400" s="35" t="b">
        <v>0</v>
      </c>
      <c r="K2400" s="35" t="b">
        <v>0</v>
      </c>
      <c r="L2400" s="35" t="b">
        <v>0</v>
      </c>
      <c r="M2400" s="35" t="b">
        <v>0</v>
      </c>
      <c r="N2400" s="35" t="b">
        <v>0</v>
      </c>
      <c r="O2400" s="35" t="b">
        <v>0</v>
      </c>
      <c r="P2400" s="35" t="b">
        <v>0</v>
      </c>
      <c r="Q2400" s="35" t="b">
        <v>0</v>
      </c>
      <c r="R2400" s="14"/>
      <c r="S2400" s="14"/>
      <c r="T2400" s="14"/>
      <c r="U2400" s="14"/>
      <c r="V2400" s="14"/>
      <c r="W2400" s="14"/>
    </row>
    <row r="2401" ht="31.5" customHeight="1">
      <c r="A2401" s="124" t="s">
        <v>18963</v>
      </c>
      <c r="B2401" s="125" t="s">
        <v>18964</v>
      </c>
      <c r="C2401" s="126" t="s">
        <v>18965</v>
      </c>
      <c r="D2401" s="127" t="s">
        <v>18966</v>
      </c>
      <c r="E2401" s="28" t="str">
        <f>IFERROR(__xludf.DUMMYFUNCTION("GOOGLETRANSLATE(D2401,""zh-CN"",""vi"")"),"Anh ấy bận rộn với công việc quanh năm.")</f>
        <v>Anh ấy bận rộn với công việc quanh năm.</v>
      </c>
      <c r="F2401" s="157"/>
      <c r="G2401" s="36" t="b">
        <f t="shared" si="1"/>
        <v>0</v>
      </c>
      <c r="H2401" s="35" t="b">
        <v>1</v>
      </c>
      <c r="I2401" s="35" t="b">
        <v>0</v>
      </c>
      <c r="J2401" s="35" t="b">
        <v>0</v>
      </c>
      <c r="K2401" s="35" t="b">
        <v>0</v>
      </c>
      <c r="L2401" s="35" t="b">
        <v>0</v>
      </c>
      <c r="M2401" s="35" t="b">
        <v>0</v>
      </c>
      <c r="N2401" s="35" t="b">
        <v>0</v>
      </c>
      <c r="O2401" s="35" t="b">
        <v>0</v>
      </c>
      <c r="P2401" s="35" t="b">
        <v>0</v>
      </c>
      <c r="Q2401" s="35" t="b">
        <v>0</v>
      </c>
      <c r="R2401" s="14"/>
      <c r="S2401" s="14"/>
      <c r="T2401" s="14"/>
      <c r="U2401" s="14"/>
      <c r="V2401" s="14"/>
      <c r="W2401" s="14"/>
    </row>
    <row r="2402" ht="31.5" customHeight="1">
      <c r="A2402" s="124" t="s">
        <v>18967</v>
      </c>
      <c r="B2402" s="125" t="s">
        <v>18968</v>
      </c>
      <c r="C2402" s="126" t="s">
        <v>18969</v>
      </c>
      <c r="D2402" s="127" t="s">
        <v>18970</v>
      </c>
      <c r="E2402" s="28" t="str">
        <f>IFERROR(__xludf.DUMMYFUNCTION("GOOGLETRANSLATE(D2402,""zh-CN"",""vi"")"),"Ông là người ủng hộ giáo dục suốt đời.")</f>
        <v>Ông là người ủng hộ giáo dục suốt đời.</v>
      </c>
      <c r="F2402" s="157"/>
      <c r="G2402" s="36" t="b">
        <f t="shared" si="1"/>
        <v>0</v>
      </c>
      <c r="H2402" s="35" t="b">
        <v>1</v>
      </c>
      <c r="I2402" s="35" t="b">
        <v>0</v>
      </c>
      <c r="J2402" s="35" t="b">
        <v>0</v>
      </c>
      <c r="K2402" s="35" t="b">
        <v>0</v>
      </c>
      <c r="L2402" s="35" t="b">
        <v>0</v>
      </c>
      <c r="M2402" s="35" t="b">
        <v>0</v>
      </c>
      <c r="N2402" s="35" t="b">
        <v>0</v>
      </c>
      <c r="O2402" s="35" t="b">
        <v>0</v>
      </c>
      <c r="P2402" s="35" t="b">
        <v>0</v>
      </c>
      <c r="Q2402" s="35" t="b">
        <v>0</v>
      </c>
      <c r="R2402" s="14"/>
      <c r="S2402" s="14"/>
      <c r="T2402" s="14"/>
      <c r="U2402" s="14"/>
      <c r="V2402" s="14"/>
      <c r="W2402" s="14"/>
    </row>
    <row r="2403" ht="31.5" customHeight="1">
      <c r="A2403" s="124" t="s">
        <v>18971</v>
      </c>
      <c r="B2403" s="125" t="s">
        <v>18972</v>
      </c>
      <c r="C2403" s="126" t="s">
        <v>18973</v>
      </c>
      <c r="D2403" s="127" t="s">
        <v>18974</v>
      </c>
      <c r="E2403" s="28" t="str">
        <f>IFERROR(__xludf.DUMMYFUNCTION("GOOGLETRANSLATE(D2403,""zh-CN"",""vi"")"),"Anh ấy là một người bạn trung thành.")</f>
        <v>Anh ấy là một người bạn trung thành.</v>
      </c>
      <c r="F2403" s="157"/>
      <c r="G2403" s="36" t="b">
        <f t="shared" si="1"/>
        <v>0</v>
      </c>
      <c r="H2403" s="35" t="b">
        <v>1</v>
      </c>
      <c r="I2403" s="35" t="b">
        <v>0</v>
      </c>
      <c r="J2403" s="35" t="b">
        <v>0</v>
      </c>
      <c r="K2403" s="35" t="b">
        <v>0</v>
      </c>
      <c r="L2403" s="35" t="b">
        <v>0</v>
      </c>
      <c r="M2403" s="35" t="b">
        <v>0</v>
      </c>
      <c r="N2403" s="35" t="b">
        <v>0</v>
      </c>
      <c r="O2403" s="35" t="b">
        <v>0</v>
      </c>
      <c r="P2403" s="35" t="b">
        <v>0</v>
      </c>
      <c r="Q2403" s="35" t="b">
        <v>0</v>
      </c>
      <c r="R2403" s="14"/>
      <c r="S2403" s="14"/>
      <c r="T2403" s="14"/>
      <c r="U2403" s="14"/>
      <c r="V2403" s="14"/>
      <c r="W2403" s="14"/>
    </row>
    <row r="2404" ht="31.5" customHeight="1">
      <c r="A2404" s="124" t="s">
        <v>18975</v>
      </c>
      <c r="B2404" s="125" t="s">
        <v>18976</v>
      </c>
      <c r="C2404" s="126" t="s">
        <v>18661</v>
      </c>
      <c r="D2404" s="127" t="s">
        <v>18977</v>
      </c>
      <c r="E2404" s="28" t="str">
        <f>IFERROR(__xludf.DUMMYFUNCTION("GOOGLETRANSLATE(D2404,""zh-CN"",""vi"")"),"Tôi chân thành cảm ơn sự giúp đỡ của bạn.")</f>
        <v>Tôi chân thành cảm ơn sự giúp đỡ của bạn.</v>
      </c>
      <c r="F2404" s="157"/>
      <c r="G2404" s="36" t="b">
        <f t="shared" si="1"/>
        <v>0</v>
      </c>
      <c r="H2404" s="35" t="b">
        <v>1</v>
      </c>
      <c r="I2404" s="35" t="b">
        <v>0</v>
      </c>
      <c r="J2404" s="35" t="b">
        <v>0</v>
      </c>
      <c r="K2404" s="35" t="b">
        <v>0</v>
      </c>
      <c r="L2404" s="35" t="b">
        <v>0</v>
      </c>
      <c r="M2404" s="35" t="b">
        <v>0</v>
      </c>
      <c r="N2404" s="35" t="b">
        <v>0</v>
      </c>
      <c r="O2404" s="35" t="b">
        <v>0</v>
      </c>
      <c r="P2404" s="35" t="b">
        <v>0</v>
      </c>
      <c r="Q2404" s="35" t="b">
        <v>0</v>
      </c>
      <c r="R2404" s="14"/>
      <c r="S2404" s="14"/>
      <c r="T2404" s="14"/>
      <c r="U2404" s="14"/>
      <c r="V2404" s="14"/>
      <c r="W2404" s="14"/>
    </row>
    <row r="2405" ht="31.5" customHeight="1">
      <c r="A2405" s="124" t="s">
        <v>18978</v>
      </c>
      <c r="B2405" s="125" t="s">
        <v>18979</v>
      </c>
      <c r="C2405" s="126" t="s">
        <v>18980</v>
      </c>
      <c r="D2405" s="127" t="s">
        <v>18981</v>
      </c>
      <c r="E2405" s="28" t="str">
        <f>IFERROR(__xludf.DUMMYFUNCTION("GOOGLETRANSLATE(D2405,""zh-CN"",""vi"")"),"Anh ấy làm việc trong chính phủ trung ương.")</f>
        <v>Anh ấy làm việc trong chính phủ trung ương.</v>
      </c>
      <c r="F2405" s="157"/>
      <c r="G2405" s="36" t="b">
        <f t="shared" si="1"/>
        <v>0</v>
      </c>
      <c r="H2405" s="35" t="b">
        <v>1</v>
      </c>
      <c r="I2405" s="35" t="b">
        <v>0</v>
      </c>
      <c r="J2405" s="35" t="b">
        <v>0</v>
      </c>
      <c r="K2405" s="35" t="b">
        <v>0</v>
      </c>
      <c r="L2405" s="35" t="b">
        <v>0</v>
      </c>
      <c r="M2405" s="35" t="b">
        <v>0</v>
      </c>
      <c r="N2405" s="35" t="b">
        <v>0</v>
      </c>
      <c r="O2405" s="35" t="b">
        <v>0</v>
      </c>
      <c r="P2405" s="35" t="b">
        <v>0</v>
      </c>
      <c r="Q2405" s="35" t="b">
        <v>0</v>
      </c>
      <c r="R2405" s="14"/>
      <c r="S2405" s="14"/>
      <c r="T2405" s="14"/>
      <c r="U2405" s="14"/>
      <c r="V2405" s="14"/>
      <c r="W2405" s="14"/>
    </row>
    <row r="2406" ht="31.5" customHeight="1">
      <c r="A2406" s="124" t="s">
        <v>18982</v>
      </c>
      <c r="B2406" s="125" t="s">
        <v>18983</v>
      </c>
      <c r="C2406" s="126" t="s">
        <v>16863</v>
      </c>
      <c r="D2406" s="127" t="s">
        <v>18984</v>
      </c>
      <c r="E2406" s="28" t="str">
        <f>IFERROR(__xludf.DUMMYFUNCTION("GOOGLETRANSLATE(D2406,""zh-CN"",""vi"")"),"Họ quyết định chấm dứt hợp đồng.")</f>
        <v>Họ quyết định chấm dứt hợp đồng.</v>
      </c>
      <c r="F2406" s="157"/>
      <c r="G2406" s="36" t="b">
        <f t="shared" si="1"/>
        <v>0</v>
      </c>
      <c r="H2406" s="35" t="b">
        <v>0</v>
      </c>
      <c r="I2406" s="35" t="b">
        <v>0</v>
      </c>
      <c r="J2406" s="35" t="b">
        <v>0</v>
      </c>
      <c r="K2406" s="35" t="b">
        <v>0</v>
      </c>
      <c r="L2406" s="35" t="b">
        <v>0</v>
      </c>
      <c r="M2406" s="35" t="b">
        <v>0</v>
      </c>
      <c r="N2406" s="35" t="b">
        <v>0</v>
      </c>
      <c r="O2406" s="35" t="b">
        <v>0</v>
      </c>
      <c r="P2406" s="35" t="b">
        <v>0</v>
      </c>
      <c r="Q2406" s="35" t="b">
        <v>0</v>
      </c>
      <c r="R2406" s="14"/>
      <c r="S2406" s="14"/>
      <c r="T2406" s="14"/>
      <c r="U2406" s="14"/>
      <c r="V2406" s="14"/>
      <c r="W2406" s="14"/>
    </row>
    <row r="2407" ht="31.5" customHeight="1">
      <c r="A2407" s="124" t="s">
        <v>18985</v>
      </c>
      <c r="B2407" s="125" t="s">
        <v>18986</v>
      </c>
      <c r="C2407" s="126" t="s">
        <v>18987</v>
      </c>
      <c r="D2407" s="127" t="s">
        <v>18988</v>
      </c>
      <c r="E2407" s="28" t="str">
        <f>IFERROR(__xludf.DUMMYFUNCTION("GOOGLETRANSLATE(D2407,""zh-CN"",""vi"")"),"Ông ấy được chẩn đoán mắc khối u.")</f>
        <v>Ông ấy được chẩn đoán mắc khối u.</v>
      </c>
      <c r="F2407" s="157"/>
      <c r="G2407" s="36" t="b">
        <f t="shared" si="1"/>
        <v>0</v>
      </c>
      <c r="H2407" s="35" t="b">
        <v>0</v>
      </c>
      <c r="I2407" s="35" t="b">
        <v>0</v>
      </c>
      <c r="J2407" s="35" t="b">
        <v>0</v>
      </c>
      <c r="K2407" s="35" t="b">
        <v>0</v>
      </c>
      <c r="L2407" s="35" t="b">
        <v>0</v>
      </c>
      <c r="M2407" s="35" t="b">
        <v>0</v>
      </c>
      <c r="N2407" s="35" t="b">
        <v>0</v>
      </c>
      <c r="O2407" s="35" t="b">
        <v>0</v>
      </c>
      <c r="P2407" s="35" t="b">
        <v>0</v>
      </c>
      <c r="Q2407" s="35" t="b">
        <v>0</v>
      </c>
      <c r="R2407" s="14"/>
      <c r="S2407" s="14"/>
      <c r="T2407" s="14"/>
      <c r="U2407" s="14"/>
      <c r="V2407" s="14"/>
      <c r="W2407" s="14"/>
    </row>
    <row r="2408" ht="31.5" customHeight="1">
      <c r="A2408" s="124" t="s">
        <v>18989</v>
      </c>
      <c r="B2408" s="125" t="s">
        <v>18990</v>
      </c>
      <c r="C2408" s="126" t="s">
        <v>18991</v>
      </c>
      <c r="D2408" s="127" t="s">
        <v>18992</v>
      </c>
      <c r="E2408" s="28" t="str">
        <f>IFERROR(__xludf.DUMMYFUNCTION("GOOGLETRANSLATE(D2408,""zh-CN"",""vi"")"),"Chúng tôi đã gieo rất nhiều hạt giống.")</f>
        <v>Chúng tôi đã gieo rất nhiều hạt giống.</v>
      </c>
      <c r="F2408" s="157"/>
      <c r="G2408" s="36" t="b">
        <f t="shared" si="1"/>
        <v>0</v>
      </c>
      <c r="H2408" s="35" t="b">
        <v>0</v>
      </c>
      <c r="I2408" s="35" t="b">
        <v>0</v>
      </c>
      <c r="J2408" s="35" t="b">
        <v>0</v>
      </c>
      <c r="K2408" s="35" t="b">
        <v>0</v>
      </c>
      <c r="L2408" s="35" t="b">
        <v>0</v>
      </c>
      <c r="M2408" s="35" t="b">
        <v>0</v>
      </c>
      <c r="N2408" s="35" t="b">
        <v>0</v>
      </c>
      <c r="O2408" s="35" t="b">
        <v>0</v>
      </c>
      <c r="P2408" s="35" t="b">
        <v>0</v>
      </c>
      <c r="Q2408" s="35" t="b">
        <v>0</v>
      </c>
      <c r="R2408" s="14"/>
      <c r="S2408" s="14"/>
      <c r="T2408" s="14"/>
      <c r="U2408" s="14"/>
      <c r="V2408" s="14"/>
      <c r="W2408" s="14"/>
    </row>
    <row r="2409" ht="31.5" customHeight="1">
      <c r="A2409" s="124" t="s">
        <v>18993</v>
      </c>
      <c r="B2409" s="125" t="s">
        <v>18994</v>
      </c>
      <c r="C2409" s="126" t="s">
        <v>18995</v>
      </c>
      <c r="D2409" s="127" t="s">
        <v>18996</v>
      </c>
      <c r="E2409" s="28" t="str">
        <f>IFERROR(__xludf.DUMMYFUNCTION("GOOGLETRANSLATE(D2409,""zh-CN"",""vi"")"),"Chúng tôi phản đối sự phân biệt chủng tộc.")</f>
        <v>Chúng tôi phản đối sự phân biệt chủng tộc.</v>
      </c>
      <c r="F2409" s="157"/>
      <c r="G2409" s="36" t="b">
        <f t="shared" si="1"/>
        <v>0</v>
      </c>
      <c r="H2409" s="35" t="b">
        <v>0</v>
      </c>
      <c r="I2409" s="35" t="b">
        <v>0</v>
      </c>
      <c r="J2409" s="35" t="b">
        <v>0</v>
      </c>
      <c r="K2409" s="35" t="b">
        <v>0</v>
      </c>
      <c r="L2409" s="35" t="b">
        <v>0</v>
      </c>
      <c r="M2409" s="35" t="b">
        <v>0</v>
      </c>
      <c r="N2409" s="35" t="b">
        <v>0</v>
      </c>
      <c r="O2409" s="35" t="b">
        <v>0</v>
      </c>
      <c r="P2409" s="35" t="b">
        <v>0</v>
      </c>
      <c r="Q2409" s="35" t="b">
        <v>0</v>
      </c>
      <c r="R2409" s="14"/>
      <c r="S2409" s="14"/>
      <c r="T2409" s="14"/>
      <c r="U2409" s="14"/>
      <c r="V2409" s="14"/>
      <c r="W2409" s="14"/>
    </row>
    <row r="2410" ht="31.5" customHeight="1">
      <c r="A2410" s="124" t="s">
        <v>18997</v>
      </c>
      <c r="B2410" s="125" t="s">
        <v>18998</v>
      </c>
      <c r="C2410" s="126" t="s">
        <v>18999</v>
      </c>
      <c r="D2410" s="127" t="s">
        <v>19000</v>
      </c>
      <c r="E2410" s="28" t="str">
        <f>IFERROR(__xludf.DUMMYFUNCTION("GOOGLETRANSLATE(D2410,""zh-CN"",""vi"")"),"Ai cũng biết, anh ấy là người tốt.")</f>
        <v>Ai cũng biết, anh ấy là người tốt.</v>
      </c>
      <c r="F2410" s="157"/>
      <c r="G2410" s="36" t="b">
        <f t="shared" si="1"/>
        <v>0</v>
      </c>
      <c r="H2410" s="35" t="b">
        <v>0</v>
      </c>
      <c r="I2410" s="35" t="b">
        <v>0</v>
      </c>
      <c r="J2410" s="35" t="b">
        <v>0</v>
      </c>
      <c r="K2410" s="35" t="b">
        <v>0</v>
      </c>
      <c r="L2410" s="35" t="b">
        <v>0</v>
      </c>
      <c r="M2410" s="35" t="b">
        <v>0</v>
      </c>
      <c r="N2410" s="35" t="b">
        <v>0</v>
      </c>
      <c r="O2410" s="35" t="b">
        <v>0</v>
      </c>
      <c r="P2410" s="35" t="b">
        <v>0</v>
      </c>
      <c r="Q2410" s="35" t="b">
        <v>0</v>
      </c>
      <c r="R2410" s="14"/>
      <c r="S2410" s="14"/>
      <c r="T2410" s="14"/>
      <c r="U2410" s="14"/>
      <c r="V2410" s="14"/>
      <c r="W2410" s="14"/>
    </row>
    <row r="2411" ht="31.5" customHeight="1">
      <c r="A2411" s="124" t="s">
        <v>19001</v>
      </c>
      <c r="B2411" s="125" t="s">
        <v>19002</v>
      </c>
      <c r="C2411" s="126" t="s">
        <v>19003</v>
      </c>
      <c r="D2411" s="127" t="s">
        <v>19004</v>
      </c>
      <c r="E2411" s="28" t="str">
        <f>IFERROR(__xludf.DUMMYFUNCTION("GOOGLETRANSLATE(D2411,""zh-CN"",""vi"")"),"Vấn đề này là ưu tiên hàng đầu của công ty.")</f>
        <v>Vấn đề này là ưu tiên hàng đầu của công ty.</v>
      </c>
      <c r="F2411" s="157"/>
      <c r="G2411" s="36" t="b">
        <f t="shared" si="1"/>
        <v>0</v>
      </c>
      <c r="H2411" s="35" t="b">
        <v>0</v>
      </c>
      <c r="I2411" s="35" t="b">
        <v>0</v>
      </c>
      <c r="J2411" s="35" t="b">
        <v>0</v>
      </c>
      <c r="K2411" s="35" t="b">
        <v>0</v>
      </c>
      <c r="L2411" s="35" t="b">
        <v>0</v>
      </c>
      <c r="M2411" s="35" t="b">
        <v>0</v>
      </c>
      <c r="N2411" s="35" t="b">
        <v>0</v>
      </c>
      <c r="O2411" s="35" t="b">
        <v>0</v>
      </c>
      <c r="P2411" s="35" t="b">
        <v>0</v>
      </c>
      <c r="Q2411" s="35" t="b">
        <v>0</v>
      </c>
      <c r="R2411" s="14"/>
      <c r="S2411" s="14"/>
      <c r="T2411" s="14"/>
      <c r="U2411" s="14"/>
      <c r="V2411" s="14"/>
      <c r="W2411" s="14"/>
    </row>
    <row r="2412" ht="31.5" customHeight="1">
      <c r="A2412" s="124" t="s">
        <v>19005</v>
      </c>
      <c r="B2412" s="125" t="s">
        <v>19006</v>
      </c>
      <c r="C2412" s="126" t="s">
        <v>19007</v>
      </c>
      <c r="D2412" s="127" t="s">
        <v>19008</v>
      </c>
      <c r="E2412" s="28" t="str">
        <f>IFERROR(__xludf.DUMMYFUNCTION("GOOGLETRANSLATE(D2412,""zh-CN"",""vi"")"),"Anh ấy làm việc cho chính quyền tiểu bang.")</f>
        <v>Anh ấy làm việc cho chính quyền tiểu bang.</v>
      </c>
      <c r="F2412" s="157"/>
      <c r="G2412" s="36" t="b">
        <f t="shared" si="1"/>
        <v>0</v>
      </c>
      <c r="H2412" s="35" t="b">
        <v>0</v>
      </c>
      <c r="I2412" s="35" t="b">
        <v>0</v>
      </c>
      <c r="J2412" s="35" t="b">
        <v>0</v>
      </c>
      <c r="K2412" s="35" t="b">
        <v>0</v>
      </c>
      <c r="L2412" s="35" t="b">
        <v>0</v>
      </c>
      <c r="M2412" s="35" t="b">
        <v>0</v>
      </c>
      <c r="N2412" s="35" t="b">
        <v>0</v>
      </c>
      <c r="O2412" s="35" t="b">
        <v>0</v>
      </c>
      <c r="P2412" s="35" t="b">
        <v>0</v>
      </c>
      <c r="Q2412" s="35" t="b">
        <v>0</v>
      </c>
      <c r="R2412" s="14"/>
      <c r="S2412" s="14"/>
      <c r="T2412" s="14"/>
      <c r="U2412" s="14"/>
      <c r="V2412" s="14"/>
      <c r="W2412" s="14"/>
    </row>
    <row r="2413" ht="31.5" customHeight="1">
      <c r="A2413" s="124" t="s">
        <v>19009</v>
      </c>
      <c r="B2413" s="125" t="s">
        <v>19006</v>
      </c>
      <c r="C2413" s="126" t="s">
        <v>19010</v>
      </c>
      <c r="D2413" s="127" t="s">
        <v>19011</v>
      </c>
      <c r="E2413" s="28" t="str">
        <f>IFERROR(__xludf.DUMMYFUNCTION("GOOGLETRANSLATE(D2413,""zh-CN"",""vi"")"),"Anh ấy chèo thuyền.")</f>
        <v>Anh ấy chèo thuyền.</v>
      </c>
      <c r="F2413" s="157"/>
      <c r="G2413" s="36" t="b">
        <f t="shared" si="1"/>
        <v>0</v>
      </c>
      <c r="H2413" s="35" t="b">
        <v>0</v>
      </c>
      <c r="I2413" s="35" t="b">
        <v>0</v>
      </c>
      <c r="J2413" s="35" t="b">
        <v>0</v>
      </c>
      <c r="K2413" s="35" t="b">
        <v>0</v>
      </c>
      <c r="L2413" s="35" t="b">
        <v>0</v>
      </c>
      <c r="M2413" s="35" t="b">
        <v>0</v>
      </c>
      <c r="N2413" s="35" t="b">
        <v>0</v>
      </c>
      <c r="O2413" s="35" t="b">
        <v>0</v>
      </c>
      <c r="P2413" s="35" t="b">
        <v>0</v>
      </c>
      <c r="Q2413" s="35" t="b">
        <v>0</v>
      </c>
      <c r="R2413" s="14"/>
      <c r="S2413" s="14"/>
      <c r="T2413" s="14"/>
      <c r="U2413" s="14"/>
      <c r="V2413" s="14"/>
      <c r="W2413" s="14"/>
    </row>
    <row r="2414" ht="31.5" customHeight="1">
      <c r="A2414" s="124" t="s">
        <v>19012</v>
      </c>
      <c r="B2414" s="125" t="s">
        <v>19006</v>
      </c>
      <c r="C2414" s="126" t="s">
        <v>19013</v>
      </c>
      <c r="D2414" s="127" t="s">
        <v>19014</v>
      </c>
      <c r="E2414" s="28" t="str">
        <f>IFERROR(__xludf.DUMMYFUNCTION("GOOGLETRANSLATE(D2414,""zh-CN"",""vi"")"),"Bà nấu cháo cho chúng tôi ăn.")</f>
        <v>Bà nấu cháo cho chúng tôi ăn.</v>
      </c>
      <c r="F2414" s="157"/>
      <c r="G2414" s="36" t="b">
        <f t="shared" si="1"/>
        <v>0</v>
      </c>
      <c r="H2414" s="35" t="b">
        <v>0</v>
      </c>
      <c r="I2414" s="35" t="b">
        <v>0</v>
      </c>
      <c r="J2414" s="35" t="b">
        <v>0</v>
      </c>
      <c r="K2414" s="35" t="b">
        <v>0</v>
      </c>
      <c r="L2414" s="35" t="b">
        <v>0</v>
      </c>
      <c r="M2414" s="35" t="b">
        <v>0</v>
      </c>
      <c r="N2414" s="35" t="b">
        <v>0</v>
      </c>
      <c r="O2414" s="35" t="b">
        <v>0</v>
      </c>
      <c r="P2414" s="35" t="b">
        <v>0</v>
      </c>
      <c r="Q2414" s="35" t="b">
        <v>0</v>
      </c>
      <c r="R2414" s="14"/>
      <c r="S2414" s="14"/>
      <c r="T2414" s="14"/>
      <c r="U2414" s="14"/>
      <c r="V2414" s="14"/>
      <c r="W2414" s="14"/>
    </row>
    <row r="2415" ht="31.5" customHeight="1">
      <c r="A2415" s="124" t="s">
        <v>19015</v>
      </c>
      <c r="B2415" s="125" t="s">
        <v>19016</v>
      </c>
      <c r="C2415" s="126" t="s">
        <v>19017</v>
      </c>
      <c r="D2415" s="127" t="s">
        <v>19018</v>
      </c>
      <c r="E2415" s="28" t="str">
        <f>IFERROR(__xludf.DUMMYFUNCTION("GOOGLETRANSLATE(D2415,""zh-CN"",""vi"")"),"Đây là vùng ngoại ô của thành phố.")</f>
        <v>Đây là vùng ngoại ô của thành phố.</v>
      </c>
      <c r="F2415" s="157"/>
      <c r="G2415" s="36" t="b">
        <f t="shared" si="1"/>
        <v>0</v>
      </c>
      <c r="H2415" s="35" t="b">
        <v>0</v>
      </c>
      <c r="I2415" s="35" t="b">
        <v>0</v>
      </c>
      <c r="J2415" s="35" t="b">
        <v>0</v>
      </c>
      <c r="K2415" s="35" t="b">
        <v>0</v>
      </c>
      <c r="L2415" s="35" t="b">
        <v>0</v>
      </c>
      <c r="M2415" s="35" t="b">
        <v>0</v>
      </c>
      <c r="N2415" s="35" t="b">
        <v>0</v>
      </c>
      <c r="O2415" s="35" t="b">
        <v>0</v>
      </c>
      <c r="P2415" s="35" t="b">
        <v>0</v>
      </c>
      <c r="Q2415" s="35" t="b">
        <v>0</v>
      </c>
      <c r="R2415" s="14"/>
      <c r="S2415" s="14"/>
      <c r="T2415" s="14"/>
      <c r="U2415" s="14"/>
      <c r="V2415" s="14"/>
      <c r="W2415" s="14"/>
    </row>
    <row r="2416" ht="31.5" customHeight="1">
      <c r="A2416" s="124" t="s">
        <v>19019</v>
      </c>
      <c r="B2416" s="125" t="s">
        <v>19020</v>
      </c>
      <c r="C2416" s="126" t="s">
        <v>19021</v>
      </c>
      <c r="D2416" s="127" t="s">
        <v>19022</v>
      </c>
      <c r="E2416" s="28" t="str">
        <f>IFERROR(__xludf.DUMMYFUNCTION("GOOGLETRANSLATE(D2416,""zh-CN"",""vi"")"),"Chúng ta cần một kế hoạch tỉ mỉ.")</f>
        <v>Chúng ta cần một kế hoạch tỉ mỉ.</v>
      </c>
      <c r="F2416" s="157"/>
      <c r="G2416" s="36" t="b">
        <f t="shared" si="1"/>
        <v>0</v>
      </c>
      <c r="H2416" s="35" t="b">
        <v>0</v>
      </c>
      <c r="I2416" s="35" t="b">
        <v>0</v>
      </c>
      <c r="J2416" s="35" t="b">
        <v>0</v>
      </c>
      <c r="K2416" s="35" t="b">
        <v>0</v>
      </c>
      <c r="L2416" s="35" t="b">
        <v>0</v>
      </c>
      <c r="M2416" s="35" t="b">
        <v>0</v>
      </c>
      <c r="N2416" s="35" t="b">
        <v>0</v>
      </c>
      <c r="O2416" s="35" t="b">
        <v>0</v>
      </c>
      <c r="P2416" s="35" t="b">
        <v>0</v>
      </c>
      <c r="Q2416" s="35" t="b">
        <v>0</v>
      </c>
      <c r="R2416" s="14"/>
      <c r="S2416" s="14"/>
      <c r="T2416" s="14"/>
      <c r="U2416" s="14"/>
      <c r="V2416" s="14"/>
      <c r="W2416" s="14"/>
    </row>
    <row r="2417" ht="31.5" customHeight="1">
      <c r="A2417" s="124" t="s">
        <v>19023</v>
      </c>
      <c r="B2417" s="125" t="s">
        <v>19024</v>
      </c>
      <c r="C2417" s="126" t="s">
        <v>19025</v>
      </c>
      <c r="D2417" s="127" t="s">
        <v>19026</v>
      </c>
      <c r="E2417" s="28" t="str">
        <f>IFERROR(__xludf.DUMMYFUNCTION("GOOGLETRANSLATE(D2417,""zh-CN"",""vi"")"),"Công ty đang kỷ niệm 10 năm thành lập.")</f>
        <v>Công ty đang kỷ niệm 10 năm thành lập.</v>
      </c>
      <c r="F2417" s="157"/>
      <c r="G2417" s="36" t="b">
        <f t="shared" si="1"/>
        <v>0</v>
      </c>
      <c r="H2417" s="35" t="b">
        <v>0</v>
      </c>
      <c r="I2417" s="35" t="b">
        <v>0</v>
      </c>
      <c r="J2417" s="35" t="b">
        <v>0</v>
      </c>
      <c r="K2417" s="35" t="b">
        <v>0</v>
      </c>
      <c r="L2417" s="35" t="b">
        <v>0</v>
      </c>
      <c r="M2417" s="35" t="b">
        <v>0</v>
      </c>
      <c r="N2417" s="35" t="b">
        <v>0</v>
      </c>
      <c r="O2417" s="35" t="b">
        <v>0</v>
      </c>
      <c r="P2417" s="35" t="b">
        <v>0</v>
      </c>
      <c r="Q2417" s="35" t="b">
        <v>0</v>
      </c>
      <c r="R2417" s="14"/>
      <c r="S2417" s="14"/>
      <c r="T2417" s="14"/>
      <c r="U2417" s="14"/>
      <c r="V2417" s="14"/>
      <c r="W2417" s="14"/>
    </row>
    <row r="2418" ht="31.5" customHeight="1">
      <c r="A2418" s="124" t="s">
        <v>19027</v>
      </c>
      <c r="B2418" s="125" t="s">
        <v>19028</v>
      </c>
      <c r="C2418" s="126" t="s">
        <v>19029</v>
      </c>
      <c r="D2418" s="127" t="s">
        <v>19030</v>
      </c>
      <c r="E2418" s="28" t="str">
        <f>IFERROR(__xludf.DUMMYFUNCTION("GOOGLETRANSLATE(D2418,""zh-CN"",""vi"")"),"Phát triển kinh tế có những chu kỳ nhất định.")</f>
        <v>Phát triển kinh tế có những chu kỳ nhất định.</v>
      </c>
      <c r="F2418" s="157"/>
      <c r="G2418" s="36" t="b">
        <f t="shared" si="1"/>
        <v>0</v>
      </c>
      <c r="H2418" s="35" t="b">
        <v>0</v>
      </c>
      <c r="I2418" s="35" t="b">
        <v>0</v>
      </c>
      <c r="J2418" s="35" t="b">
        <v>0</v>
      </c>
      <c r="K2418" s="35" t="b">
        <v>0</v>
      </c>
      <c r="L2418" s="35" t="b">
        <v>0</v>
      </c>
      <c r="M2418" s="35" t="b">
        <v>0</v>
      </c>
      <c r="N2418" s="35" t="b">
        <v>0</v>
      </c>
      <c r="O2418" s="35" t="b">
        <v>0</v>
      </c>
      <c r="P2418" s="35" t="b">
        <v>0</v>
      </c>
      <c r="Q2418" s="35" t="b">
        <v>0</v>
      </c>
      <c r="R2418" s="14"/>
      <c r="S2418" s="14"/>
      <c r="T2418" s="14"/>
      <c r="U2418" s="14"/>
      <c r="V2418" s="14"/>
      <c r="W2418" s="14"/>
    </row>
    <row r="2419" ht="31.5" customHeight="1">
      <c r="A2419" s="124" t="s">
        <v>19031</v>
      </c>
      <c r="B2419" s="125" t="s">
        <v>19032</v>
      </c>
      <c r="C2419" s="126" t="s">
        <v>19033</v>
      </c>
      <c r="D2419" s="127" t="s">
        <v>19034</v>
      </c>
      <c r="E2419" s="28" t="str">
        <f>IFERROR(__xludf.DUMMYFUNCTION("GOOGLETRANSLATE(D2419,""zh-CN"",""vi"")"),"Ông đã trải qua nhiều thăng trầm trước khi thành công.")</f>
        <v>Ông đã trải qua nhiều thăng trầm trước khi thành công.</v>
      </c>
      <c r="F2419" s="157"/>
      <c r="G2419" s="36" t="b">
        <f t="shared" si="1"/>
        <v>0</v>
      </c>
      <c r="H2419" s="35" t="b">
        <v>0</v>
      </c>
      <c r="I2419" s="35" t="b">
        <v>0</v>
      </c>
      <c r="J2419" s="35" t="b">
        <v>0</v>
      </c>
      <c r="K2419" s="35" t="b">
        <v>0</v>
      </c>
      <c r="L2419" s="35" t="b">
        <v>0</v>
      </c>
      <c r="M2419" s="35" t="b">
        <v>0</v>
      </c>
      <c r="N2419" s="35" t="b">
        <v>0</v>
      </c>
      <c r="O2419" s="35" t="b">
        <v>0</v>
      </c>
      <c r="P2419" s="35" t="b">
        <v>0</v>
      </c>
      <c r="Q2419" s="35" t="b">
        <v>0</v>
      </c>
      <c r="R2419" s="14"/>
      <c r="S2419" s="14"/>
      <c r="T2419" s="14"/>
      <c r="U2419" s="14"/>
      <c r="V2419" s="14"/>
      <c r="W2419" s="14"/>
    </row>
    <row r="2420" ht="31.5" customHeight="1">
      <c r="A2420" s="124" t="s">
        <v>19035</v>
      </c>
      <c r="B2420" s="125" t="s">
        <v>19036</v>
      </c>
      <c r="C2420" s="126" t="s">
        <v>19037</v>
      </c>
      <c r="D2420" s="127" t="s">
        <v>19038</v>
      </c>
      <c r="E2420" s="28" t="str">
        <f>IFERROR(__xludf.DUMMYFUNCTION("GOOGLETRANSLATE(D2420,""zh-CN"",""vi"")"),"Công ty cần thêm vốn lưu động.")</f>
        <v>Công ty cần thêm vốn lưu động.</v>
      </c>
      <c r="F2420" s="157"/>
      <c r="G2420" s="36" t="b">
        <f t="shared" si="1"/>
        <v>0</v>
      </c>
      <c r="H2420" s="35" t="b">
        <v>0</v>
      </c>
      <c r="I2420" s="35" t="b">
        <v>0</v>
      </c>
      <c r="J2420" s="35" t="b">
        <v>0</v>
      </c>
      <c r="K2420" s="35" t="b">
        <v>0</v>
      </c>
      <c r="L2420" s="35" t="b">
        <v>0</v>
      </c>
      <c r="M2420" s="35" t="b">
        <v>0</v>
      </c>
      <c r="N2420" s="35" t="b">
        <v>0</v>
      </c>
      <c r="O2420" s="35" t="b">
        <v>0</v>
      </c>
      <c r="P2420" s="35" t="b">
        <v>0</v>
      </c>
      <c r="Q2420" s="35" t="b">
        <v>0</v>
      </c>
      <c r="R2420" s="14"/>
      <c r="S2420" s="14"/>
      <c r="T2420" s="14"/>
      <c r="U2420" s="14"/>
      <c r="V2420" s="14"/>
      <c r="W2420" s="14"/>
    </row>
    <row r="2421" ht="31.5" customHeight="1">
      <c r="A2421" s="124" t="s">
        <v>19039</v>
      </c>
      <c r="B2421" s="125" t="s">
        <v>19040</v>
      </c>
      <c r="C2421" s="126" t="s">
        <v>19041</v>
      </c>
      <c r="D2421" s="127" t="s">
        <v>19042</v>
      </c>
      <c r="E2421" s="28" t="str">
        <f>IFERROR(__xludf.DUMMYFUNCTION("GOOGLETRANSLATE(D2421,""zh-CN"",""vi"")"),"Các nếp nhăn trên khuôn mặt bà ấy ngày càng nhiều hơn.")</f>
        <v>Các nếp nhăn trên khuôn mặt bà ấy ngày càng nhiều hơn.</v>
      </c>
      <c r="F2421" s="157"/>
      <c r="G2421" s="36" t="b">
        <f t="shared" si="1"/>
        <v>0</v>
      </c>
      <c r="H2421" s="35" t="b">
        <v>0</v>
      </c>
      <c r="I2421" s="35" t="b">
        <v>0</v>
      </c>
      <c r="J2421" s="35" t="b">
        <v>0</v>
      </c>
      <c r="K2421" s="35" t="b">
        <v>0</v>
      </c>
      <c r="L2421" s="35" t="b">
        <v>0</v>
      </c>
      <c r="M2421" s="35" t="b">
        <v>0</v>
      </c>
      <c r="N2421" s="35" t="b">
        <v>0</v>
      </c>
      <c r="O2421" s="35" t="b">
        <v>0</v>
      </c>
      <c r="P2421" s="35" t="b">
        <v>0</v>
      </c>
      <c r="Q2421" s="35" t="b">
        <v>0</v>
      </c>
      <c r="R2421" s="14"/>
      <c r="S2421" s="14"/>
      <c r="T2421" s="14"/>
      <c r="U2421" s="14"/>
      <c r="V2421" s="14"/>
      <c r="W2421" s="14"/>
    </row>
    <row r="2422" ht="31.5" customHeight="1">
      <c r="A2422" s="124" t="s">
        <v>19043</v>
      </c>
      <c r="B2422" s="125" t="s">
        <v>19044</v>
      </c>
      <c r="C2422" s="126" t="s">
        <v>19045</v>
      </c>
      <c r="D2422" s="127" t="s">
        <v>19046</v>
      </c>
      <c r="E2422" s="28" t="str">
        <f>IFERROR(__xludf.DUMMYFUNCTION("GOOGLETRANSLATE(D2422,""zh-CN"",""vi"")"),"Anh ấy làm việc ngày đêm không ngừng nghỉ.")</f>
        <v>Anh ấy làm việc ngày đêm không ngừng nghỉ.</v>
      </c>
      <c r="F2422" s="157"/>
      <c r="G2422" s="36" t="b">
        <f t="shared" si="1"/>
        <v>0</v>
      </c>
      <c r="H2422" s="35" t="b">
        <v>0</v>
      </c>
      <c r="I2422" s="35" t="b">
        <v>0</v>
      </c>
      <c r="J2422" s="35" t="b">
        <v>0</v>
      </c>
      <c r="K2422" s="35" t="b">
        <v>0</v>
      </c>
      <c r="L2422" s="35" t="b">
        <v>0</v>
      </c>
      <c r="M2422" s="35" t="b">
        <v>0</v>
      </c>
      <c r="N2422" s="35" t="b">
        <v>0</v>
      </c>
      <c r="O2422" s="35" t="b">
        <v>0</v>
      </c>
      <c r="P2422" s="35" t="b">
        <v>0</v>
      </c>
      <c r="Q2422" s="35" t="b">
        <v>0</v>
      </c>
      <c r="R2422" s="14"/>
      <c r="S2422" s="14"/>
      <c r="T2422" s="14"/>
      <c r="U2422" s="14"/>
      <c r="V2422" s="14"/>
      <c r="W2422" s="14"/>
    </row>
    <row r="2423" ht="31.5" customHeight="1">
      <c r="A2423" s="124" t="s">
        <v>19047</v>
      </c>
      <c r="B2423" s="125" t="s">
        <v>14266</v>
      </c>
      <c r="C2423" s="126" t="s">
        <v>19048</v>
      </c>
      <c r="D2423" s="127" t="s">
        <v>19049</v>
      </c>
      <c r="E2423" s="28" t="str">
        <f>IFERROR(__xludf.DUMMYFUNCTION("GOOGLETRANSLATE(D2423,""zh-CN"",""vi"")"),"Trong vườn có rất nhiều loài cây đẹp.")</f>
        <v>Trong vườn có rất nhiều loài cây đẹp.</v>
      </c>
      <c r="F2423" s="157"/>
      <c r="G2423" s="36" t="b">
        <f t="shared" si="1"/>
        <v>0</v>
      </c>
      <c r="H2423" s="35" t="b">
        <v>0</v>
      </c>
      <c r="I2423" s="35" t="b">
        <v>0</v>
      </c>
      <c r="J2423" s="35" t="b">
        <v>0</v>
      </c>
      <c r="K2423" s="35" t="b">
        <v>0</v>
      </c>
      <c r="L2423" s="35" t="b">
        <v>0</v>
      </c>
      <c r="M2423" s="35" t="b">
        <v>0</v>
      </c>
      <c r="N2423" s="35" t="b">
        <v>0</v>
      </c>
      <c r="O2423" s="35" t="b">
        <v>0</v>
      </c>
      <c r="P2423" s="35" t="b">
        <v>0</v>
      </c>
      <c r="Q2423" s="35" t="b">
        <v>0</v>
      </c>
      <c r="R2423" s="14"/>
      <c r="S2423" s="14"/>
      <c r="T2423" s="14"/>
      <c r="U2423" s="14"/>
      <c r="V2423" s="14"/>
      <c r="W2423" s="14"/>
    </row>
    <row r="2424" ht="31.5" customHeight="1">
      <c r="A2424" s="124" t="s">
        <v>19050</v>
      </c>
      <c r="B2424" s="125" t="s">
        <v>19051</v>
      </c>
      <c r="C2424" s="126" t="s">
        <v>19052</v>
      </c>
      <c r="D2424" s="127" t="s">
        <v>19053</v>
      </c>
      <c r="E2424" s="28" t="str">
        <f>IFERROR(__xludf.DUMMYFUNCTION("GOOGLETRANSLATE(D2424,""zh-CN"",""vi"")"),"Xin hãy giữ im lặng.")</f>
        <v>Xin hãy giữ im lặng.</v>
      </c>
      <c r="F2424" s="157"/>
      <c r="G2424" s="36" t="b">
        <f t="shared" si="1"/>
        <v>0</v>
      </c>
      <c r="H2424" s="35" t="b">
        <v>0</v>
      </c>
      <c r="I2424" s="35" t="b">
        <v>0</v>
      </c>
      <c r="J2424" s="35" t="b">
        <v>0</v>
      </c>
      <c r="K2424" s="35" t="b">
        <v>0</v>
      </c>
      <c r="L2424" s="35" t="b">
        <v>0</v>
      </c>
      <c r="M2424" s="35" t="b">
        <v>0</v>
      </c>
      <c r="N2424" s="35" t="b">
        <v>0</v>
      </c>
      <c r="O2424" s="35" t="b">
        <v>0</v>
      </c>
      <c r="P2424" s="35" t="b">
        <v>0</v>
      </c>
      <c r="Q2424" s="35" t="b">
        <v>0</v>
      </c>
      <c r="R2424" s="14"/>
      <c r="S2424" s="14"/>
      <c r="T2424" s="14"/>
      <c r="U2424" s="14"/>
      <c r="V2424" s="14"/>
      <c r="W2424" s="14"/>
    </row>
    <row r="2425" ht="31.5" customHeight="1">
      <c r="A2425" s="124" t="s">
        <v>19054</v>
      </c>
      <c r="B2425" s="125" t="s">
        <v>19055</v>
      </c>
      <c r="C2425" s="126" t="s">
        <v>19056</v>
      </c>
      <c r="D2425" s="127" t="s">
        <v>19057</v>
      </c>
      <c r="E2425" s="28" t="str">
        <f>IFERROR(__xludf.DUMMYFUNCTION("GOOGLETRANSLATE(D2425,""zh-CN"",""vi"")"),"Tình hình này đã được cải thiện qua từng năm.")</f>
        <v>Tình hình này đã được cải thiện qua từng năm.</v>
      </c>
      <c r="F2425" s="157"/>
      <c r="G2425" s="36" t="b">
        <f t="shared" si="1"/>
        <v>0</v>
      </c>
      <c r="H2425" s="35" t="b">
        <v>0</v>
      </c>
      <c r="I2425" s="35" t="b">
        <v>0</v>
      </c>
      <c r="J2425" s="35" t="b">
        <v>0</v>
      </c>
      <c r="K2425" s="35" t="b">
        <v>0</v>
      </c>
      <c r="L2425" s="35" t="b">
        <v>0</v>
      </c>
      <c r="M2425" s="35" t="b">
        <v>0</v>
      </c>
      <c r="N2425" s="35" t="b">
        <v>0</v>
      </c>
      <c r="O2425" s="35" t="b">
        <v>0</v>
      </c>
      <c r="P2425" s="35" t="b">
        <v>0</v>
      </c>
      <c r="Q2425" s="35" t="b">
        <v>0</v>
      </c>
      <c r="R2425" s="14"/>
      <c r="S2425" s="14"/>
      <c r="T2425" s="14"/>
      <c r="U2425" s="14"/>
      <c r="V2425" s="14"/>
      <c r="W2425" s="14"/>
    </row>
    <row r="2426" ht="31.5" customHeight="1">
      <c r="A2426" s="124" t="s">
        <v>19058</v>
      </c>
      <c r="B2426" s="125" t="s">
        <v>14376</v>
      </c>
      <c r="C2426" s="126" t="s">
        <v>19059</v>
      </c>
      <c r="D2426" s="127" t="s">
        <v>19060</v>
      </c>
      <c r="E2426" s="28" t="str">
        <f>IFERROR(__xludf.DUMMYFUNCTION("GOOGLETRANSLATE(D2426,""zh-CN"",""vi"")"),"Ông ấy đi lại bằng nạng.")</f>
        <v>Ông ấy đi lại bằng nạng.</v>
      </c>
      <c r="F2426" s="157"/>
      <c r="G2426" s="36" t="b">
        <f t="shared" si="1"/>
        <v>0</v>
      </c>
      <c r="H2426" s="35" t="b">
        <v>0</v>
      </c>
      <c r="I2426" s="35" t="b">
        <v>0</v>
      </c>
      <c r="J2426" s="35" t="b">
        <v>0</v>
      </c>
      <c r="K2426" s="35" t="b">
        <v>0</v>
      </c>
      <c r="L2426" s="35" t="b">
        <v>0</v>
      </c>
      <c r="M2426" s="35" t="b">
        <v>0</v>
      </c>
      <c r="N2426" s="35" t="b">
        <v>0</v>
      </c>
      <c r="O2426" s="35" t="b">
        <v>0</v>
      </c>
      <c r="P2426" s="35" t="b">
        <v>0</v>
      </c>
      <c r="Q2426" s="35" t="b">
        <v>0</v>
      </c>
      <c r="R2426" s="14"/>
      <c r="S2426" s="14"/>
      <c r="T2426" s="14"/>
      <c r="U2426" s="14"/>
      <c r="V2426" s="14"/>
      <c r="W2426" s="14"/>
    </row>
    <row r="2427" ht="31.5" customHeight="1">
      <c r="A2427" s="124" t="s">
        <v>19061</v>
      </c>
      <c r="B2427" s="125" t="s">
        <v>19062</v>
      </c>
      <c r="C2427" s="126" t="s">
        <v>19063</v>
      </c>
      <c r="D2427" s="127" t="s">
        <v>19064</v>
      </c>
      <c r="E2427" s="28" t="str">
        <f>IFERROR(__xludf.DUMMYFUNCTION("GOOGLETRANSLATE(D2427,""zh-CN"",""vi"")"),"Ông ấy là người tổ chức sự kiện.")</f>
        <v>Ông ấy là người tổ chức sự kiện.</v>
      </c>
      <c r="F2427" s="157"/>
      <c r="G2427" s="36" t="b">
        <f t="shared" si="1"/>
        <v>0</v>
      </c>
      <c r="H2427" s="35" t="b">
        <v>0</v>
      </c>
      <c r="I2427" s="35" t="b">
        <v>0</v>
      </c>
      <c r="J2427" s="35" t="b">
        <v>0</v>
      </c>
      <c r="K2427" s="35" t="b">
        <v>0</v>
      </c>
      <c r="L2427" s="35" t="b">
        <v>0</v>
      </c>
      <c r="M2427" s="35" t="b">
        <v>0</v>
      </c>
      <c r="N2427" s="35" t="b">
        <v>0</v>
      </c>
      <c r="O2427" s="35" t="b">
        <v>0</v>
      </c>
      <c r="P2427" s="35" t="b">
        <v>0</v>
      </c>
      <c r="Q2427" s="35" t="b">
        <v>0</v>
      </c>
      <c r="R2427" s="14"/>
      <c r="S2427" s="14"/>
      <c r="T2427" s="14"/>
      <c r="U2427" s="14"/>
      <c r="V2427" s="14"/>
      <c r="W2427" s="14"/>
    </row>
    <row r="2428" ht="31.5" customHeight="1">
      <c r="A2428" s="124" t="s">
        <v>19065</v>
      </c>
      <c r="B2428" s="125" t="s">
        <v>19066</v>
      </c>
      <c r="C2428" s="126" t="s">
        <v>19067</v>
      </c>
      <c r="D2428" s="127" t="s">
        <v>19068</v>
      </c>
      <c r="E2428" s="28" t="str">
        <f>IFERROR(__xludf.DUMMYFUNCTION("GOOGLETRANSLATE(D2428,""zh-CN"",""vi"")"),"Công ty này nắm giữ vị thế thống lĩnh thị trường.")</f>
        <v>Công ty này nắm giữ vị thế thống lĩnh thị trường.</v>
      </c>
      <c r="F2428" s="157"/>
      <c r="G2428" s="36" t="b">
        <f t="shared" si="1"/>
        <v>0</v>
      </c>
      <c r="H2428" s="35" t="b">
        <v>0</v>
      </c>
      <c r="I2428" s="35" t="b">
        <v>0</v>
      </c>
      <c r="J2428" s="35" t="b">
        <v>0</v>
      </c>
      <c r="K2428" s="35" t="b">
        <v>0</v>
      </c>
      <c r="L2428" s="35" t="b">
        <v>0</v>
      </c>
      <c r="M2428" s="35" t="b">
        <v>0</v>
      </c>
      <c r="N2428" s="35" t="b">
        <v>0</v>
      </c>
      <c r="O2428" s="35" t="b">
        <v>0</v>
      </c>
      <c r="P2428" s="35" t="b">
        <v>0</v>
      </c>
      <c r="Q2428" s="35" t="b">
        <v>0</v>
      </c>
      <c r="R2428" s="14"/>
      <c r="S2428" s="14"/>
      <c r="T2428" s="14"/>
      <c r="U2428" s="14"/>
      <c r="V2428" s="14"/>
      <c r="W2428" s="14"/>
    </row>
    <row r="2429" ht="31.5" customHeight="1">
      <c r="A2429" s="124" t="s">
        <v>19069</v>
      </c>
      <c r="B2429" s="125" t="s">
        <v>19070</v>
      </c>
      <c r="C2429" s="126" t="s">
        <v>18905</v>
      </c>
      <c r="D2429" s="127" t="s">
        <v>19071</v>
      </c>
      <c r="E2429" s="28" t="str">
        <f>IFERROR(__xludf.DUMMYFUNCTION("GOOGLETRANSLATE(D2429,""zh-CN"",""vi"")"),"Ông ấy là trưởng bộ phận của chúng tôi.")</f>
        <v>Ông ấy là trưởng bộ phận của chúng tôi.</v>
      </c>
      <c r="F2429" s="157"/>
      <c r="G2429" s="36" t="b">
        <f t="shared" si="1"/>
        <v>0</v>
      </c>
      <c r="H2429" s="35" t="b">
        <v>0</v>
      </c>
      <c r="I2429" s="35" t="b">
        <v>0</v>
      </c>
      <c r="J2429" s="35" t="b">
        <v>0</v>
      </c>
      <c r="K2429" s="35" t="b">
        <v>0</v>
      </c>
      <c r="L2429" s="35" t="b">
        <v>0</v>
      </c>
      <c r="M2429" s="35" t="b">
        <v>0</v>
      </c>
      <c r="N2429" s="35" t="b">
        <v>0</v>
      </c>
      <c r="O2429" s="35" t="b">
        <v>0</v>
      </c>
      <c r="P2429" s="35" t="b">
        <v>0</v>
      </c>
      <c r="Q2429" s="35" t="b">
        <v>0</v>
      </c>
      <c r="R2429" s="14"/>
      <c r="S2429" s="14"/>
      <c r="T2429" s="14"/>
      <c r="U2429" s="14"/>
      <c r="V2429" s="14"/>
      <c r="W2429" s="14"/>
    </row>
    <row r="2430" ht="31.5" customHeight="1">
      <c r="A2430" s="124" t="s">
        <v>19072</v>
      </c>
      <c r="B2430" s="125" t="s">
        <v>19073</v>
      </c>
      <c r="C2430" s="126" t="s">
        <v>19074</v>
      </c>
      <c r="D2430" s="127" t="s">
        <v>19075</v>
      </c>
      <c r="E2430" s="28" t="str">
        <f>IFERROR(__xludf.DUMMYFUNCTION("GOOGLETRANSLATE(D2430,""zh-CN"",""vi"")"),"Sản phẩm này đã trở nên phổ biến trên thị trường.")</f>
        <v>Sản phẩm này đã trở nên phổ biến trên thị trường.</v>
      </c>
      <c r="F2430" s="157"/>
      <c r="G2430" s="36" t="b">
        <f t="shared" si="1"/>
        <v>0</v>
      </c>
      <c r="H2430" s="35" t="b">
        <v>0</v>
      </c>
      <c r="I2430" s="35" t="b">
        <v>0</v>
      </c>
      <c r="J2430" s="35" t="b">
        <v>0</v>
      </c>
      <c r="K2430" s="35" t="b">
        <v>0</v>
      </c>
      <c r="L2430" s="35" t="b">
        <v>0</v>
      </c>
      <c r="M2430" s="35" t="b">
        <v>0</v>
      </c>
      <c r="N2430" s="35" t="b">
        <v>0</v>
      </c>
      <c r="O2430" s="35" t="b">
        <v>0</v>
      </c>
      <c r="P2430" s="35" t="b">
        <v>0</v>
      </c>
      <c r="Q2430" s="35" t="b">
        <v>0</v>
      </c>
      <c r="R2430" s="14"/>
      <c r="S2430" s="14"/>
      <c r="T2430" s="14"/>
      <c r="U2430" s="14"/>
      <c r="V2430" s="14"/>
      <c r="W2430" s="14"/>
    </row>
    <row r="2431" ht="31.5" customHeight="1">
      <c r="A2431" s="124" t="s">
        <v>19076</v>
      </c>
      <c r="B2431" s="125" t="s">
        <v>19077</v>
      </c>
      <c r="C2431" s="126" t="s">
        <v>19078</v>
      </c>
      <c r="D2431" s="127" t="s">
        <v>19079</v>
      </c>
      <c r="E2431" s="28" t="str">
        <f>IFERROR(__xludf.DUMMYFUNCTION("GOOGLETRANSLATE(D2431,""zh-CN"",""vi"")"),"Chủ quyền quốc gia là bất khả xâm phạm.")</f>
        <v>Chủ quyền quốc gia là bất khả xâm phạm.</v>
      </c>
      <c r="F2431" s="157"/>
      <c r="G2431" s="36" t="b">
        <f t="shared" si="1"/>
        <v>0</v>
      </c>
      <c r="H2431" s="35" t="b">
        <v>0</v>
      </c>
      <c r="I2431" s="35" t="b">
        <v>0</v>
      </c>
      <c r="J2431" s="35" t="b">
        <v>0</v>
      </c>
      <c r="K2431" s="35" t="b">
        <v>0</v>
      </c>
      <c r="L2431" s="35" t="b">
        <v>0</v>
      </c>
      <c r="M2431" s="35" t="b">
        <v>0</v>
      </c>
      <c r="N2431" s="35" t="b">
        <v>0</v>
      </c>
      <c r="O2431" s="35" t="b">
        <v>0</v>
      </c>
      <c r="P2431" s="35" t="b">
        <v>0</v>
      </c>
      <c r="Q2431" s="35" t="b">
        <v>0</v>
      </c>
      <c r="R2431" s="14"/>
      <c r="S2431" s="14"/>
      <c r="T2431" s="14"/>
      <c r="U2431" s="14"/>
      <c r="V2431" s="14"/>
      <c r="W2431" s="14"/>
    </row>
    <row r="2432" ht="31.5" customHeight="1">
      <c r="A2432" s="124" t="s">
        <v>14348</v>
      </c>
      <c r="B2432" s="125" t="s">
        <v>19080</v>
      </c>
      <c r="C2432" s="126" t="s">
        <v>19081</v>
      </c>
      <c r="D2432" s="127" t="s">
        <v>19082</v>
      </c>
      <c r="E2432" s="28" t="str">
        <f>IFERROR(__xludf.DUMMYFUNCTION("GOOGLETRANSLATE(D2432,""zh-CN"",""vi"")"),"Tôi thích chủ đề của bộ phim này.")</f>
        <v>Tôi thích chủ đề của bộ phim này.</v>
      </c>
      <c r="F2432" s="157"/>
      <c r="G2432" s="36" t="b">
        <f t="shared" si="1"/>
        <v>0</v>
      </c>
      <c r="H2432" s="35" t="b">
        <v>0</v>
      </c>
      <c r="I2432" s="35" t="b">
        <v>0</v>
      </c>
      <c r="J2432" s="35" t="b">
        <v>0</v>
      </c>
      <c r="K2432" s="35" t="b">
        <v>0</v>
      </c>
      <c r="L2432" s="35" t="b">
        <v>0</v>
      </c>
      <c r="M2432" s="35" t="b">
        <v>0</v>
      </c>
      <c r="N2432" s="35" t="b">
        <v>0</v>
      </c>
      <c r="O2432" s="35" t="b">
        <v>0</v>
      </c>
      <c r="P2432" s="35" t="b">
        <v>0</v>
      </c>
      <c r="Q2432" s="35" t="b">
        <v>0</v>
      </c>
      <c r="R2432" s="14"/>
      <c r="S2432" s="14"/>
      <c r="T2432" s="14"/>
      <c r="U2432" s="14"/>
      <c r="V2432" s="14"/>
      <c r="W2432" s="14"/>
    </row>
    <row r="2433" ht="31.5" customHeight="1">
      <c r="A2433" s="124" t="s">
        <v>19083</v>
      </c>
      <c r="B2433" s="125" t="s">
        <v>19084</v>
      </c>
      <c r="C2433" s="126" t="s">
        <v>19085</v>
      </c>
      <c r="D2433" s="127" t="s">
        <v>19086</v>
      </c>
      <c r="E2433" s="28" t="str">
        <f>IFERROR(__xludf.DUMMYFUNCTION("GOOGLETRANSLATE(D2433,""zh-CN"",""vi"")"),"Anh ấy là trợ lý của tôi.")</f>
        <v>Anh ấy là trợ lý của tôi.</v>
      </c>
      <c r="F2433" s="157"/>
      <c r="G2433" s="36" t="b">
        <f t="shared" si="1"/>
        <v>0</v>
      </c>
      <c r="H2433" s="35" t="b">
        <v>0</v>
      </c>
      <c r="I2433" s="35" t="b">
        <v>0</v>
      </c>
      <c r="J2433" s="35" t="b">
        <v>0</v>
      </c>
      <c r="K2433" s="35" t="b">
        <v>0</v>
      </c>
      <c r="L2433" s="35" t="b">
        <v>0</v>
      </c>
      <c r="M2433" s="35" t="b">
        <v>0</v>
      </c>
      <c r="N2433" s="35" t="b">
        <v>0</v>
      </c>
      <c r="O2433" s="35" t="b">
        <v>0</v>
      </c>
      <c r="P2433" s="35" t="b">
        <v>0</v>
      </c>
      <c r="Q2433" s="35" t="b">
        <v>0</v>
      </c>
      <c r="R2433" s="14"/>
      <c r="S2433" s="14"/>
      <c r="T2433" s="14"/>
      <c r="U2433" s="14"/>
      <c r="V2433" s="14"/>
      <c r="W2433" s="14"/>
    </row>
    <row r="2434" ht="31.5" customHeight="1">
      <c r="A2434" s="124" t="s">
        <v>19087</v>
      </c>
      <c r="B2434" s="125" t="s">
        <v>19088</v>
      </c>
      <c r="C2434" s="126" t="s">
        <v>19089</v>
      </c>
      <c r="D2434" s="127" t="s">
        <v>19090</v>
      </c>
      <c r="E2434" s="28" t="str">
        <f>IFERROR(__xludf.DUMMYFUNCTION("GOOGLETRANSLATE(D2434,""zh-CN"",""vi"")"),"Bác sĩ đã tiêm vắc-xin cho tôi.")</f>
        <v>Bác sĩ đã tiêm vắc-xin cho tôi.</v>
      </c>
      <c r="F2434" s="157"/>
      <c r="G2434" s="36" t="b">
        <f t="shared" si="1"/>
        <v>0</v>
      </c>
      <c r="H2434" s="35" t="b">
        <v>0</v>
      </c>
      <c r="I2434" s="35" t="b">
        <v>0</v>
      </c>
      <c r="J2434" s="35" t="b">
        <v>0</v>
      </c>
      <c r="K2434" s="35" t="b">
        <v>0</v>
      </c>
      <c r="L2434" s="35" t="b">
        <v>0</v>
      </c>
      <c r="M2434" s="35" t="b">
        <v>0</v>
      </c>
      <c r="N2434" s="35" t="b">
        <v>0</v>
      </c>
      <c r="O2434" s="35" t="b">
        <v>0</v>
      </c>
      <c r="P2434" s="35" t="b">
        <v>0</v>
      </c>
      <c r="Q2434" s="35" t="b">
        <v>0</v>
      </c>
      <c r="R2434" s="14"/>
      <c r="S2434" s="14"/>
      <c r="T2434" s="14"/>
      <c r="U2434" s="14"/>
      <c r="V2434" s="14"/>
      <c r="W2434" s="14"/>
    </row>
    <row r="2435" ht="31.5" customHeight="1">
      <c r="A2435" s="124" t="s">
        <v>19091</v>
      </c>
      <c r="B2435" s="125" t="s">
        <v>19092</v>
      </c>
      <c r="C2435" s="126" t="s">
        <v>19093</v>
      </c>
      <c r="D2435" s="127" t="s">
        <v>19094</v>
      </c>
      <c r="E2435" s="28" t="str">
        <f>IFERROR(__xludf.DUMMYFUNCTION("GOOGLETRANSLATE(D2435,""zh-CN"",""vi"")"),"Anh ta nhìn xa xăm.")</f>
        <v>Anh ta nhìn xa xăm.</v>
      </c>
      <c r="F2435" s="157"/>
      <c r="G2435" s="36" t="b">
        <f t="shared" si="1"/>
        <v>0</v>
      </c>
      <c r="H2435" s="35" t="b">
        <v>0</v>
      </c>
      <c r="I2435" s="35" t="b">
        <v>0</v>
      </c>
      <c r="J2435" s="35" t="b">
        <v>0</v>
      </c>
      <c r="K2435" s="35" t="b">
        <v>0</v>
      </c>
      <c r="L2435" s="35" t="b">
        <v>0</v>
      </c>
      <c r="M2435" s="35" t="b">
        <v>0</v>
      </c>
      <c r="N2435" s="35" t="b">
        <v>0</v>
      </c>
      <c r="O2435" s="35" t="b">
        <v>0</v>
      </c>
      <c r="P2435" s="35" t="b">
        <v>0</v>
      </c>
      <c r="Q2435" s="35" t="b">
        <v>0</v>
      </c>
      <c r="R2435" s="14"/>
      <c r="S2435" s="14"/>
      <c r="T2435" s="14"/>
      <c r="U2435" s="14"/>
      <c r="V2435" s="14"/>
      <c r="W2435" s="14"/>
    </row>
    <row r="2436" ht="31.5" customHeight="1">
      <c r="A2436" s="124" t="s">
        <v>19095</v>
      </c>
      <c r="B2436" s="125" t="s">
        <v>19092</v>
      </c>
      <c r="C2436" s="126" t="s">
        <v>19096</v>
      </c>
      <c r="D2436" s="127" t="s">
        <v>19097</v>
      </c>
      <c r="E2436" s="28" t="str">
        <f>IFERROR(__xludf.DUMMYFUNCTION("GOOGLETRANSLATE(D2436,""zh-CN"",""vi"")"),"Cuốn sách này có phần chú thích rất chi tiết.")</f>
        <v>Cuốn sách này có phần chú thích rất chi tiết.</v>
      </c>
      <c r="F2436" s="157"/>
      <c r="G2436" s="36" t="b">
        <f t="shared" si="1"/>
        <v>0</v>
      </c>
      <c r="H2436" s="35" t="b">
        <v>0</v>
      </c>
      <c r="I2436" s="35" t="b">
        <v>0</v>
      </c>
      <c r="J2436" s="35" t="b">
        <v>0</v>
      </c>
      <c r="K2436" s="35" t="b">
        <v>0</v>
      </c>
      <c r="L2436" s="35" t="b">
        <v>0</v>
      </c>
      <c r="M2436" s="35" t="b">
        <v>0</v>
      </c>
      <c r="N2436" s="35" t="b">
        <v>0</v>
      </c>
      <c r="O2436" s="35" t="b">
        <v>0</v>
      </c>
      <c r="P2436" s="35" t="b">
        <v>0</v>
      </c>
      <c r="Q2436" s="35" t="b">
        <v>0</v>
      </c>
      <c r="R2436" s="14"/>
      <c r="S2436" s="14"/>
      <c r="T2436" s="14"/>
      <c r="U2436" s="14"/>
      <c r="V2436" s="14"/>
      <c r="W2436" s="14"/>
    </row>
    <row r="2437" ht="31.5" customHeight="1">
      <c r="A2437" s="124" t="s">
        <v>19098</v>
      </c>
      <c r="B2437" s="125" t="s">
        <v>19099</v>
      </c>
      <c r="C2437" s="126" t="s">
        <v>19100</v>
      </c>
      <c r="D2437" s="127" t="s">
        <v>19101</v>
      </c>
      <c r="E2437" s="28" t="str">
        <f>IFERROR(__xludf.DUMMYFUNCTION("GOOGLETRANSLATE(D2437,""zh-CN"",""vi"")"),"Cô ấy là trợ lý của tôi.")</f>
        <v>Cô ấy là trợ lý của tôi.</v>
      </c>
      <c r="F2437" s="157"/>
      <c r="G2437" s="36" t="b">
        <f t="shared" si="1"/>
        <v>0</v>
      </c>
      <c r="H2437" s="35" t="b">
        <v>0</v>
      </c>
      <c r="I2437" s="35" t="b">
        <v>0</v>
      </c>
      <c r="J2437" s="35" t="b">
        <v>0</v>
      </c>
      <c r="K2437" s="35" t="b">
        <v>0</v>
      </c>
      <c r="L2437" s="35" t="b">
        <v>0</v>
      </c>
      <c r="M2437" s="35" t="b">
        <v>0</v>
      </c>
      <c r="N2437" s="35" t="b">
        <v>0</v>
      </c>
      <c r="O2437" s="35" t="b">
        <v>0</v>
      </c>
      <c r="P2437" s="35" t="b">
        <v>0</v>
      </c>
      <c r="Q2437" s="35" t="b">
        <v>0</v>
      </c>
      <c r="R2437" s="14"/>
      <c r="S2437" s="14"/>
      <c r="T2437" s="14"/>
      <c r="U2437" s="14"/>
      <c r="V2437" s="14"/>
      <c r="W2437" s="14"/>
    </row>
    <row r="2438" ht="31.5" customHeight="1">
      <c r="A2438" s="124" t="s">
        <v>19102</v>
      </c>
      <c r="B2438" s="125" t="s">
        <v>19103</v>
      </c>
      <c r="C2438" s="126" t="s">
        <v>19104</v>
      </c>
      <c r="D2438" s="127" t="s">
        <v>19105</v>
      </c>
      <c r="E2438" s="28" t="str">
        <f>IFERROR(__xludf.DUMMYFUNCTION("GOOGLETRANSLATE(D2438,""zh-CN"",""vi"")"),"Các công nhân đang làm việc trong xưởng đúc.")</f>
        <v>Các công nhân đang làm việc trong xưởng đúc.</v>
      </c>
      <c r="F2438" s="157"/>
      <c r="G2438" s="36" t="b">
        <f t="shared" si="1"/>
        <v>0</v>
      </c>
      <c r="H2438" s="35" t="b">
        <v>0</v>
      </c>
      <c r="I2438" s="35" t="b">
        <v>0</v>
      </c>
      <c r="J2438" s="35" t="b">
        <v>0</v>
      </c>
      <c r="K2438" s="35" t="b">
        <v>0</v>
      </c>
      <c r="L2438" s="35" t="b">
        <v>0</v>
      </c>
      <c r="M2438" s="35" t="b">
        <v>0</v>
      </c>
      <c r="N2438" s="35" t="b">
        <v>0</v>
      </c>
      <c r="O2438" s="35" t="b">
        <v>0</v>
      </c>
      <c r="P2438" s="35" t="b">
        <v>0</v>
      </c>
      <c r="Q2438" s="35" t="b">
        <v>0</v>
      </c>
      <c r="R2438" s="14"/>
      <c r="S2438" s="14"/>
      <c r="T2438" s="14"/>
      <c r="U2438" s="14"/>
      <c r="V2438" s="14"/>
      <c r="W2438" s="14"/>
    </row>
    <row r="2439" ht="31.5" customHeight="1">
      <c r="A2439" s="124" t="s">
        <v>19106</v>
      </c>
      <c r="B2439" s="125" t="s">
        <v>19107</v>
      </c>
      <c r="C2439" s="126" t="s">
        <v>19108</v>
      </c>
      <c r="D2439" s="127" t="s">
        <v>19109</v>
      </c>
      <c r="E2439" s="28" t="str">
        <f>IFERROR(__xludf.DUMMYFUNCTION("GOOGLETRANSLATE(D2439,""zh-CN"",""vi"")"),"Quân đội đóng quân ở biên giới.")</f>
        <v>Quân đội đóng quân ở biên giới.</v>
      </c>
      <c r="F2439" s="157"/>
      <c r="G2439" s="36" t="b">
        <f t="shared" si="1"/>
        <v>0</v>
      </c>
      <c r="H2439" s="35" t="b">
        <v>0</v>
      </c>
      <c r="I2439" s="35" t="b">
        <v>0</v>
      </c>
      <c r="J2439" s="35" t="b">
        <v>0</v>
      </c>
      <c r="K2439" s="35" t="b">
        <v>0</v>
      </c>
      <c r="L2439" s="35" t="b">
        <v>0</v>
      </c>
      <c r="M2439" s="35" t="b">
        <v>0</v>
      </c>
      <c r="N2439" s="35" t="b">
        <v>0</v>
      </c>
      <c r="O2439" s="35" t="b">
        <v>0</v>
      </c>
      <c r="P2439" s="35" t="b">
        <v>0</v>
      </c>
      <c r="Q2439" s="35" t="b">
        <v>0</v>
      </c>
      <c r="R2439" s="14"/>
      <c r="S2439" s="14"/>
      <c r="T2439" s="14"/>
      <c r="U2439" s="14"/>
      <c r="V2439" s="14"/>
      <c r="W2439" s="14"/>
    </row>
    <row r="2440" ht="31.5" customHeight="1">
      <c r="A2440" s="124" t="s">
        <v>19110</v>
      </c>
      <c r="B2440" s="125" t="s">
        <v>19111</v>
      </c>
      <c r="C2440" s="126" t="s">
        <v>19112</v>
      </c>
      <c r="D2440" s="127" t="s">
        <v>19113</v>
      </c>
      <c r="E2440" s="28" t="str">
        <f>IFERROR(__xludf.DUMMYFUNCTION("GOOGLETRANSLATE(D2440,""zh-CN"",""vi"")"),"Anh ấy sống trong ngôi nhà này.")</f>
        <v>Anh ấy sống trong ngôi nhà này.</v>
      </c>
      <c r="F2440" s="157"/>
      <c r="G2440" s="36" t="b">
        <f t="shared" si="1"/>
        <v>0</v>
      </c>
      <c r="H2440" s="35" t="b">
        <v>0</v>
      </c>
      <c r="I2440" s="35" t="b">
        <v>0</v>
      </c>
      <c r="J2440" s="35" t="b">
        <v>0</v>
      </c>
      <c r="K2440" s="35" t="b">
        <v>0</v>
      </c>
      <c r="L2440" s="35" t="b">
        <v>0</v>
      </c>
      <c r="M2440" s="35" t="b">
        <v>0</v>
      </c>
      <c r="N2440" s="35" t="b">
        <v>0</v>
      </c>
      <c r="O2440" s="35" t="b">
        <v>0</v>
      </c>
      <c r="P2440" s="35" t="b">
        <v>0</v>
      </c>
      <c r="Q2440" s="35" t="b">
        <v>0</v>
      </c>
      <c r="R2440" s="14"/>
      <c r="S2440" s="14"/>
      <c r="T2440" s="14"/>
      <c r="U2440" s="14"/>
      <c r="V2440" s="14"/>
      <c r="W2440" s="14"/>
    </row>
    <row r="2441" ht="31.5" customHeight="1">
      <c r="A2441" s="124" t="s">
        <v>19114</v>
      </c>
      <c r="B2441" s="125" t="s">
        <v>19115</v>
      </c>
      <c r="C2441" s="126" t="s">
        <v>19116</v>
      </c>
      <c r="D2441" s="127" t="s">
        <v>19117</v>
      </c>
      <c r="E2441" s="28" t="str">
        <f>IFERROR(__xludf.DUMMYFUNCTION("GOOGLETRANSLATE(D2441,""zh-CN"",""vi"")"),"Chúng ta phải chú trọng đến việc bảo vệ môi trường.")</f>
        <v>Chúng ta phải chú trọng đến việc bảo vệ môi trường.</v>
      </c>
      <c r="F2441" s="157"/>
      <c r="G2441" s="36" t="b">
        <f t="shared" si="1"/>
        <v>0</v>
      </c>
      <c r="H2441" s="35" t="b">
        <v>0</v>
      </c>
      <c r="I2441" s="35" t="b">
        <v>0</v>
      </c>
      <c r="J2441" s="35" t="b">
        <v>0</v>
      </c>
      <c r="K2441" s="35" t="b">
        <v>0</v>
      </c>
      <c r="L2441" s="35" t="b">
        <v>0</v>
      </c>
      <c r="M2441" s="35" t="b">
        <v>0</v>
      </c>
      <c r="N2441" s="35" t="b">
        <v>0</v>
      </c>
      <c r="O2441" s="35" t="b">
        <v>0</v>
      </c>
      <c r="P2441" s="35" t="b">
        <v>0</v>
      </c>
      <c r="Q2441" s="35" t="b">
        <v>0</v>
      </c>
      <c r="R2441" s="14"/>
      <c r="S2441" s="14"/>
      <c r="T2441" s="14"/>
      <c r="U2441" s="14"/>
      <c r="V2441" s="14"/>
      <c r="W2441" s="14"/>
    </row>
    <row r="2442" ht="31.5" customHeight="1">
      <c r="A2442" s="124" t="s">
        <v>19118</v>
      </c>
      <c r="B2442" s="125" t="s">
        <v>19119</v>
      </c>
      <c r="C2442" s="126" t="s">
        <v>19120</v>
      </c>
      <c r="D2442" s="127" t="s">
        <v>19121</v>
      </c>
      <c r="E2442" s="28" t="str">
        <f>IFERROR(__xludf.DUMMYFUNCTION("GOOGLETRANSLATE(D2442,""zh-CN"",""vi"")"),"Ông đã viết rất nhiều sách.")</f>
        <v>Ông đã viết rất nhiều sách.</v>
      </c>
      <c r="F2442" s="157"/>
      <c r="G2442" s="36" t="b">
        <f t="shared" si="1"/>
        <v>0</v>
      </c>
      <c r="H2442" s="35" t="b">
        <v>0</v>
      </c>
      <c r="I2442" s="35" t="b">
        <v>0</v>
      </c>
      <c r="J2442" s="35" t="b">
        <v>0</v>
      </c>
      <c r="K2442" s="35" t="b">
        <v>0</v>
      </c>
      <c r="L2442" s="35" t="b">
        <v>0</v>
      </c>
      <c r="M2442" s="35" t="b">
        <v>0</v>
      </c>
      <c r="N2442" s="35" t="b">
        <v>0</v>
      </c>
      <c r="O2442" s="35" t="b">
        <v>0</v>
      </c>
      <c r="P2442" s="35" t="b">
        <v>0</v>
      </c>
      <c r="Q2442" s="35" t="b">
        <v>0</v>
      </c>
      <c r="R2442" s="14"/>
      <c r="S2442" s="14"/>
      <c r="T2442" s="14"/>
      <c r="U2442" s="14"/>
      <c r="V2442" s="14"/>
      <c r="W2442" s="14"/>
    </row>
    <row r="2443" ht="31.5" customHeight="1">
      <c r="A2443" s="124" t="s">
        <v>19122</v>
      </c>
      <c r="B2443" s="125" t="s">
        <v>19123</v>
      </c>
      <c r="C2443" s="126" t="s">
        <v>19124</v>
      </c>
      <c r="D2443" s="127" t="s">
        <v>19125</v>
      </c>
      <c r="E2443" s="28" t="str">
        <f>IFERROR(__xludf.DUMMYFUNCTION("GOOGLETRANSLATE(D2443,""zh-CN"",""vi"")"),"Anh ta lôi những thứ đó đi.")</f>
        <v>Anh ta lôi những thứ đó đi.</v>
      </c>
      <c r="F2443" s="157"/>
      <c r="G2443" s="36" t="b">
        <f t="shared" si="1"/>
        <v>0</v>
      </c>
      <c r="H2443" s="35" t="b">
        <v>0</v>
      </c>
      <c r="I2443" s="35" t="b">
        <v>0</v>
      </c>
      <c r="J2443" s="35" t="b">
        <v>0</v>
      </c>
      <c r="K2443" s="35" t="b">
        <v>0</v>
      </c>
      <c r="L2443" s="35" t="b">
        <v>0</v>
      </c>
      <c r="M2443" s="35" t="b">
        <v>0</v>
      </c>
      <c r="N2443" s="35" t="b">
        <v>0</v>
      </c>
      <c r="O2443" s="35" t="b">
        <v>0</v>
      </c>
      <c r="P2443" s="35" t="b">
        <v>0</v>
      </c>
      <c r="Q2443" s="35" t="b">
        <v>0</v>
      </c>
      <c r="R2443" s="14"/>
      <c r="S2443" s="14"/>
      <c r="T2443" s="14"/>
      <c r="U2443" s="14"/>
      <c r="V2443" s="14"/>
      <c r="W2443" s="14"/>
    </row>
    <row r="2444" ht="31.5" customHeight="1">
      <c r="A2444" s="124" t="s">
        <v>19126</v>
      </c>
      <c r="B2444" s="125" t="s">
        <v>19127</v>
      </c>
      <c r="C2444" s="126" t="s">
        <v>19128</v>
      </c>
      <c r="D2444" s="127" t="s">
        <v>19129</v>
      </c>
      <c r="E2444" s="28" t="str">
        <f>IFERROR(__xludf.DUMMYFUNCTION("GOOGLETRANSLATE(D2444,""zh-CN"",""vi"")"),"Anh ấy rất tài năng trong lĩnh vực âm nhạc.")</f>
        <v>Anh ấy rất tài năng trong lĩnh vực âm nhạc.</v>
      </c>
      <c r="F2444" s="157"/>
      <c r="G2444" s="36" t="b">
        <f t="shared" si="1"/>
        <v>0</v>
      </c>
      <c r="H2444" s="35" t="b">
        <v>0</v>
      </c>
      <c r="I2444" s="35" t="b">
        <v>0</v>
      </c>
      <c r="J2444" s="35" t="b">
        <v>0</v>
      </c>
      <c r="K2444" s="35" t="b">
        <v>0</v>
      </c>
      <c r="L2444" s="35" t="b">
        <v>0</v>
      </c>
      <c r="M2444" s="35" t="b">
        <v>0</v>
      </c>
      <c r="N2444" s="35" t="b">
        <v>0</v>
      </c>
      <c r="O2444" s="35" t="b">
        <v>0</v>
      </c>
      <c r="P2444" s="35" t="b">
        <v>0</v>
      </c>
      <c r="Q2444" s="35" t="b">
        <v>0</v>
      </c>
      <c r="R2444" s="14"/>
      <c r="S2444" s="14"/>
      <c r="T2444" s="14"/>
      <c r="U2444" s="14"/>
      <c r="V2444" s="14"/>
      <c r="W2444" s="14"/>
    </row>
    <row r="2445" ht="31.5" customHeight="1">
      <c r="A2445" s="124" t="s">
        <v>19130</v>
      </c>
      <c r="B2445" s="125" t="s">
        <v>19131</v>
      </c>
      <c r="C2445" s="126" t="s">
        <v>19132</v>
      </c>
      <c r="D2445" s="127" t="s">
        <v>19133</v>
      </c>
      <c r="E2445" s="28" t="str">
        <f>IFERROR(__xludf.DUMMYFUNCTION("GOOGLETRANSLATE(D2445,""zh-CN"",""vi"")"),"Anh ấy đến gặp riêng tôi.")</f>
        <v>Anh ấy đến gặp riêng tôi.</v>
      </c>
      <c r="F2445" s="157"/>
      <c r="G2445" s="36" t="b">
        <f t="shared" si="1"/>
        <v>0</v>
      </c>
      <c r="H2445" s="35" t="b">
        <v>0</v>
      </c>
      <c r="I2445" s="35" t="b">
        <v>0</v>
      </c>
      <c r="J2445" s="35" t="b">
        <v>0</v>
      </c>
      <c r="K2445" s="35" t="b">
        <v>0</v>
      </c>
      <c r="L2445" s="35" t="b">
        <v>0</v>
      </c>
      <c r="M2445" s="35" t="b">
        <v>0</v>
      </c>
      <c r="N2445" s="35" t="b">
        <v>0</v>
      </c>
      <c r="O2445" s="35" t="b">
        <v>0</v>
      </c>
      <c r="P2445" s="35" t="b">
        <v>0</v>
      </c>
      <c r="Q2445" s="35" t="b">
        <v>0</v>
      </c>
      <c r="R2445" s="14"/>
      <c r="S2445" s="14"/>
      <c r="T2445" s="14"/>
      <c r="U2445" s="14"/>
      <c r="V2445" s="14"/>
      <c r="W2445" s="14"/>
    </row>
    <row r="2446" ht="31.5" customHeight="1">
      <c r="A2446" s="124" t="s">
        <v>19134</v>
      </c>
      <c r="B2446" s="125" t="s">
        <v>19135</v>
      </c>
      <c r="C2446" s="126" t="s">
        <v>19136</v>
      </c>
      <c r="D2446" s="127" t="s">
        <v>19137</v>
      </c>
      <c r="E2446" s="28" t="str">
        <f>IFERROR(__xludf.DUMMYFUNCTION("GOOGLETRANSLATE(D2446,""zh-CN"",""vi"")"),"Anh ấy làm việc tại một bệnh viện chuyên khoa.")</f>
        <v>Anh ấy làm việc tại một bệnh viện chuyên khoa.</v>
      </c>
      <c r="F2446" s="157"/>
      <c r="G2446" s="36" t="b">
        <f t="shared" si="1"/>
        <v>0</v>
      </c>
      <c r="H2446" s="35" t="b">
        <v>0</v>
      </c>
      <c r="I2446" s="35" t="b">
        <v>0</v>
      </c>
      <c r="J2446" s="35" t="b">
        <v>0</v>
      </c>
      <c r="K2446" s="35" t="b">
        <v>0</v>
      </c>
      <c r="L2446" s="35" t="b">
        <v>0</v>
      </c>
      <c r="M2446" s="35" t="b">
        <v>0</v>
      </c>
      <c r="N2446" s="35" t="b">
        <v>0</v>
      </c>
      <c r="O2446" s="35" t="b">
        <v>0</v>
      </c>
      <c r="P2446" s="35" t="b">
        <v>0</v>
      </c>
      <c r="Q2446" s="35" t="b">
        <v>0</v>
      </c>
      <c r="R2446" s="14"/>
      <c r="S2446" s="14"/>
      <c r="T2446" s="14"/>
      <c r="U2446" s="14"/>
      <c r="V2446" s="14"/>
      <c r="W2446" s="14"/>
    </row>
    <row r="2447" ht="31.5" customHeight="1">
      <c r="A2447" s="124" t="s">
        <v>19138</v>
      </c>
      <c r="B2447" s="125" t="s">
        <v>19139</v>
      </c>
      <c r="C2447" s="126" t="s">
        <v>19140</v>
      </c>
      <c r="D2447" s="127" t="s">
        <v>19141</v>
      </c>
      <c r="E2447" s="28" t="str">
        <f>IFERROR(__xludf.DUMMYFUNCTION("GOOGLETRANSLATE(D2447,""zh-CN"",""vi"")"),"Ông đã nhận được một bằng sáng chế quan trọng.")</f>
        <v>Ông đã nhận được một bằng sáng chế quan trọng.</v>
      </c>
      <c r="F2447" s="157"/>
      <c r="G2447" s="36" t="b">
        <f t="shared" si="1"/>
        <v>0</v>
      </c>
      <c r="H2447" s="35" t="b">
        <v>0</v>
      </c>
      <c r="I2447" s="35" t="b">
        <v>0</v>
      </c>
      <c r="J2447" s="35" t="b">
        <v>0</v>
      </c>
      <c r="K2447" s="35" t="b">
        <v>0</v>
      </c>
      <c r="L2447" s="35" t="b">
        <v>0</v>
      </c>
      <c r="M2447" s="35" t="b">
        <v>0</v>
      </c>
      <c r="N2447" s="35" t="b">
        <v>0</v>
      </c>
      <c r="O2447" s="35" t="b">
        <v>0</v>
      </c>
      <c r="P2447" s="35" t="b">
        <v>0</v>
      </c>
      <c r="Q2447" s="35" t="b">
        <v>0</v>
      </c>
      <c r="R2447" s="14"/>
      <c r="S2447" s="14"/>
      <c r="T2447" s="14"/>
      <c r="U2447" s="14"/>
      <c r="V2447" s="14"/>
      <c r="W2447" s="14"/>
    </row>
    <row r="2448" ht="31.5" customHeight="1">
      <c r="A2448" s="124" t="s">
        <v>19142</v>
      </c>
      <c r="B2448" s="125" t="s">
        <v>19143</v>
      </c>
      <c r="C2448" s="126" t="s">
        <v>19144</v>
      </c>
      <c r="D2448" s="127" t="s">
        <v>19145</v>
      </c>
      <c r="E2448" s="28" t="str">
        <f>IFERROR(__xludf.DUMMYFUNCTION("GOOGLETRANSLATE(D2448,""zh-CN"",""vi"")"),"Chúng ta cần nghiên cứu chủ đề này.")</f>
        <v>Chúng ta cần nghiên cứu chủ đề này.</v>
      </c>
      <c r="F2448" s="157"/>
      <c r="G2448" s="36" t="b">
        <f t="shared" si="1"/>
        <v>0</v>
      </c>
      <c r="H2448" s="35" t="b">
        <v>0</v>
      </c>
      <c r="I2448" s="35" t="b">
        <v>0</v>
      </c>
      <c r="J2448" s="35" t="b">
        <v>0</v>
      </c>
      <c r="K2448" s="35" t="b">
        <v>0</v>
      </c>
      <c r="L2448" s="35" t="b">
        <v>0</v>
      </c>
      <c r="M2448" s="35" t="b">
        <v>0</v>
      </c>
      <c r="N2448" s="35" t="b">
        <v>0</v>
      </c>
      <c r="O2448" s="35" t="b">
        <v>0</v>
      </c>
      <c r="P2448" s="35" t="b">
        <v>0</v>
      </c>
      <c r="Q2448" s="35" t="b">
        <v>0</v>
      </c>
      <c r="R2448" s="14"/>
      <c r="S2448" s="14"/>
      <c r="T2448" s="14"/>
      <c r="U2448" s="14"/>
      <c r="V2448" s="14"/>
      <c r="W2448" s="14"/>
    </row>
    <row r="2449" ht="31.5" customHeight="1">
      <c r="A2449" s="124" t="s">
        <v>19146</v>
      </c>
      <c r="B2449" s="125" t="s">
        <v>19147</v>
      </c>
      <c r="C2449" s="126" t="s">
        <v>19148</v>
      </c>
      <c r="D2449" s="127" t="s">
        <v>19149</v>
      </c>
      <c r="E2449" s="28" t="str">
        <f>IFERROR(__xludf.DUMMYFUNCTION("GOOGLETRANSLATE(D2449,""zh-CN"",""vi"")"),"Gạch và ngói của ngôi nhà đã cũ và sờn.")</f>
        <v>Gạch và ngói của ngôi nhà đã cũ và sờn.</v>
      </c>
      <c r="F2449" s="157"/>
      <c r="G2449" s="36" t="b">
        <f t="shared" si="1"/>
        <v>0</v>
      </c>
      <c r="H2449" s="35" t="b">
        <v>0</v>
      </c>
      <c r="I2449" s="35" t="b">
        <v>0</v>
      </c>
      <c r="J2449" s="35" t="b">
        <v>0</v>
      </c>
      <c r="K2449" s="35" t="b">
        <v>0</v>
      </c>
      <c r="L2449" s="35" t="b">
        <v>0</v>
      </c>
      <c r="M2449" s="35" t="b">
        <v>0</v>
      </c>
      <c r="N2449" s="35" t="b">
        <v>0</v>
      </c>
      <c r="O2449" s="35" t="b">
        <v>0</v>
      </c>
      <c r="P2449" s="35" t="b">
        <v>0</v>
      </c>
      <c r="Q2449" s="35" t="b">
        <v>0</v>
      </c>
      <c r="R2449" s="14"/>
      <c r="S2449" s="14"/>
      <c r="T2449" s="14"/>
      <c r="U2449" s="14"/>
      <c r="V2449" s="14"/>
      <c r="W2449" s="14"/>
    </row>
    <row r="2450" ht="31.5" customHeight="1">
      <c r="A2450" s="124" t="s">
        <v>19150</v>
      </c>
      <c r="B2450" s="125" t="s">
        <v>19151</v>
      </c>
      <c r="C2450" s="126" t="s">
        <v>19152</v>
      </c>
      <c r="D2450" s="127" t="s">
        <v>19153</v>
      </c>
      <c r="E2450" s="28" t="str">
        <f>IFERROR(__xludf.DUMMYFUNCTION("GOOGLETRANSLATE(D2450,""zh-CN"",""vi"")"),"Anh ta truyền đạt lại chỉ thị của cấp trên.")</f>
        <v>Anh ta truyền đạt lại chỉ thị của cấp trên.</v>
      </c>
      <c r="F2450" s="157"/>
      <c r="G2450" s="36" t="b">
        <f t="shared" si="1"/>
        <v>0</v>
      </c>
      <c r="H2450" s="35" t="b">
        <v>1</v>
      </c>
      <c r="I2450" s="35" t="b">
        <v>0</v>
      </c>
      <c r="J2450" s="35" t="b">
        <v>0</v>
      </c>
      <c r="K2450" s="35" t="b">
        <v>0</v>
      </c>
      <c r="L2450" s="35" t="b">
        <v>0</v>
      </c>
      <c r="M2450" s="35" t="b">
        <v>0</v>
      </c>
      <c r="N2450" s="35" t="b">
        <v>0</v>
      </c>
      <c r="O2450" s="35" t="b">
        <v>0</v>
      </c>
      <c r="P2450" s="35" t="b">
        <v>0</v>
      </c>
      <c r="Q2450" s="35" t="b">
        <v>0</v>
      </c>
      <c r="R2450" s="14"/>
      <c r="S2450" s="14"/>
      <c r="T2450" s="14"/>
      <c r="U2450" s="14"/>
      <c r="V2450" s="14"/>
      <c r="W2450" s="14"/>
    </row>
    <row r="2451" ht="31.5" customHeight="1">
      <c r="A2451" s="124" t="s">
        <v>19154</v>
      </c>
      <c r="B2451" s="125" t="s">
        <v>19155</v>
      </c>
      <c r="C2451" s="126" t="s">
        <v>19156</v>
      </c>
      <c r="D2451" s="127" t="s">
        <v>19157</v>
      </c>
      <c r="E2451" s="28" t="str">
        <f>IFERROR(__xludf.DUMMYFUNCTION("GOOGLETRANSLATE(D2451,""zh-CN"",""vi"")"),"Ông quyết định chuyển giao công ty cho một người bạn.")</f>
        <v>Ông quyết định chuyển giao công ty cho một người bạn.</v>
      </c>
      <c r="F2451" s="157"/>
      <c r="G2451" s="36" t="b">
        <f t="shared" si="1"/>
        <v>0</v>
      </c>
      <c r="H2451" s="35" t="b">
        <v>1</v>
      </c>
      <c r="I2451" s="35" t="b">
        <v>0</v>
      </c>
      <c r="J2451" s="35" t="b">
        <v>0</v>
      </c>
      <c r="K2451" s="35" t="b">
        <v>0</v>
      </c>
      <c r="L2451" s="35" t="b">
        <v>0</v>
      </c>
      <c r="M2451" s="35" t="b">
        <v>0</v>
      </c>
      <c r="N2451" s="35" t="b">
        <v>0</v>
      </c>
      <c r="O2451" s="35" t="b">
        <v>0</v>
      </c>
      <c r="P2451" s="35" t="b">
        <v>0</v>
      </c>
      <c r="Q2451" s="35" t="b">
        <v>0</v>
      </c>
      <c r="R2451" s="14"/>
      <c r="S2451" s="14"/>
      <c r="T2451" s="14"/>
      <c r="U2451" s="14"/>
      <c r="V2451" s="14"/>
      <c r="W2451" s="14"/>
    </row>
    <row r="2452" ht="31.5" customHeight="1">
      <c r="A2452" s="124" t="s">
        <v>19158</v>
      </c>
      <c r="B2452" s="125" t="s">
        <v>19159</v>
      </c>
      <c r="C2452" s="126" t="s">
        <v>19160</v>
      </c>
      <c r="D2452" s="127" t="s">
        <v>19161</v>
      </c>
      <c r="E2452" s="28" t="str">
        <f>IFERROR(__xludf.DUMMYFUNCTION("GOOGLETRANSLATE(D2452,""zh-CN"",""vi"")"),"Họ đã di chuyển đến một nơi an toàn.")</f>
        <v>Họ đã di chuyển đến một nơi an toàn.</v>
      </c>
      <c r="F2452" s="157"/>
      <c r="G2452" s="36" t="b">
        <f t="shared" si="1"/>
        <v>0</v>
      </c>
      <c r="H2452" s="35" t="b">
        <v>1</v>
      </c>
      <c r="I2452" s="35" t="b">
        <v>0</v>
      </c>
      <c r="J2452" s="35" t="b">
        <v>0</v>
      </c>
      <c r="K2452" s="35" t="b">
        <v>0</v>
      </c>
      <c r="L2452" s="35" t="b">
        <v>0</v>
      </c>
      <c r="M2452" s="35" t="b">
        <v>0</v>
      </c>
      <c r="N2452" s="35" t="b">
        <v>0</v>
      </c>
      <c r="O2452" s="35" t="b">
        <v>0</v>
      </c>
      <c r="P2452" s="35" t="b">
        <v>0</v>
      </c>
      <c r="Q2452" s="35" t="b">
        <v>0</v>
      </c>
      <c r="R2452" s="14"/>
      <c r="S2452" s="14"/>
      <c r="T2452" s="14"/>
      <c r="U2452" s="14"/>
      <c r="V2452" s="14"/>
      <c r="W2452" s="14"/>
    </row>
    <row r="2453" ht="31.5" customHeight="1">
      <c r="A2453" s="124" t="s">
        <v>19162</v>
      </c>
      <c r="B2453" s="125" t="s">
        <v>19163</v>
      </c>
      <c r="C2453" s="126" t="s">
        <v>19164</v>
      </c>
      <c r="D2453" s="127" t="s">
        <v>19165</v>
      </c>
      <c r="E2453" s="28" t="str">
        <f>IFERROR(__xludf.DUMMYFUNCTION("GOOGLETRANSLATE(D2453,""zh-CN"",""vi"")"),"Câu chuyện có một bước ngoặt bất ngờ ở đoạn kết.")</f>
        <v>Câu chuyện có một bước ngoặt bất ngờ ở đoạn kết.</v>
      </c>
      <c r="F2453" s="157"/>
      <c r="G2453" s="36" t="b">
        <f t="shared" si="1"/>
        <v>0</v>
      </c>
      <c r="H2453" s="35" t="b">
        <v>1</v>
      </c>
      <c r="I2453" s="35" t="b">
        <v>0</v>
      </c>
      <c r="J2453" s="35" t="b">
        <v>0</v>
      </c>
      <c r="K2453" s="35" t="b">
        <v>0</v>
      </c>
      <c r="L2453" s="35" t="b">
        <v>0</v>
      </c>
      <c r="M2453" s="35" t="b">
        <v>0</v>
      </c>
      <c r="N2453" s="35" t="b">
        <v>0</v>
      </c>
      <c r="O2453" s="35" t="b">
        <v>0</v>
      </c>
      <c r="P2453" s="35" t="b">
        <v>0</v>
      </c>
      <c r="Q2453" s="35" t="b">
        <v>0</v>
      </c>
      <c r="R2453" s="14"/>
      <c r="S2453" s="14"/>
      <c r="T2453" s="14"/>
      <c r="U2453" s="14"/>
      <c r="V2453" s="14"/>
      <c r="W2453" s="14"/>
    </row>
    <row r="2454" ht="31.5" customHeight="1">
      <c r="A2454" s="124" t="s">
        <v>19166</v>
      </c>
      <c r="B2454" s="125" t="s">
        <v>19167</v>
      </c>
      <c r="C2454" s="126" t="s">
        <v>19168</v>
      </c>
      <c r="D2454" s="127" t="s">
        <v>19169</v>
      </c>
      <c r="E2454" s="28" t="str">
        <f>IFERROR(__xludf.DUMMYFUNCTION("GOOGLETRANSLATE(D2454,""zh-CN"",""vi"")"),"Cuốn sách này là tiểu sử của ông.")</f>
        <v>Cuốn sách này là tiểu sử của ông.</v>
      </c>
      <c r="F2454" s="157"/>
      <c r="G2454" s="36" t="b">
        <f t="shared" si="1"/>
        <v>0</v>
      </c>
      <c r="H2454" s="35" t="b">
        <v>1</v>
      </c>
      <c r="I2454" s="35" t="b">
        <v>0</v>
      </c>
      <c r="J2454" s="35" t="b">
        <v>0</v>
      </c>
      <c r="K2454" s="35" t="b">
        <v>0</v>
      </c>
      <c r="L2454" s="35" t="b">
        <v>0</v>
      </c>
      <c r="M2454" s="35" t="b">
        <v>0</v>
      </c>
      <c r="N2454" s="35" t="b">
        <v>0</v>
      </c>
      <c r="O2454" s="35" t="b">
        <v>0</v>
      </c>
      <c r="P2454" s="35" t="b">
        <v>0</v>
      </c>
      <c r="Q2454" s="35" t="b">
        <v>0</v>
      </c>
      <c r="R2454" s="14"/>
      <c r="S2454" s="14"/>
      <c r="T2454" s="14"/>
      <c r="U2454" s="14"/>
      <c r="V2454" s="14"/>
      <c r="W2454" s="14"/>
    </row>
    <row r="2455" ht="31.5" customHeight="1">
      <c r="A2455" s="124" t="s">
        <v>19170</v>
      </c>
      <c r="B2455" s="125" t="s">
        <v>19171</v>
      </c>
      <c r="C2455" s="126" t="s">
        <v>14901</v>
      </c>
      <c r="D2455" s="127" t="s">
        <v>19172</v>
      </c>
      <c r="E2455" s="28" t="str">
        <f>IFERROR(__xludf.DUMMYFUNCTION("GOOGLETRANSLATE(D2455,""zh-CN"",""vi"")"),"Chúng ta cần mua một số thiết bị mới.")</f>
        <v>Chúng ta cần mua một số thiết bị mới.</v>
      </c>
      <c r="F2455" s="157"/>
      <c r="G2455" s="36" t="b">
        <f t="shared" si="1"/>
        <v>0</v>
      </c>
      <c r="H2455" s="35" t="b">
        <v>1</v>
      </c>
      <c r="I2455" s="35" t="b">
        <v>0</v>
      </c>
      <c r="J2455" s="35" t="b">
        <v>0</v>
      </c>
      <c r="K2455" s="35" t="b">
        <v>0</v>
      </c>
      <c r="L2455" s="35" t="b">
        <v>0</v>
      </c>
      <c r="M2455" s="35" t="b">
        <v>0</v>
      </c>
      <c r="N2455" s="35" t="b">
        <v>0</v>
      </c>
      <c r="O2455" s="35" t="b">
        <v>0</v>
      </c>
      <c r="P2455" s="35" t="b">
        <v>0</v>
      </c>
      <c r="Q2455" s="35" t="b">
        <v>0</v>
      </c>
      <c r="R2455" s="14"/>
      <c r="S2455" s="14"/>
      <c r="T2455" s="14"/>
      <c r="U2455" s="14"/>
      <c r="V2455" s="14"/>
      <c r="W2455" s="14"/>
    </row>
    <row r="2456" ht="31.5" customHeight="1">
      <c r="A2456" s="124" t="s">
        <v>19173</v>
      </c>
      <c r="B2456" s="125" t="s">
        <v>19174</v>
      </c>
      <c r="C2456" s="126" t="s">
        <v>19175</v>
      </c>
      <c r="D2456" s="127" t="s">
        <v>19176</v>
      </c>
      <c r="E2456" s="28" t="str">
        <f>IFERROR(__xludf.DUMMYFUNCTION("GOOGLETRANSLATE(D2456,""zh-CN"",""vi"")"),"Những công nhân này đang bốc dỡ hàng hóa.")</f>
        <v>Những công nhân này đang bốc dỡ hàng hóa.</v>
      </c>
      <c r="F2456" s="157"/>
      <c r="G2456" s="36" t="b">
        <f t="shared" si="1"/>
        <v>0</v>
      </c>
      <c r="H2456" s="35" t="b">
        <v>1</v>
      </c>
      <c r="I2456" s="35" t="b">
        <v>0</v>
      </c>
      <c r="J2456" s="35" t="b">
        <v>0</v>
      </c>
      <c r="K2456" s="35" t="b">
        <v>0</v>
      </c>
      <c r="L2456" s="35" t="b">
        <v>0</v>
      </c>
      <c r="M2456" s="35" t="b">
        <v>0</v>
      </c>
      <c r="N2456" s="35" t="b">
        <v>0</v>
      </c>
      <c r="O2456" s="35" t="b">
        <v>0</v>
      </c>
      <c r="P2456" s="35" t="b">
        <v>0</v>
      </c>
      <c r="Q2456" s="35" t="b">
        <v>0</v>
      </c>
      <c r="R2456" s="14"/>
      <c r="S2456" s="14"/>
      <c r="T2456" s="14"/>
      <c r="U2456" s="14"/>
      <c r="V2456" s="14"/>
      <c r="W2456" s="14"/>
    </row>
    <row r="2457" ht="31.5" customHeight="1">
      <c r="A2457" s="124" t="s">
        <v>19177</v>
      </c>
      <c r="B2457" s="125" t="s">
        <v>19178</v>
      </c>
      <c r="C2457" s="126" t="s">
        <v>19179</v>
      </c>
      <c r="D2457" s="127" t="s">
        <v>19180</v>
      </c>
      <c r="E2457" s="28" t="str">
        <f>IFERROR(__xludf.DUMMYFUNCTION("GOOGLETRANSLATE(D2457,""zh-CN"",""vi"")"),"Buổi lễ trang trọng đã bắt đầu.")</f>
        <v>Buổi lễ trang trọng đã bắt đầu.</v>
      </c>
      <c r="F2457" s="157"/>
      <c r="G2457" s="36" t="b">
        <f t="shared" si="1"/>
        <v>0</v>
      </c>
      <c r="H2457" s="35" t="b">
        <v>1</v>
      </c>
      <c r="I2457" s="35" t="b">
        <v>0</v>
      </c>
      <c r="J2457" s="35" t="b">
        <v>0</v>
      </c>
      <c r="K2457" s="35" t="b">
        <v>0</v>
      </c>
      <c r="L2457" s="35" t="b">
        <v>0</v>
      </c>
      <c r="M2457" s="35" t="b">
        <v>0</v>
      </c>
      <c r="N2457" s="35" t="b">
        <v>0</v>
      </c>
      <c r="O2457" s="35" t="b">
        <v>0</v>
      </c>
      <c r="P2457" s="35" t="b">
        <v>0</v>
      </c>
      <c r="Q2457" s="35" t="b">
        <v>0</v>
      </c>
      <c r="R2457" s="14"/>
      <c r="S2457" s="14"/>
      <c r="T2457" s="14"/>
      <c r="U2457" s="14"/>
      <c r="V2457" s="14"/>
      <c r="W2457" s="14"/>
    </row>
    <row r="2458" ht="31.5" customHeight="1">
      <c r="A2458" s="124" t="s">
        <v>19181</v>
      </c>
      <c r="B2458" s="125" t="s">
        <v>19182</v>
      </c>
      <c r="C2458" s="126" t="s">
        <v>18784</v>
      </c>
      <c r="D2458" s="127" t="s">
        <v>19183</v>
      </c>
      <c r="E2458" s="28" t="str">
        <f>IFERROR(__xludf.DUMMYFUNCTION("GOOGLETRANSLATE(D2458,""zh-CN"",""vi"")"),"Ông ấy luôn tỏ ra rất trang nghiêm.")</f>
        <v>Ông ấy luôn tỏ ra rất trang nghiêm.</v>
      </c>
      <c r="F2458" s="157"/>
      <c r="G2458" s="36" t="b">
        <f t="shared" si="1"/>
        <v>0</v>
      </c>
      <c r="H2458" s="35" t="b">
        <v>1</v>
      </c>
      <c r="I2458" s="35" t="b">
        <v>0</v>
      </c>
      <c r="J2458" s="35" t="b">
        <v>0</v>
      </c>
      <c r="K2458" s="35" t="b">
        <v>0</v>
      </c>
      <c r="L2458" s="35" t="b">
        <v>0</v>
      </c>
      <c r="M2458" s="35" t="b">
        <v>0</v>
      </c>
      <c r="N2458" s="35" t="b">
        <v>0</v>
      </c>
      <c r="O2458" s="35" t="b">
        <v>0</v>
      </c>
      <c r="P2458" s="35" t="b">
        <v>0</v>
      </c>
      <c r="Q2458" s="35" t="b">
        <v>0</v>
      </c>
      <c r="R2458" s="14"/>
      <c r="S2458" s="14"/>
      <c r="T2458" s="14"/>
      <c r="U2458" s="14"/>
      <c r="V2458" s="14"/>
      <c r="W2458" s="14"/>
    </row>
    <row r="2459" ht="31.5" customHeight="1">
      <c r="A2459" s="124" t="s">
        <v>19184</v>
      </c>
      <c r="B2459" s="125" t="s">
        <v>14481</v>
      </c>
      <c r="C2459" s="126" t="s">
        <v>19185</v>
      </c>
      <c r="D2459" s="127" t="s">
        <v>19186</v>
      </c>
      <c r="E2459" s="28" t="str">
        <f>IFERROR(__xludf.DUMMYFUNCTION("GOOGLETRANSLATE(D2459,""zh-CN"",""vi"")"),"Công ty chúng tôi đã thuê một tòa nhà.")</f>
        <v>Công ty chúng tôi đã thuê một tòa nhà.</v>
      </c>
      <c r="F2459" s="157"/>
      <c r="G2459" s="36" t="b">
        <f t="shared" si="1"/>
        <v>0</v>
      </c>
      <c r="H2459" s="35" t="b">
        <v>1</v>
      </c>
      <c r="I2459" s="35" t="b">
        <v>0</v>
      </c>
      <c r="J2459" s="35" t="b">
        <v>0</v>
      </c>
      <c r="K2459" s="35" t="b">
        <v>0</v>
      </c>
      <c r="L2459" s="35" t="b">
        <v>0</v>
      </c>
      <c r="M2459" s="35" t="b">
        <v>0</v>
      </c>
      <c r="N2459" s="35" t="b">
        <v>0</v>
      </c>
      <c r="O2459" s="35" t="b">
        <v>0</v>
      </c>
      <c r="P2459" s="35" t="b">
        <v>0</v>
      </c>
      <c r="Q2459" s="35" t="b">
        <v>0</v>
      </c>
      <c r="R2459" s="14"/>
      <c r="S2459" s="14"/>
      <c r="T2459" s="14"/>
      <c r="U2459" s="14"/>
      <c r="V2459" s="14"/>
      <c r="W2459" s="14"/>
    </row>
    <row r="2460" ht="31.5" customHeight="1">
      <c r="A2460" s="124" t="s">
        <v>19187</v>
      </c>
      <c r="B2460" s="125" t="s">
        <v>19188</v>
      </c>
      <c r="C2460" s="126" t="s">
        <v>19189</v>
      </c>
      <c r="D2460" s="127" t="s">
        <v>19190</v>
      </c>
      <c r="E2460" s="28" t="str">
        <f>IFERROR(__xludf.DUMMYFUNCTION("GOOGLETRANSLATE(D2460,""zh-CN"",""vi"")"),"Cây cầu là một cảnh tượng ngoạn mục.")</f>
        <v>Cây cầu là một cảnh tượng ngoạn mục.</v>
      </c>
      <c r="F2460" s="157"/>
      <c r="G2460" s="36" t="b">
        <f t="shared" si="1"/>
        <v>0</v>
      </c>
      <c r="H2460" s="35" t="b">
        <v>1</v>
      </c>
      <c r="I2460" s="35" t="b">
        <v>0</v>
      </c>
      <c r="J2460" s="35" t="b">
        <v>0</v>
      </c>
      <c r="K2460" s="35" t="b">
        <v>0</v>
      </c>
      <c r="L2460" s="35" t="b">
        <v>0</v>
      </c>
      <c r="M2460" s="35" t="b">
        <v>0</v>
      </c>
      <c r="N2460" s="35" t="b">
        <v>0</v>
      </c>
      <c r="O2460" s="35" t="b">
        <v>0</v>
      </c>
      <c r="P2460" s="35" t="b">
        <v>0</v>
      </c>
      <c r="Q2460" s="35" t="b">
        <v>0</v>
      </c>
      <c r="R2460" s="14"/>
      <c r="S2460" s="14"/>
      <c r="T2460" s="14"/>
      <c r="U2460" s="14"/>
      <c r="V2460" s="14"/>
      <c r="W2460" s="14"/>
    </row>
    <row r="2461" ht="31.5" customHeight="1">
      <c r="A2461" s="124" t="s">
        <v>19191</v>
      </c>
      <c r="B2461" s="125" t="s">
        <v>19192</v>
      </c>
      <c r="C2461" s="126" t="s">
        <v>19193</v>
      </c>
      <c r="D2461" s="127" t="s">
        <v>19194</v>
      </c>
      <c r="E2461" s="28" t="str">
        <f>IFERROR(__xludf.DUMMYFUNCTION("GOOGLETRANSLATE(D2461,""zh-CN"",""vi"")"),"Cảnh quan nơi đây thật tráng lệ.")</f>
        <v>Cảnh quan nơi đây thật tráng lệ.</v>
      </c>
      <c r="F2461" s="157"/>
      <c r="G2461" s="36" t="b">
        <f t="shared" si="1"/>
        <v>0</v>
      </c>
      <c r="H2461" s="35" t="b">
        <v>1</v>
      </c>
      <c r="I2461" s="35" t="b">
        <v>0</v>
      </c>
      <c r="J2461" s="35" t="b">
        <v>0</v>
      </c>
      <c r="K2461" s="35" t="b">
        <v>0</v>
      </c>
      <c r="L2461" s="35" t="b">
        <v>0</v>
      </c>
      <c r="M2461" s="35" t="b">
        <v>0</v>
      </c>
      <c r="N2461" s="35" t="b">
        <v>0</v>
      </c>
      <c r="O2461" s="35" t="b">
        <v>0</v>
      </c>
      <c r="P2461" s="35" t="b">
        <v>0</v>
      </c>
      <c r="Q2461" s="35" t="b">
        <v>0</v>
      </c>
      <c r="R2461" s="14"/>
      <c r="S2461" s="14"/>
      <c r="T2461" s="14"/>
      <c r="U2461" s="14"/>
      <c r="V2461" s="14"/>
      <c r="W2461" s="14"/>
    </row>
    <row r="2462" ht="31.5" customHeight="1">
      <c r="A2462" s="124" t="s">
        <v>19195</v>
      </c>
      <c r="B2462" s="125" t="s">
        <v>19196</v>
      </c>
      <c r="C2462" s="126" t="s">
        <v>19197</v>
      </c>
      <c r="D2462" s="127" t="s">
        <v>19198</v>
      </c>
      <c r="E2462" s="28" t="str">
        <f>IFERROR(__xludf.DUMMYFUNCTION("GOOGLETRANSLATE(D2462,""zh-CN"",""vi"")"),"Ông đã hy sinh anh dũng trong trận chiến.")</f>
        <v>Ông đã hy sinh anh dũng trong trận chiến.</v>
      </c>
      <c r="F2462" s="157"/>
      <c r="G2462" s="36" t="b">
        <f t="shared" si="1"/>
        <v>0</v>
      </c>
      <c r="H2462" s="35" t="b">
        <v>1</v>
      </c>
      <c r="I2462" s="35" t="b">
        <v>0</v>
      </c>
      <c r="J2462" s="35" t="b">
        <v>0</v>
      </c>
      <c r="K2462" s="35" t="b">
        <v>0</v>
      </c>
      <c r="L2462" s="35" t="b">
        <v>0</v>
      </c>
      <c r="M2462" s="35" t="b">
        <v>0</v>
      </c>
      <c r="N2462" s="35" t="b">
        <v>0</v>
      </c>
      <c r="O2462" s="35" t="b">
        <v>0</v>
      </c>
      <c r="P2462" s="35" t="b">
        <v>0</v>
      </c>
      <c r="Q2462" s="35" t="b">
        <v>0</v>
      </c>
      <c r="R2462" s="14"/>
      <c r="S2462" s="14"/>
      <c r="T2462" s="14"/>
      <c r="U2462" s="14"/>
      <c r="V2462" s="14"/>
      <c r="W2462" s="14"/>
    </row>
    <row r="2463" ht="31.5" customHeight="1">
      <c r="A2463" s="124" t="s">
        <v>19199</v>
      </c>
      <c r="B2463" s="125" t="s">
        <v>19200</v>
      </c>
      <c r="C2463" s="126" t="s">
        <v>19201</v>
      </c>
      <c r="D2463" s="127" t="s">
        <v>19202</v>
      </c>
      <c r="E2463" s="28" t="str">
        <f>IFERROR(__xludf.DUMMYFUNCTION("GOOGLETRANSLATE(D2463,""zh-CN"",""vi"")"),"Tất cả những người tham dự đều bày tỏ lời chia buồn sâu sắc nhất tới người đã khuất.")</f>
        <v>Tất cả những người tham dự đều bày tỏ lời chia buồn sâu sắc nhất tới người đã khuất.</v>
      </c>
      <c r="F2463" s="157"/>
      <c r="G2463" s="36" t="b">
        <f t="shared" si="1"/>
        <v>0</v>
      </c>
      <c r="H2463" s="35" t="b">
        <v>1</v>
      </c>
      <c r="I2463" s="35" t="b">
        <v>0</v>
      </c>
      <c r="J2463" s="35" t="b">
        <v>0</v>
      </c>
      <c r="K2463" s="35" t="b">
        <v>0</v>
      </c>
      <c r="L2463" s="35" t="b">
        <v>0</v>
      </c>
      <c r="M2463" s="35" t="b">
        <v>0</v>
      </c>
      <c r="N2463" s="35" t="b">
        <v>0</v>
      </c>
      <c r="O2463" s="35" t="b">
        <v>0</v>
      </c>
      <c r="P2463" s="35" t="b">
        <v>0</v>
      </c>
      <c r="Q2463" s="35" t="b">
        <v>0</v>
      </c>
      <c r="R2463" s="14"/>
      <c r="S2463" s="14"/>
      <c r="T2463" s="14"/>
      <c r="U2463" s="14"/>
      <c r="V2463" s="14"/>
      <c r="W2463" s="14"/>
    </row>
    <row r="2464" ht="31.5" customHeight="1">
      <c r="A2464" s="124" t="s">
        <v>19203</v>
      </c>
      <c r="B2464" s="125" t="s">
        <v>19204</v>
      </c>
      <c r="C2464" s="126" t="s">
        <v>19205</v>
      </c>
      <c r="D2464" s="127" t="s">
        <v>19206</v>
      </c>
      <c r="E2464" s="28" t="str">
        <f>IFERROR(__xludf.DUMMYFUNCTION("GOOGLETRANSLATE(D2464,""zh-CN"",""vi"")"),"Chúng ta cần điều tra nguyên nhân vụ tai nạn.")</f>
        <v>Chúng ta cần điều tra nguyên nhân vụ tai nạn.</v>
      </c>
      <c r="F2464" s="157"/>
      <c r="G2464" s="36" t="b">
        <f t="shared" si="1"/>
        <v>0</v>
      </c>
      <c r="H2464" s="35" t="b">
        <v>1</v>
      </c>
      <c r="I2464" s="35" t="b">
        <v>0</v>
      </c>
      <c r="J2464" s="35" t="b">
        <v>0</v>
      </c>
      <c r="K2464" s="35" t="b">
        <v>0</v>
      </c>
      <c r="L2464" s="35" t="b">
        <v>0</v>
      </c>
      <c r="M2464" s="35" t="b">
        <v>0</v>
      </c>
      <c r="N2464" s="35" t="b">
        <v>0</v>
      </c>
      <c r="O2464" s="35" t="b">
        <v>0</v>
      </c>
      <c r="P2464" s="35" t="b">
        <v>0</v>
      </c>
      <c r="Q2464" s="35" t="b">
        <v>0</v>
      </c>
      <c r="R2464" s="14"/>
      <c r="S2464" s="14"/>
      <c r="T2464" s="14"/>
      <c r="U2464" s="14"/>
      <c r="V2464" s="14"/>
      <c r="W2464" s="14"/>
    </row>
    <row r="2465" ht="31.5" customHeight="1">
      <c r="A2465" s="124" t="s">
        <v>19207</v>
      </c>
      <c r="B2465" s="125" t="s">
        <v>19208</v>
      </c>
      <c r="C2465" s="126" t="s">
        <v>19209</v>
      </c>
      <c r="D2465" s="127" t="s">
        <v>19210</v>
      </c>
      <c r="E2465" s="28" t="str">
        <f>IFERROR(__xludf.DUMMYFUNCTION("GOOGLETRANSLATE(D2465,""zh-CN"",""vi"")"),"Chúng ta phải tuân thủ các quy định của công ty.")</f>
        <v>Chúng ta phải tuân thủ các quy định của công ty.</v>
      </c>
      <c r="F2465" s="157"/>
      <c r="G2465" s="36" t="b">
        <f t="shared" si="1"/>
        <v>0</v>
      </c>
      <c r="H2465" s="35" t="b">
        <v>1</v>
      </c>
      <c r="I2465" s="35" t="b">
        <v>0</v>
      </c>
      <c r="J2465" s="35" t="b">
        <v>0</v>
      </c>
      <c r="K2465" s="35" t="b">
        <v>0</v>
      </c>
      <c r="L2465" s="35" t="b">
        <v>0</v>
      </c>
      <c r="M2465" s="35" t="b">
        <v>0</v>
      </c>
      <c r="N2465" s="35" t="b">
        <v>0</v>
      </c>
      <c r="O2465" s="35" t="b">
        <v>0</v>
      </c>
      <c r="P2465" s="35" t="b">
        <v>0</v>
      </c>
      <c r="Q2465" s="35" t="b">
        <v>0</v>
      </c>
      <c r="R2465" s="14"/>
      <c r="S2465" s="14"/>
      <c r="T2465" s="14"/>
      <c r="U2465" s="14"/>
      <c r="V2465" s="14"/>
      <c r="W2465" s="14"/>
    </row>
    <row r="2466" ht="31.5" customHeight="1">
      <c r="A2466" s="124" t="s">
        <v>19211</v>
      </c>
      <c r="B2466" s="125" t="s">
        <v>19212</v>
      </c>
      <c r="C2466" s="126" t="s">
        <v>19213</v>
      </c>
      <c r="D2466" s="127" t="s">
        <v>19214</v>
      </c>
      <c r="E2466" s="28" t="str">
        <f>IFERROR(__xludf.DUMMYFUNCTION("GOOGLETRANSLATE(D2466,""zh-CN"",""vi"")"),"Anh ấy đang suy nghĩ về vấn đề này.")</f>
        <v>Anh ấy đang suy nghĩ về vấn đề này.</v>
      </c>
      <c r="F2466" s="157"/>
      <c r="G2466" s="36" t="b">
        <f t="shared" si="1"/>
        <v>0</v>
      </c>
      <c r="H2466" s="35" t="b">
        <v>1</v>
      </c>
      <c r="I2466" s="35" t="b">
        <v>0</v>
      </c>
      <c r="J2466" s="35" t="b">
        <v>0</v>
      </c>
      <c r="K2466" s="35" t="b">
        <v>0</v>
      </c>
      <c r="L2466" s="35" t="b">
        <v>0</v>
      </c>
      <c r="M2466" s="35" t="b">
        <v>0</v>
      </c>
      <c r="N2466" s="35" t="b">
        <v>0</v>
      </c>
      <c r="O2466" s="35" t="b">
        <v>0</v>
      </c>
      <c r="P2466" s="35" t="b">
        <v>0</v>
      </c>
      <c r="Q2466" s="35" t="b">
        <v>0</v>
      </c>
      <c r="R2466" s="14"/>
      <c r="S2466" s="14"/>
      <c r="T2466" s="14"/>
      <c r="U2466" s="14"/>
      <c r="V2466" s="14"/>
      <c r="W2466" s="14"/>
    </row>
    <row r="2467" ht="31.5" customHeight="1">
      <c r="A2467" s="124" t="s">
        <v>19215</v>
      </c>
      <c r="B2467" s="125" t="s">
        <v>19216</v>
      </c>
      <c r="C2467" s="126" t="s">
        <v>19217</v>
      </c>
      <c r="D2467" s="127" t="s">
        <v>19218</v>
      </c>
      <c r="E2467" s="28" t="str">
        <f>IFERROR(__xludf.DUMMYFUNCTION("GOOGLETRANSLATE(D2467,""zh-CN"",""vi"")"),"Chúng ta cần bắt đầu chuẩn bị ngay lập tức.")</f>
        <v>Chúng ta cần bắt đầu chuẩn bị ngay lập tức.</v>
      </c>
      <c r="F2467" s="157"/>
      <c r="G2467" s="36" t="b">
        <f t="shared" si="1"/>
        <v>0</v>
      </c>
      <c r="H2467" s="35" t="b">
        <v>1</v>
      </c>
      <c r="I2467" s="35" t="b">
        <v>0</v>
      </c>
      <c r="J2467" s="35" t="b">
        <v>0</v>
      </c>
      <c r="K2467" s="35" t="b">
        <v>0</v>
      </c>
      <c r="L2467" s="35" t="b">
        <v>0</v>
      </c>
      <c r="M2467" s="35" t="b">
        <v>0</v>
      </c>
      <c r="N2467" s="35" t="b">
        <v>0</v>
      </c>
      <c r="O2467" s="35" t="b">
        <v>0</v>
      </c>
      <c r="P2467" s="35" t="b">
        <v>0</v>
      </c>
      <c r="Q2467" s="35" t="b">
        <v>0</v>
      </c>
      <c r="R2467" s="14"/>
      <c r="S2467" s="14"/>
      <c r="T2467" s="14"/>
      <c r="U2467" s="14"/>
      <c r="V2467" s="14"/>
      <c r="W2467" s="14"/>
    </row>
    <row r="2468" ht="31.5" customHeight="1">
      <c r="A2468" s="124" t="s">
        <v>19219</v>
      </c>
      <c r="B2468" s="125" t="s">
        <v>19220</v>
      </c>
      <c r="C2468" s="126" t="s">
        <v>19221</v>
      </c>
      <c r="D2468" s="127" t="s">
        <v>19222</v>
      </c>
      <c r="E2468" s="28" t="str">
        <f>IFERROR(__xludf.DUMMYFUNCTION("GOOGLETRANSLATE(D2468,""zh-CN"",""vi"")"),"Anh ấy luôn nghĩ đến người khác.")</f>
        <v>Anh ấy luôn nghĩ đến người khác.</v>
      </c>
      <c r="F2468" s="157"/>
      <c r="G2468" s="36" t="b">
        <f t="shared" si="1"/>
        <v>0</v>
      </c>
      <c r="H2468" s="35" t="b">
        <v>1</v>
      </c>
      <c r="I2468" s="35" t="b">
        <v>0</v>
      </c>
      <c r="J2468" s="35" t="b">
        <v>0</v>
      </c>
      <c r="K2468" s="35" t="b">
        <v>0</v>
      </c>
      <c r="L2468" s="35" t="b">
        <v>0</v>
      </c>
      <c r="M2468" s="35" t="b">
        <v>0</v>
      </c>
      <c r="N2468" s="35" t="b">
        <v>0</v>
      </c>
      <c r="O2468" s="35" t="b">
        <v>0</v>
      </c>
      <c r="P2468" s="35" t="b">
        <v>0</v>
      </c>
      <c r="Q2468" s="35" t="b">
        <v>0</v>
      </c>
      <c r="R2468" s="14"/>
      <c r="S2468" s="14"/>
      <c r="T2468" s="14"/>
      <c r="U2468" s="14"/>
      <c r="V2468" s="14"/>
      <c r="W2468" s="14"/>
    </row>
    <row r="2469" ht="31.5" customHeight="1">
      <c r="A2469" s="124" t="s">
        <v>19223</v>
      </c>
      <c r="B2469" s="125" t="s">
        <v>19224</v>
      </c>
      <c r="C2469" s="126" t="s">
        <v>18213</v>
      </c>
      <c r="D2469" s="127" t="s">
        <v>19225</v>
      </c>
      <c r="E2469" s="28" t="str">
        <f>IFERROR(__xludf.DUMMYFUNCTION("GOOGLETRANSLATE(D2469,""zh-CN"",""vi"")"),"Anh ấy làm việc rất xuất sắc.")</f>
        <v>Anh ấy làm việc rất xuất sắc.</v>
      </c>
      <c r="F2469" s="157"/>
      <c r="G2469" s="36" t="b">
        <f t="shared" si="1"/>
        <v>0</v>
      </c>
      <c r="H2469" s="35" t="b">
        <v>1</v>
      </c>
      <c r="I2469" s="35" t="b">
        <v>0</v>
      </c>
      <c r="J2469" s="35" t="b">
        <v>0</v>
      </c>
      <c r="K2469" s="35" t="b">
        <v>0</v>
      </c>
      <c r="L2469" s="35" t="b">
        <v>0</v>
      </c>
      <c r="M2469" s="35" t="b">
        <v>0</v>
      </c>
      <c r="N2469" s="35" t="b">
        <v>0</v>
      </c>
      <c r="O2469" s="35" t="b">
        <v>0</v>
      </c>
      <c r="P2469" s="35" t="b">
        <v>0</v>
      </c>
      <c r="Q2469" s="35" t="b">
        <v>0</v>
      </c>
      <c r="R2469" s="14"/>
      <c r="S2469" s="14"/>
      <c r="T2469" s="14"/>
      <c r="U2469" s="14"/>
      <c r="V2469" s="14"/>
      <c r="W2469" s="14"/>
    </row>
    <row r="2470" ht="31.5" customHeight="1">
      <c r="A2470" s="124" t="s">
        <v>19226</v>
      </c>
      <c r="B2470" s="125" t="s">
        <v>19227</v>
      </c>
      <c r="C2470" s="126" t="s">
        <v>19228</v>
      </c>
      <c r="D2470" s="127" t="s">
        <v>19229</v>
      </c>
      <c r="E2470" s="28" t="str">
        <f>IFERROR(__xludf.DUMMYFUNCTION("GOOGLETRANSLATE(D2470,""zh-CN"",""vi"")"),"Vấn đề này cần được xử lý nghiêm túc.")</f>
        <v>Vấn đề này cần được xử lý nghiêm túc.</v>
      </c>
      <c r="F2470" s="157"/>
      <c r="G2470" s="36" t="b">
        <f t="shared" si="1"/>
        <v>0</v>
      </c>
      <c r="H2470" s="35" t="b">
        <v>1</v>
      </c>
      <c r="I2470" s="35" t="b">
        <v>0</v>
      </c>
      <c r="J2470" s="35" t="b">
        <v>0</v>
      </c>
      <c r="K2470" s="35" t="b">
        <v>0</v>
      </c>
      <c r="L2470" s="35" t="b">
        <v>0</v>
      </c>
      <c r="M2470" s="35" t="b">
        <v>0</v>
      </c>
      <c r="N2470" s="35" t="b">
        <v>0</v>
      </c>
      <c r="O2470" s="35" t="b">
        <v>0</v>
      </c>
      <c r="P2470" s="35" t="b">
        <v>0</v>
      </c>
      <c r="Q2470" s="35" t="b">
        <v>0</v>
      </c>
      <c r="R2470" s="14"/>
      <c r="S2470" s="14"/>
      <c r="T2470" s="14"/>
      <c r="U2470" s="14"/>
      <c r="V2470" s="14"/>
      <c r="W2470" s="14"/>
    </row>
    <row r="2471" ht="31.5" customHeight="1">
      <c r="A2471" s="124" t="s">
        <v>19230</v>
      </c>
      <c r="B2471" s="125" t="s">
        <v>19231</v>
      </c>
      <c r="C2471" s="126" t="s">
        <v>19232</v>
      </c>
      <c r="D2471" s="127" t="s">
        <v>19233</v>
      </c>
      <c r="E2471" s="28" t="str">
        <f>IFERROR(__xludf.DUMMYFUNCTION("GOOGLETRANSLATE(D2471,""zh-CN"",""vi"")"),"Công ty cần thêm vốn.")</f>
        <v>Công ty cần thêm vốn.</v>
      </c>
      <c r="F2471" s="157"/>
      <c r="G2471" s="36" t="b">
        <f t="shared" si="1"/>
        <v>0</v>
      </c>
      <c r="H2471" s="35" t="b">
        <v>1</v>
      </c>
      <c r="I2471" s="35" t="b">
        <v>0</v>
      </c>
      <c r="J2471" s="35" t="b">
        <v>0</v>
      </c>
      <c r="K2471" s="35" t="b">
        <v>0</v>
      </c>
      <c r="L2471" s="35" t="b">
        <v>0</v>
      </c>
      <c r="M2471" s="35" t="b">
        <v>0</v>
      </c>
      <c r="N2471" s="35" t="b">
        <v>0</v>
      </c>
      <c r="O2471" s="35" t="b">
        <v>0</v>
      </c>
      <c r="P2471" s="35" t="b">
        <v>0</v>
      </c>
      <c r="Q2471" s="35" t="b">
        <v>0</v>
      </c>
      <c r="R2471" s="14"/>
      <c r="S2471" s="14"/>
      <c r="T2471" s="14"/>
      <c r="U2471" s="14"/>
      <c r="V2471" s="14"/>
      <c r="W2471" s="14"/>
    </row>
    <row r="2472" ht="31.5" customHeight="1">
      <c r="A2472" s="124" t="s">
        <v>19234</v>
      </c>
      <c r="B2472" s="125" t="s">
        <v>19235</v>
      </c>
      <c r="C2472" s="126" t="s">
        <v>19236</v>
      </c>
      <c r="D2472" s="127" t="s">
        <v>19237</v>
      </c>
      <c r="E2472" s="28" t="str">
        <f>IFERROR(__xludf.DUMMYFUNCTION("GOOGLETRANSLATE(D2472,""zh-CN"",""vi"")"),"Đây đều là tài sản của công ty.")</f>
        <v>Đây đều là tài sản của công ty.</v>
      </c>
      <c r="F2472" s="157"/>
      <c r="G2472" s="36" t="b">
        <f t="shared" si="1"/>
        <v>0</v>
      </c>
      <c r="H2472" s="35" t="b">
        <v>1</v>
      </c>
      <c r="I2472" s="35" t="b">
        <v>0</v>
      </c>
      <c r="J2472" s="35" t="b">
        <v>0</v>
      </c>
      <c r="K2472" s="35" t="b">
        <v>0</v>
      </c>
      <c r="L2472" s="35" t="b">
        <v>0</v>
      </c>
      <c r="M2472" s="35" t="b">
        <v>0</v>
      </c>
      <c r="N2472" s="35" t="b">
        <v>0</v>
      </c>
      <c r="O2472" s="35" t="b">
        <v>0</v>
      </c>
      <c r="P2472" s="35" t="b">
        <v>0</v>
      </c>
      <c r="Q2472" s="35" t="b">
        <v>0</v>
      </c>
      <c r="R2472" s="14"/>
      <c r="S2472" s="14"/>
      <c r="T2472" s="14"/>
      <c r="U2472" s="14"/>
      <c r="V2472" s="14"/>
      <c r="W2472" s="14"/>
    </row>
    <row r="2473" ht="31.5" customHeight="1">
      <c r="A2473" s="124" t="s">
        <v>19238</v>
      </c>
      <c r="B2473" s="125" t="s">
        <v>19239</v>
      </c>
      <c r="C2473" s="126" t="s">
        <v>19240</v>
      </c>
      <c r="D2473" s="127" t="s">
        <v>19241</v>
      </c>
      <c r="E2473" s="28" t="str">
        <f>IFERROR(__xludf.DUMMYFUNCTION("GOOGLETRANSLATE(D2473,""zh-CN"",""vi"")"),"Ông ấy là một kỹ sư cao cấp.")</f>
        <v>Ông ấy là một kỹ sư cao cấp.</v>
      </c>
      <c r="F2473" s="157"/>
      <c r="G2473" s="36" t="b">
        <f t="shared" si="1"/>
        <v>0</v>
      </c>
      <c r="H2473" s="35" t="b">
        <v>1</v>
      </c>
      <c r="I2473" s="35" t="b">
        <v>0</v>
      </c>
      <c r="J2473" s="35" t="b">
        <v>0</v>
      </c>
      <c r="K2473" s="35" t="b">
        <v>0</v>
      </c>
      <c r="L2473" s="35" t="b">
        <v>0</v>
      </c>
      <c r="M2473" s="35" t="b">
        <v>0</v>
      </c>
      <c r="N2473" s="35" t="b">
        <v>0</v>
      </c>
      <c r="O2473" s="35" t="b">
        <v>0</v>
      </c>
      <c r="P2473" s="35" t="b">
        <v>0</v>
      </c>
      <c r="Q2473" s="35" t="b">
        <v>0</v>
      </c>
      <c r="R2473" s="14"/>
      <c r="S2473" s="14"/>
      <c r="T2473" s="14"/>
      <c r="U2473" s="14"/>
      <c r="V2473" s="14"/>
      <c r="W2473" s="14"/>
    </row>
    <row r="2474" ht="31.5" customHeight="1">
      <c r="A2474" s="124" t="s">
        <v>19242</v>
      </c>
      <c r="B2474" s="125" t="s">
        <v>19243</v>
      </c>
      <c r="C2474" s="126" t="s">
        <v>19244</v>
      </c>
      <c r="D2474" s="127" t="s">
        <v>19245</v>
      </c>
      <c r="E2474" s="28" t="str">
        <f>IFERROR(__xludf.DUMMYFUNCTION("GOOGLETRANSLATE(D2474,""zh-CN"",""vi"")"),"Dáng vẻ của cô ấy rất thanh lịch.")</f>
        <v>Dáng vẻ của cô ấy rất thanh lịch.</v>
      </c>
      <c r="F2474" s="157"/>
      <c r="G2474" s="36" t="b">
        <f t="shared" si="1"/>
        <v>0</v>
      </c>
      <c r="H2474" s="35" t="b">
        <v>1</v>
      </c>
      <c r="I2474" s="35" t="b">
        <v>0</v>
      </c>
      <c r="J2474" s="35" t="b">
        <v>0</v>
      </c>
      <c r="K2474" s="35" t="b">
        <v>0</v>
      </c>
      <c r="L2474" s="35" t="b">
        <v>0</v>
      </c>
      <c r="M2474" s="35" t="b">
        <v>0</v>
      </c>
      <c r="N2474" s="35" t="b">
        <v>0</v>
      </c>
      <c r="O2474" s="35" t="b">
        <v>0</v>
      </c>
      <c r="P2474" s="35" t="b">
        <v>0</v>
      </c>
      <c r="Q2474" s="35" t="b">
        <v>0</v>
      </c>
      <c r="R2474" s="14"/>
      <c r="S2474" s="14"/>
      <c r="T2474" s="14"/>
      <c r="U2474" s="14"/>
      <c r="V2474" s="14"/>
      <c r="W2474" s="14"/>
    </row>
    <row r="2475" ht="31.5" customHeight="1">
      <c r="A2475" s="124" t="s">
        <v>19246</v>
      </c>
      <c r="B2475" s="125" t="s">
        <v>19247</v>
      </c>
      <c r="C2475" s="126" t="s">
        <v>19248</v>
      </c>
      <c r="D2475" s="127" t="s">
        <v>19249</v>
      </c>
      <c r="E2475" s="28" t="str">
        <f>IFERROR(__xludf.DUMMYFUNCTION("GOOGLETRANSLATE(D2475,""zh-CN"",""vi"")"),"Món này ngon tuyệt.")</f>
        <v>Món này ngon tuyệt.</v>
      </c>
      <c r="F2475" s="157"/>
      <c r="G2475" s="36" t="b">
        <f t="shared" si="1"/>
        <v>0</v>
      </c>
      <c r="H2475" s="35" t="b">
        <v>1</v>
      </c>
      <c r="I2475" s="35" t="b">
        <v>0</v>
      </c>
      <c r="J2475" s="35" t="b">
        <v>0</v>
      </c>
      <c r="K2475" s="35" t="b">
        <v>0</v>
      </c>
      <c r="L2475" s="35" t="b">
        <v>0</v>
      </c>
      <c r="M2475" s="35" t="b">
        <v>0</v>
      </c>
      <c r="N2475" s="35" t="b">
        <v>0</v>
      </c>
      <c r="O2475" s="35" t="b">
        <v>0</v>
      </c>
      <c r="P2475" s="35" t="b">
        <v>0</v>
      </c>
      <c r="Q2475" s="35" t="b">
        <v>0</v>
      </c>
      <c r="R2475" s="14"/>
      <c r="S2475" s="14"/>
      <c r="T2475" s="14"/>
      <c r="U2475" s="14"/>
      <c r="V2475" s="14"/>
      <c r="W2475" s="14"/>
    </row>
    <row r="2476" ht="31.5" customHeight="1">
      <c r="A2476" s="124" t="s">
        <v>19250</v>
      </c>
      <c r="B2476" s="125" t="s">
        <v>19251</v>
      </c>
      <c r="C2476" s="126" t="s">
        <v>19252</v>
      </c>
      <c r="D2476" s="127" t="s">
        <v>19253</v>
      </c>
      <c r="E2476" s="28" t="str">
        <f>IFERROR(__xludf.DUMMYFUNCTION("GOOGLETRANSLATE(D2476,""zh-CN"",""vi"")"),"Cây non mọc vào mùa xuân.")</f>
        <v>Cây non mọc vào mùa xuân.</v>
      </c>
      <c r="F2476" s="157"/>
      <c r="G2476" s="36" t="b">
        <f t="shared" si="1"/>
        <v>0</v>
      </c>
      <c r="H2476" s="35" t="b">
        <v>1</v>
      </c>
      <c r="I2476" s="35" t="b">
        <v>0</v>
      </c>
      <c r="J2476" s="35" t="b">
        <v>0</v>
      </c>
      <c r="K2476" s="35" t="b">
        <v>0</v>
      </c>
      <c r="L2476" s="35" t="b">
        <v>0</v>
      </c>
      <c r="M2476" s="35" t="b">
        <v>0</v>
      </c>
      <c r="N2476" s="35" t="b">
        <v>0</v>
      </c>
      <c r="O2476" s="35" t="b">
        <v>0</v>
      </c>
      <c r="P2476" s="35" t="b">
        <v>0</v>
      </c>
      <c r="Q2476" s="35" t="b">
        <v>0</v>
      </c>
      <c r="R2476" s="14"/>
      <c r="S2476" s="14"/>
      <c r="T2476" s="14"/>
      <c r="U2476" s="14"/>
      <c r="V2476" s="14"/>
      <c r="W2476" s="14"/>
    </row>
    <row r="2477" ht="31.5" customHeight="1">
      <c r="A2477" s="124" t="s">
        <v>19254</v>
      </c>
      <c r="B2477" s="125" t="s">
        <v>19255</v>
      </c>
      <c r="C2477" s="126" t="s">
        <v>18449</v>
      </c>
      <c r="D2477" s="127" t="s">
        <v>19256</v>
      </c>
      <c r="E2477" s="28" t="str">
        <f>IFERROR(__xludf.DUMMYFUNCTION("GOOGLETRANSLATE(D2477,""zh-CN"",""vi"")"),"Ông đã bảo trợ cho nhiều sinh viên nghèo.")</f>
        <v>Ông đã bảo trợ cho nhiều sinh viên nghèo.</v>
      </c>
      <c r="F2477" s="157"/>
      <c r="G2477" s="36" t="b">
        <f t="shared" si="1"/>
        <v>0</v>
      </c>
      <c r="H2477" s="35" t="b">
        <v>1</v>
      </c>
      <c r="I2477" s="35" t="b">
        <v>0</v>
      </c>
      <c r="J2477" s="35" t="b">
        <v>0</v>
      </c>
      <c r="K2477" s="35" t="b">
        <v>0</v>
      </c>
      <c r="L2477" s="35" t="b">
        <v>0</v>
      </c>
      <c r="M2477" s="35" t="b">
        <v>0</v>
      </c>
      <c r="N2477" s="35" t="b">
        <v>0</v>
      </c>
      <c r="O2477" s="35" t="b">
        <v>0</v>
      </c>
      <c r="P2477" s="35" t="b">
        <v>0</v>
      </c>
      <c r="Q2477" s="35" t="b">
        <v>0</v>
      </c>
      <c r="R2477" s="14"/>
      <c r="S2477" s="14"/>
      <c r="T2477" s="14"/>
      <c r="U2477" s="14"/>
      <c r="V2477" s="14"/>
      <c r="W2477" s="14"/>
    </row>
    <row r="2478" ht="31.5" customHeight="1">
      <c r="A2478" s="124" t="s">
        <v>19257</v>
      </c>
      <c r="B2478" s="125" t="s">
        <v>19258</v>
      </c>
      <c r="C2478" s="126" t="s">
        <v>19259</v>
      </c>
      <c r="D2478" s="127" t="s">
        <v>19260</v>
      </c>
      <c r="E2478" s="28" t="str">
        <f>IFERROR(__xludf.DUMMYFUNCTION("GOOGLETRANSLATE(D2478,""zh-CN"",""vi"")"),"Anh ta đã bắn trúng mục tiêu.")</f>
        <v>Anh ta đã bắn trúng mục tiêu.</v>
      </c>
      <c r="F2478" s="157"/>
      <c r="G2478" s="36" t="b">
        <f t="shared" si="1"/>
        <v>0</v>
      </c>
      <c r="H2478" s="35" t="b">
        <v>1</v>
      </c>
      <c r="I2478" s="35" t="b">
        <v>0</v>
      </c>
      <c r="J2478" s="35" t="b">
        <v>0</v>
      </c>
      <c r="K2478" s="35" t="b">
        <v>0</v>
      </c>
      <c r="L2478" s="35" t="b">
        <v>0</v>
      </c>
      <c r="M2478" s="35" t="b">
        <v>0</v>
      </c>
      <c r="N2478" s="35" t="b">
        <v>0</v>
      </c>
      <c r="O2478" s="35" t="b">
        <v>0</v>
      </c>
      <c r="P2478" s="35" t="b">
        <v>0</v>
      </c>
      <c r="Q2478" s="35" t="b">
        <v>0</v>
      </c>
      <c r="R2478" s="14"/>
      <c r="S2478" s="14"/>
      <c r="T2478" s="14"/>
      <c r="U2478" s="14"/>
      <c r="V2478" s="14"/>
      <c r="W2478" s="14"/>
    </row>
    <row r="2479" ht="31.5" customHeight="1">
      <c r="A2479" s="124" t="s">
        <v>19261</v>
      </c>
      <c r="B2479" s="125" t="s">
        <v>19262</v>
      </c>
      <c r="C2479" s="126" t="s">
        <v>19263</v>
      </c>
      <c r="D2479" s="127" t="s">
        <v>19264</v>
      </c>
      <c r="E2479" s="28" t="str">
        <f>IFERROR(__xludf.DUMMYFUNCTION("GOOGLETRANSLATE(D2479,""zh-CN"",""vi"")"),"Đôi khi anh ấy cảm thấy mình thua kém.")</f>
        <v>Đôi khi anh ấy cảm thấy mình thua kém.</v>
      </c>
      <c r="F2479" s="157"/>
      <c r="G2479" s="36" t="b">
        <f t="shared" si="1"/>
        <v>0</v>
      </c>
      <c r="H2479" s="35" t="b">
        <v>1</v>
      </c>
      <c r="I2479" s="35" t="b">
        <v>0</v>
      </c>
      <c r="J2479" s="35" t="b">
        <v>0</v>
      </c>
      <c r="K2479" s="35" t="b">
        <v>0</v>
      </c>
      <c r="L2479" s="35" t="b">
        <v>0</v>
      </c>
      <c r="M2479" s="35" t="b">
        <v>0</v>
      </c>
      <c r="N2479" s="35" t="b">
        <v>0</v>
      </c>
      <c r="O2479" s="35" t="b">
        <v>0</v>
      </c>
      <c r="P2479" s="35" t="b">
        <v>0</v>
      </c>
      <c r="Q2479" s="35" t="b">
        <v>0</v>
      </c>
      <c r="R2479" s="14"/>
      <c r="S2479" s="14"/>
      <c r="T2479" s="14"/>
      <c r="U2479" s="14"/>
      <c r="V2479" s="14"/>
      <c r="W2479" s="14"/>
    </row>
    <row r="2480" ht="31.5" customHeight="1">
      <c r="A2480" s="124" t="s">
        <v>19265</v>
      </c>
      <c r="B2480" s="125" t="s">
        <v>19266</v>
      </c>
      <c r="C2480" s="126" t="s">
        <v>19267</v>
      </c>
      <c r="D2480" s="127" t="s">
        <v>19268</v>
      </c>
      <c r="E2480" s="28" t="str">
        <f>IFERROR(__xludf.DUMMYFUNCTION("GOOGLETRANSLATE(D2480,""zh-CN"",""vi"")"),"Đây là một hoạt động tự phát.")</f>
        <v>Đây là một hoạt động tự phát.</v>
      </c>
      <c r="F2480" s="157"/>
      <c r="G2480" s="36" t="b">
        <f t="shared" si="1"/>
        <v>0</v>
      </c>
      <c r="H2480" s="35" t="b">
        <v>1</v>
      </c>
      <c r="I2480" s="35" t="b">
        <v>0</v>
      </c>
      <c r="J2480" s="35" t="b">
        <v>0</v>
      </c>
      <c r="K2480" s="35" t="b">
        <v>0</v>
      </c>
      <c r="L2480" s="35" t="b">
        <v>0</v>
      </c>
      <c r="M2480" s="35" t="b">
        <v>0</v>
      </c>
      <c r="N2480" s="35" t="b">
        <v>0</v>
      </c>
      <c r="O2480" s="35" t="b">
        <v>0</v>
      </c>
      <c r="P2480" s="35" t="b">
        <v>0</v>
      </c>
      <c r="Q2480" s="35" t="b">
        <v>0</v>
      </c>
      <c r="R2480" s="14"/>
      <c r="S2480" s="14"/>
      <c r="T2480" s="14"/>
      <c r="U2480" s="14"/>
      <c r="V2480" s="14"/>
      <c r="W2480" s="14"/>
    </row>
    <row r="2481" ht="31.5" customHeight="1">
      <c r="A2481" s="124" t="s">
        <v>19269</v>
      </c>
      <c r="B2481" s="125" t="s">
        <v>19270</v>
      </c>
      <c r="C2481" s="126" t="s">
        <v>19271</v>
      </c>
      <c r="D2481" s="127" t="s">
        <v>19272</v>
      </c>
      <c r="E2481" s="28" t="str">
        <f>IFERROR(__xludf.DUMMYFUNCTION("GOOGLETRANSLATE(D2481,""zh-CN"",""vi"")"),"Chúng ta nên dựa vào nỗ lực của chính mình.")</f>
        <v>Chúng ta nên dựa vào nỗ lực của chính mình.</v>
      </c>
      <c r="F2481" s="157"/>
      <c r="G2481" s="36" t="b">
        <f t="shared" si="1"/>
        <v>0</v>
      </c>
      <c r="H2481" s="35" t="b">
        <v>1</v>
      </c>
      <c r="I2481" s="35" t="b">
        <v>0</v>
      </c>
      <c r="J2481" s="35" t="b">
        <v>0</v>
      </c>
      <c r="K2481" s="35" t="b">
        <v>0</v>
      </c>
      <c r="L2481" s="35" t="b">
        <v>0</v>
      </c>
      <c r="M2481" s="35" t="b">
        <v>0</v>
      </c>
      <c r="N2481" s="35" t="b">
        <v>0</v>
      </c>
      <c r="O2481" s="35" t="b">
        <v>0</v>
      </c>
      <c r="P2481" s="35" t="b">
        <v>0</v>
      </c>
      <c r="Q2481" s="35" t="b">
        <v>0</v>
      </c>
      <c r="R2481" s="14"/>
      <c r="S2481" s="14"/>
      <c r="T2481" s="14"/>
      <c r="U2481" s="14"/>
      <c r="V2481" s="14"/>
      <c r="W2481" s="14"/>
    </row>
    <row r="2482" ht="31.5" customHeight="1">
      <c r="A2482" s="124" t="s">
        <v>19273</v>
      </c>
      <c r="B2482" s="125" t="s">
        <v>19274</v>
      </c>
      <c r="C2482" s="126" t="s">
        <v>19275</v>
      </c>
      <c r="D2482" s="127" t="s">
        <v>19276</v>
      </c>
      <c r="E2482" s="28" t="str">
        <f>IFERROR(__xludf.DUMMYFUNCTION("GOOGLETRANSLATE(D2482,""zh-CN"",""vi"")"),"Tự mãn là kẻ thù của thành công.")</f>
        <v>Tự mãn là kẻ thù của thành công.</v>
      </c>
      <c r="F2482" s="157"/>
      <c r="G2482" s="36" t="b">
        <f t="shared" si="1"/>
        <v>0</v>
      </c>
      <c r="H2482" s="35" t="b">
        <v>1</v>
      </c>
      <c r="I2482" s="35" t="b">
        <v>0</v>
      </c>
      <c r="J2482" s="35" t="b">
        <v>0</v>
      </c>
      <c r="K2482" s="35" t="b">
        <v>0</v>
      </c>
      <c r="L2482" s="35" t="b">
        <v>0</v>
      </c>
      <c r="M2482" s="35" t="b">
        <v>0</v>
      </c>
      <c r="N2482" s="35" t="b">
        <v>0</v>
      </c>
      <c r="O2482" s="35" t="b">
        <v>0</v>
      </c>
      <c r="P2482" s="35" t="b">
        <v>0</v>
      </c>
      <c r="Q2482" s="35" t="b">
        <v>0</v>
      </c>
      <c r="R2482" s="14"/>
      <c r="S2482" s="14"/>
      <c r="T2482" s="14"/>
      <c r="U2482" s="14"/>
      <c r="V2482" s="14"/>
      <c r="W2482" s="14"/>
    </row>
    <row r="2483" ht="31.5" customHeight="1">
      <c r="A2483" s="124" t="s">
        <v>14629</v>
      </c>
      <c r="B2483" s="125" t="s">
        <v>19277</v>
      </c>
      <c r="C2483" s="126" t="s">
        <v>19278</v>
      </c>
      <c r="D2483" s="127" t="s">
        <v>19279</v>
      </c>
      <c r="E2483" s="28" t="str">
        <f>IFERROR(__xludf.DUMMYFUNCTION("GOOGLETRANSLATE(D2483,""zh-CN"",""vi"")"),"Vui lòng sắp xếp chúng theo thứ tự bảng chữ cái.")</f>
        <v>Vui lòng sắp xếp chúng theo thứ tự bảng chữ cái.</v>
      </c>
      <c r="F2483" s="157"/>
      <c r="G2483" s="36" t="b">
        <f t="shared" si="1"/>
        <v>0</v>
      </c>
      <c r="H2483" s="35" t="b">
        <v>1</v>
      </c>
      <c r="I2483" s="35" t="b">
        <v>0</v>
      </c>
      <c r="J2483" s="35" t="b">
        <v>0</v>
      </c>
      <c r="K2483" s="35" t="b">
        <v>0</v>
      </c>
      <c r="L2483" s="35" t="b">
        <v>0</v>
      </c>
      <c r="M2483" s="35" t="b">
        <v>0</v>
      </c>
      <c r="N2483" s="35" t="b">
        <v>0</v>
      </c>
      <c r="O2483" s="35" t="b">
        <v>0</v>
      </c>
      <c r="P2483" s="35" t="b">
        <v>0</v>
      </c>
      <c r="Q2483" s="35" t="b">
        <v>0</v>
      </c>
      <c r="R2483" s="14"/>
      <c r="S2483" s="14"/>
      <c r="T2483" s="14"/>
      <c r="U2483" s="14"/>
      <c r="V2483" s="14"/>
      <c r="W2483" s="14"/>
    </row>
    <row r="2484" ht="31.5" customHeight="1">
      <c r="A2484" s="124" t="s">
        <v>19280</v>
      </c>
      <c r="B2484" s="125" t="s">
        <v>19281</v>
      </c>
      <c r="C2484" s="126" t="s">
        <v>19282</v>
      </c>
      <c r="D2484" s="127" t="s">
        <v>19283</v>
      </c>
      <c r="E2484" s="28" t="str">
        <f>IFERROR(__xludf.DUMMYFUNCTION("GOOGLETRANSLATE(D2484,""zh-CN"",""vi"")"),"Chúng ta phải hoàn thành nhiệm vụ một cách độc lập.")</f>
        <v>Chúng ta phải hoàn thành nhiệm vụ một cách độc lập.</v>
      </c>
      <c r="F2484" s="157"/>
      <c r="G2484" s="36" t="b">
        <f t="shared" si="1"/>
        <v>0</v>
      </c>
      <c r="H2484" s="35" t="b">
        <v>1</v>
      </c>
      <c r="I2484" s="35" t="b">
        <v>0</v>
      </c>
      <c r="J2484" s="35" t="b">
        <v>0</v>
      </c>
      <c r="K2484" s="35" t="b">
        <v>0</v>
      </c>
      <c r="L2484" s="35" t="b">
        <v>0</v>
      </c>
      <c r="M2484" s="35" t="b">
        <v>0</v>
      </c>
      <c r="N2484" s="35" t="b">
        <v>0</v>
      </c>
      <c r="O2484" s="35" t="b">
        <v>0</v>
      </c>
      <c r="P2484" s="35" t="b">
        <v>0</v>
      </c>
      <c r="Q2484" s="35" t="b">
        <v>0</v>
      </c>
      <c r="R2484" s="14"/>
      <c r="S2484" s="14"/>
      <c r="T2484" s="14"/>
      <c r="U2484" s="14"/>
      <c r="V2484" s="14"/>
      <c r="W2484" s="14"/>
    </row>
    <row r="2485" ht="31.5" customHeight="1">
      <c r="A2485" s="124" t="s">
        <v>19284</v>
      </c>
      <c r="B2485" s="125" t="s">
        <v>19285</v>
      </c>
      <c r="C2485" s="126" t="s">
        <v>19286</v>
      </c>
      <c r="D2485" s="127" t="s">
        <v>19287</v>
      </c>
      <c r="E2485" s="28" t="str">
        <f>IFERROR(__xludf.DUMMYFUNCTION("GOOGLETRANSLATE(D2485,""zh-CN"",""vi"")"),"Không hề có dấu vết nào của nó ở nơi này.")</f>
        <v>Không hề có dấu vết nào của nó ở nơi này.</v>
      </c>
      <c r="F2485" s="157"/>
      <c r="G2485" s="36" t="b">
        <f t="shared" si="1"/>
        <v>0</v>
      </c>
      <c r="H2485" s="35" t="b">
        <v>1</v>
      </c>
      <c r="I2485" s="35" t="b">
        <v>0</v>
      </c>
      <c r="J2485" s="35" t="b">
        <v>0</v>
      </c>
      <c r="K2485" s="35" t="b">
        <v>0</v>
      </c>
      <c r="L2485" s="35" t="b">
        <v>0</v>
      </c>
      <c r="M2485" s="35" t="b">
        <v>0</v>
      </c>
      <c r="N2485" s="35" t="b">
        <v>0</v>
      </c>
      <c r="O2485" s="35" t="b">
        <v>0</v>
      </c>
      <c r="P2485" s="35" t="b">
        <v>0</v>
      </c>
      <c r="Q2485" s="35" t="b">
        <v>0</v>
      </c>
      <c r="R2485" s="14"/>
      <c r="S2485" s="14"/>
      <c r="T2485" s="14"/>
      <c r="U2485" s="14"/>
      <c r="V2485" s="14"/>
      <c r="W2485" s="14"/>
    </row>
    <row r="2486" ht="31.5" customHeight="1">
      <c r="A2486" s="124" t="s">
        <v>19288</v>
      </c>
      <c r="B2486" s="125" t="s">
        <v>19289</v>
      </c>
      <c r="C2486" s="126" t="s">
        <v>19290</v>
      </c>
      <c r="D2486" s="127" t="s">
        <v>19291</v>
      </c>
      <c r="E2486" s="28" t="str">
        <f>IFERROR(__xludf.DUMMYFUNCTION("GOOGLETRANSLATE(D2486,""zh-CN"",""vi"")"),"Tóc anh ấy màu nâu.")</f>
        <v>Tóc anh ấy màu nâu.</v>
      </c>
      <c r="F2486" s="157"/>
      <c r="G2486" s="36" t="b">
        <f t="shared" si="1"/>
        <v>0</v>
      </c>
      <c r="H2486" s="35" t="b">
        <v>1</v>
      </c>
      <c r="I2486" s="35" t="b">
        <v>0</v>
      </c>
      <c r="J2486" s="35" t="b">
        <v>0</v>
      </c>
      <c r="K2486" s="35" t="b">
        <v>0</v>
      </c>
      <c r="L2486" s="35" t="b">
        <v>0</v>
      </c>
      <c r="M2486" s="35" t="b">
        <v>0</v>
      </c>
      <c r="N2486" s="35" t="b">
        <v>0</v>
      </c>
      <c r="O2486" s="35" t="b">
        <v>0</v>
      </c>
      <c r="P2486" s="35" t="b">
        <v>0</v>
      </c>
      <c r="Q2486" s="35" t="b">
        <v>0</v>
      </c>
      <c r="R2486" s="14"/>
      <c r="S2486" s="14"/>
      <c r="T2486" s="14"/>
      <c r="U2486" s="14"/>
      <c r="V2486" s="14"/>
      <c r="W2486" s="14"/>
    </row>
    <row r="2487" ht="31.5" customHeight="1">
      <c r="A2487" s="124" t="s">
        <v>19292</v>
      </c>
      <c r="B2487" s="125" t="s">
        <v>19293</v>
      </c>
      <c r="C2487" s="126" t="s">
        <v>19294</v>
      </c>
      <c r="D2487" s="127" t="s">
        <v>19295</v>
      </c>
      <c r="E2487" s="28" t="str">
        <f>IFERROR(__xludf.DUMMYFUNCTION("GOOGLETRANSLATE(D2487,""zh-CN"",""vi"")"),"Sứ mệnh của công ty là đặt khách hàng lên hàng đầu.")</f>
        <v>Sứ mệnh của công ty là đặt khách hàng lên hàng đầu.</v>
      </c>
      <c r="F2487" s="157"/>
      <c r="G2487" s="36" t="b">
        <f t="shared" si="1"/>
        <v>0</v>
      </c>
      <c r="H2487" s="35" t="b">
        <v>1</v>
      </c>
      <c r="I2487" s="35" t="b">
        <v>0</v>
      </c>
      <c r="J2487" s="35" t="b">
        <v>0</v>
      </c>
      <c r="K2487" s="35" t="b">
        <v>0</v>
      </c>
      <c r="L2487" s="35" t="b">
        <v>0</v>
      </c>
      <c r="M2487" s="35" t="b">
        <v>0</v>
      </c>
      <c r="N2487" s="35" t="b">
        <v>0</v>
      </c>
      <c r="O2487" s="35" t="b">
        <v>0</v>
      </c>
      <c r="P2487" s="35" t="b">
        <v>0</v>
      </c>
      <c r="Q2487" s="35" t="b">
        <v>0</v>
      </c>
      <c r="R2487" s="14"/>
      <c r="S2487" s="14"/>
      <c r="T2487" s="14"/>
      <c r="U2487" s="14"/>
      <c r="V2487" s="14"/>
      <c r="W2487" s="14"/>
    </row>
    <row r="2488" ht="31.5" customHeight="1">
      <c r="A2488" s="124" t="s">
        <v>19296</v>
      </c>
      <c r="B2488" s="125" t="s">
        <v>19297</v>
      </c>
      <c r="C2488" s="126" t="s">
        <v>19298</v>
      </c>
      <c r="D2488" s="127" t="s">
        <v>19299</v>
      </c>
      <c r="E2488" s="28" t="str">
        <f>IFERROR(__xludf.DUMMYFUNCTION("GOOGLETRANSLATE(D2488,""zh-CN"",""vi"")"),"Tóm lại, chúng ta cần phải nỗ lực hết mình.")</f>
        <v>Tóm lại, chúng ta cần phải nỗ lực hết mình.</v>
      </c>
      <c r="F2488" s="157"/>
      <c r="G2488" s="36" t="b">
        <f t="shared" si="1"/>
        <v>0</v>
      </c>
      <c r="H2488" s="35" t="b">
        <v>1</v>
      </c>
      <c r="I2488" s="35" t="b">
        <v>0</v>
      </c>
      <c r="J2488" s="35" t="b">
        <v>0</v>
      </c>
      <c r="K2488" s="35" t="b">
        <v>0</v>
      </c>
      <c r="L2488" s="35" t="b">
        <v>0</v>
      </c>
      <c r="M2488" s="35" t="b">
        <v>0</v>
      </c>
      <c r="N2488" s="35" t="b">
        <v>0</v>
      </c>
      <c r="O2488" s="35" t="b">
        <v>0</v>
      </c>
      <c r="P2488" s="35" t="b">
        <v>0</v>
      </c>
      <c r="Q2488" s="35" t="b">
        <v>0</v>
      </c>
      <c r="R2488" s="14"/>
      <c r="S2488" s="14"/>
      <c r="T2488" s="14"/>
      <c r="U2488" s="14"/>
      <c r="V2488" s="14"/>
      <c r="W2488" s="14"/>
    </row>
    <row r="2489" ht="31.5" customHeight="1">
      <c r="A2489" s="124" t="s">
        <v>19300</v>
      </c>
      <c r="B2489" s="125" t="s">
        <v>19301</v>
      </c>
      <c r="C2489" s="126" t="s">
        <v>19302</v>
      </c>
      <c r="D2489" s="127" t="s">
        <v>19303</v>
      </c>
      <c r="E2489" s="28" t="str">
        <f>IFERROR(__xludf.DUMMYFUNCTION("GOOGLETRANSLATE(D2489,""zh-CN"",""vi"")"),"Tổng của hai giá trị này là 100.")</f>
        <v>Tổng của hai giá trị này là 100.</v>
      </c>
      <c r="F2489" s="157"/>
      <c r="G2489" s="36" t="b">
        <f t="shared" si="1"/>
        <v>0</v>
      </c>
      <c r="H2489" s="35" t="b">
        <v>1</v>
      </c>
      <c r="I2489" s="35" t="b">
        <v>0</v>
      </c>
      <c r="J2489" s="35" t="b">
        <v>0</v>
      </c>
      <c r="K2489" s="35" t="b">
        <v>0</v>
      </c>
      <c r="L2489" s="35" t="b">
        <v>0</v>
      </c>
      <c r="M2489" s="35" t="b">
        <v>0</v>
      </c>
      <c r="N2489" s="35" t="b">
        <v>0</v>
      </c>
      <c r="O2489" s="35" t="b">
        <v>0</v>
      </c>
      <c r="P2489" s="35" t="b">
        <v>0</v>
      </c>
      <c r="Q2489" s="35" t="b">
        <v>0</v>
      </c>
      <c r="R2489" s="14"/>
      <c r="S2489" s="14"/>
      <c r="T2489" s="14"/>
      <c r="U2489" s="14"/>
      <c r="V2489" s="14"/>
      <c r="W2489" s="14"/>
    </row>
    <row r="2490" ht="31.5" customHeight="1">
      <c r="A2490" s="124" t="s">
        <v>19304</v>
      </c>
      <c r="B2490" s="125" t="s">
        <v>19305</v>
      </c>
      <c r="C2490" s="126" t="s">
        <v>19306</v>
      </c>
      <c r="D2490" s="127" t="s">
        <v>19307</v>
      </c>
      <c r="E2490" s="28" t="str">
        <f>IFERROR(__xludf.DUMMYFUNCTION("GOOGLETRANSLATE(D2490,""zh-CN"",""vi"")"),"Anh ấy đi du lịch khắp thế giới.")</f>
        <v>Anh ấy đi du lịch khắp thế giới.</v>
      </c>
      <c r="F2490" s="157"/>
      <c r="G2490" s="36" t="b">
        <f t="shared" si="1"/>
        <v>0</v>
      </c>
      <c r="H2490" s="35" t="b">
        <v>1</v>
      </c>
      <c r="I2490" s="35" t="b">
        <v>0</v>
      </c>
      <c r="J2490" s="35" t="b">
        <v>0</v>
      </c>
      <c r="K2490" s="35" t="b">
        <v>0</v>
      </c>
      <c r="L2490" s="35" t="b">
        <v>0</v>
      </c>
      <c r="M2490" s="35" t="b">
        <v>0</v>
      </c>
      <c r="N2490" s="35" t="b">
        <v>0</v>
      </c>
      <c r="O2490" s="35" t="b">
        <v>0</v>
      </c>
      <c r="P2490" s="35" t="b">
        <v>0</v>
      </c>
      <c r="Q2490" s="35" t="b">
        <v>0</v>
      </c>
      <c r="R2490" s="14"/>
      <c r="S2490" s="14"/>
      <c r="T2490" s="14"/>
      <c r="U2490" s="14"/>
      <c r="V2490" s="14"/>
      <c r="W2490" s="14"/>
    </row>
    <row r="2491" ht="31.5" customHeight="1">
      <c r="A2491" s="124" t="s">
        <v>19308</v>
      </c>
      <c r="B2491" s="125" t="s">
        <v>19309</v>
      </c>
      <c r="C2491" s="126" t="s">
        <v>19310</v>
      </c>
      <c r="D2491" s="127" t="s">
        <v>19311</v>
      </c>
      <c r="E2491" s="28" t="str">
        <f>IFERROR(__xludf.DUMMYFUNCTION("GOOGLETRANSLATE(D2491,""zh-CN"",""vi"")"),"Hành lang trường học rộng rãi.")</f>
        <v>Hành lang trường học rộng rãi.</v>
      </c>
      <c r="F2491" s="157"/>
      <c r="G2491" s="36" t="b">
        <f t="shared" si="1"/>
        <v>0</v>
      </c>
      <c r="H2491" s="35" t="b">
        <v>1</v>
      </c>
      <c r="I2491" s="35" t="b">
        <v>0</v>
      </c>
      <c r="J2491" s="35" t="b">
        <v>0</v>
      </c>
      <c r="K2491" s="35" t="b">
        <v>0</v>
      </c>
      <c r="L2491" s="35" t="b">
        <v>0</v>
      </c>
      <c r="M2491" s="35" t="b">
        <v>0</v>
      </c>
      <c r="N2491" s="35" t="b">
        <v>0</v>
      </c>
      <c r="O2491" s="35" t="b">
        <v>0</v>
      </c>
      <c r="P2491" s="35" t="b">
        <v>0</v>
      </c>
      <c r="Q2491" s="35" t="b">
        <v>0</v>
      </c>
      <c r="R2491" s="14"/>
      <c r="S2491" s="14"/>
      <c r="T2491" s="14"/>
      <c r="U2491" s="14"/>
      <c r="V2491" s="14"/>
      <c r="W2491" s="14"/>
    </row>
    <row r="2492" ht="31.5" customHeight="1">
      <c r="A2492" s="124" t="s">
        <v>19312</v>
      </c>
      <c r="B2492" s="125" t="s">
        <v>19313</v>
      </c>
      <c r="C2492" s="126" t="s">
        <v>17439</v>
      </c>
      <c r="D2492" s="127" t="s">
        <v>19314</v>
      </c>
      <c r="E2492" s="28" t="str">
        <f>IFERROR(__xludf.DUMMYFUNCTION("GOOGLETRANSLATE(D2492,""zh-CN"",""vi"")"),"Anh ta vô tình làm lộ tin tức.")</f>
        <v>Anh ta vô tình làm lộ tin tức.</v>
      </c>
      <c r="F2492" s="157"/>
      <c r="G2492" s="36" t="b">
        <f t="shared" si="1"/>
        <v>0</v>
      </c>
      <c r="H2492" s="35" t="b">
        <v>1</v>
      </c>
      <c r="I2492" s="35" t="b">
        <v>0</v>
      </c>
      <c r="J2492" s="35" t="b">
        <v>0</v>
      </c>
      <c r="K2492" s="35" t="b">
        <v>0</v>
      </c>
      <c r="L2492" s="35" t="b">
        <v>0</v>
      </c>
      <c r="M2492" s="35" t="b">
        <v>0</v>
      </c>
      <c r="N2492" s="35" t="b">
        <v>0</v>
      </c>
      <c r="O2492" s="35" t="b">
        <v>0</v>
      </c>
      <c r="P2492" s="35" t="b">
        <v>0</v>
      </c>
      <c r="Q2492" s="35" t="b">
        <v>0</v>
      </c>
      <c r="R2492" s="14"/>
      <c r="S2492" s="14"/>
      <c r="T2492" s="14"/>
      <c r="U2492" s="14"/>
      <c r="V2492" s="14"/>
      <c r="W2492" s="14"/>
    </row>
    <row r="2493" ht="31.5" customHeight="1">
      <c r="A2493" s="124" t="s">
        <v>19315</v>
      </c>
      <c r="B2493" s="125" t="s">
        <v>19316</v>
      </c>
      <c r="C2493" s="126" t="s">
        <v>19317</v>
      </c>
      <c r="D2493" s="127" t="s">
        <v>19318</v>
      </c>
      <c r="E2493" s="28" t="str">
        <f>IFERROR(__xludf.DUMMYFUNCTION("GOOGLETRANSLATE(D2493,""zh-CN"",""vi"")"),"Cảnh sát đang mạnh tay trấn áp các hoạt động buôn lậu.")</f>
        <v>Cảnh sát đang mạnh tay trấn áp các hoạt động buôn lậu.</v>
      </c>
      <c r="F2493" s="157"/>
      <c r="G2493" s="36" t="b">
        <f t="shared" si="1"/>
        <v>0</v>
      </c>
      <c r="H2493" s="35" t="b">
        <v>1</v>
      </c>
      <c r="I2493" s="35" t="b">
        <v>0</v>
      </c>
      <c r="J2493" s="35" t="b">
        <v>0</v>
      </c>
      <c r="K2493" s="35" t="b">
        <v>0</v>
      </c>
      <c r="L2493" s="35" t="b">
        <v>0</v>
      </c>
      <c r="M2493" s="35" t="b">
        <v>0</v>
      </c>
      <c r="N2493" s="35" t="b">
        <v>0</v>
      </c>
      <c r="O2493" s="35" t="b">
        <v>0</v>
      </c>
      <c r="P2493" s="35" t="b">
        <v>0</v>
      </c>
      <c r="Q2493" s="35" t="b">
        <v>0</v>
      </c>
      <c r="R2493" s="14"/>
      <c r="S2493" s="14"/>
      <c r="T2493" s="14"/>
      <c r="U2493" s="14"/>
      <c r="V2493" s="14"/>
      <c r="W2493" s="14"/>
    </row>
    <row r="2494" ht="31.5" customHeight="1">
      <c r="A2494" s="124" t="s">
        <v>19319</v>
      </c>
      <c r="B2494" s="125" t="s">
        <v>19320</v>
      </c>
      <c r="C2494" s="126" t="s">
        <v>19321</v>
      </c>
      <c r="D2494" s="127" t="s">
        <v>19322</v>
      </c>
      <c r="E2494" s="28" t="str">
        <f>IFERROR(__xludf.DUMMYFUNCTION("GOOGLETRANSLATE(D2494,""zh-CN"",""vi"")"),"Anh ta bị đánh.")</f>
        <v>Anh ta bị đánh.</v>
      </c>
      <c r="F2494" s="157"/>
      <c r="G2494" s="36" t="b">
        <f t="shared" si="1"/>
        <v>0</v>
      </c>
      <c r="H2494" s="35" t="b">
        <v>1</v>
      </c>
      <c r="I2494" s="35" t="b">
        <v>0</v>
      </c>
      <c r="J2494" s="35" t="b">
        <v>0</v>
      </c>
      <c r="K2494" s="35" t="b">
        <v>0</v>
      </c>
      <c r="L2494" s="35" t="b">
        <v>0</v>
      </c>
      <c r="M2494" s="35" t="b">
        <v>0</v>
      </c>
      <c r="N2494" s="35" t="b">
        <v>0</v>
      </c>
      <c r="O2494" s="35" t="b">
        <v>0</v>
      </c>
      <c r="P2494" s="35" t="b">
        <v>0</v>
      </c>
      <c r="Q2494" s="35" t="b">
        <v>0</v>
      </c>
      <c r="R2494" s="14"/>
      <c r="S2494" s="14"/>
      <c r="T2494" s="14"/>
      <c r="U2494" s="14"/>
      <c r="V2494" s="14"/>
      <c r="W2494" s="14"/>
    </row>
    <row r="2495" ht="31.5" customHeight="1">
      <c r="A2495" s="124" t="s">
        <v>19323</v>
      </c>
      <c r="B2495" s="125" t="s">
        <v>19324</v>
      </c>
      <c r="C2495" s="126" t="s">
        <v>19325</v>
      </c>
      <c r="D2495" s="127" t="s">
        <v>19326</v>
      </c>
      <c r="E2495" s="28" t="str">
        <f>IFERROR(__xludf.DUMMYFUNCTION("GOOGLETRANSLATE(D2495,""zh-CN"",""vi"")"),"Chúng ta cần thuê một số thiết bị.")</f>
        <v>Chúng ta cần thuê một số thiết bị.</v>
      </c>
      <c r="F2495" s="157"/>
      <c r="G2495" s="36" t="b">
        <f t="shared" si="1"/>
        <v>0</v>
      </c>
      <c r="H2495" s="35" t="b">
        <v>1</v>
      </c>
      <c r="I2495" s="35" t="b">
        <v>0</v>
      </c>
      <c r="J2495" s="35" t="b">
        <v>0</v>
      </c>
      <c r="K2495" s="35" t="b">
        <v>0</v>
      </c>
      <c r="L2495" s="35" t="b">
        <v>0</v>
      </c>
      <c r="M2495" s="35" t="b">
        <v>0</v>
      </c>
      <c r="N2495" s="35" t="b">
        <v>0</v>
      </c>
      <c r="O2495" s="35" t="b">
        <v>0</v>
      </c>
      <c r="P2495" s="35" t="b">
        <v>0</v>
      </c>
      <c r="Q2495" s="35" t="b">
        <v>0</v>
      </c>
      <c r="R2495" s="14"/>
      <c r="S2495" s="14"/>
      <c r="T2495" s="14"/>
      <c r="U2495" s="14"/>
      <c r="V2495" s="14"/>
      <c r="W2495" s="14"/>
    </row>
    <row r="2496" ht="31.5" customHeight="1">
      <c r="A2496" s="124" t="s">
        <v>19327</v>
      </c>
      <c r="B2496" s="125" t="s">
        <v>19328</v>
      </c>
      <c r="C2496" s="126" t="s">
        <v>19329</v>
      </c>
      <c r="D2496" s="127" t="s">
        <v>19330</v>
      </c>
      <c r="E2496" s="28" t="str">
        <f>IFERROR(__xludf.DUMMYFUNCTION("GOOGLETRANSLATE(D2496,""zh-CN"",""vi"")"),"Phương pháp này đủ để giải quyết vấn đề.")</f>
        <v>Phương pháp này đủ để giải quyết vấn đề.</v>
      </c>
      <c r="F2496" s="157"/>
      <c r="G2496" s="36" t="b">
        <f t="shared" si="1"/>
        <v>0</v>
      </c>
      <c r="H2496" s="35" t="b">
        <v>1</v>
      </c>
      <c r="I2496" s="35" t="b">
        <v>0</v>
      </c>
      <c r="J2496" s="35" t="b">
        <v>0</v>
      </c>
      <c r="K2496" s="35" t="b">
        <v>0</v>
      </c>
      <c r="L2496" s="35" t="b">
        <v>0</v>
      </c>
      <c r="M2496" s="35" t="b">
        <v>0</v>
      </c>
      <c r="N2496" s="35" t="b">
        <v>0</v>
      </c>
      <c r="O2496" s="35" t="b">
        <v>0</v>
      </c>
      <c r="P2496" s="35" t="b">
        <v>0</v>
      </c>
      <c r="Q2496" s="35" t="b">
        <v>0</v>
      </c>
      <c r="R2496" s="14"/>
      <c r="S2496" s="14"/>
      <c r="T2496" s="14"/>
      <c r="U2496" s="14"/>
      <c r="V2496" s="14"/>
      <c r="W2496" s="14"/>
    </row>
    <row r="2497" ht="31.5" customHeight="1">
      <c r="A2497" s="124" t="s">
        <v>14714</v>
      </c>
      <c r="B2497" s="125" t="s">
        <v>14715</v>
      </c>
      <c r="C2497" s="126" t="s">
        <v>19331</v>
      </c>
      <c r="D2497" s="127" t="s">
        <v>19332</v>
      </c>
      <c r="E2497" s="28" t="str">
        <f>IFERROR(__xludf.DUMMYFUNCTION("GOOGLETRANSLATE(D2497,""zh-CN"",""vi"")"),"Tôi tham gia một nhóm học tập.")</f>
        <v>Tôi tham gia một nhóm học tập.</v>
      </c>
      <c r="F2497" s="157"/>
      <c r="G2497" s="36" t="b">
        <f t="shared" si="1"/>
        <v>0</v>
      </c>
      <c r="H2497" s="35" t="b">
        <v>1</v>
      </c>
      <c r="I2497" s="35" t="b">
        <v>0</v>
      </c>
      <c r="J2497" s="35" t="b">
        <v>0</v>
      </c>
      <c r="K2497" s="35" t="b">
        <v>0</v>
      </c>
      <c r="L2497" s="35" t="b">
        <v>0</v>
      </c>
      <c r="M2497" s="35" t="b">
        <v>0</v>
      </c>
      <c r="N2497" s="35" t="b">
        <v>0</v>
      </c>
      <c r="O2497" s="35" t="b">
        <v>0</v>
      </c>
      <c r="P2497" s="35" t="b">
        <v>0</v>
      </c>
      <c r="Q2497" s="35" t="b">
        <v>0</v>
      </c>
      <c r="R2497" s="14"/>
      <c r="S2497" s="14"/>
      <c r="T2497" s="14"/>
      <c r="U2497" s="14"/>
      <c r="V2497" s="14"/>
      <c r="W2497" s="14"/>
    </row>
    <row r="2498" ht="31.5" customHeight="1">
      <c r="A2498" s="124" t="s">
        <v>19333</v>
      </c>
      <c r="B2498" s="125" t="s">
        <v>19334</v>
      </c>
      <c r="C2498" s="126" t="s">
        <v>19335</v>
      </c>
      <c r="D2498" s="127" t="s">
        <v>19336</v>
      </c>
      <c r="E2498" s="28" t="str">
        <f>IFERROR(__xludf.DUMMYFUNCTION("GOOGLETRANSLATE(D2498,""zh-CN"",""vi"")"),"Tuyết rơi đã gây gián đoạn giao thông.")</f>
        <v>Tuyết rơi đã gây gián đoạn giao thông.</v>
      </c>
      <c r="F2498" s="157"/>
      <c r="G2498" s="36" t="b">
        <f t="shared" si="1"/>
        <v>0</v>
      </c>
      <c r="H2498" s="35" t="b">
        <v>1</v>
      </c>
      <c r="I2498" s="35" t="b">
        <v>0</v>
      </c>
      <c r="J2498" s="35" t="b">
        <v>0</v>
      </c>
      <c r="K2498" s="35" t="b">
        <v>0</v>
      </c>
      <c r="L2498" s="35" t="b">
        <v>0</v>
      </c>
      <c r="M2498" s="35" t="b">
        <v>0</v>
      </c>
      <c r="N2498" s="35" t="b">
        <v>0</v>
      </c>
      <c r="O2498" s="35" t="b">
        <v>0</v>
      </c>
      <c r="P2498" s="35" t="b">
        <v>0</v>
      </c>
      <c r="Q2498" s="35" t="b">
        <v>0</v>
      </c>
      <c r="R2498" s="14"/>
      <c r="S2498" s="14"/>
      <c r="T2498" s="14"/>
      <c r="U2498" s="14"/>
      <c r="V2498" s="14"/>
      <c r="W2498" s="14"/>
    </row>
    <row r="2499" ht="31.5" customHeight="1">
      <c r="A2499" s="124" t="s">
        <v>19337</v>
      </c>
      <c r="B2499" s="125" t="s">
        <v>19338</v>
      </c>
      <c r="C2499" s="126" t="s">
        <v>19339</v>
      </c>
      <c r="D2499" s="127" t="s">
        <v>19340</v>
      </c>
      <c r="E2499" s="28" t="str">
        <f>IFERROR(__xludf.DUMMYFUNCTION("GOOGLETRANSLATE(D2499,""zh-CN"",""vi"")"),"Ông tôi rất thích chơi cờ vua.")</f>
        <v>Ông tôi rất thích chơi cờ vua.</v>
      </c>
      <c r="F2499" s="157"/>
      <c r="G2499" s="36" t="b">
        <f t="shared" si="1"/>
        <v>0</v>
      </c>
      <c r="H2499" s="35" t="b">
        <v>1</v>
      </c>
      <c r="I2499" s="35" t="b">
        <v>0</v>
      </c>
      <c r="J2499" s="35" t="b">
        <v>0</v>
      </c>
      <c r="K2499" s="35" t="b">
        <v>0</v>
      </c>
      <c r="L2499" s="35" t="b">
        <v>0</v>
      </c>
      <c r="M2499" s="35" t="b">
        <v>0</v>
      </c>
      <c r="N2499" s="35" t="b">
        <v>0</v>
      </c>
      <c r="O2499" s="35" t="b">
        <v>0</v>
      </c>
      <c r="P2499" s="35" t="b">
        <v>0</v>
      </c>
      <c r="Q2499" s="35" t="b">
        <v>0</v>
      </c>
      <c r="R2499" s="14"/>
      <c r="S2499" s="14"/>
      <c r="T2499" s="14"/>
      <c r="U2499" s="14"/>
      <c r="V2499" s="14"/>
      <c r="W2499" s="14"/>
    </row>
    <row r="2500" ht="31.5" customHeight="1">
      <c r="A2500" s="124" t="s">
        <v>19341</v>
      </c>
      <c r="B2500" s="125" t="s">
        <v>19342</v>
      </c>
      <c r="C2500" s="126" t="s">
        <v>19343</v>
      </c>
      <c r="D2500" s="127" t="s">
        <v>19344</v>
      </c>
      <c r="E2500" s="28" t="str">
        <f>IFERROR(__xludf.DUMMYFUNCTION("GOOGLETRANSLATE(D2500,""zh-CN"",""vi"")"),"Chúng ta cần tìm cách ngăn chặn hắn.")</f>
        <v>Chúng ta cần tìm cách ngăn chặn hắn.</v>
      </c>
      <c r="F2500" s="157"/>
      <c r="G2500" s="36" t="b">
        <f t="shared" si="1"/>
        <v>0</v>
      </c>
      <c r="H2500" s="35" t="b">
        <v>1</v>
      </c>
      <c r="I2500" s="35" t="b">
        <v>0</v>
      </c>
      <c r="J2500" s="35" t="b">
        <v>0</v>
      </c>
      <c r="K2500" s="35" t="b">
        <v>0</v>
      </c>
      <c r="L2500" s="35" t="b">
        <v>0</v>
      </c>
      <c r="M2500" s="35" t="b">
        <v>0</v>
      </c>
      <c r="N2500" s="35" t="b">
        <v>0</v>
      </c>
      <c r="O2500" s="35" t="b">
        <v>0</v>
      </c>
      <c r="P2500" s="35" t="b">
        <v>0</v>
      </c>
      <c r="Q2500" s="35" t="b">
        <v>0</v>
      </c>
      <c r="R2500" s="14"/>
      <c r="S2500" s="14"/>
      <c r="T2500" s="14"/>
      <c r="U2500" s="14"/>
      <c r="V2500" s="14"/>
      <c r="W2500" s="14"/>
    </row>
    <row r="2501" ht="31.5" customHeight="1">
      <c r="A2501" s="124" t="s">
        <v>19345</v>
      </c>
      <c r="B2501" s="125" t="s">
        <v>19346</v>
      </c>
      <c r="C2501" s="126" t="s">
        <v>19335</v>
      </c>
      <c r="D2501" s="127" t="s">
        <v>19347</v>
      </c>
      <c r="E2501" s="28" t="str">
        <f>IFERROR(__xludf.DUMMYFUNCTION("GOOGLETRANSLATE(D2501,""zh-CN"",""vi"")"),"Hắn ta đã cố gắng phá hoại kế hoạch của chúng ta.")</f>
        <v>Hắn ta đã cố gắng phá hoại kế hoạch của chúng ta.</v>
      </c>
      <c r="F2501" s="157"/>
      <c r="G2501" s="36" t="b">
        <f t="shared" si="1"/>
        <v>0</v>
      </c>
      <c r="H2501" s="35" t="b">
        <v>1</v>
      </c>
      <c r="I2501" s="35" t="b">
        <v>0</v>
      </c>
      <c r="J2501" s="35" t="b">
        <v>0</v>
      </c>
      <c r="K2501" s="35" t="b">
        <v>0</v>
      </c>
      <c r="L2501" s="35" t="b">
        <v>0</v>
      </c>
      <c r="M2501" s="35" t="b">
        <v>0</v>
      </c>
      <c r="N2501" s="35" t="b">
        <v>0</v>
      </c>
      <c r="O2501" s="35" t="b">
        <v>0</v>
      </c>
      <c r="P2501" s="35" t="b">
        <v>0</v>
      </c>
      <c r="Q2501" s="35" t="b">
        <v>0</v>
      </c>
      <c r="R2501" s="14"/>
      <c r="S2501" s="14"/>
      <c r="T2501" s="14"/>
      <c r="U2501" s="14"/>
      <c r="V2501" s="14"/>
      <c r="W2501" s="14"/>
    </row>
    <row r="2502" ht="31.5" customHeight="1">
      <c r="A2502" s="124" t="s">
        <v>19348</v>
      </c>
      <c r="B2502" s="125" t="s">
        <v>19349</v>
      </c>
      <c r="C2502" s="126" t="s">
        <v>19350</v>
      </c>
      <c r="D2502" s="127" t="s">
        <v>19351</v>
      </c>
      <c r="E2502" s="28" t="str">
        <f>IFERROR(__xludf.DUMMYFUNCTION("GOOGLETRANSLATE(D2502,""zh-CN"",""vi"")"),"Ông ấy đã nghiên cứu chủ đề này trong nhiều năm.")</f>
        <v>Ông ấy đã nghiên cứu chủ đề này trong nhiều năm.</v>
      </c>
      <c r="F2502" s="157"/>
      <c r="G2502" s="36" t="b">
        <f t="shared" si="1"/>
        <v>0</v>
      </c>
      <c r="H2502" s="35" t="b">
        <v>1</v>
      </c>
      <c r="I2502" s="35" t="b">
        <v>0</v>
      </c>
      <c r="J2502" s="35" t="b">
        <v>0</v>
      </c>
      <c r="K2502" s="35" t="b">
        <v>0</v>
      </c>
      <c r="L2502" s="35" t="b">
        <v>0</v>
      </c>
      <c r="M2502" s="35" t="b">
        <v>0</v>
      </c>
      <c r="N2502" s="35" t="b">
        <v>0</v>
      </c>
      <c r="O2502" s="35" t="b">
        <v>0</v>
      </c>
      <c r="P2502" s="35" t="b">
        <v>0</v>
      </c>
      <c r="Q2502" s="35" t="b">
        <v>0</v>
      </c>
      <c r="R2502" s="14"/>
      <c r="S2502" s="14"/>
      <c r="T2502" s="14"/>
      <c r="U2502" s="14"/>
      <c r="V2502" s="14"/>
      <c r="W2502" s="14"/>
    </row>
    <row r="2503" ht="31.5" customHeight="1">
      <c r="A2503" s="124" t="s">
        <v>19352</v>
      </c>
      <c r="B2503" s="125" t="s">
        <v>19353</v>
      </c>
      <c r="C2503" s="126" t="s">
        <v>19354</v>
      </c>
      <c r="D2503" s="127" t="s">
        <v>19355</v>
      </c>
      <c r="E2503" s="28" t="str">
        <f>IFERROR(__xludf.DUMMYFUNCTION("GOOGLETRANSLATE(D2503,""zh-CN"",""vi"")"),"Cô ấy đã nhận được một chiếc nhẫn kim cương.")</f>
        <v>Cô ấy đã nhận được một chiếc nhẫn kim cương.</v>
      </c>
      <c r="F2503" s="157"/>
      <c r="G2503" s="36" t="b">
        <f t="shared" si="1"/>
        <v>0</v>
      </c>
      <c r="H2503" s="35" t="b">
        <v>1</v>
      </c>
      <c r="I2503" s="35" t="b">
        <v>0</v>
      </c>
      <c r="J2503" s="35" t="b">
        <v>0</v>
      </c>
      <c r="K2503" s="35" t="b">
        <v>0</v>
      </c>
      <c r="L2503" s="35" t="b">
        <v>0</v>
      </c>
      <c r="M2503" s="35" t="b">
        <v>0</v>
      </c>
      <c r="N2503" s="35" t="b">
        <v>0</v>
      </c>
      <c r="O2503" s="35" t="b">
        <v>0</v>
      </c>
      <c r="P2503" s="35" t="b">
        <v>0</v>
      </c>
      <c r="Q2503" s="35" t="b">
        <v>0</v>
      </c>
      <c r="R2503" s="14"/>
      <c r="S2503" s="14"/>
      <c r="T2503" s="14"/>
      <c r="U2503" s="14"/>
      <c r="V2503" s="14"/>
      <c r="W2503" s="14"/>
    </row>
    <row r="2504" ht="31.5" customHeight="1">
      <c r="A2504" s="124" t="s">
        <v>19356</v>
      </c>
      <c r="B2504" s="125" t="s">
        <v>19357</v>
      </c>
      <c r="C2504" s="126" t="s">
        <v>19358</v>
      </c>
      <c r="D2504" s="127" t="s">
        <v>19359</v>
      </c>
      <c r="E2504" s="28" t="str">
        <f>IFERROR(__xludf.DUMMYFUNCTION("GOOGLETRANSLATE(D2504,""zh-CN"",""vi"")"),"Môi cô ấy rất đỏ.")</f>
        <v>Môi cô ấy rất đỏ.</v>
      </c>
      <c r="F2504" s="157"/>
      <c r="G2504" s="36" t="b">
        <f t="shared" si="1"/>
        <v>0</v>
      </c>
      <c r="H2504" s="35" t="b">
        <v>1</v>
      </c>
      <c r="I2504" s="35" t="b">
        <v>0</v>
      </c>
      <c r="J2504" s="35" t="b">
        <v>0</v>
      </c>
      <c r="K2504" s="35" t="b">
        <v>0</v>
      </c>
      <c r="L2504" s="35" t="b">
        <v>0</v>
      </c>
      <c r="M2504" s="35" t="b">
        <v>0</v>
      </c>
      <c r="N2504" s="35" t="b">
        <v>0</v>
      </c>
      <c r="O2504" s="35" t="b">
        <v>0</v>
      </c>
      <c r="P2504" s="35" t="b">
        <v>0</v>
      </c>
      <c r="Q2504" s="35" t="b">
        <v>0</v>
      </c>
      <c r="R2504" s="14"/>
      <c r="S2504" s="14"/>
      <c r="T2504" s="14"/>
      <c r="U2504" s="14"/>
      <c r="V2504" s="14"/>
      <c r="W2504" s="14"/>
    </row>
    <row r="2505" ht="31.5" customHeight="1">
      <c r="A2505" s="124" t="s">
        <v>19360</v>
      </c>
      <c r="B2505" s="125" t="s">
        <v>19361</v>
      </c>
      <c r="C2505" s="126" t="s">
        <v>19362</v>
      </c>
      <c r="D2505" s="127" t="s">
        <v>19363</v>
      </c>
      <c r="E2505" s="28" t="str">
        <f>IFERROR(__xludf.DUMMYFUNCTION("GOOGLETRANSLATE(D2505,""zh-CN"",""vi"")"),"Chúng ta phải tuân thủ các quy định của công ty.")</f>
        <v>Chúng ta phải tuân thủ các quy định của công ty.</v>
      </c>
      <c r="F2505" s="157"/>
      <c r="G2505" s="36" t="b">
        <f t="shared" si="1"/>
        <v>0</v>
      </c>
      <c r="H2505" s="35" t="b">
        <v>1</v>
      </c>
      <c r="I2505" s="35" t="b">
        <v>0</v>
      </c>
      <c r="J2505" s="35" t="b">
        <v>0</v>
      </c>
      <c r="K2505" s="35" t="b">
        <v>0</v>
      </c>
      <c r="L2505" s="35" t="b">
        <v>0</v>
      </c>
      <c r="M2505" s="35" t="b">
        <v>0</v>
      </c>
      <c r="N2505" s="35" t="b">
        <v>0</v>
      </c>
      <c r="O2505" s="35" t="b">
        <v>0</v>
      </c>
      <c r="P2505" s="35" t="b">
        <v>0</v>
      </c>
      <c r="Q2505" s="35" t="b">
        <v>0</v>
      </c>
      <c r="R2505" s="14"/>
      <c r="S2505" s="14"/>
      <c r="T2505" s="14"/>
      <c r="U2505" s="14"/>
      <c r="V2505" s="14"/>
      <c r="W2505" s="14"/>
    </row>
    <row r="2506" ht="31.5" customHeight="1">
      <c r="A2506" s="124" t="s">
        <v>19364</v>
      </c>
      <c r="B2506" s="125" t="s">
        <v>19365</v>
      </c>
      <c r="C2506" s="126" t="s">
        <v>19366</v>
      </c>
      <c r="D2506" s="127" t="s">
        <v>19367</v>
      </c>
      <c r="E2506" s="28" t="str">
        <f>IFERROR(__xludf.DUMMYFUNCTION("GOOGLETRANSLATE(D2506,""zh-CN"",""vi"")"),"Ông ấy luôn giữ vững phẩm giá của mình.")</f>
        <v>Ông ấy luôn giữ vững phẩm giá của mình.</v>
      </c>
      <c r="F2506" s="157"/>
      <c r="G2506" s="36" t="b">
        <f t="shared" si="1"/>
        <v>0</v>
      </c>
      <c r="H2506" s="35" t="b">
        <v>1</v>
      </c>
      <c r="I2506" s="35" t="b">
        <v>0</v>
      </c>
      <c r="J2506" s="35" t="b">
        <v>0</v>
      </c>
      <c r="K2506" s="35" t="b">
        <v>0</v>
      </c>
      <c r="L2506" s="35" t="b">
        <v>0</v>
      </c>
      <c r="M2506" s="35" t="b">
        <v>0</v>
      </c>
      <c r="N2506" s="35" t="b">
        <v>0</v>
      </c>
      <c r="O2506" s="35" t="b">
        <v>0</v>
      </c>
      <c r="P2506" s="35" t="b">
        <v>0</v>
      </c>
      <c r="Q2506" s="35" t="b">
        <v>0</v>
      </c>
      <c r="R2506" s="14"/>
      <c r="S2506" s="14"/>
      <c r="T2506" s="14"/>
      <c r="U2506" s="14"/>
      <c r="V2506" s="14"/>
      <c r="W2506" s="14"/>
    </row>
    <row r="2507" ht="31.5" customHeight="1">
      <c r="A2507" s="124" t="s">
        <v>4815</v>
      </c>
      <c r="B2507" s="125" t="s">
        <v>19368</v>
      </c>
      <c r="C2507" s="126" t="s">
        <v>19369</v>
      </c>
      <c r="D2507" s="127" t="s">
        <v>19370</v>
      </c>
      <c r="E2507" s="28" t="str">
        <f>IFERROR(__xludf.DUMMYFUNCTION("GOOGLETRANSLATE(D2507,""zh-CN"",""vi"")"),"Lớp chúng tôi có khoảng 100 học sinh.")</f>
        <v>Lớp chúng tôi có khoảng 100 học sinh.</v>
      </c>
      <c r="F2507" s="157"/>
      <c r="G2507" s="36" t="b">
        <f t="shared" si="1"/>
        <v>0</v>
      </c>
      <c r="H2507" s="35" t="b">
        <v>1</v>
      </c>
      <c r="I2507" s="35" t="b">
        <v>0</v>
      </c>
      <c r="J2507" s="35" t="b">
        <v>0</v>
      </c>
      <c r="K2507" s="35" t="b">
        <v>0</v>
      </c>
      <c r="L2507" s="35" t="b">
        <v>0</v>
      </c>
      <c r="M2507" s="35" t="b">
        <v>0</v>
      </c>
      <c r="N2507" s="35" t="b">
        <v>0</v>
      </c>
      <c r="O2507" s="35" t="b">
        <v>0</v>
      </c>
      <c r="P2507" s="35" t="b">
        <v>0</v>
      </c>
      <c r="Q2507" s="35" t="b">
        <v>0</v>
      </c>
      <c r="R2507" s="14"/>
      <c r="S2507" s="14"/>
      <c r="T2507" s="14"/>
      <c r="U2507" s="14"/>
      <c r="V2507" s="14"/>
      <c r="W2507" s="14"/>
    </row>
    <row r="2508" ht="31.5" customHeight="1">
      <c r="A2508" s="124" t="s">
        <v>19371</v>
      </c>
      <c r="B2508" s="125" t="s">
        <v>19372</v>
      </c>
      <c r="C2508" s="126" t="s">
        <v>19373</v>
      </c>
      <c r="D2508" s="127" t="s">
        <v>19374</v>
      </c>
      <c r="E2508" s="28" t="str">
        <f>IFERROR(__xludf.DUMMYFUNCTION("GOOGLETRANSLATE(D2508,""zh-CN"",""vi"")"),"Gian lận là hành vi phi đạo đức.")</f>
        <v>Gian lận là hành vi phi đạo đức.</v>
      </c>
      <c r="F2508" s="157"/>
      <c r="G2508" s="36" t="b">
        <f t="shared" si="1"/>
        <v>0</v>
      </c>
      <c r="H2508" s="35" t="b">
        <v>1</v>
      </c>
      <c r="I2508" s="35" t="b">
        <v>0</v>
      </c>
      <c r="J2508" s="35" t="b">
        <v>0</v>
      </c>
      <c r="K2508" s="35" t="b">
        <v>0</v>
      </c>
      <c r="L2508" s="35" t="b">
        <v>0</v>
      </c>
      <c r="M2508" s="35" t="b">
        <v>0</v>
      </c>
      <c r="N2508" s="35" t="b">
        <v>0</v>
      </c>
      <c r="O2508" s="35" t="b">
        <v>0</v>
      </c>
      <c r="P2508" s="35" t="b">
        <v>0</v>
      </c>
      <c r="Q2508" s="35" t="b">
        <v>0</v>
      </c>
      <c r="R2508" s="14"/>
      <c r="S2508" s="14"/>
      <c r="T2508" s="14"/>
      <c r="U2508" s="14"/>
      <c r="V2508" s="14"/>
      <c r="W2508" s="14"/>
    </row>
    <row r="2509" ht="31.5" customHeight="1">
      <c r="A2509" s="124" t="s">
        <v>19375</v>
      </c>
      <c r="B2509" s="125" t="s">
        <v>19376</v>
      </c>
      <c r="C2509" s="126" t="s">
        <v>19377</v>
      </c>
      <c r="D2509" s="127" t="s">
        <v>19378</v>
      </c>
      <c r="E2509" s="28" t="str">
        <f>IFERROR(__xludf.DUMMYFUNCTION("GOOGLETRANSLATE(D2509,""zh-CN"",""vi"")"),"Hôm nay anh ấy là người dẫn chương trình.")</f>
        <v>Hôm nay anh ấy là người dẫn chương trình.</v>
      </c>
      <c r="F2509" s="157"/>
      <c r="G2509" s="36" t="b">
        <f t="shared" si="1"/>
        <v>0</v>
      </c>
      <c r="H2509" s="35" t="b">
        <v>1</v>
      </c>
      <c r="I2509" s="35" t="b">
        <v>0</v>
      </c>
      <c r="J2509" s="35" t="b">
        <v>0</v>
      </c>
      <c r="K2509" s="35" t="b">
        <v>0</v>
      </c>
      <c r="L2509" s="35" t="b">
        <v>0</v>
      </c>
      <c r="M2509" s="35" t="b">
        <v>0</v>
      </c>
      <c r="N2509" s="35" t="b">
        <v>0</v>
      </c>
      <c r="O2509" s="35" t="b">
        <v>0</v>
      </c>
      <c r="P2509" s="35" t="b">
        <v>0</v>
      </c>
      <c r="Q2509" s="35" t="b">
        <v>0</v>
      </c>
      <c r="R2509" s="14"/>
      <c r="S2509" s="14"/>
      <c r="T2509" s="14"/>
      <c r="U2509" s="14"/>
      <c r="V2509" s="14"/>
      <c r="W2509" s="14"/>
    </row>
    <row r="2510" ht="31.5" customHeight="1">
      <c r="A2510" s="124" t="s">
        <v>19379</v>
      </c>
      <c r="B2510" s="125" t="s">
        <v>19380</v>
      </c>
      <c r="C2510" s="126" t="s">
        <v>19381</v>
      </c>
      <c r="D2510" s="127" t="s">
        <v>19382</v>
      </c>
      <c r="E2510" s="28" t="str">
        <f>IFERROR(__xludf.DUMMYFUNCTION("GOOGLETRANSLATE(D2510,""zh-CN"",""vi"")"),"Những tài liệu cũ này cần phải được loại bỏ.")</f>
        <v>Những tài liệu cũ này cần phải được loại bỏ.</v>
      </c>
      <c r="F2510" s="157"/>
      <c r="G2510" s="36" t="b">
        <f t="shared" si="1"/>
        <v>0</v>
      </c>
      <c r="H2510" s="35" t="b">
        <v>1</v>
      </c>
      <c r="I2510" s="35" t="b">
        <v>0</v>
      </c>
      <c r="J2510" s="35" t="b">
        <v>0</v>
      </c>
      <c r="K2510" s="35" t="b">
        <v>0</v>
      </c>
      <c r="L2510" s="35" t="b">
        <v>0</v>
      </c>
      <c r="M2510" s="35" t="b">
        <v>0</v>
      </c>
      <c r="N2510" s="35" t="b">
        <v>0</v>
      </c>
      <c r="O2510" s="35" t="b">
        <v>0</v>
      </c>
      <c r="P2510" s="35" t="b">
        <v>0</v>
      </c>
      <c r="Q2510" s="35" t="b">
        <v>0</v>
      </c>
      <c r="R2510" s="14"/>
      <c r="S2510" s="14"/>
      <c r="T2510" s="14"/>
      <c r="U2510" s="14"/>
      <c r="V2510" s="14"/>
      <c r="W2510" s="14"/>
    </row>
    <row r="2511" ht="31.5" customHeight="1">
      <c r="A2511" s="124" t="s">
        <v>19383</v>
      </c>
      <c r="B2511" s="125" t="s">
        <v>19384</v>
      </c>
      <c r="C2511" s="126" t="s">
        <v>19385</v>
      </c>
      <c r="D2511" s="127" t="s">
        <v>19386</v>
      </c>
      <c r="E2511" s="28" t="str">
        <f>IFERROR(__xludf.DUMMYFUNCTION("GOOGLETRANSLATE(D2511,""zh-CN"",""vi"")"),"Công ty cần cải thiện phong cách làm việc của mình.")</f>
        <v>Công ty cần cải thiện phong cách làm việc của mình.</v>
      </c>
      <c r="F2511" s="157"/>
      <c r="G2511" s="36" t="b">
        <f t="shared" si="1"/>
        <v>0</v>
      </c>
      <c r="H2511" s="35" t="b">
        <v>1</v>
      </c>
      <c r="I2511" s="35" t="b">
        <v>0</v>
      </c>
      <c r="J2511" s="35" t="b">
        <v>0</v>
      </c>
      <c r="K2511" s="35" t="b">
        <v>0</v>
      </c>
      <c r="L2511" s="35" t="b">
        <v>0</v>
      </c>
      <c r="M2511" s="35" t="b">
        <v>0</v>
      </c>
      <c r="N2511" s="35" t="b">
        <v>0</v>
      </c>
      <c r="O2511" s="35" t="b">
        <v>0</v>
      </c>
      <c r="P2511" s="35" t="b">
        <v>0</v>
      </c>
      <c r="Q2511" s="35" t="b">
        <v>0</v>
      </c>
      <c r="R2511" s="14"/>
      <c r="S2511" s="14"/>
      <c r="T2511" s="14"/>
      <c r="U2511" s="14"/>
      <c r="V2511" s="14"/>
      <c r="W2511" s="14"/>
    </row>
    <row r="2512" ht="31.5" customHeight="1">
      <c r="A2512" s="124" t="s">
        <v>19387</v>
      </c>
      <c r="B2512" s="125" t="s">
        <v>19388</v>
      </c>
      <c r="C2512" s="126" t="s">
        <v>19389</v>
      </c>
      <c r="D2512" s="127" t="s">
        <v>19390</v>
      </c>
      <c r="E2512" s="28" t="str">
        <f>IFERROR(__xludf.DUMMYFUNCTION("GOOGLETRANSLATE(D2512,""zh-CN"",""vi"")"),"Chúng ta cần duy trì một lịch trình ngủ nghỉ đều đặn.")</f>
        <v>Chúng ta cần duy trì một lịch trình ngủ nghỉ đều đặn.</v>
      </c>
      <c r="F2512" s="157"/>
      <c r="G2512" s="36" t="b">
        <f t="shared" si="1"/>
        <v>0</v>
      </c>
      <c r="H2512" s="35" t="b">
        <v>1</v>
      </c>
      <c r="I2512" s="35" t="b">
        <v>0</v>
      </c>
      <c r="J2512" s="35" t="b">
        <v>0</v>
      </c>
      <c r="K2512" s="35" t="b">
        <v>0</v>
      </c>
      <c r="L2512" s="35" t="b">
        <v>0</v>
      </c>
      <c r="M2512" s="35" t="b">
        <v>0</v>
      </c>
      <c r="N2512" s="35" t="b">
        <v>0</v>
      </c>
      <c r="O2512" s="35" t="b">
        <v>0</v>
      </c>
      <c r="P2512" s="35" t="b">
        <v>0</v>
      </c>
      <c r="Q2512" s="35" t="b">
        <v>0</v>
      </c>
      <c r="R2512" s="14"/>
      <c r="S2512" s="14"/>
      <c r="T2512" s="14"/>
      <c r="U2512" s="14"/>
      <c r="V2512" s="14"/>
      <c r="W2512" s="14"/>
    </row>
    <row r="2513" ht="31.5" customHeight="1">
      <c r="A2513" s="124" t="s">
        <v>19391</v>
      </c>
      <c r="B2513" s="125" t="s">
        <v>19392</v>
      </c>
      <c r="C2513" s="126" t="s">
        <v>19393</v>
      </c>
      <c r="D2513" s="127" t="s">
        <v>19394</v>
      </c>
      <c r="E2513" s="28" t="str">
        <f>IFERROR(__xludf.DUMMYFUNCTION("GOOGLETRANSLATE(D2513,""zh-CN"",""vi"")"),"Phương châm của anh ấy là ""Nỗ lực hết mình"".")</f>
        <v>Phương châm của anh ấy là "Nỗ lực hết mình".</v>
      </c>
      <c r="F2513" s="157"/>
      <c r="G2513" s="36" t="b">
        <f t="shared" si="1"/>
        <v>0</v>
      </c>
      <c r="H2513" s="35" t="b">
        <v>1</v>
      </c>
      <c r="I2513" s="35" t="b">
        <v>0</v>
      </c>
      <c r="J2513" s="35" t="b">
        <v>0</v>
      </c>
      <c r="K2513" s="35" t="b">
        <v>0</v>
      </c>
      <c r="L2513" s="35" t="b">
        <v>0</v>
      </c>
      <c r="M2513" s="35" t="b">
        <v>0</v>
      </c>
      <c r="N2513" s="35" t="b">
        <v>0</v>
      </c>
      <c r="O2513" s="35" t="b">
        <v>0</v>
      </c>
      <c r="P2513" s="35" t="b">
        <v>0</v>
      </c>
      <c r="Q2513" s="35" t="b">
        <v>0</v>
      </c>
      <c r="R2513" s="14"/>
      <c r="S2513" s="14"/>
      <c r="T2513" s="14"/>
      <c r="U2513" s="14"/>
      <c r="V2513" s="14"/>
      <c r="W2513" s="14"/>
    </row>
    <row r="2514" ht="31.5" customHeight="1">
      <c r="A2514" s="124" t="s">
        <v>19395</v>
      </c>
      <c r="B2514" s="125" t="s">
        <v>19396</v>
      </c>
      <c r="C2514" s="126" t="s">
        <v>19397</v>
      </c>
      <c r="D2514" s="127" t="s">
        <v>19398</v>
      </c>
      <c r="E2514" s="28" t="str">
        <f>IFERROR(__xludf.DUMMYFUNCTION("GOOGLETRANSLATE(D2514,""zh-CN"",""vi"")"),"Anh ấy sẵn sàng tự mình đưa ra quyết định.")</f>
        <v>Anh ấy sẵn sàng tự mình đưa ra quyết định.</v>
      </c>
      <c r="F2514" s="157"/>
      <c r="G2514" s="36" t="b">
        <f t="shared" si="1"/>
        <v>0</v>
      </c>
      <c r="H2514" s="35" t="b">
        <v>1</v>
      </c>
      <c r="I2514" s="35" t="b">
        <v>0</v>
      </c>
      <c r="J2514" s="35" t="b">
        <v>0</v>
      </c>
      <c r="K2514" s="35" t="b">
        <v>0</v>
      </c>
      <c r="L2514" s="35" t="b">
        <v>0</v>
      </c>
      <c r="M2514" s="35" t="b">
        <v>0</v>
      </c>
      <c r="N2514" s="35" t="b">
        <v>0</v>
      </c>
      <c r="O2514" s="35" t="b">
        <v>0</v>
      </c>
      <c r="P2514" s="35" t="b">
        <v>0</v>
      </c>
      <c r="Q2514" s="35" t="b">
        <v>0</v>
      </c>
      <c r="R2514" s="14"/>
      <c r="S2514" s="14"/>
      <c r="T2514" s="14"/>
      <c r="U2514" s="14"/>
      <c r="V2514" s="14"/>
      <c r="W2514" s="14"/>
    </row>
    <row r="2515" ht="31.5" customHeight="1">
      <c r="A2515" s="158"/>
      <c r="B2515" s="159"/>
      <c r="C2515" s="160"/>
      <c r="D2515" s="130"/>
      <c r="E2515" s="130"/>
      <c r="F2515" s="161"/>
      <c r="G2515" s="162"/>
      <c r="H2515" s="163"/>
      <c r="I2515" s="163"/>
      <c r="J2515" s="163"/>
      <c r="K2515" s="163"/>
      <c r="L2515" s="163"/>
      <c r="M2515" s="163"/>
      <c r="N2515" s="163"/>
      <c r="O2515" s="163"/>
      <c r="P2515" s="163"/>
      <c r="Q2515" s="163"/>
      <c r="R2515" s="130"/>
      <c r="S2515" s="130"/>
      <c r="T2515" s="130"/>
      <c r="U2515" s="130"/>
      <c r="V2515" s="130"/>
      <c r="W2515" s="130"/>
    </row>
    <row r="2516" ht="31.5" customHeight="1">
      <c r="A2516" s="158"/>
      <c r="B2516" s="159"/>
      <c r="C2516" s="160"/>
      <c r="D2516" s="130"/>
      <c r="E2516" s="130"/>
      <c r="F2516" s="161"/>
      <c r="G2516" s="162"/>
      <c r="H2516" s="163"/>
      <c r="I2516" s="163"/>
      <c r="J2516" s="163"/>
      <c r="K2516" s="163"/>
      <c r="L2516" s="163"/>
      <c r="M2516" s="163"/>
      <c r="N2516" s="163"/>
      <c r="O2516" s="163"/>
      <c r="P2516" s="163"/>
      <c r="Q2516" s="163"/>
      <c r="R2516" s="130"/>
      <c r="S2516" s="130"/>
      <c r="T2516" s="130"/>
      <c r="U2516" s="130"/>
      <c r="V2516" s="130"/>
      <c r="W2516" s="130"/>
    </row>
    <row r="2517" ht="31.5" customHeight="1">
      <c r="A2517" s="158"/>
      <c r="B2517" s="159"/>
      <c r="C2517" s="160"/>
      <c r="D2517" s="130"/>
      <c r="E2517" s="130"/>
      <c r="F2517" s="161"/>
      <c r="G2517" s="162"/>
      <c r="H2517" s="163"/>
      <c r="I2517" s="163"/>
      <c r="J2517" s="163"/>
      <c r="K2517" s="163"/>
      <c r="L2517" s="163"/>
      <c r="M2517" s="163"/>
      <c r="N2517" s="163"/>
      <c r="O2517" s="163"/>
      <c r="P2517" s="163"/>
      <c r="Q2517" s="163"/>
      <c r="R2517" s="130"/>
      <c r="S2517" s="130"/>
      <c r="T2517" s="130"/>
      <c r="U2517" s="130"/>
      <c r="V2517" s="130"/>
      <c r="W2517" s="130"/>
    </row>
    <row r="2518" ht="31.5" customHeight="1">
      <c r="A2518" s="158"/>
      <c r="B2518" s="159"/>
      <c r="C2518" s="160"/>
      <c r="D2518" s="130"/>
      <c r="E2518" s="130"/>
      <c r="F2518" s="161"/>
      <c r="G2518" s="162"/>
      <c r="H2518" s="163"/>
      <c r="I2518" s="163"/>
      <c r="J2518" s="163"/>
      <c r="K2518" s="163"/>
      <c r="L2518" s="163"/>
      <c r="M2518" s="163"/>
      <c r="N2518" s="163"/>
      <c r="O2518" s="163"/>
      <c r="P2518" s="163"/>
      <c r="Q2518" s="163"/>
      <c r="R2518" s="130"/>
      <c r="S2518" s="130"/>
      <c r="T2518" s="130"/>
      <c r="U2518" s="130"/>
      <c r="V2518" s="130"/>
      <c r="W2518" s="130"/>
    </row>
    <row r="2519" ht="31.5" customHeight="1">
      <c r="A2519" s="158"/>
      <c r="B2519" s="159"/>
      <c r="C2519" s="160"/>
      <c r="D2519" s="130"/>
      <c r="E2519" s="130"/>
      <c r="F2519" s="161"/>
      <c r="G2519" s="162"/>
      <c r="H2519" s="163"/>
      <c r="I2519" s="163"/>
      <c r="J2519" s="163"/>
      <c r="K2519" s="163"/>
      <c r="L2519" s="163"/>
      <c r="M2519" s="163"/>
      <c r="N2519" s="163"/>
      <c r="O2519" s="163"/>
      <c r="P2519" s="163"/>
      <c r="Q2519" s="163"/>
      <c r="R2519" s="130"/>
      <c r="S2519" s="130"/>
      <c r="T2519" s="130"/>
      <c r="U2519" s="130"/>
      <c r="V2519" s="130"/>
      <c r="W2519" s="130"/>
    </row>
    <row r="2520" ht="31.5" customHeight="1">
      <c r="A2520" s="158"/>
      <c r="B2520" s="159"/>
      <c r="C2520" s="160"/>
      <c r="D2520" s="130"/>
      <c r="E2520" s="130"/>
      <c r="F2520" s="161"/>
      <c r="G2520" s="162"/>
      <c r="H2520" s="163"/>
      <c r="I2520" s="163"/>
      <c r="J2520" s="163"/>
      <c r="K2520" s="163"/>
      <c r="L2520" s="163"/>
      <c r="M2520" s="163"/>
      <c r="N2520" s="163"/>
      <c r="O2520" s="163"/>
      <c r="P2520" s="163"/>
      <c r="Q2520" s="163"/>
      <c r="R2520" s="130"/>
      <c r="S2520" s="130"/>
      <c r="T2520" s="130"/>
      <c r="U2520" s="130"/>
      <c r="V2520" s="130"/>
      <c r="W2520" s="130"/>
    </row>
    <row r="2521" ht="31.5" customHeight="1">
      <c r="A2521" s="158"/>
      <c r="B2521" s="159"/>
      <c r="C2521" s="160"/>
      <c r="D2521" s="130"/>
      <c r="E2521" s="130"/>
      <c r="F2521" s="161"/>
      <c r="G2521" s="162"/>
      <c r="H2521" s="163"/>
      <c r="I2521" s="163"/>
      <c r="J2521" s="163"/>
      <c r="K2521" s="163"/>
      <c r="L2521" s="163"/>
      <c r="M2521" s="163"/>
      <c r="N2521" s="163"/>
      <c r="O2521" s="163"/>
      <c r="P2521" s="163"/>
      <c r="Q2521" s="163"/>
      <c r="R2521" s="130"/>
      <c r="S2521" s="130"/>
      <c r="T2521" s="130"/>
      <c r="U2521" s="130"/>
      <c r="V2521" s="130"/>
      <c r="W2521" s="130"/>
    </row>
    <row r="2522" ht="31.5" customHeight="1">
      <c r="A2522" s="158"/>
      <c r="B2522" s="159"/>
      <c r="C2522" s="160"/>
      <c r="D2522" s="130"/>
      <c r="E2522" s="130"/>
      <c r="F2522" s="161"/>
      <c r="G2522" s="162"/>
      <c r="H2522" s="163"/>
      <c r="I2522" s="163"/>
      <c r="J2522" s="163"/>
      <c r="K2522" s="163"/>
      <c r="L2522" s="163"/>
      <c r="M2522" s="163"/>
      <c r="N2522" s="163"/>
      <c r="O2522" s="163"/>
      <c r="P2522" s="163"/>
      <c r="Q2522" s="163"/>
      <c r="R2522" s="130"/>
      <c r="S2522" s="130"/>
      <c r="T2522" s="130"/>
      <c r="U2522" s="130"/>
      <c r="V2522" s="130"/>
      <c r="W2522" s="130"/>
    </row>
    <row r="2523" ht="31.5" customHeight="1">
      <c r="A2523" s="158"/>
      <c r="B2523" s="159"/>
      <c r="C2523" s="160"/>
      <c r="D2523" s="130"/>
      <c r="E2523" s="130"/>
      <c r="F2523" s="161"/>
      <c r="G2523" s="162"/>
      <c r="H2523" s="163"/>
      <c r="I2523" s="163"/>
      <c r="J2523" s="163"/>
      <c r="K2523" s="163"/>
      <c r="L2523" s="163"/>
      <c r="M2523" s="163"/>
      <c r="N2523" s="163"/>
      <c r="O2523" s="163"/>
      <c r="P2523" s="163"/>
      <c r="Q2523" s="163"/>
      <c r="R2523" s="130"/>
      <c r="S2523" s="130"/>
      <c r="T2523" s="130"/>
      <c r="U2523" s="130"/>
      <c r="V2523" s="130"/>
      <c r="W2523" s="130"/>
    </row>
    <row r="2524" ht="31.5" customHeight="1">
      <c r="A2524" s="158"/>
      <c r="B2524" s="159"/>
      <c r="C2524" s="160"/>
      <c r="D2524" s="130"/>
      <c r="E2524" s="130"/>
      <c r="F2524" s="161"/>
      <c r="G2524" s="162"/>
      <c r="H2524" s="163"/>
      <c r="I2524" s="163"/>
      <c r="J2524" s="163"/>
      <c r="K2524" s="163"/>
      <c r="L2524" s="163"/>
      <c r="M2524" s="163"/>
      <c r="N2524" s="163"/>
      <c r="O2524" s="163"/>
      <c r="P2524" s="163"/>
      <c r="Q2524" s="163"/>
      <c r="R2524" s="130"/>
      <c r="S2524" s="130"/>
      <c r="T2524" s="130"/>
      <c r="U2524" s="130"/>
      <c r="V2524" s="130"/>
      <c r="W2524" s="130"/>
    </row>
    <row r="2525" ht="31.5" customHeight="1">
      <c r="A2525" s="158"/>
      <c r="B2525" s="159"/>
      <c r="C2525" s="160"/>
      <c r="D2525" s="130"/>
      <c r="E2525" s="130"/>
      <c r="F2525" s="161"/>
      <c r="G2525" s="162"/>
      <c r="H2525" s="163"/>
      <c r="I2525" s="163"/>
      <c r="J2525" s="163"/>
      <c r="K2525" s="163"/>
      <c r="L2525" s="163"/>
      <c r="M2525" s="163"/>
      <c r="N2525" s="163"/>
      <c r="O2525" s="163"/>
      <c r="P2525" s="163"/>
      <c r="Q2525" s="163"/>
      <c r="R2525" s="130"/>
      <c r="S2525" s="130"/>
      <c r="T2525" s="130"/>
      <c r="U2525" s="130"/>
      <c r="V2525" s="130"/>
      <c r="W2525" s="130"/>
    </row>
    <row r="2526" ht="31.5" customHeight="1">
      <c r="A2526" s="158"/>
      <c r="B2526" s="159"/>
      <c r="C2526" s="160"/>
      <c r="D2526" s="130"/>
      <c r="E2526" s="130"/>
      <c r="F2526" s="161"/>
      <c r="G2526" s="162"/>
      <c r="H2526" s="163"/>
      <c r="I2526" s="163"/>
      <c r="J2526" s="163"/>
      <c r="K2526" s="163"/>
      <c r="L2526" s="163"/>
      <c r="M2526" s="163"/>
      <c r="N2526" s="163"/>
      <c r="O2526" s="163"/>
      <c r="P2526" s="163"/>
      <c r="Q2526" s="163"/>
      <c r="R2526" s="130"/>
      <c r="S2526" s="130"/>
      <c r="T2526" s="130"/>
      <c r="U2526" s="130"/>
      <c r="V2526" s="130"/>
      <c r="W2526" s="130"/>
    </row>
    <row r="2527" ht="31.5" customHeight="1">
      <c r="A2527" s="158"/>
      <c r="B2527" s="159"/>
      <c r="C2527" s="160"/>
      <c r="D2527" s="130"/>
      <c r="E2527" s="130"/>
      <c r="F2527" s="161"/>
      <c r="G2527" s="162"/>
      <c r="H2527" s="163"/>
      <c r="I2527" s="163"/>
      <c r="J2527" s="163"/>
      <c r="K2527" s="163"/>
      <c r="L2527" s="163"/>
      <c r="M2527" s="163"/>
      <c r="N2527" s="163"/>
      <c r="O2527" s="163"/>
      <c r="P2527" s="163"/>
      <c r="Q2527" s="163"/>
      <c r="R2527" s="130"/>
      <c r="S2527" s="130"/>
      <c r="T2527" s="130"/>
      <c r="U2527" s="130"/>
      <c r="V2527" s="130"/>
      <c r="W2527" s="130"/>
    </row>
    <row r="2528" ht="31.5" customHeight="1">
      <c r="A2528" s="158"/>
      <c r="B2528" s="159"/>
      <c r="C2528" s="160"/>
      <c r="D2528" s="130"/>
      <c r="E2528" s="130"/>
      <c r="F2528" s="161"/>
      <c r="G2528" s="162"/>
      <c r="H2528" s="163"/>
      <c r="I2528" s="163"/>
      <c r="J2528" s="163"/>
      <c r="K2528" s="163"/>
      <c r="L2528" s="163"/>
      <c r="M2528" s="163"/>
      <c r="N2528" s="163"/>
      <c r="O2528" s="163"/>
      <c r="P2528" s="163"/>
      <c r="Q2528" s="163"/>
      <c r="R2528" s="130"/>
      <c r="S2528" s="130"/>
      <c r="T2528" s="130"/>
      <c r="U2528" s="130"/>
      <c r="V2528" s="130"/>
      <c r="W2528" s="130"/>
    </row>
    <row r="2529" ht="31.5" customHeight="1">
      <c r="A2529" s="158"/>
      <c r="B2529" s="159"/>
      <c r="C2529" s="160"/>
      <c r="D2529" s="130"/>
      <c r="E2529" s="130"/>
      <c r="F2529" s="161"/>
      <c r="G2529" s="162"/>
      <c r="H2529" s="163"/>
      <c r="I2529" s="163"/>
      <c r="J2529" s="163"/>
      <c r="K2529" s="163"/>
      <c r="L2529" s="163"/>
      <c r="M2529" s="163"/>
      <c r="N2529" s="163"/>
      <c r="O2529" s="163"/>
      <c r="P2529" s="163"/>
      <c r="Q2529" s="163"/>
      <c r="R2529" s="130"/>
      <c r="S2529" s="130"/>
      <c r="T2529" s="130"/>
      <c r="U2529" s="130"/>
      <c r="V2529" s="130"/>
      <c r="W2529" s="130"/>
    </row>
    <row r="2530" ht="31.5" customHeight="1">
      <c r="A2530" s="158"/>
      <c r="B2530" s="159"/>
      <c r="C2530" s="160"/>
      <c r="D2530" s="130"/>
      <c r="E2530" s="130"/>
      <c r="F2530" s="161"/>
      <c r="G2530" s="162"/>
      <c r="H2530" s="163"/>
      <c r="I2530" s="163"/>
      <c r="J2530" s="163"/>
      <c r="K2530" s="163"/>
      <c r="L2530" s="163"/>
      <c r="M2530" s="163"/>
      <c r="N2530" s="163"/>
      <c r="O2530" s="163"/>
      <c r="P2530" s="163"/>
      <c r="Q2530" s="163"/>
      <c r="R2530" s="130"/>
      <c r="S2530" s="130"/>
      <c r="T2530" s="130"/>
      <c r="U2530" s="130"/>
      <c r="V2530" s="130"/>
      <c r="W2530" s="130"/>
    </row>
    <row r="2531" ht="31.5" customHeight="1">
      <c r="A2531" s="158"/>
      <c r="B2531" s="159"/>
      <c r="C2531" s="160"/>
      <c r="D2531" s="130"/>
      <c r="E2531" s="130"/>
      <c r="F2531" s="161"/>
      <c r="G2531" s="162"/>
      <c r="H2531" s="163"/>
      <c r="I2531" s="163"/>
      <c r="J2531" s="163"/>
      <c r="K2531" s="163"/>
      <c r="L2531" s="163"/>
      <c r="M2531" s="163"/>
      <c r="N2531" s="163"/>
      <c r="O2531" s="163"/>
      <c r="P2531" s="163"/>
      <c r="Q2531" s="163"/>
      <c r="R2531" s="130"/>
      <c r="S2531" s="130"/>
      <c r="T2531" s="130"/>
      <c r="U2531" s="130"/>
      <c r="V2531" s="130"/>
      <c r="W2531" s="130"/>
    </row>
    <row r="2532" ht="31.5" customHeight="1">
      <c r="A2532" s="158"/>
      <c r="B2532" s="159"/>
      <c r="C2532" s="160"/>
      <c r="D2532" s="130"/>
      <c r="E2532" s="130"/>
      <c r="F2532" s="161"/>
      <c r="G2532" s="162"/>
      <c r="H2532" s="163"/>
      <c r="I2532" s="163"/>
      <c r="J2532" s="163"/>
      <c r="K2532" s="163"/>
      <c r="L2532" s="163"/>
      <c r="M2532" s="163"/>
      <c r="N2532" s="163"/>
      <c r="O2532" s="163"/>
      <c r="P2532" s="163"/>
      <c r="Q2532" s="163"/>
      <c r="R2532" s="130"/>
      <c r="S2532" s="130"/>
      <c r="T2532" s="130"/>
      <c r="U2532" s="130"/>
      <c r="V2532" s="130"/>
      <c r="W2532" s="130"/>
    </row>
    <row r="2533" ht="31.5" customHeight="1">
      <c r="A2533" s="158"/>
      <c r="B2533" s="159"/>
      <c r="C2533" s="160"/>
      <c r="D2533" s="130"/>
      <c r="E2533" s="130"/>
      <c r="F2533" s="161"/>
      <c r="G2533" s="162"/>
      <c r="H2533" s="163"/>
      <c r="I2533" s="163"/>
      <c r="J2533" s="163"/>
      <c r="K2533" s="163"/>
      <c r="L2533" s="163"/>
      <c r="M2533" s="163"/>
      <c r="N2533" s="163"/>
      <c r="O2533" s="163"/>
      <c r="P2533" s="163"/>
      <c r="Q2533" s="163"/>
      <c r="R2533" s="130"/>
      <c r="S2533" s="130"/>
      <c r="T2533" s="130"/>
      <c r="U2533" s="130"/>
      <c r="V2533" s="130"/>
      <c r="W2533" s="130"/>
    </row>
    <row r="2534" ht="31.5" customHeight="1">
      <c r="A2534" s="158"/>
      <c r="B2534" s="159"/>
      <c r="C2534" s="160"/>
      <c r="D2534" s="130"/>
      <c r="E2534" s="130"/>
      <c r="F2534" s="161"/>
      <c r="G2534" s="162"/>
      <c r="H2534" s="163"/>
      <c r="I2534" s="163"/>
      <c r="J2534" s="163"/>
      <c r="K2534" s="163"/>
      <c r="L2534" s="163"/>
      <c r="M2534" s="163"/>
      <c r="N2534" s="163"/>
      <c r="O2534" s="163"/>
      <c r="P2534" s="163"/>
      <c r="Q2534" s="163"/>
      <c r="R2534" s="130"/>
      <c r="S2534" s="130"/>
      <c r="T2534" s="130"/>
      <c r="U2534" s="130"/>
      <c r="V2534" s="130"/>
      <c r="W2534" s="130"/>
    </row>
    <row r="2535" ht="31.5" customHeight="1">
      <c r="A2535" s="158"/>
      <c r="B2535" s="159"/>
      <c r="C2535" s="160"/>
      <c r="D2535" s="130"/>
      <c r="E2535" s="130"/>
      <c r="F2535" s="161"/>
      <c r="G2535" s="162"/>
      <c r="H2535" s="163"/>
      <c r="I2535" s="163"/>
      <c r="J2535" s="163"/>
      <c r="K2535" s="163"/>
      <c r="L2535" s="163"/>
      <c r="M2535" s="163"/>
      <c r="N2535" s="163"/>
      <c r="O2535" s="163"/>
      <c r="P2535" s="163"/>
      <c r="Q2535" s="163"/>
      <c r="R2535" s="130"/>
      <c r="S2535" s="130"/>
      <c r="T2535" s="130"/>
      <c r="U2535" s="130"/>
      <c r="V2535" s="130"/>
      <c r="W2535" s="130"/>
    </row>
    <row r="2536" ht="31.5" customHeight="1">
      <c r="A2536" s="158"/>
      <c r="B2536" s="159"/>
      <c r="C2536" s="160"/>
      <c r="D2536" s="130"/>
      <c r="E2536" s="130"/>
      <c r="F2536" s="161"/>
      <c r="G2536" s="162"/>
      <c r="H2536" s="163"/>
      <c r="I2536" s="163"/>
      <c r="J2536" s="163"/>
      <c r="K2536" s="163"/>
      <c r="L2536" s="163"/>
      <c r="M2536" s="163"/>
      <c r="N2536" s="163"/>
      <c r="O2536" s="163"/>
      <c r="P2536" s="163"/>
      <c r="Q2536" s="163"/>
      <c r="R2536" s="130"/>
      <c r="S2536" s="130"/>
      <c r="T2536" s="130"/>
      <c r="U2536" s="130"/>
      <c r="V2536" s="130"/>
      <c r="W2536" s="130"/>
    </row>
    <row r="2537" ht="31.5" customHeight="1">
      <c r="A2537" s="158"/>
      <c r="B2537" s="159"/>
      <c r="C2537" s="160"/>
      <c r="D2537" s="130"/>
      <c r="E2537" s="130"/>
      <c r="F2537" s="161"/>
      <c r="G2537" s="162"/>
      <c r="H2537" s="163"/>
      <c r="I2537" s="163"/>
      <c r="J2537" s="163"/>
      <c r="K2537" s="163"/>
      <c r="L2537" s="163"/>
      <c r="M2537" s="163"/>
      <c r="N2537" s="163"/>
      <c r="O2537" s="163"/>
      <c r="P2537" s="163"/>
      <c r="Q2537" s="163"/>
      <c r="R2537" s="130"/>
      <c r="S2537" s="130"/>
      <c r="T2537" s="130"/>
      <c r="U2537" s="130"/>
      <c r="V2537" s="130"/>
      <c r="W2537" s="130"/>
    </row>
    <row r="2538" ht="31.5" customHeight="1">
      <c r="A2538" s="158"/>
      <c r="B2538" s="159"/>
      <c r="C2538" s="160"/>
      <c r="D2538" s="130"/>
      <c r="E2538" s="130"/>
      <c r="F2538" s="161"/>
      <c r="G2538" s="162"/>
      <c r="H2538" s="163"/>
      <c r="I2538" s="163"/>
      <c r="J2538" s="163"/>
      <c r="K2538" s="163"/>
      <c r="L2538" s="163"/>
      <c r="M2538" s="163"/>
      <c r="N2538" s="163"/>
      <c r="O2538" s="163"/>
      <c r="P2538" s="163"/>
      <c r="Q2538" s="163"/>
      <c r="R2538" s="130"/>
      <c r="S2538" s="130"/>
      <c r="T2538" s="130"/>
      <c r="U2538" s="130"/>
      <c r="V2538" s="130"/>
      <c r="W2538" s="130"/>
    </row>
    <row r="2539" ht="31.5" customHeight="1">
      <c r="A2539" s="158"/>
      <c r="B2539" s="159"/>
      <c r="C2539" s="160"/>
      <c r="D2539" s="130"/>
      <c r="E2539" s="130"/>
      <c r="F2539" s="161"/>
      <c r="G2539" s="162"/>
      <c r="H2539" s="163"/>
      <c r="I2539" s="163"/>
      <c r="J2539" s="163"/>
      <c r="K2539" s="163"/>
      <c r="L2539" s="163"/>
      <c r="M2539" s="163"/>
      <c r="N2539" s="163"/>
      <c r="O2539" s="163"/>
      <c r="P2539" s="163"/>
      <c r="Q2539" s="163"/>
      <c r="R2539" s="130"/>
      <c r="S2539" s="130"/>
      <c r="T2539" s="130"/>
      <c r="U2539" s="130"/>
      <c r="V2539" s="130"/>
      <c r="W2539" s="130"/>
    </row>
    <row r="2540" ht="31.5" customHeight="1">
      <c r="A2540" s="158"/>
      <c r="B2540" s="159"/>
      <c r="C2540" s="160"/>
      <c r="D2540" s="130"/>
      <c r="E2540" s="130"/>
      <c r="F2540" s="161"/>
      <c r="G2540" s="162"/>
      <c r="H2540" s="163"/>
      <c r="I2540" s="163"/>
      <c r="J2540" s="163"/>
      <c r="K2540" s="163"/>
      <c r="L2540" s="163"/>
      <c r="M2540" s="163"/>
      <c r="N2540" s="163"/>
      <c r="O2540" s="163"/>
      <c r="P2540" s="163"/>
      <c r="Q2540" s="163"/>
      <c r="R2540" s="130"/>
      <c r="S2540" s="130"/>
      <c r="T2540" s="130"/>
      <c r="U2540" s="130"/>
      <c r="V2540" s="130"/>
      <c r="W2540" s="130"/>
    </row>
    <row r="2541" ht="31.5" customHeight="1">
      <c r="A2541" s="158"/>
      <c r="B2541" s="159"/>
      <c r="C2541" s="160"/>
      <c r="D2541" s="130"/>
      <c r="E2541" s="130"/>
      <c r="F2541" s="161"/>
      <c r="G2541" s="162"/>
      <c r="H2541" s="163"/>
      <c r="I2541" s="163"/>
      <c r="J2541" s="163"/>
      <c r="K2541" s="163"/>
      <c r="L2541" s="163"/>
      <c r="M2541" s="163"/>
      <c r="N2541" s="163"/>
      <c r="O2541" s="163"/>
      <c r="P2541" s="163"/>
      <c r="Q2541" s="163"/>
      <c r="R2541" s="130"/>
      <c r="S2541" s="130"/>
      <c r="T2541" s="130"/>
      <c r="U2541" s="130"/>
      <c r="V2541" s="130"/>
      <c r="W2541" s="130"/>
    </row>
    <row r="2542" ht="31.5" customHeight="1">
      <c r="A2542" s="158"/>
      <c r="B2542" s="159"/>
      <c r="C2542" s="160"/>
      <c r="D2542" s="130"/>
      <c r="E2542" s="130"/>
      <c r="F2542" s="161"/>
      <c r="G2542" s="162"/>
      <c r="H2542" s="163"/>
      <c r="I2542" s="163"/>
      <c r="J2542" s="163"/>
      <c r="K2542" s="163"/>
      <c r="L2542" s="163"/>
      <c r="M2542" s="163"/>
      <c r="N2542" s="163"/>
      <c r="O2542" s="163"/>
      <c r="P2542" s="163"/>
      <c r="Q2542" s="163"/>
      <c r="R2542" s="130"/>
      <c r="S2542" s="130"/>
      <c r="T2542" s="130"/>
      <c r="U2542" s="130"/>
      <c r="V2542" s="130"/>
      <c r="W2542" s="130"/>
    </row>
    <row r="2543" ht="31.5" customHeight="1">
      <c r="A2543" s="158"/>
      <c r="B2543" s="159"/>
      <c r="C2543" s="160"/>
      <c r="D2543" s="130"/>
      <c r="E2543" s="130"/>
      <c r="F2543" s="161"/>
      <c r="G2543" s="162"/>
      <c r="H2543" s="163"/>
      <c r="I2543" s="163"/>
      <c r="J2543" s="163"/>
      <c r="K2543" s="163"/>
      <c r="L2543" s="163"/>
      <c r="M2543" s="163"/>
      <c r="N2543" s="163"/>
      <c r="O2543" s="163"/>
      <c r="P2543" s="163"/>
      <c r="Q2543" s="163"/>
      <c r="R2543" s="130"/>
      <c r="S2543" s="130"/>
      <c r="T2543" s="130"/>
      <c r="U2543" s="130"/>
      <c r="V2543" s="130"/>
      <c r="W2543" s="130"/>
    </row>
    <row r="2544" ht="31.5" customHeight="1">
      <c r="A2544" s="158"/>
      <c r="B2544" s="159"/>
      <c r="C2544" s="160"/>
      <c r="D2544" s="130"/>
      <c r="E2544" s="130"/>
      <c r="F2544" s="161"/>
      <c r="G2544" s="162"/>
      <c r="H2544" s="163"/>
      <c r="I2544" s="163"/>
      <c r="J2544" s="163"/>
      <c r="K2544" s="163"/>
      <c r="L2544" s="163"/>
      <c r="M2544" s="163"/>
      <c r="N2544" s="163"/>
      <c r="O2544" s="163"/>
      <c r="P2544" s="163"/>
      <c r="Q2544" s="163"/>
      <c r="R2544" s="130"/>
      <c r="S2544" s="130"/>
      <c r="T2544" s="130"/>
      <c r="U2544" s="130"/>
      <c r="V2544" s="130"/>
      <c r="W2544" s="130"/>
    </row>
    <row r="2545" ht="31.5" customHeight="1">
      <c r="A2545" s="158"/>
      <c r="B2545" s="159"/>
      <c r="C2545" s="160"/>
      <c r="D2545" s="130"/>
      <c r="E2545" s="130"/>
      <c r="F2545" s="161"/>
      <c r="G2545" s="162"/>
      <c r="H2545" s="163"/>
      <c r="I2545" s="163"/>
      <c r="J2545" s="163"/>
      <c r="K2545" s="163"/>
      <c r="L2545" s="163"/>
      <c r="M2545" s="163"/>
      <c r="N2545" s="163"/>
      <c r="O2545" s="163"/>
      <c r="P2545" s="163"/>
      <c r="Q2545" s="163"/>
      <c r="R2545" s="130"/>
      <c r="S2545" s="130"/>
      <c r="T2545" s="130"/>
      <c r="U2545" s="130"/>
      <c r="V2545" s="130"/>
      <c r="W2545" s="130"/>
    </row>
    <row r="2546" ht="31.5" customHeight="1">
      <c r="A2546" s="158"/>
      <c r="B2546" s="159"/>
      <c r="C2546" s="160"/>
      <c r="D2546" s="130"/>
      <c r="E2546" s="130"/>
      <c r="F2546" s="161"/>
      <c r="G2546" s="162"/>
      <c r="H2546" s="163"/>
      <c r="I2546" s="163"/>
      <c r="J2546" s="163"/>
      <c r="K2546" s="163"/>
      <c r="L2546" s="163"/>
      <c r="M2546" s="163"/>
      <c r="N2546" s="163"/>
      <c r="O2546" s="163"/>
      <c r="P2546" s="163"/>
      <c r="Q2546" s="163"/>
      <c r="R2546" s="130"/>
      <c r="S2546" s="130"/>
      <c r="T2546" s="130"/>
      <c r="U2546" s="130"/>
      <c r="V2546" s="130"/>
      <c r="W2546" s="130"/>
    </row>
    <row r="2547" ht="31.5" customHeight="1">
      <c r="A2547" s="158"/>
      <c r="B2547" s="159"/>
      <c r="C2547" s="160"/>
      <c r="D2547" s="130"/>
      <c r="E2547" s="130"/>
      <c r="F2547" s="161"/>
      <c r="G2547" s="162"/>
      <c r="H2547" s="163"/>
      <c r="I2547" s="163"/>
      <c r="J2547" s="163"/>
      <c r="K2547" s="163"/>
      <c r="L2547" s="163"/>
      <c r="M2547" s="163"/>
      <c r="N2547" s="163"/>
      <c r="O2547" s="163"/>
      <c r="P2547" s="163"/>
      <c r="Q2547" s="163"/>
      <c r="R2547" s="130"/>
      <c r="S2547" s="130"/>
      <c r="T2547" s="130"/>
      <c r="U2547" s="130"/>
      <c r="V2547" s="130"/>
      <c r="W2547" s="130"/>
    </row>
    <row r="2548" ht="31.5" customHeight="1">
      <c r="A2548" s="158"/>
      <c r="B2548" s="159"/>
      <c r="C2548" s="160"/>
      <c r="D2548" s="130"/>
      <c r="E2548" s="130"/>
      <c r="F2548" s="161"/>
      <c r="G2548" s="162"/>
      <c r="H2548" s="163"/>
      <c r="I2548" s="163"/>
      <c r="J2548" s="163"/>
      <c r="K2548" s="163"/>
      <c r="L2548" s="163"/>
      <c r="M2548" s="163"/>
      <c r="N2548" s="163"/>
      <c r="O2548" s="163"/>
      <c r="P2548" s="163"/>
      <c r="Q2548" s="163"/>
      <c r="R2548" s="130"/>
      <c r="S2548" s="130"/>
      <c r="T2548" s="130"/>
      <c r="U2548" s="130"/>
      <c r="V2548" s="130"/>
      <c r="W2548" s="130"/>
    </row>
    <row r="2549" ht="31.5" customHeight="1">
      <c r="A2549" s="158"/>
      <c r="B2549" s="159"/>
      <c r="C2549" s="160"/>
      <c r="D2549" s="130"/>
      <c r="E2549" s="130"/>
      <c r="F2549" s="161"/>
      <c r="G2549" s="162"/>
      <c r="H2549" s="163"/>
      <c r="I2549" s="163"/>
      <c r="J2549" s="163"/>
      <c r="K2549" s="163"/>
      <c r="L2549" s="163"/>
      <c r="M2549" s="163"/>
      <c r="N2549" s="163"/>
      <c r="O2549" s="163"/>
      <c r="P2549" s="163"/>
      <c r="Q2549" s="163"/>
      <c r="R2549" s="130"/>
      <c r="S2549" s="130"/>
      <c r="T2549" s="130"/>
      <c r="U2549" s="130"/>
      <c r="V2549" s="130"/>
      <c r="W2549" s="130"/>
    </row>
    <row r="2550" ht="31.5" customHeight="1">
      <c r="A2550" s="158"/>
      <c r="B2550" s="159"/>
      <c r="C2550" s="160"/>
      <c r="D2550" s="130"/>
      <c r="E2550" s="130"/>
      <c r="F2550" s="161"/>
      <c r="G2550" s="162"/>
      <c r="H2550" s="163"/>
      <c r="I2550" s="163"/>
      <c r="J2550" s="163"/>
      <c r="K2550" s="163"/>
      <c r="L2550" s="163"/>
      <c r="M2550" s="163"/>
      <c r="N2550" s="163"/>
      <c r="O2550" s="163"/>
      <c r="P2550" s="163"/>
      <c r="Q2550" s="163"/>
      <c r="R2550" s="130"/>
      <c r="S2550" s="130"/>
      <c r="T2550" s="130"/>
      <c r="U2550" s="130"/>
      <c r="V2550" s="130"/>
      <c r="W2550" s="130"/>
    </row>
    <row r="2551" ht="31.5" customHeight="1">
      <c r="A2551" s="158"/>
      <c r="B2551" s="159"/>
      <c r="C2551" s="160"/>
      <c r="D2551" s="130"/>
      <c r="E2551" s="130"/>
      <c r="F2551" s="161"/>
      <c r="G2551" s="162"/>
      <c r="H2551" s="163"/>
      <c r="I2551" s="163"/>
      <c r="J2551" s="163"/>
      <c r="K2551" s="163"/>
      <c r="L2551" s="163"/>
      <c r="M2551" s="163"/>
      <c r="N2551" s="163"/>
      <c r="O2551" s="163"/>
      <c r="P2551" s="163"/>
      <c r="Q2551" s="163"/>
      <c r="R2551" s="130"/>
      <c r="S2551" s="130"/>
      <c r="T2551" s="130"/>
      <c r="U2551" s="130"/>
      <c r="V2551" s="130"/>
      <c r="W2551" s="130"/>
    </row>
    <row r="2552" ht="31.5" customHeight="1">
      <c r="A2552" s="158"/>
      <c r="B2552" s="159"/>
      <c r="C2552" s="160"/>
      <c r="D2552" s="130"/>
      <c r="E2552" s="130"/>
      <c r="F2552" s="161"/>
      <c r="G2552" s="162"/>
      <c r="H2552" s="163"/>
      <c r="I2552" s="163"/>
      <c r="J2552" s="163"/>
      <c r="K2552" s="163"/>
      <c r="L2552" s="163"/>
      <c r="M2552" s="163"/>
      <c r="N2552" s="163"/>
      <c r="O2552" s="163"/>
      <c r="P2552" s="163"/>
      <c r="Q2552" s="163"/>
      <c r="R2552" s="130"/>
      <c r="S2552" s="130"/>
      <c r="T2552" s="130"/>
      <c r="U2552" s="130"/>
      <c r="V2552" s="130"/>
      <c r="W2552" s="130"/>
    </row>
    <row r="2553" ht="31.5" customHeight="1">
      <c r="A2553" s="158"/>
      <c r="B2553" s="159"/>
      <c r="C2553" s="160"/>
      <c r="D2553" s="130"/>
      <c r="E2553" s="130"/>
      <c r="F2553" s="161"/>
      <c r="G2553" s="162"/>
      <c r="H2553" s="163"/>
      <c r="I2553" s="163"/>
      <c r="J2553" s="163"/>
      <c r="K2553" s="163"/>
      <c r="L2553" s="163"/>
      <c r="M2553" s="163"/>
      <c r="N2553" s="163"/>
      <c r="O2553" s="163"/>
      <c r="P2553" s="163"/>
      <c r="Q2553" s="163"/>
      <c r="R2553" s="130"/>
      <c r="S2553" s="130"/>
      <c r="T2553" s="130"/>
      <c r="U2553" s="130"/>
      <c r="V2553" s="130"/>
      <c r="W2553" s="130"/>
    </row>
    <row r="2554" ht="31.5" customHeight="1">
      <c r="A2554" s="158"/>
      <c r="B2554" s="159"/>
      <c r="C2554" s="160"/>
      <c r="D2554" s="130"/>
      <c r="E2554" s="130"/>
      <c r="F2554" s="161"/>
      <c r="G2554" s="162"/>
      <c r="H2554" s="163"/>
      <c r="I2554" s="163"/>
      <c r="J2554" s="163"/>
      <c r="K2554" s="163"/>
      <c r="L2554" s="163"/>
      <c r="M2554" s="163"/>
      <c r="N2554" s="163"/>
      <c r="O2554" s="163"/>
      <c r="P2554" s="163"/>
      <c r="Q2554" s="163"/>
      <c r="R2554" s="130"/>
      <c r="S2554" s="130"/>
      <c r="T2554" s="130"/>
      <c r="U2554" s="130"/>
      <c r="V2554" s="130"/>
      <c r="W2554" s="130"/>
    </row>
    <row r="2555" ht="31.5" customHeight="1">
      <c r="A2555" s="158"/>
      <c r="B2555" s="159"/>
      <c r="C2555" s="160"/>
      <c r="D2555" s="130"/>
      <c r="E2555" s="130"/>
      <c r="F2555" s="161"/>
      <c r="G2555" s="162"/>
      <c r="H2555" s="163"/>
      <c r="I2555" s="163"/>
      <c r="J2555" s="163"/>
      <c r="K2555" s="163"/>
      <c r="L2555" s="163"/>
      <c r="M2555" s="163"/>
      <c r="N2555" s="163"/>
      <c r="O2555" s="163"/>
      <c r="P2555" s="163"/>
      <c r="Q2555" s="163"/>
      <c r="R2555" s="130"/>
      <c r="S2555" s="130"/>
      <c r="T2555" s="130"/>
      <c r="U2555" s="130"/>
      <c r="V2555" s="130"/>
      <c r="W2555" s="130"/>
    </row>
    <row r="2556" ht="31.5" customHeight="1">
      <c r="A2556" s="158"/>
      <c r="B2556" s="159"/>
      <c r="C2556" s="160"/>
      <c r="D2556" s="130"/>
      <c r="E2556" s="130"/>
      <c r="F2556" s="161"/>
      <c r="G2556" s="162"/>
      <c r="H2556" s="163"/>
      <c r="I2556" s="163"/>
      <c r="J2556" s="163"/>
      <c r="K2556" s="163"/>
      <c r="L2556" s="163"/>
      <c r="M2556" s="163"/>
      <c r="N2556" s="163"/>
      <c r="O2556" s="163"/>
      <c r="P2556" s="163"/>
      <c r="Q2556" s="163"/>
      <c r="R2556" s="130"/>
      <c r="S2556" s="130"/>
      <c r="T2556" s="130"/>
      <c r="U2556" s="130"/>
      <c r="V2556" s="130"/>
      <c r="W2556" s="130"/>
    </row>
    <row r="2557" ht="31.5" customHeight="1">
      <c r="A2557" s="158"/>
      <c r="B2557" s="159"/>
      <c r="C2557" s="160"/>
      <c r="D2557" s="130"/>
      <c r="E2557" s="130"/>
      <c r="F2557" s="161"/>
      <c r="G2557" s="162"/>
      <c r="H2557" s="163"/>
      <c r="I2557" s="163"/>
      <c r="J2557" s="163"/>
      <c r="K2557" s="163"/>
      <c r="L2557" s="163"/>
      <c r="M2557" s="163"/>
      <c r="N2557" s="163"/>
      <c r="O2557" s="163"/>
      <c r="P2557" s="163"/>
      <c r="Q2557" s="163"/>
      <c r="R2557" s="130"/>
      <c r="S2557" s="130"/>
      <c r="T2557" s="130"/>
      <c r="U2557" s="130"/>
      <c r="V2557" s="130"/>
      <c r="W2557" s="130"/>
    </row>
    <row r="2558" ht="31.5" customHeight="1">
      <c r="A2558" s="158"/>
      <c r="B2558" s="159"/>
      <c r="C2558" s="160"/>
      <c r="D2558" s="130"/>
      <c r="E2558" s="130"/>
      <c r="F2558" s="161"/>
      <c r="G2558" s="162"/>
      <c r="H2558" s="163"/>
      <c r="I2558" s="163"/>
      <c r="J2558" s="163"/>
      <c r="K2558" s="163"/>
      <c r="L2558" s="163"/>
      <c r="M2558" s="163"/>
      <c r="N2558" s="163"/>
      <c r="O2558" s="163"/>
      <c r="P2558" s="163"/>
      <c r="Q2558" s="163"/>
      <c r="R2558" s="130"/>
      <c r="S2558" s="130"/>
      <c r="T2558" s="130"/>
      <c r="U2558" s="130"/>
      <c r="V2558" s="130"/>
      <c r="W2558" s="130"/>
    </row>
    <row r="2559" ht="31.5" customHeight="1">
      <c r="A2559" s="158"/>
      <c r="B2559" s="159"/>
      <c r="C2559" s="160"/>
      <c r="D2559" s="130"/>
      <c r="E2559" s="130"/>
      <c r="F2559" s="161"/>
      <c r="G2559" s="162"/>
      <c r="H2559" s="163"/>
      <c r="I2559" s="163"/>
      <c r="J2559" s="163"/>
      <c r="K2559" s="163"/>
      <c r="L2559" s="163"/>
      <c r="M2559" s="163"/>
      <c r="N2559" s="163"/>
      <c r="O2559" s="163"/>
      <c r="P2559" s="163"/>
      <c r="Q2559" s="163"/>
      <c r="R2559" s="130"/>
      <c r="S2559" s="130"/>
      <c r="T2559" s="130"/>
      <c r="U2559" s="130"/>
      <c r="V2559" s="130"/>
      <c r="W2559" s="130"/>
    </row>
    <row r="2560" ht="31.5" customHeight="1">
      <c r="A2560" s="158"/>
      <c r="B2560" s="159"/>
      <c r="C2560" s="160"/>
      <c r="D2560" s="130"/>
      <c r="E2560" s="130"/>
      <c r="F2560" s="161"/>
      <c r="G2560" s="162"/>
      <c r="H2560" s="163"/>
      <c r="I2560" s="163"/>
      <c r="J2560" s="163"/>
      <c r="K2560" s="163"/>
      <c r="L2560" s="163"/>
      <c r="M2560" s="163"/>
      <c r="N2560" s="163"/>
      <c r="O2560" s="163"/>
      <c r="P2560" s="163"/>
      <c r="Q2560" s="163"/>
      <c r="R2560" s="130"/>
      <c r="S2560" s="130"/>
      <c r="T2560" s="130"/>
      <c r="U2560" s="130"/>
      <c r="V2560" s="130"/>
      <c r="W2560" s="130"/>
    </row>
    <row r="2561" ht="31.5" customHeight="1">
      <c r="A2561" s="158"/>
      <c r="B2561" s="159"/>
      <c r="C2561" s="160"/>
      <c r="D2561" s="130"/>
      <c r="E2561" s="130"/>
      <c r="F2561" s="161"/>
      <c r="G2561" s="162"/>
      <c r="H2561" s="163"/>
      <c r="I2561" s="163"/>
      <c r="J2561" s="163"/>
      <c r="K2561" s="163"/>
      <c r="L2561" s="163"/>
      <c r="M2561" s="163"/>
      <c r="N2561" s="163"/>
      <c r="O2561" s="163"/>
      <c r="P2561" s="163"/>
      <c r="Q2561" s="163"/>
      <c r="R2561" s="130"/>
      <c r="S2561" s="130"/>
      <c r="T2561" s="130"/>
      <c r="U2561" s="130"/>
      <c r="V2561" s="130"/>
      <c r="W2561" s="130"/>
    </row>
    <row r="2562" ht="31.5" customHeight="1">
      <c r="A2562" s="158"/>
      <c r="B2562" s="159"/>
      <c r="C2562" s="160"/>
      <c r="D2562" s="130"/>
      <c r="E2562" s="130"/>
      <c r="F2562" s="161"/>
      <c r="G2562" s="162"/>
      <c r="H2562" s="163"/>
      <c r="I2562" s="163"/>
      <c r="J2562" s="163"/>
      <c r="K2562" s="163"/>
      <c r="L2562" s="163"/>
      <c r="M2562" s="163"/>
      <c r="N2562" s="163"/>
      <c r="O2562" s="163"/>
      <c r="P2562" s="163"/>
      <c r="Q2562" s="163"/>
      <c r="R2562" s="130"/>
      <c r="S2562" s="130"/>
      <c r="T2562" s="130"/>
      <c r="U2562" s="130"/>
      <c r="V2562" s="130"/>
      <c r="W2562" s="130"/>
    </row>
    <row r="2563" ht="31.5" customHeight="1">
      <c r="A2563" s="158"/>
      <c r="B2563" s="159"/>
      <c r="C2563" s="160"/>
      <c r="D2563" s="130"/>
      <c r="E2563" s="130"/>
      <c r="F2563" s="161"/>
      <c r="G2563" s="162"/>
      <c r="H2563" s="163"/>
      <c r="I2563" s="163"/>
      <c r="J2563" s="163"/>
      <c r="K2563" s="163"/>
      <c r="L2563" s="163"/>
      <c r="M2563" s="163"/>
      <c r="N2563" s="163"/>
      <c r="O2563" s="163"/>
      <c r="P2563" s="163"/>
      <c r="Q2563" s="163"/>
      <c r="R2563" s="130"/>
      <c r="S2563" s="130"/>
      <c r="T2563" s="130"/>
      <c r="U2563" s="130"/>
      <c r="V2563" s="130"/>
      <c r="W2563" s="130"/>
    </row>
    <row r="2564" ht="31.5" customHeight="1">
      <c r="A2564" s="158"/>
      <c r="B2564" s="159"/>
      <c r="C2564" s="160"/>
      <c r="D2564" s="130"/>
      <c r="E2564" s="130"/>
      <c r="F2564" s="161"/>
      <c r="G2564" s="162"/>
      <c r="H2564" s="163"/>
      <c r="I2564" s="163"/>
      <c r="J2564" s="163"/>
      <c r="K2564" s="163"/>
      <c r="L2564" s="163"/>
      <c r="M2564" s="163"/>
      <c r="N2564" s="163"/>
      <c r="O2564" s="163"/>
      <c r="P2564" s="163"/>
      <c r="Q2564" s="163"/>
      <c r="R2564" s="130"/>
      <c r="S2564" s="130"/>
      <c r="T2564" s="130"/>
      <c r="U2564" s="130"/>
      <c r="V2564" s="130"/>
      <c r="W2564" s="130"/>
    </row>
    <row r="2565" ht="31.5" customHeight="1">
      <c r="A2565" s="158"/>
      <c r="B2565" s="159"/>
      <c r="C2565" s="160"/>
      <c r="D2565" s="130"/>
      <c r="E2565" s="130"/>
      <c r="F2565" s="161"/>
      <c r="G2565" s="162"/>
      <c r="H2565" s="163"/>
      <c r="I2565" s="163"/>
      <c r="J2565" s="163"/>
      <c r="K2565" s="163"/>
      <c r="L2565" s="163"/>
      <c r="M2565" s="163"/>
      <c r="N2565" s="163"/>
      <c r="O2565" s="163"/>
      <c r="P2565" s="163"/>
      <c r="Q2565" s="163"/>
      <c r="R2565" s="130"/>
      <c r="S2565" s="130"/>
      <c r="T2565" s="130"/>
      <c r="U2565" s="130"/>
      <c r="V2565" s="130"/>
      <c r="W2565" s="130"/>
    </row>
    <row r="2566" ht="31.5" customHeight="1">
      <c r="A2566" s="158"/>
      <c r="B2566" s="159"/>
      <c r="C2566" s="160"/>
      <c r="D2566" s="130"/>
      <c r="E2566" s="130"/>
      <c r="F2566" s="161"/>
      <c r="G2566" s="162"/>
      <c r="H2566" s="163"/>
      <c r="I2566" s="163"/>
      <c r="J2566" s="163"/>
      <c r="K2566" s="163"/>
      <c r="L2566" s="163"/>
      <c r="M2566" s="163"/>
      <c r="N2566" s="163"/>
      <c r="O2566" s="163"/>
      <c r="P2566" s="163"/>
      <c r="Q2566" s="163"/>
      <c r="R2566" s="130"/>
      <c r="S2566" s="130"/>
      <c r="T2566" s="130"/>
      <c r="U2566" s="130"/>
      <c r="V2566" s="130"/>
      <c r="W2566" s="130"/>
    </row>
    <row r="2567" ht="31.5" customHeight="1">
      <c r="A2567" s="158"/>
      <c r="B2567" s="159"/>
      <c r="C2567" s="160"/>
      <c r="D2567" s="130"/>
      <c r="E2567" s="130"/>
      <c r="F2567" s="161"/>
      <c r="G2567" s="162"/>
      <c r="H2567" s="163"/>
      <c r="I2567" s="163"/>
      <c r="J2567" s="163"/>
      <c r="K2567" s="163"/>
      <c r="L2567" s="163"/>
      <c r="M2567" s="163"/>
      <c r="N2567" s="163"/>
      <c r="O2567" s="163"/>
      <c r="P2567" s="163"/>
      <c r="Q2567" s="163"/>
      <c r="R2567" s="130"/>
      <c r="S2567" s="130"/>
      <c r="T2567" s="130"/>
      <c r="U2567" s="130"/>
      <c r="V2567" s="130"/>
      <c r="W2567" s="130"/>
    </row>
    <row r="2568" ht="31.5" customHeight="1">
      <c r="A2568" s="158"/>
      <c r="B2568" s="159"/>
      <c r="C2568" s="160"/>
      <c r="D2568" s="130"/>
      <c r="E2568" s="130"/>
      <c r="F2568" s="161"/>
      <c r="G2568" s="162"/>
      <c r="H2568" s="163"/>
      <c r="I2568" s="163"/>
      <c r="J2568" s="163"/>
      <c r="K2568" s="163"/>
      <c r="L2568" s="163"/>
      <c r="M2568" s="163"/>
      <c r="N2568" s="163"/>
      <c r="O2568" s="163"/>
      <c r="P2568" s="163"/>
      <c r="Q2568" s="163"/>
      <c r="R2568" s="130"/>
      <c r="S2568" s="130"/>
      <c r="T2568" s="130"/>
      <c r="U2568" s="130"/>
      <c r="V2568" s="130"/>
      <c r="W2568" s="130"/>
    </row>
    <row r="2569" ht="31.5" customHeight="1">
      <c r="A2569" s="158"/>
      <c r="B2569" s="159"/>
      <c r="C2569" s="160"/>
      <c r="D2569" s="130"/>
      <c r="E2569" s="130"/>
      <c r="F2569" s="161"/>
      <c r="G2569" s="162"/>
      <c r="H2569" s="163"/>
      <c r="I2569" s="163"/>
      <c r="J2569" s="163"/>
      <c r="K2569" s="163"/>
      <c r="L2569" s="163"/>
      <c r="M2569" s="163"/>
      <c r="N2569" s="163"/>
      <c r="O2569" s="163"/>
      <c r="P2569" s="163"/>
      <c r="Q2569" s="163"/>
      <c r="R2569" s="130"/>
      <c r="S2569" s="130"/>
      <c r="T2569" s="130"/>
      <c r="U2569" s="130"/>
      <c r="V2569" s="130"/>
      <c r="W2569" s="130"/>
    </row>
    <row r="2570" ht="31.5" customHeight="1">
      <c r="A2570" s="158"/>
      <c r="B2570" s="159"/>
      <c r="C2570" s="160"/>
      <c r="D2570" s="130"/>
      <c r="E2570" s="130"/>
      <c r="F2570" s="161"/>
      <c r="G2570" s="162"/>
      <c r="H2570" s="163"/>
      <c r="I2570" s="163"/>
      <c r="J2570" s="163"/>
      <c r="K2570" s="163"/>
      <c r="L2570" s="163"/>
      <c r="M2570" s="163"/>
      <c r="N2570" s="163"/>
      <c r="O2570" s="163"/>
      <c r="P2570" s="163"/>
      <c r="Q2570" s="163"/>
      <c r="R2570" s="130"/>
      <c r="S2570" s="130"/>
      <c r="T2570" s="130"/>
      <c r="U2570" s="130"/>
      <c r="V2570" s="130"/>
      <c r="W2570" s="130"/>
    </row>
    <row r="2571" ht="31.5" customHeight="1">
      <c r="A2571" s="158"/>
      <c r="B2571" s="159"/>
      <c r="C2571" s="160"/>
      <c r="D2571" s="130"/>
      <c r="E2571" s="130"/>
      <c r="F2571" s="161"/>
      <c r="G2571" s="162"/>
      <c r="H2571" s="163"/>
      <c r="I2571" s="163"/>
      <c r="J2571" s="163"/>
      <c r="K2571" s="163"/>
      <c r="L2571" s="163"/>
      <c r="M2571" s="163"/>
      <c r="N2571" s="163"/>
      <c r="O2571" s="163"/>
      <c r="P2571" s="163"/>
      <c r="Q2571" s="163"/>
      <c r="R2571" s="130"/>
      <c r="S2571" s="130"/>
      <c r="T2571" s="130"/>
      <c r="U2571" s="130"/>
      <c r="V2571" s="130"/>
      <c r="W2571" s="130"/>
    </row>
    <row r="2572" ht="31.5" customHeight="1">
      <c r="A2572" s="158"/>
      <c r="B2572" s="159"/>
      <c r="C2572" s="160"/>
      <c r="D2572" s="130"/>
      <c r="E2572" s="130"/>
      <c r="F2572" s="161"/>
      <c r="G2572" s="162"/>
      <c r="H2572" s="163"/>
      <c r="I2572" s="163"/>
      <c r="J2572" s="163"/>
      <c r="K2572" s="163"/>
      <c r="L2572" s="163"/>
      <c r="M2572" s="163"/>
      <c r="N2572" s="163"/>
      <c r="O2572" s="163"/>
      <c r="P2572" s="163"/>
      <c r="Q2572" s="163"/>
      <c r="R2572" s="130"/>
      <c r="S2572" s="130"/>
      <c r="T2572" s="130"/>
      <c r="U2572" s="130"/>
      <c r="V2572" s="130"/>
      <c r="W2572" s="130"/>
    </row>
    <row r="2573" ht="31.5" customHeight="1">
      <c r="A2573" s="158"/>
      <c r="B2573" s="159"/>
      <c r="C2573" s="160"/>
      <c r="D2573" s="130"/>
      <c r="E2573" s="130"/>
      <c r="F2573" s="161"/>
      <c r="G2573" s="162"/>
      <c r="H2573" s="163"/>
      <c r="I2573" s="163"/>
      <c r="J2573" s="163"/>
      <c r="K2573" s="163"/>
      <c r="L2573" s="163"/>
      <c r="M2573" s="163"/>
      <c r="N2573" s="163"/>
      <c r="O2573" s="163"/>
      <c r="P2573" s="163"/>
      <c r="Q2573" s="163"/>
      <c r="R2573" s="130"/>
      <c r="S2573" s="130"/>
      <c r="T2573" s="130"/>
      <c r="U2573" s="130"/>
      <c r="V2573" s="130"/>
      <c r="W2573" s="130"/>
    </row>
    <row r="2574" ht="31.5" customHeight="1">
      <c r="A2574" s="158"/>
      <c r="B2574" s="159"/>
      <c r="C2574" s="160"/>
      <c r="D2574" s="130"/>
      <c r="E2574" s="130"/>
      <c r="F2574" s="161"/>
      <c r="G2574" s="162"/>
      <c r="H2574" s="163"/>
      <c r="I2574" s="163"/>
      <c r="J2574" s="163"/>
      <c r="K2574" s="163"/>
      <c r="L2574" s="163"/>
      <c r="M2574" s="163"/>
      <c r="N2574" s="163"/>
      <c r="O2574" s="163"/>
      <c r="P2574" s="163"/>
      <c r="Q2574" s="163"/>
      <c r="R2574" s="130"/>
      <c r="S2574" s="130"/>
      <c r="T2574" s="130"/>
      <c r="U2574" s="130"/>
      <c r="V2574" s="130"/>
      <c r="W2574" s="130"/>
    </row>
    <row r="2575" ht="31.5" customHeight="1">
      <c r="A2575" s="158"/>
      <c r="B2575" s="159"/>
      <c r="C2575" s="160"/>
      <c r="D2575" s="130"/>
      <c r="E2575" s="130"/>
      <c r="F2575" s="161"/>
      <c r="G2575" s="162"/>
      <c r="H2575" s="163"/>
      <c r="I2575" s="163"/>
      <c r="J2575" s="163"/>
      <c r="K2575" s="163"/>
      <c r="L2575" s="163"/>
      <c r="M2575" s="163"/>
      <c r="N2575" s="163"/>
      <c r="O2575" s="163"/>
      <c r="P2575" s="163"/>
      <c r="Q2575" s="163"/>
      <c r="R2575" s="130"/>
      <c r="S2575" s="130"/>
      <c r="T2575" s="130"/>
      <c r="U2575" s="130"/>
      <c r="V2575" s="130"/>
      <c r="W2575" s="130"/>
    </row>
    <row r="2576" ht="31.5" customHeight="1">
      <c r="A2576" s="158"/>
      <c r="B2576" s="159"/>
      <c r="C2576" s="160"/>
      <c r="D2576" s="130"/>
      <c r="E2576" s="130"/>
      <c r="F2576" s="161"/>
      <c r="G2576" s="162"/>
      <c r="H2576" s="163"/>
      <c r="I2576" s="163"/>
      <c r="J2576" s="163"/>
      <c r="K2576" s="163"/>
      <c r="L2576" s="163"/>
      <c r="M2576" s="163"/>
      <c r="N2576" s="163"/>
      <c r="O2576" s="163"/>
      <c r="P2576" s="163"/>
      <c r="Q2576" s="163"/>
      <c r="R2576" s="130"/>
      <c r="S2576" s="130"/>
      <c r="T2576" s="130"/>
      <c r="U2576" s="130"/>
      <c r="V2576" s="130"/>
      <c r="W2576" s="130"/>
    </row>
    <row r="2577" ht="31.5" customHeight="1">
      <c r="A2577" s="158"/>
      <c r="B2577" s="159"/>
      <c r="C2577" s="160"/>
      <c r="D2577" s="130"/>
      <c r="E2577" s="130"/>
      <c r="F2577" s="161"/>
      <c r="G2577" s="162"/>
      <c r="H2577" s="163"/>
      <c r="I2577" s="163"/>
      <c r="J2577" s="163"/>
      <c r="K2577" s="163"/>
      <c r="L2577" s="163"/>
      <c r="M2577" s="163"/>
      <c r="N2577" s="163"/>
      <c r="O2577" s="163"/>
      <c r="P2577" s="163"/>
      <c r="Q2577" s="163"/>
      <c r="R2577" s="130"/>
      <c r="S2577" s="130"/>
      <c r="T2577" s="130"/>
      <c r="U2577" s="130"/>
      <c r="V2577" s="130"/>
      <c r="W2577" s="130"/>
    </row>
    <row r="2578" ht="31.5" customHeight="1">
      <c r="A2578" s="158"/>
      <c r="B2578" s="159"/>
      <c r="C2578" s="160"/>
      <c r="D2578" s="130"/>
      <c r="E2578" s="130"/>
      <c r="F2578" s="161"/>
      <c r="G2578" s="162"/>
      <c r="H2578" s="163"/>
      <c r="I2578" s="163"/>
      <c r="J2578" s="163"/>
      <c r="K2578" s="163"/>
      <c r="L2578" s="163"/>
      <c r="M2578" s="163"/>
      <c r="N2578" s="163"/>
      <c r="O2578" s="163"/>
      <c r="P2578" s="163"/>
      <c r="Q2578" s="163"/>
      <c r="R2578" s="130"/>
      <c r="S2578" s="130"/>
      <c r="T2578" s="130"/>
      <c r="U2578" s="130"/>
      <c r="V2578" s="130"/>
      <c r="W2578" s="130"/>
    </row>
    <row r="2579" ht="31.5" customHeight="1">
      <c r="A2579" s="158"/>
      <c r="B2579" s="159"/>
      <c r="C2579" s="160"/>
      <c r="D2579" s="130"/>
      <c r="E2579" s="130"/>
      <c r="F2579" s="161"/>
      <c r="G2579" s="162"/>
      <c r="H2579" s="163"/>
      <c r="I2579" s="163"/>
      <c r="J2579" s="163"/>
      <c r="K2579" s="163"/>
      <c r="L2579" s="163"/>
      <c r="M2579" s="163"/>
      <c r="N2579" s="163"/>
      <c r="O2579" s="163"/>
      <c r="P2579" s="163"/>
      <c r="Q2579" s="163"/>
      <c r="R2579" s="130"/>
      <c r="S2579" s="130"/>
      <c r="T2579" s="130"/>
      <c r="U2579" s="130"/>
      <c r="V2579" s="130"/>
      <c r="W2579" s="130"/>
    </row>
    <row r="2580" ht="31.5" customHeight="1">
      <c r="A2580" s="158"/>
      <c r="B2580" s="159"/>
      <c r="C2580" s="160"/>
      <c r="D2580" s="130"/>
      <c r="E2580" s="130"/>
      <c r="F2580" s="161"/>
      <c r="G2580" s="162"/>
      <c r="H2580" s="163"/>
      <c r="I2580" s="163"/>
      <c r="J2580" s="163"/>
      <c r="K2580" s="163"/>
      <c r="L2580" s="163"/>
      <c r="M2580" s="163"/>
      <c r="N2580" s="163"/>
      <c r="O2580" s="163"/>
      <c r="P2580" s="163"/>
      <c r="Q2580" s="163"/>
      <c r="R2580" s="130"/>
      <c r="S2580" s="130"/>
      <c r="T2580" s="130"/>
      <c r="U2580" s="130"/>
      <c r="V2580" s="130"/>
      <c r="W2580" s="130"/>
    </row>
    <row r="2581" ht="31.5" customHeight="1">
      <c r="A2581" s="158"/>
      <c r="B2581" s="159"/>
      <c r="C2581" s="160"/>
      <c r="D2581" s="130"/>
      <c r="E2581" s="130"/>
      <c r="F2581" s="161"/>
      <c r="G2581" s="162"/>
      <c r="H2581" s="163"/>
      <c r="I2581" s="163"/>
      <c r="J2581" s="163"/>
      <c r="K2581" s="163"/>
      <c r="L2581" s="163"/>
      <c r="M2581" s="163"/>
      <c r="N2581" s="163"/>
      <c r="O2581" s="163"/>
      <c r="P2581" s="163"/>
      <c r="Q2581" s="163"/>
      <c r="R2581" s="130"/>
      <c r="S2581" s="130"/>
      <c r="T2581" s="130"/>
      <c r="U2581" s="130"/>
      <c r="V2581" s="130"/>
      <c r="W2581" s="130"/>
    </row>
    <row r="2582" ht="31.5" customHeight="1">
      <c r="A2582" s="158"/>
      <c r="B2582" s="159"/>
      <c r="C2582" s="160"/>
      <c r="D2582" s="130"/>
      <c r="E2582" s="130"/>
      <c r="F2582" s="161"/>
      <c r="G2582" s="162"/>
      <c r="H2582" s="163"/>
      <c r="I2582" s="163"/>
      <c r="J2582" s="163"/>
      <c r="K2582" s="163"/>
      <c r="L2582" s="163"/>
      <c r="M2582" s="163"/>
      <c r="N2582" s="163"/>
      <c r="O2582" s="163"/>
      <c r="P2582" s="163"/>
      <c r="Q2582" s="163"/>
      <c r="R2582" s="130"/>
      <c r="S2582" s="130"/>
      <c r="T2582" s="130"/>
      <c r="U2582" s="130"/>
      <c r="V2582" s="130"/>
      <c r="W2582" s="130"/>
    </row>
    <row r="2583" ht="31.5" customHeight="1">
      <c r="A2583" s="158"/>
      <c r="B2583" s="159"/>
      <c r="C2583" s="160"/>
      <c r="D2583" s="130"/>
      <c r="E2583" s="130"/>
      <c r="F2583" s="161"/>
      <c r="G2583" s="162"/>
      <c r="H2583" s="163"/>
      <c r="I2583" s="163"/>
      <c r="J2583" s="163"/>
      <c r="K2583" s="163"/>
      <c r="L2583" s="163"/>
      <c r="M2583" s="163"/>
      <c r="N2583" s="163"/>
      <c r="O2583" s="163"/>
      <c r="P2583" s="163"/>
      <c r="Q2583" s="163"/>
      <c r="R2583" s="130"/>
      <c r="S2583" s="130"/>
      <c r="T2583" s="130"/>
      <c r="U2583" s="130"/>
      <c r="V2583" s="130"/>
      <c r="W2583" s="130"/>
    </row>
    <row r="2584" ht="31.5" customHeight="1">
      <c r="A2584" s="158"/>
      <c r="B2584" s="159"/>
      <c r="C2584" s="160"/>
      <c r="D2584" s="130"/>
      <c r="E2584" s="130"/>
      <c r="F2584" s="161"/>
      <c r="G2584" s="162"/>
      <c r="H2584" s="163"/>
      <c r="I2584" s="163"/>
      <c r="J2584" s="163"/>
      <c r="K2584" s="163"/>
      <c r="L2584" s="163"/>
      <c r="M2584" s="163"/>
      <c r="N2584" s="163"/>
      <c r="O2584" s="163"/>
      <c r="P2584" s="163"/>
      <c r="Q2584" s="163"/>
      <c r="R2584" s="130"/>
      <c r="S2584" s="130"/>
      <c r="T2584" s="130"/>
      <c r="U2584" s="130"/>
      <c r="V2584" s="130"/>
      <c r="W2584" s="130"/>
    </row>
    <row r="2585" ht="31.5" customHeight="1">
      <c r="A2585" s="158"/>
      <c r="B2585" s="159"/>
      <c r="C2585" s="160"/>
      <c r="D2585" s="130"/>
      <c r="E2585" s="130"/>
      <c r="F2585" s="161"/>
      <c r="G2585" s="162"/>
      <c r="H2585" s="163"/>
      <c r="I2585" s="163"/>
      <c r="J2585" s="163"/>
      <c r="K2585" s="163"/>
      <c r="L2585" s="163"/>
      <c r="M2585" s="163"/>
      <c r="N2585" s="163"/>
      <c r="O2585" s="163"/>
      <c r="P2585" s="163"/>
      <c r="Q2585" s="163"/>
      <c r="R2585" s="130"/>
      <c r="S2585" s="130"/>
      <c r="T2585" s="130"/>
      <c r="U2585" s="130"/>
      <c r="V2585" s="130"/>
      <c r="W2585" s="130"/>
    </row>
    <row r="2586" ht="31.5" customHeight="1">
      <c r="A2586" s="158"/>
      <c r="B2586" s="159"/>
      <c r="C2586" s="160"/>
      <c r="D2586" s="130"/>
      <c r="E2586" s="130"/>
      <c r="F2586" s="161"/>
      <c r="G2586" s="162"/>
      <c r="H2586" s="163"/>
      <c r="I2586" s="163"/>
      <c r="J2586" s="163"/>
      <c r="K2586" s="163"/>
      <c r="L2586" s="163"/>
      <c r="M2586" s="163"/>
      <c r="N2586" s="163"/>
      <c r="O2586" s="163"/>
      <c r="P2586" s="163"/>
      <c r="Q2586" s="163"/>
      <c r="R2586" s="130"/>
      <c r="S2586" s="130"/>
      <c r="T2586" s="130"/>
      <c r="U2586" s="130"/>
      <c r="V2586" s="130"/>
      <c r="W2586" s="130"/>
    </row>
    <row r="2587" ht="31.5" customHeight="1">
      <c r="A2587" s="158"/>
      <c r="B2587" s="159"/>
      <c r="C2587" s="160"/>
      <c r="D2587" s="130"/>
      <c r="E2587" s="130"/>
      <c r="F2587" s="161"/>
      <c r="G2587" s="162"/>
      <c r="H2587" s="163"/>
      <c r="I2587" s="163"/>
      <c r="J2587" s="163"/>
      <c r="K2587" s="163"/>
      <c r="L2587" s="163"/>
      <c r="M2587" s="163"/>
      <c r="N2587" s="163"/>
      <c r="O2587" s="163"/>
      <c r="P2587" s="163"/>
      <c r="Q2587" s="163"/>
      <c r="R2587" s="130"/>
      <c r="S2587" s="130"/>
      <c r="T2587" s="130"/>
      <c r="U2587" s="130"/>
      <c r="V2587" s="130"/>
      <c r="W2587" s="130"/>
    </row>
    <row r="2588" ht="31.5" customHeight="1">
      <c r="A2588" s="158"/>
      <c r="B2588" s="159"/>
      <c r="C2588" s="160"/>
      <c r="D2588" s="130"/>
      <c r="E2588" s="130"/>
      <c r="F2588" s="161"/>
      <c r="G2588" s="162"/>
      <c r="H2588" s="163"/>
      <c r="I2588" s="163"/>
      <c r="J2588" s="163"/>
      <c r="K2588" s="163"/>
      <c r="L2588" s="163"/>
      <c r="M2588" s="163"/>
      <c r="N2588" s="163"/>
      <c r="O2588" s="163"/>
      <c r="P2588" s="163"/>
      <c r="Q2588" s="163"/>
      <c r="R2588" s="130"/>
      <c r="S2588" s="130"/>
      <c r="T2588" s="130"/>
      <c r="U2588" s="130"/>
      <c r="V2588" s="130"/>
      <c r="W2588" s="130"/>
    </row>
    <row r="2589" ht="31.5" customHeight="1">
      <c r="A2589" s="158"/>
      <c r="B2589" s="159"/>
      <c r="C2589" s="160"/>
      <c r="D2589" s="130"/>
      <c r="E2589" s="130"/>
      <c r="F2589" s="161"/>
      <c r="G2589" s="162"/>
      <c r="H2589" s="163"/>
      <c r="I2589" s="163"/>
      <c r="J2589" s="163"/>
      <c r="K2589" s="163"/>
      <c r="L2589" s="163"/>
      <c r="M2589" s="163"/>
      <c r="N2589" s="163"/>
      <c r="O2589" s="163"/>
      <c r="P2589" s="163"/>
      <c r="Q2589" s="163"/>
      <c r="R2589" s="130"/>
      <c r="S2589" s="130"/>
      <c r="T2589" s="130"/>
      <c r="U2589" s="130"/>
      <c r="V2589" s="130"/>
      <c r="W2589" s="130"/>
    </row>
    <row r="2590" ht="31.5" customHeight="1">
      <c r="A2590" s="158"/>
      <c r="B2590" s="159"/>
      <c r="C2590" s="160"/>
      <c r="D2590" s="130"/>
      <c r="E2590" s="130"/>
      <c r="F2590" s="161"/>
      <c r="G2590" s="162"/>
      <c r="H2590" s="163"/>
      <c r="I2590" s="163"/>
      <c r="J2590" s="163"/>
      <c r="K2590" s="163"/>
      <c r="L2590" s="163"/>
      <c r="M2590" s="163"/>
      <c r="N2590" s="163"/>
      <c r="O2590" s="163"/>
      <c r="P2590" s="163"/>
      <c r="Q2590" s="163"/>
      <c r="R2590" s="130"/>
      <c r="S2590" s="130"/>
      <c r="T2590" s="130"/>
      <c r="U2590" s="130"/>
      <c r="V2590" s="130"/>
      <c r="W2590" s="130"/>
    </row>
    <row r="2591" ht="31.5" customHeight="1">
      <c r="A2591" s="158"/>
      <c r="B2591" s="159"/>
      <c r="C2591" s="160"/>
      <c r="D2591" s="130"/>
      <c r="E2591" s="130"/>
      <c r="F2591" s="161"/>
      <c r="G2591" s="162"/>
      <c r="H2591" s="163"/>
      <c r="I2591" s="163"/>
      <c r="J2591" s="163"/>
      <c r="K2591" s="163"/>
      <c r="L2591" s="163"/>
      <c r="M2591" s="163"/>
      <c r="N2591" s="163"/>
      <c r="O2591" s="163"/>
      <c r="P2591" s="163"/>
      <c r="Q2591" s="163"/>
      <c r="R2591" s="130"/>
      <c r="S2591" s="130"/>
      <c r="T2591" s="130"/>
      <c r="U2591" s="130"/>
      <c r="V2591" s="130"/>
      <c r="W2591" s="130"/>
    </row>
    <row r="2592" ht="31.5" customHeight="1">
      <c r="A2592" s="158"/>
      <c r="B2592" s="159"/>
      <c r="C2592" s="160"/>
      <c r="D2592" s="130"/>
      <c r="E2592" s="130"/>
      <c r="F2592" s="161"/>
      <c r="G2592" s="162"/>
      <c r="H2592" s="163"/>
      <c r="I2592" s="163"/>
      <c r="J2592" s="163"/>
      <c r="K2592" s="163"/>
      <c r="L2592" s="163"/>
      <c r="M2592" s="163"/>
      <c r="N2592" s="163"/>
      <c r="O2592" s="163"/>
      <c r="P2592" s="163"/>
      <c r="Q2592" s="163"/>
      <c r="R2592" s="130"/>
      <c r="S2592" s="130"/>
      <c r="T2592" s="130"/>
      <c r="U2592" s="130"/>
      <c r="V2592" s="130"/>
      <c r="W2592" s="130"/>
    </row>
    <row r="2593" ht="31.5" customHeight="1">
      <c r="A2593" s="158"/>
      <c r="B2593" s="159"/>
      <c r="C2593" s="160"/>
      <c r="D2593" s="130"/>
      <c r="E2593" s="130"/>
      <c r="F2593" s="161"/>
      <c r="G2593" s="162"/>
      <c r="H2593" s="163"/>
      <c r="I2593" s="163"/>
      <c r="J2593" s="163"/>
      <c r="K2593" s="163"/>
      <c r="L2593" s="163"/>
      <c r="M2593" s="163"/>
      <c r="N2593" s="163"/>
      <c r="O2593" s="163"/>
      <c r="P2593" s="163"/>
      <c r="Q2593" s="163"/>
      <c r="R2593" s="130"/>
      <c r="S2593" s="130"/>
      <c r="T2593" s="130"/>
      <c r="U2593" s="130"/>
      <c r="V2593" s="130"/>
      <c r="W2593" s="130"/>
    </row>
    <row r="2594" ht="31.5" customHeight="1">
      <c r="A2594" s="158"/>
      <c r="B2594" s="159"/>
      <c r="C2594" s="160"/>
      <c r="D2594" s="130"/>
      <c r="E2594" s="130"/>
      <c r="F2594" s="161"/>
      <c r="G2594" s="162"/>
      <c r="H2594" s="163"/>
      <c r="I2594" s="163"/>
      <c r="J2594" s="163"/>
      <c r="K2594" s="163"/>
      <c r="L2594" s="163"/>
      <c r="M2594" s="163"/>
      <c r="N2594" s="163"/>
      <c r="O2594" s="163"/>
      <c r="P2594" s="163"/>
      <c r="Q2594" s="163"/>
      <c r="R2594" s="130"/>
      <c r="S2594" s="130"/>
      <c r="T2594" s="130"/>
      <c r="U2594" s="130"/>
      <c r="V2594" s="130"/>
      <c r="W2594" s="130"/>
    </row>
    <row r="2595" ht="31.5" customHeight="1">
      <c r="A2595" s="158"/>
      <c r="B2595" s="159"/>
      <c r="C2595" s="160"/>
      <c r="D2595" s="130"/>
      <c r="E2595" s="130"/>
      <c r="F2595" s="161"/>
      <c r="G2595" s="164"/>
      <c r="H2595" s="76" t="b">
        <v>0</v>
      </c>
      <c r="I2595" s="76" t="b">
        <v>0</v>
      </c>
      <c r="J2595" s="76" t="b">
        <v>0</v>
      </c>
      <c r="K2595" s="76" t="b">
        <v>0</v>
      </c>
      <c r="L2595" s="76" t="b">
        <v>0</v>
      </c>
      <c r="M2595" s="76" t="b">
        <v>0</v>
      </c>
      <c r="N2595" s="76" t="b">
        <v>0</v>
      </c>
      <c r="O2595" s="76" t="b">
        <v>0</v>
      </c>
      <c r="P2595" s="76" t="b">
        <v>0</v>
      </c>
      <c r="Q2595" s="76" t="b">
        <v>0</v>
      </c>
      <c r="R2595" s="14"/>
      <c r="S2595" s="14"/>
      <c r="T2595" s="14"/>
      <c r="U2595" s="14"/>
      <c r="V2595" s="14"/>
      <c r="W2595" s="14"/>
    </row>
    <row r="2596" ht="31.5" customHeight="1">
      <c r="A2596" s="158"/>
      <c r="B2596" s="159"/>
      <c r="C2596" s="160"/>
      <c r="D2596" s="130"/>
      <c r="E2596" s="130"/>
      <c r="F2596" s="161"/>
      <c r="G2596" s="164"/>
      <c r="H2596" s="76" t="b">
        <v>0</v>
      </c>
      <c r="I2596" s="76" t="b">
        <v>0</v>
      </c>
      <c r="J2596" s="76" t="b">
        <v>0</v>
      </c>
      <c r="K2596" s="76" t="b">
        <v>0</v>
      </c>
      <c r="L2596" s="76" t="b">
        <v>0</v>
      </c>
      <c r="M2596" s="76" t="b">
        <v>0</v>
      </c>
      <c r="N2596" s="76" t="b">
        <v>0</v>
      </c>
      <c r="O2596" s="76" t="b">
        <v>0</v>
      </c>
      <c r="P2596" s="76" t="b">
        <v>0</v>
      </c>
      <c r="Q2596" s="76" t="b">
        <v>0</v>
      </c>
      <c r="R2596" s="14"/>
      <c r="S2596" s="14"/>
      <c r="T2596" s="14"/>
      <c r="U2596" s="14"/>
      <c r="V2596" s="14"/>
      <c r="W2596" s="14"/>
    </row>
    <row r="2597" ht="31.5" customHeight="1">
      <c r="A2597" s="158"/>
      <c r="B2597" s="159"/>
      <c r="C2597" s="160"/>
      <c r="D2597" s="130"/>
      <c r="E2597" s="130"/>
      <c r="F2597" s="161"/>
      <c r="G2597" s="164"/>
      <c r="H2597" s="76" t="b">
        <v>0</v>
      </c>
      <c r="I2597" s="76" t="b">
        <v>0</v>
      </c>
      <c r="J2597" s="76" t="b">
        <v>0</v>
      </c>
      <c r="K2597" s="76" t="b">
        <v>0</v>
      </c>
      <c r="L2597" s="76" t="b">
        <v>0</v>
      </c>
      <c r="M2597" s="76" t="b">
        <v>0</v>
      </c>
      <c r="N2597" s="76" t="b">
        <v>0</v>
      </c>
      <c r="O2597" s="76" t="b">
        <v>0</v>
      </c>
      <c r="P2597" s="76" t="b">
        <v>0</v>
      </c>
      <c r="Q2597" s="76" t="b">
        <v>0</v>
      </c>
      <c r="R2597" s="14"/>
      <c r="S2597" s="14"/>
      <c r="T2597" s="14"/>
      <c r="U2597" s="14"/>
      <c r="V2597" s="14"/>
      <c r="W2597" s="14"/>
    </row>
    <row r="2598" ht="31.5" customHeight="1">
      <c r="A2598" s="158"/>
      <c r="B2598" s="159"/>
      <c r="C2598" s="160"/>
      <c r="D2598" s="130"/>
      <c r="E2598" s="130"/>
      <c r="F2598" s="161"/>
      <c r="G2598" s="164"/>
      <c r="H2598" s="76" t="b">
        <v>0</v>
      </c>
      <c r="I2598" s="76" t="b">
        <v>0</v>
      </c>
      <c r="J2598" s="76" t="b">
        <v>0</v>
      </c>
      <c r="K2598" s="76" t="b">
        <v>0</v>
      </c>
      <c r="L2598" s="76" t="b">
        <v>0</v>
      </c>
      <c r="M2598" s="76" t="b">
        <v>0</v>
      </c>
      <c r="N2598" s="76" t="b">
        <v>0</v>
      </c>
      <c r="O2598" s="76" t="b">
        <v>0</v>
      </c>
      <c r="P2598" s="76" t="b">
        <v>0</v>
      </c>
      <c r="Q2598" s="76" t="b">
        <v>0</v>
      </c>
      <c r="R2598" s="14"/>
      <c r="S2598" s="14"/>
      <c r="T2598" s="14"/>
      <c r="U2598" s="14"/>
      <c r="V2598" s="14"/>
      <c r="W2598" s="14"/>
    </row>
    <row r="2599" ht="31.5" customHeight="1">
      <c r="A2599" s="158"/>
      <c r="B2599" s="159"/>
      <c r="C2599" s="160"/>
      <c r="D2599" s="130"/>
      <c r="E2599" s="130"/>
      <c r="F2599" s="161"/>
      <c r="G2599" s="164"/>
      <c r="H2599" s="76" t="b">
        <v>1</v>
      </c>
      <c r="I2599" s="76" t="b">
        <v>0</v>
      </c>
      <c r="J2599" s="76" t="b">
        <v>0</v>
      </c>
      <c r="K2599" s="76" t="b">
        <v>0</v>
      </c>
      <c r="L2599" s="76" t="b">
        <v>0</v>
      </c>
      <c r="M2599" s="76" t="b">
        <v>0</v>
      </c>
      <c r="N2599" s="76" t="b">
        <v>0</v>
      </c>
      <c r="O2599" s="76" t="b">
        <v>0</v>
      </c>
      <c r="P2599" s="76" t="b">
        <v>0</v>
      </c>
      <c r="Q2599" s="76" t="b">
        <v>0</v>
      </c>
      <c r="R2599" s="14"/>
      <c r="S2599" s="14"/>
      <c r="T2599" s="14"/>
      <c r="U2599" s="14"/>
      <c r="V2599" s="14"/>
      <c r="W2599" s="14"/>
    </row>
    <row r="2600" ht="31.5" customHeight="1">
      <c r="A2600" s="158"/>
      <c r="B2600" s="159"/>
      <c r="C2600" s="160"/>
      <c r="D2600" s="130"/>
      <c r="E2600" s="130"/>
      <c r="F2600" s="161"/>
      <c r="G2600" s="164"/>
      <c r="H2600" s="76" t="b">
        <v>1</v>
      </c>
      <c r="I2600" s="76" t="b">
        <v>0</v>
      </c>
      <c r="J2600" s="76" t="b">
        <v>0</v>
      </c>
      <c r="K2600" s="76" t="b">
        <v>0</v>
      </c>
      <c r="L2600" s="76" t="b">
        <v>0</v>
      </c>
      <c r="M2600" s="76" t="b">
        <v>0</v>
      </c>
      <c r="N2600" s="76" t="b">
        <v>0</v>
      </c>
      <c r="O2600" s="76" t="b">
        <v>0</v>
      </c>
      <c r="P2600" s="76" t="b">
        <v>0</v>
      </c>
      <c r="Q2600" s="76" t="b">
        <v>0</v>
      </c>
      <c r="R2600" s="14"/>
      <c r="S2600" s="14"/>
      <c r="T2600" s="14"/>
      <c r="U2600" s="14"/>
      <c r="V2600" s="14"/>
      <c r="W2600" s="14"/>
    </row>
    <row r="2601" ht="31.5" customHeight="1">
      <c r="A2601" s="158"/>
      <c r="B2601" s="159"/>
      <c r="C2601" s="160"/>
      <c r="D2601" s="130"/>
      <c r="E2601" s="130"/>
      <c r="F2601" s="161"/>
      <c r="G2601" s="164"/>
      <c r="H2601" s="76" t="b">
        <v>1</v>
      </c>
      <c r="I2601" s="76" t="b">
        <v>0</v>
      </c>
      <c r="J2601" s="76" t="b">
        <v>0</v>
      </c>
      <c r="K2601" s="76" t="b">
        <v>0</v>
      </c>
      <c r="L2601" s="76" t="b">
        <v>0</v>
      </c>
      <c r="M2601" s="76" t="b">
        <v>0</v>
      </c>
      <c r="N2601" s="76" t="b">
        <v>0</v>
      </c>
      <c r="O2601" s="76" t="b">
        <v>0</v>
      </c>
      <c r="P2601" s="76" t="b">
        <v>0</v>
      </c>
      <c r="Q2601" s="76" t="b">
        <v>0</v>
      </c>
      <c r="R2601" s="14"/>
      <c r="S2601" s="14"/>
      <c r="T2601" s="14"/>
      <c r="U2601" s="14"/>
      <c r="V2601" s="14"/>
      <c r="W2601" s="14"/>
    </row>
    <row r="2602" ht="31.5" customHeight="1">
      <c r="A2602" s="158"/>
      <c r="B2602" s="159"/>
      <c r="C2602" s="160"/>
      <c r="D2602" s="130"/>
      <c r="E2602" s="130"/>
      <c r="F2602" s="161"/>
      <c r="G2602" s="164"/>
      <c r="H2602" s="76" t="b">
        <v>1</v>
      </c>
      <c r="I2602" s="76" t="b">
        <v>0</v>
      </c>
      <c r="J2602" s="76" t="b">
        <v>0</v>
      </c>
      <c r="K2602" s="76" t="b">
        <v>0</v>
      </c>
      <c r="L2602" s="76" t="b">
        <v>0</v>
      </c>
      <c r="M2602" s="76" t="b">
        <v>0</v>
      </c>
      <c r="N2602" s="76" t="b">
        <v>0</v>
      </c>
      <c r="O2602" s="76" t="b">
        <v>0</v>
      </c>
      <c r="P2602" s="76" t="b">
        <v>0</v>
      </c>
      <c r="Q2602" s="76" t="b">
        <v>0</v>
      </c>
      <c r="R2602" s="14"/>
      <c r="S2602" s="14"/>
      <c r="T2602" s="14"/>
      <c r="U2602" s="14"/>
      <c r="V2602" s="14"/>
      <c r="W2602" s="14"/>
    </row>
    <row r="2603" ht="31.5" customHeight="1">
      <c r="A2603" s="158"/>
      <c r="B2603" s="159"/>
      <c r="C2603" s="160"/>
      <c r="D2603" s="130"/>
      <c r="E2603" s="130"/>
      <c r="F2603" s="161"/>
      <c r="G2603" s="164"/>
      <c r="H2603" s="76" t="b">
        <v>1</v>
      </c>
      <c r="I2603" s="76" t="b">
        <v>0</v>
      </c>
      <c r="J2603" s="76" t="b">
        <v>0</v>
      </c>
      <c r="K2603" s="76" t="b">
        <v>0</v>
      </c>
      <c r="L2603" s="76" t="b">
        <v>0</v>
      </c>
      <c r="M2603" s="76" t="b">
        <v>0</v>
      </c>
      <c r="N2603" s="76" t="b">
        <v>0</v>
      </c>
      <c r="O2603" s="76" t="b">
        <v>0</v>
      </c>
      <c r="P2603" s="76" t="b">
        <v>0</v>
      </c>
      <c r="Q2603" s="76" t="b">
        <v>0</v>
      </c>
      <c r="R2603" s="14"/>
      <c r="S2603" s="14"/>
      <c r="T2603" s="14"/>
      <c r="U2603" s="14"/>
      <c r="V2603" s="14"/>
      <c r="W2603" s="14"/>
    </row>
    <row r="2604" ht="31.5" customHeight="1">
      <c r="A2604" s="158"/>
      <c r="B2604" s="159"/>
      <c r="C2604" s="160"/>
      <c r="D2604" s="130"/>
      <c r="E2604" s="130"/>
      <c r="F2604" s="161"/>
      <c r="G2604" s="164"/>
      <c r="H2604" s="76" t="b">
        <v>1</v>
      </c>
      <c r="I2604" s="76" t="b">
        <v>0</v>
      </c>
      <c r="J2604" s="76" t="b">
        <v>0</v>
      </c>
      <c r="K2604" s="76" t="b">
        <v>0</v>
      </c>
      <c r="L2604" s="76" t="b">
        <v>0</v>
      </c>
      <c r="M2604" s="76" t="b">
        <v>0</v>
      </c>
      <c r="N2604" s="76" t="b">
        <v>0</v>
      </c>
      <c r="O2604" s="76" t="b">
        <v>0</v>
      </c>
      <c r="P2604" s="76" t="b">
        <v>0</v>
      </c>
      <c r="Q2604" s="76" t="b">
        <v>0</v>
      </c>
      <c r="R2604" s="14"/>
      <c r="S2604" s="14"/>
      <c r="T2604" s="14"/>
      <c r="U2604" s="14"/>
      <c r="V2604" s="14"/>
      <c r="W2604" s="14"/>
    </row>
    <row r="2605" ht="31.5" customHeight="1">
      <c r="A2605" s="158"/>
      <c r="B2605" s="159"/>
      <c r="C2605" s="160"/>
      <c r="D2605" s="130"/>
      <c r="E2605" s="130"/>
      <c r="F2605" s="161"/>
      <c r="G2605" s="164"/>
      <c r="H2605" s="76" t="b">
        <v>1</v>
      </c>
      <c r="I2605" s="76" t="b">
        <v>0</v>
      </c>
      <c r="J2605" s="76" t="b">
        <v>0</v>
      </c>
      <c r="K2605" s="76" t="b">
        <v>0</v>
      </c>
      <c r="L2605" s="76" t="b">
        <v>0</v>
      </c>
      <c r="M2605" s="76" t="b">
        <v>0</v>
      </c>
      <c r="N2605" s="76" t="b">
        <v>0</v>
      </c>
      <c r="O2605" s="76" t="b">
        <v>0</v>
      </c>
      <c r="P2605" s="76" t="b">
        <v>0</v>
      </c>
      <c r="Q2605" s="76" t="b">
        <v>0</v>
      </c>
      <c r="R2605" s="14"/>
      <c r="S2605" s="14"/>
      <c r="T2605" s="14"/>
      <c r="U2605" s="14"/>
      <c r="V2605" s="14"/>
      <c r="W2605" s="14"/>
    </row>
    <row r="2606" ht="31.5" customHeight="1">
      <c r="A2606" s="158"/>
      <c r="B2606" s="159"/>
      <c r="C2606" s="160"/>
      <c r="D2606" s="130"/>
      <c r="E2606" s="130"/>
      <c r="F2606" s="161"/>
      <c r="G2606" s="164"/>
      <c r="H2606" s="76" t="b">
        <v>1</v>
      </c>
      <c r="I2606" s="76" t="b">
        <v>0</v>
      </c>
      <c r="J2606" s="76" t="b">
        <v>0</v>
      </c>
      <c r="K2606" s="76" t="b">
        <v>0</v>
      </c>
      <c r="L2606" s="76" t="b">
        <v>0</v>
      </c>
      <c r="M2606" s="76" t="b">
        <v>0</v>
      </c>
      <c r="N2606" s="76" t="b">
        <v>0</v>
      </c>
      <c r="O2606" s="76" t="b">
        <v>0</v>
      </c>
      <c r="P2606" s="76" t="b">
        <v>0</v>
      </c>
      <c r="Q2606" s="76" t="b">
        <v>0</v>
      </c>
      <c r="R2606" s="14"/>
      <c r="S2606" s="14"/>
      <c r="T2606" s="14"/>
      <c r="U2606" s="14"/>
      <c r="V2606" s="14"/>
      <c r="W2606" s="14"/>
    </row>
    <row r="2607" ht="31.5" customHeight="1">
      <c r="A2607" s="158"/>
      <c r="B2607" s="159"/>
      <c r="C2607" s="160"/>
      <c r="D2607" s="130"/>
      <c r="E2607" s="130"/>
      <c r="F2607" s="161"/>
      <c r="G2607" s="164"/>
      <c r="H2607" s="76" t="b">
        <v>1</v>
      </c>
      <c r="I2607" s="76" t="b">
        <v>0</v>
      </c>
      <c r="J2607" s="76" t="b">
        <v>0</v>
      </c>
      <c r="K2607" s="76" t="b">
        <v>0</v>
      </c>
      <c r="L2607" s="76" t="b">
        <v>0</v>
      </c>
      <c r="M2607" s="76" t="b">
        <v>0</v>
      </c>
      <c r="N2607" s="76" t="b">
        <v>0</v>
      </c>
      <c r="O2607" s="76" t="b">
        <v>0</v>
      </c>
      <c r="P2607" s="76" t="b">
        <v>0</v>
      </c>
      <c r="Q2607" s="76" t="b">
        <v>0</v>
      </c>
      <c r="R2607" s="14"/>
      <c r="S2607" s="14"/>
      <c r="T2607" s="14"/>
      <c r="U2607" s="14"/>
      <c r="V2607" s="14"/>
      <c r="W2607" s="14"/>
    </row>
    <row r="2608" ht="31.5" customHeight="1">
      <c r="A2608" s="158"/>
      <c r="B2608" s="159"/>
      <c r="C2608" s="160"/>
      <c r="D2608" s="130"/>
      <c r="E2608" s="130"/>
      <c r="F2608" s="161"/>
      <c r="G2608" s="164"/>
      <c r="H2608" s="76" t="b">
        <v>1</v>
      </c>
      <c r="I2608" s="76" t="b">
        <v>0</v>
      </c>
      <c r="J2608" s="76" t="b">
        <v>0</v>
      </c>
      <c r="K2608" s="76" t="b">
        <v>0</v>
      </c>
      <c r="L2608" s="76" t="b">
        <v>0</v>
      </c>
      <c r="M2608" s="76" t="b">
        <v>0</v>
      </c>
      <c r="N2608" s="76" t="b">
        <v>0</v>
      </c>
      <c r="O2608" s="76" t="b">
        <v>0</v>
      </c>
      <c r="P2608" s="76" t="b">
        <v>0</v>
      </c>
      <c r="Q2608" s="76" t="b">
        <v>0</v>
      </c>
      <c r="R2608" s="14"/>
      <c r="S2608" s="14"/>
      <c r="T2608" s="14"/>
      <c r="U2608" s="14"/>
      <c r="V2608" s="14"/>
      <c r="W2608" s="14"/>
    </row>
    <row r="2609" ht="31.5" customHeight="1">
      <c r="A2609" s="158"/>
      <c r="B2609" s="159"/>
      <c r="C2609" s="160"/>
      <c r="D2609" s="130"/>
      <c r="E2609" s="130"/>
      <c r="F2609" s="161"/>
      <c r="G2609" s="164"/>
      <c r="H2609" s="76" t="b">
        <v>1</v>
      </c>
      <c r="I2609" s="76" t="b">
        <v>0</v>
      </c>
      <c r="J2609" s="76" t="b">
        <v>0</v>
      </c>
      <c r="K2609" s="76" t="b">
        <v>0</v>
      </c>
      <c r="L2609" s="76" t="b">
        <v>0</v>
      </c>
      <c r="M2609" s="76" t="b">
        <v>0</v>
      </c>
      <c r="N2609" s="76" t="b">
        <v>0</v>
      </c>
      <c r="O2609" s="76" t="b">
        <v>0</v>
      </c>
      <c r="P2609" s="76" t="b">
        <v>0</v>
      </c>
      <c r="Q2609" s="76" t="b">
        <v>0</v>
      </c>
      <c r="R2609" s="14"/>
      <c r="S2609" s="14"/>
      <c r="T2609" s="14"/>
      <c r="U2609" s="14"/>
      <c r="V2609" s="14"/>
      <c r="W2609" s="14"/>
    </row>
    <row r="2610" ht="31.5" customHeight="1">
      <c r="A2610" s="158"/>
      <c r="B2610" s="159"/>
      <c r="C2610" s="160"/>
      <c r="D2610" s="130"/>
      <c r="E2610" s="130"/>
      <c r="F2610" s="161"/>
      <c r="G2610" s="164"/>
      <c r="H2610" s="76" t="b">
        <v>1</v>
      </c>
      <c r="I2610" s="76" t="b">
        <v>0</v>
      </c>
      <c r="J2610" s="76" t="b">
        <v>0</v>
      </c>
      <c r="K2610" s="76" t="b">
        <v>0</v>
      </c>
      <c r="L2610" s="76" t="b">
        <v>0</v>
      </c>
      <c r="M2610" s="76" t="b">
        <v>0</v>
      </c>
      <c r="N2610" s="76" t="b">
        <v>0</v>
      </c>
      <c r="O2610" s="76" t="b">
        <v>0</v>
      </c>
      <c r="P2610" s="76" t="b">
        <v>0</v>
      </c>
      <c r="Q2610" s="76" t="b">
        <v>0</v>
      </c>
      <c r="R2610" s="14"/>
      <c r="S2610" s="14"/>
      <c r="T2610" s="14"/>
      <c r="U2610" s="14"/>
      <c r="V2610" s="14"/>
      <c r="W2610" s="14"/>
    </row>
    <row r="2611" ht="31.5" customHeight="1">
      <c r="A2611" s="158"/>
      <c r="B2611" s="159"/>
      <c r="C2611" s="160"/>
      <c r="D2611" s="130"/>
      <c r="E2611" s="130"/>
      <c r="F2611" s="161"/>
      <c r="G2611" s="164"/>
      <c r="H2611" s="76" t="b">
        <v>1</v>
      </c>
      <c r="I2611" s="76" t="b">
        <v>0</v>
      </c>
      <c r="J2611" s="76" t="b">
        <v>0</v>
      </c>
      <c r="K2611" s="76" t="b">
        <v>0</v>
      </c>
      <c r="L2611" s="76" t="b">
        <v>0</v>
      </c>
      <c r="M2611" s="76" t="b">
        <v>0</v>
      </c>
      <c r="N2611" s="76" t="b">
        <v>0</v>
      </c>
      <c r="O2611" s="76" t="b">
        <v>0</v>
      </c>
      <c r="P2611" s="76" t="b">
        <v>0</v>
      </c>
      <c r="Q2611" s="76" t="b">
        <v>0</v>
      </c>
      <c r="R2611" s="14"/>
      <c r="S2611" s="14"/>
      <c r="T2611" s="14"/>
      <c r="U2611" s="14"/>
      <c r="V2611" s="14"/>
      <c r="W2611" s="14"/>
    </row>
    <row r="2612" ht="31.5" customHeight="1">
      <c r="A2612" s="158"/>
      <c r="B2612" s="159"/>
      <c r="C2612" s="160"/>
      <c r="D2612" s="130"/>
      <c r="E2612" s="130"/>
      <c r="F2612" s="161"/>
      <c r="G2612" s="164"/>
      <c r="H2612" s="76" t="b">
        <v>1</v>
      </c>
      <c r="I2612" s="76" t="b">
        <v>0</v>
      </c>
      <c r="J2612" s="76" t="b">
        <v>0</v>
      </c>
      <c r="K2612" s="76" t="b">
        <v>0</v>
      </c>
      <c r="L2612" s="76" t="b">
        <v>0</v>
      </c>
      <c r="M2612" s="76" t="b">
        <v>0</v>
      </c>
      <c r="N2612" s="76" t="b">
        <v>0</v>
      </c>
      <c r="O2612" s="76" t="b">
        <v>0</v>
      </c>
      <c r="P2612" s="76" t="b">
        <v>0</v>
      </c>
      <c r="Q2612" s="76" t="b">
        <v>0</v>
      </c>
      <c r="R2612" s="14"/>
      <c r="S2612" s="14"/>
      <c r="T2612" s="14"/>
      <c r="U2612" s="14"/>
      <c r="V2612" s="14"/>
      <c r="W2612" s="14"/>
    </row>
    <row r="2613" ht="31.5" customHeight="1">
      <c r="A2613" s="158"/>
      <c r="B2613" s="159"/>
      <c r="C2613" s="160"/>
      <c r="D2613" s="130"/>
      <c r="E2613" s="130"/>
      <c r="F2613" s="161"/>
      <c r="G2613" s="164"/>
      <c r="H2613" s="76" t="b">
        <v>1</v>
      </c>
      <c r="I2613" s="76" t="b">
        <v>0</v>
      </c>
      <c r="J2613" s="76" t="b">
        <v>0</v>
      </c>
      <c r="K2613" s="76" t="b">
        <v>0</v>
      </c>
      <c r="L2613" s="76" t="b">
        <v>0</v>
      </c>
      <c r="M2613" s="76" t="b">
        <v>0</v>
      </c>
      <c r="N2613" s="76" t="b">
        <v>0</v>
      </c>
      <c r="O2613" s="76" t="b">
        <v>0</v>
      </c>
      <c r="P2613" s="76" t="b">
        <v>0</v>
      </c>
      <c r="Q2613" s="76" t="b">
        <v>0</v>
      </c>
      <c r="R2613" s="14"/>
      <c r="S2613" s="14"/>
      <c r="T2613" s="14"/>
      <c r="U2613" s="14"/>
      <c r="V2613" s="14"/>
      <c r="W2613" s="14"/>
    </row>
    <row r="2614" ht="31.5" customHeight="1">
      <c r="A2614" s="158"/>
      <c r="B2614" s="159"/>
      <c r="C2614" s="160"/>
      <c r="D2614" s="130"/>
      <c r="E2614" s="130"/>
      <c r="F2614" s="161"/>
      <c r="G2614" s="164"/>
      <c r="H2614" s="76" t="b">
        <v>1</v>
      </c>
      <c r="I2614" s="76" t="b">
        <v>0</v>
      </c>
      <c r="J2614" s="76" t="b">
        <v>0</v>
      </c>
      <c r="K2614" s="76" t="b">
        <v>0</v>
      </c>
      <c r="L2614" s="76" t="b">
        <v>0</v>
      </c>
      <c r="M2614" s="76" t="b">
        <v>0</v>
      </c>
      <c r="N2614" s="76" t="b">
        <v>0</v>
      </c>
      <c r="O2614" s="76" t="b">
        <v>0</v>
      </c>
      <c r="P2614" s="76" t="b">
        <v>0</v>
      </c>
      <c r="Q2614" s="76" t="b">
        <v>0</v>
      </c>
      <c r="R2614" s="14"/>
      <c r="S2614" s="14"/>
      <c r="T2614" s="14"/>
      <c r="U2614" s="14"/>
      <c r="V2614" s="14"/>
      <c r="W2614" s="14"/>
    </row>
    <row r="2615" ht="31.5" customHeight="1">
      <c r="A2615" s="158"/>
      <c r="B2615" s="159"/>
      <c r="C2615" s="160"/>
      <c r="D2615" s="130"/>
      <c r="E2615" s="130"/>
      <c r="F2615" s="161"/>
      <c r="G2615" s="164"/>
      <c r="H2615" s="76" t="b">
        <v>1</v>
      </c>
      <c r="I2615" s="76" t="b">
        <v>0</v>
      </c>
      <c r="J2615" s="76" t="b">
        <v>0</v>
      </c>
      <c r="K2615" s="76" t="b">
        <v>0</v>
      </c>
      <c r="L2615" s="76" t="b">
        <v>0</v>
      </c>
      <c r="M2615" s="76" t="b">
        <v>0</v>
      </c>
      <c r="N2615" s="76" t="b">
        <v>0</v>
      </c>
      <c r="O2615" s="76" t="b">
        <v>0</v>
      </c>
      <c r="P2615" s="76" t="b">
        <v>0</v>
      </c>
      <c r="Q2615" s="76" t="b">
        <v>0</v>
      </c>
      <c r="R2615" s="14"/>
      <c r="S2615" s="14"/>
      <c r="T2615" s="14"/>
      <c r="U2615" s="14"/>
      <c r="V2615" s="14"/>
      <c r="W2615" s="14"/>
    </row>
    <row r="2616" ht="31.5" customHeight="1">
      <c r="A2616" s="158"/>
      <c r="B2616" s="159"/>
      <c r="C2616" s="160"/>
      <c r="D2616" s="130"/>
      <c r="E2616" s="130"/>
      <c r="F2616" s="161"/>
      <c r="G2616" s="164"/>
      <c r="H2616" s="76" t="b">
        <v>1</v>
      </c>
      <c r="I2616" s="76" t="b">
        <v>0</v>
      </c>
      <c r="J2616" s="76" t="b">
        <v>0</v>
      </c>
      <c r="K2616" s="76" t="b">
        <v>0</v>
      </c>
      <c r="L2616" s="76" t="b">
        <v>0</v>
      </c>
      <c r="M2616" s="76" t="b">
        <v>0</v>
      </c>
      <c r="N2616" s="76" t="b">
        <v>0</v>
      </c>
      <c r="O2616" s="76" t="b">
        <v>0</v>
      </c>
      <c r="P2616" s="76" t="b">
        <v>0</v>
      </c>
      <c r="Q2616" s="76" t="b">
        <v>0</v>
      </c>
      <c r="R2616" s="14"/>
      <c r="S2616" s="14"/>
      <c r="T2616" s="14"/>
      <c r="U2616" s="14"/>
      <c r="V2616" s="14"/>
      <c r="W2616" s="14"/>
    </row>
    <row r="2617" ht="31.5" customHeight="1">
      <c r="A2617" s="158"/>
      <c r="B2617" s="159"/>
      <c r="C2617" s="160"/>
      <c r="D2617" s="130"/>
      <c r="E2617" s="130"/>
      <c r="F2617" s="161"/>
      <c r="G2617" s="164"/>
      <c r="H2617" s="76" t="b">
        <v>1</v>
      </c>
      <c r="I2617" s="76" t="b">
        <v>0</v>
      </c>
      <c r="J2617" s="76" t="b">
        <v>0</v>
      </c>
      <c r="K2617" s="76" t="b">
        <v>0</v>
      </c>
      <c r="L2617" s="76" t="b">
        <v>0</v>
      </c>
      <c r="M2617" s="76" t="b">
        <v>0</v>
      </c>
      <c r="N2617" s="76" t="b">
        <v>0</v>
      </c>
      <c r="O2617" s="76" t="b">
        <v>0</v>
      </c>
      <c r="P2617" s="76" t="b">
        <v>0</v>
      </c>
      <c r="Q2617" s="76" t="b">
        <v>0</v>
      </c>
      <c r="R2617" s="14"/>
      <c r="S2617" s="14"/>
      <c r="T2617" s="14"/>
      <c r="U2617" s="14"/>
      <c r="V2617" s="14"/>
      <c r="W2617" s="14"/>
    </row>
    <row r="2618" ht="31.5" customHeight="1">
      <c r="A2618" s="158"/>
      <c r="B2618" s="159"/>
      <c r="C2618" s="160"/>
      <c r="D2618" s="130"/>
      <c r="E2618" s="130"/>
      <c r="F2618" s="161"/>
      <c r="G2618" s="164"/>
      <c r="H2618" s="76" t="b">
        <v>1</v>
      </c>
      <c r="I2618" s="76" t="b">
        <v>0</v>
      </c>
      <c r="J2618" s="76" t="b">
        <v>0</v>
      </c>
      <c r="K2618" s="76" t="b">
        <v>0</v>
      </c>
      <c r="L2618" s="76" t="b">
        <v>0</v>
      </c>
      <c r="M2618" s="76" t="b">
        <v>0</v>
      </c>
      <c r="N2618" s="76" t="b">
        <v>0</v>
      </c>
      <c r="O2618" s="76" t="b">
        <v>0</v>
      </c>
      <c r="P2618" s="76" t="b">
        <v>0</v>
      </c>
      <c r="Q2618" s="76" t="b">
        <v>0</v>
      </c>
      <c r="R2618" s="14"/>
      <c r="S2618" s="14"/>
      <c r="T2618" s="14"/>
      <c r="U2618" s="14"/>
      <c r="V2618" s="14"/>
      <c r="W2618" s="14"/>
    </row>
    <row r="2619" ht="31.5" customHeight="1">
      <c r="A2619" s="158"/>
      <c r="B2619" s="159"/>
      <c r="C2619" s="160"/>
      <c r="D2619" s="130"/>
      <c r="E2619" s="130"/>
      <c r="F2619" s="161"/>
      <c r="G2619" s="164"/>
      <c r="H2619" s="76" t="b">
        <v>1</v>
      </c>
      <c r="I2619" s="76" t="b">
        <v>0</v>
      </c>
      <c r="J2619" s="76" t="b">
        <v>0</v>
      </c>
      <c r="K2619" s="76" t="b">
        <v>0</v>
      </c>
      <c r="L2619" s="76" t="b">
        <v>0</v>
      </c>
      <c r="M2619" s="76" t="b">
        <v>0</v>
      </c>
      <c r="N2619" s="76" t="b">
        <v>0</v>
      </c>
      <c r="O2619" s="76" t="b">
        <v>0</v>
      </c>
      <c r="P2619" s="76" t="b">
        <v>0</v>
      </c>
      <c r="Q2619" s="76" t="b">
        <v>0</v>
      </c>
      <c r="R2619" s="14"/>
      <c r="S2619" s="14"/>
      <c r="T2619" s="14"/>
      <c r="U2619" s="14"/>
      <c r="V2619" s="14"/>
      <c r="W2619" s="14"/>
    </row>
    <row r="2620" ht="31.5" customHeight="1">
      <c r="A2620" s="158"/>
      <c r="B2620" s="159"/>
      <c r="C2620" s="160"/>
      <c r="D2620" s="130"/>
      <c r="E2620" s="130"/>
      <c r="F2620" s="161"/>
      <c r="G2620" s="164"/>
      <c r="H2620" s="76" t="b">
        <v>1</v>
      </c>
      <c r="I2620" s="76" t="b">
        <v>0</v>
      </c>
      <c r="J2620" s="76" t="b">
        <v>0</v>
      </c>
      <c r="K2620" s="76" t="b">
        <v>0</v>
      </c>
      <c r="L2620" s="76" t="b">
        <v>0</v>
      </c>
      <c r="M2620" s="76" t="b">
        <v>0</v>
      </c>
      <c r="N2620" s="76" t="b">
        <v>0</v>
      </c>
      <c r="O2620" s="76" t="b">
        <v>0</v>
      </c>
      <c r="P2620" s="76" t="b">
        <v>0</v>
      </c>
      <c r="Q2620" s="76" t="b">
        <v>0</v>
      </c>
      <c r="R2620" s="14"/>
      <c r="S2620" s="14"/>
      <c r="T2620" s="14"/>
      <c r="U2620" s="14"/>
      <c r="V2620" s="14"/>
      <c r="W2620" s="14"/>
    </row>
    <row r="2621" ht="31.5" customHeight="1">
      <c r="A2621" s="158"/>
      <c r="B2621" s="159"/>
      <c r="C2621" s="160"/>
      <c r="D2621" s="130"/>
      <c r="E2621" s="130"/>
      <c r="F2621" s="161"/>
      <c r="G2621" s="164"/>
      <c r="H2621" s="76" t="b">
        <v>1</v>
      </c>
      <c r="I2621" s="76" t="b">
        <v>0</v>
      </c>
      <c r="J2621" s="76" t="b">
        <v>0</v>
      </c>
      <c r="K2621" s="76" t="b">
        <v>0</v>
      </c>
      <c r="L2621" s="76" t="b">
        <v>0</v>
      </c>
      <c r="M2621" s="76" t="b">
        <v>0</v>
      </c>
      <c r="N2621" s="76" t="b">
        <v>0</v>
      </c>
      <c r="O2621" s="76" t="b">
        <v>0</v>
      </c>
      <c r="P2621" s="76" t="b">
        <v>0</v>
      </c>
      <c r="Q2621" s="76" t="b">
        <v>0</v>
      </c>
      <c r="R2621" s="14"/>
      <c r="S2621" s="14"/>
      <c r="T2621" s="14"/>
      <c r="U2621" s="14"/>
      <c r="V2621" s="14"/>
      <c r="W2621" s="14"/>
    </row>
    <row r="2622" ht="31.5" customHeight="1">
      <c r="A2622" s="158"/>
      <c r="B2622" s="159"/>
      <c r="C2622" s="160"/>
      <c r="D2622" s="130"/>
      <c r="E2622" s="130"/>
      <c r="F2622" s="161"/>
      <c r="G2622" s="164"/>
      <c r="H2622" s="76" t="b">
        <v>1</v>
      </c>
      <c r="I2622" s="76" t="b">
        <v>0</v>
      </c>
      <c r="J2622" s="76" t="b">
        <v>0</v>
      </c>
      <c r="K2622" s="76" t="b">
        <v>0</v>
      </c>
      <c r="L2622" s="76" t="b">
        <v>0</v>
      </c>
      <c r="M2622" s="76" t="b">
        <v>0</v>
      </c>
      <c r="N2622" s="76" t="b">
        <v>0</v>
      </c>
      <c r="O2622" s="76" t="b">
        <v>0</v>
      </c>
      <c r="P2622" s="76" t="b">
        <v>0</v>
      </c>
      <c r="Q2622" s="76" t="b">
        <v>0</v>
      </c>
      <c r="R2622" s="14"/>
      <c r="S2622" s="14"/>
      <c r="T2622" s="14"/>
      <c r="U2622" s="14"/>
      <c r="V2622" s="14"/>
      <c r="W2622" s="14"/>
    </row>
    <row r="2623" ht="31.5" customHeight="1">
      <c r="A2623" s="158"/>
      <c r="B2623" s="159"/>
      <c r="C2623" s="160"/>
      <c r="D2623" s="130"/>
      <c r="E2623" s="130"/>
      <c r="F2623" s="161"/>
      <c r="G2623" s="164"/>
      <c r="H2623" s="76" t="b">
        <v>1</v>
      </c>
      <c r="I2623" s="76" t="b">
        <v>0</v>
      </c>
      <c r="J2623" s="76" t="b">
        <v>0</v>
      </c>
      <c r="K2623" s="76" t="b">
        <v>0</v>
      </c>
      <c r="L2623" s="76" t="b">
        <v>0</v>
      </c>
      <c r="M2623" s="76" t="b">
        <v>0</v>
      </c>
      <c r="N2623" s="76" t="b">
        <v>0</v>
      </c>
      <c r="O2623" s="76" t="b">
        <v>0</v>
      </c>
      <c r="P2623" s="76" t="b">
        <v>0</v>
      </c>
      <c r="Q2623" s="76" t="b">
        <v>0</v>
      </c>
      <c r="R2623" s="14"/>
      <c r="S2623" s="14"/>
      <c r="T2623" s="14"/>
      <c r="U2623" s="14"/>
      <c r="V2623" s="14"/>
      <c r="W2623" s="14"/>
    </row>
    <row r="2624" ht="31.5" customHeight="1">
      <c r="A2624" s="158"/>
      <c r="B2624" s="159"/>
      <c r="C2624" s="160"/>
      <c r="D2624" s="130"/>
      <c r="E2624" s="130"/>
      <c r="F2624" s="161"/>
      <c r="G2624" s="164"/>
      <c r="H2624" s="76" t="b">
        <v>1</v>
      </c>
      <c r="I2624" s="76" t="b">
        <v>0</v>
      </c>
      <c r="J2624" s="76" t="b">
        <v>0</v>
      </c>
      <c r="K2624" s="76" t="b">
        <v>0</v>
      </c>
      <c r="L2624" s="76" t="b">
        <v>0</v>
      </c>
      <c r="M2624" s="76" t="b">
        <v>0</v>
      </c>
      <c r="N2624" s="76" t="b">
        <v>0</v>
      </c>
      <c r="O2624" s="76" t="b">
        <v>0</v>
      </c>
      <c r="P2624" s="76" t="b">
        <v>0</v>
      </c>
      <c r="Q2624" s="76" t="b">
        <v>0</v>
      </c>
      <c r="R2624" s="14"/>
      <c r="S2624" s="14"/>
      <c r="T2624" s="14"/>
      <c r="U2624" s="14"/>
      <c r="V2624" s="14"/>
      <c r="W2624" s="14"/>
    </row>
    <row r="2625" ht="31.5" customHeight="1">
      <c r="A2625" s="158"/>
      <c r="B2625" s="159"/>
      <c r="C2625" s="160"/>
      <c r="D2625" s="130"/>
      <c r="E2625" s="130"/>
      <c r="F2625" s="161"/>
      <c r="G2625" s="164"/>
      <c r="H2625" s="76" t="b">
        <v>1</v>
      </c>
      <c r="I2625" s="76" t="b">
        <v>0</v>
      </c>
      <c r="J2625" s="76" t="b">
        <v>0</v>
      </c>
      <c r="K2625" s="76" t="b">
        <v>0</v>
      </c>
      <c r="L2625" s="76" t="b">
        <v>0</v>
      </c>
      <c r="M2625" s="76" t="b">
        <v>0</v>
      </c>
      <c r="N2625" s="76" t="b">
        <v>0</v>
      </c>
      <c r="O2625" s="76" t="b">
        <v>0</v>
      </c>
      <c r="P2625" s="76" t="b">
        <v>0</v>
      </c>
      <c r="Q2625" s="76" t="b">
        <v>0</v>
      </c>
      <c r="R2625" s="14"/>
      <c r="S2625" s="14"/>
      <c r="T2625" s="14"/>
      <c r="U2625" s="14"/>
      <c r="V2625" s="14"/>
      <c r="W2625" s="14"/>
    </row>
    <row r="2626" ht="31.5" customHeight="1">
      <c r="A2626" s="158"/>
      <c r="B2626" s="159"/>
      <c r="C2626" s="160"/>
      <c r="D2626" s="130"/>
      <c r="E2626" s="130"/>
      <c r="F2626" s="161"/>
      <c r="G2626" s="164"/>
      <c r="H2626" s="76" t="b">
        <v>1</v>
      </c>
      <c r="I2626" s="76" t="b">
        <v>0</v>
      </c>
      <c r="J2626" s="76" t="b">
        <v>0</v>
      </c>
      <c r="K2626" s="76" t="b">
        <v>0</v>
      </c>
      <c r="L2626" s="76" t="b">
        <v>0</v>
      </c>
      <c r="M2626" s="76" t="b">
        <v>0</v>
      </c>
      <c r="N2626" s="76" t="b">
        <v>0</v>
      </c>
      <c r="O2626" s="76" t="b">
        <v>0</v>
      </c>
      <c r="P2626" s="76" t="b">
        <v>0</v>
      </c>
      <c r="Q2626" s="76" t="b">
        <v>0</v>
      </c>
      <c r="R2626" s="14"/>
      <c r="S2626" s="14"/>
      <c r="T2626" s="14"/>
      <c r="U2626" s="14"/>
      <c r="V2626" s="14"/>
      <c r="W2626" s="14"/>
    </row>
    <row r="2627" ht="31.5" customHeight="1">
      <c r="A2627" s="158"/>
      <c r="B2627" s="159"/>
      <c r="C2627" s="160"/>
      <c r="D2627" s="130"/>
      <c r="E2627" s="130"/>
      <c r="F2627" s="161"/>
      <c r="G2627" s="164"/>
      <c r="H2627" s="76" t="b">
        <v>1</v>
      </c>
      <c r="I2627" s="76" t="b">
        <v>0</v>
      </c>
      <c r="J2627" s="76" t="b">
        <v>0</v>
      </c>
      <c r="K2627" s="76" t="b">
        <v>0</v>
      </c>
      <c r="L2627" s="76" t="b">
        <v>0</v>
      </c>
      <c r="M2627" s="76" t="b">
        <v>0</v>
      </c>
      <c r="N2627" s="76" t="b">
        <v>0</v>
      </c>
      <c r="O2627" s="76" t="b">
        <v>0</v>
      </c>
      <c r="P2627" s="76" t="b">
        <v>0</v>
      </c>
      <c r="Q2627" s="76" t="b">
        <v>0</v>
      </c>
      <c r="R2627" s="14"/>
      <c r="S2627" s="14"/>
      <c r="T2627" s="14"/>
      <c r="U2627" s="14"/>
      <c r="V2627" s="14"/>
      <c r="W2627" s="14"/>
    </row>
    <row r="2628" ht="31.5" customHeight="1">
      <c r="A2628" s="158"/>
      <c r="B2628" s="159"/>
      <c r="C2628" s="160"/>
      <c r="D2628" s="130"/>
      <c r="E2628" s="130"/>
      <c r="F2628" s="161"/>
      <c r="G2628" s="164"/>
      <c r="H2628" s="76" t="b">
        <v>1</v>
      </c>
      <c r="I2628" s="76" t="b">
        <v>0</v>
      </c>
      <c r="J2628" s="76" t="b">
        <v>0</v>
      </c>
      <c r="K2628" s="76" t="b">
        <v>0</v>
      </c>
      <c r="L2628" s="76" t="b">
        <v>0</v>
      </c>
      <c r="M2628" s="76" t="b">
        <v>0</v>
      </c>
      <c r="N2628" s="76" t="b">
        <v>0</v>
      </c>
      <c r="O2628" s="76" t="b">
        <v>0</v>
      </c>
      <c r="P2628" s="76" t="b">
        <v>0</v>
      </c>
      <c r="Q2628" s="76" t="b">
        <v>0</v>
      </c>
      <c r="R2628" s="14"/>
      <c r="S2628" s="14"/>
      <c r="T2628" s="14"/>
      <c r="U2628" s="14"/>
      <c r="V2628" s="14"/>
      <c r="W2628" s="14"/>
    </row>
    <row r="2629" ht="31.5" customHeight="1">
      <c r="A2629" s="158"/>
      <c r="B2629" s="159"/>
      <c r="C2629" s="160"/>
      <c r="D2629" s="130"/>
      <c r="E2629" s="130"/>
      <c r="F2629" s="161"/>
      <c r="G2629" s="164"/>
      <c r="H2629" s="76" t="b">
        <v>1</v>
      </c>
      <c r="I2629" s="76" t="b">
        <v>0</v>
      </c>
      <c r="J2629" s="76" t="b">
        <v>0</v>
      </c>
      <c r="K2629" s="76" t="b">
        <v>0</v>
      </c>
      <c r="L2629" s="76" t="b">
        <v>0</v>
      </c>
      <c r="M2629" s="76" t="b">
        <v>0</v>
      </c>
      <c r="N2629" s="76" t="b">
        <v>0</v>
      </c>
      <c r="O2629" s="76" t="b">
        <v>0</v>
      </c>
      <c r="P2629" s="76" t="b">
        <v>0</v>
      </c>
      <c r="Q2629" s="76" t="b">
        <v>0</v>
      </c>
      <c r="R2629" s="14"/>
      <c r="S2629" s="14"/>
      <c r="T2629" s="14"/>
      <c r="U2629" s="14"/>
      <c r="V2629" s="14"/>
      <c r="W2629" s="14"/>
    </row>
    <row r="2630" ht="31.5" customHeight="1">
      <c r="A2630" s="158"/>
      <c r="B2630" s="159"/>
      <c r="C2630" s="160"/>
      <c r="D2630" s="130"/>
      <c r="E2630" s="130"/>
      <c r="F2630" s="161"/>
      <c r="G2630" s="164"/>
      <c r="H2630" s="76" t="b">
        <v>1</v>
      </c>
      <c r="I2630" s="76" t="b">
        <v>0</v>
      </c>
      <c r="J2630" s="76" t="b">
        <v>0</v>
      </c>
      <c r="K2630" s="76" t="b">
        <v>0</v>
      </c>
      <c r="L2630" s="76" t="b">
        <v>0</v>
      </c>
      <c r="M2630" s="76" t="b">
        <v>0</v>
      </c>
      <c r="N2630" s="76" t="b">
        <v>0</v>
      </c>
      <c r="O2630" s="76" t="b">
        <v>0</v>
      </c>
      <c r="P2630" s="76" t="b">
        <v>0</v>
      </c>
      <c r="Q2630" s="76" t="b">
        <v>0</v>
      </c>
      <c r="R2630" s="14"/>
      <c r="S2630" s="14"/>
      <c r="T2630" s="14"/>
      <c r="U2630" s="14"/>
      <c r="V2630" s="14"/>
      <c r="W2630" s="14"/>
    </row>
    <row r="2631" ht="31.5" customHeight="1">
      <c r="A2631" s="158"/>
      <c r="B2631" s="159"/>
      <c r="C2631" s="160"/>
      <c r="D2631" s="130"/>
      <c r="E2631" s="130"/>
      <c r="F2631" s="161"/>
      <c r="G2631" s="164"/>
      <c r="H2631" s="76" t="b">
        <v>1</v>
      </c>
      <c r="I2631" s="76" t="b">
        <v>0</v>
      </c>
      <c r="J2631" s="76" t="b">
        <v>0</v>
      </c>
      <c r="K2631" s="76" t="b">
        <v>0</v>
      </c>
      <c r="L2631" s="76" t="b">
        <v>0</v>
      </c>
      <c r="M2631" s="76" t="b">
        <v>0</v>
      </c>
      <c r="N2631" s="76" t="b">
        <v>0</v>
      </c>
      <c r="O2631" s="76" t="b">
        <v>0</v>
      </c>
      <c r="P2631" s="76" t="b">
        <v>0</v>
      </c>
      <c r="Q2631" s="76" t="b">
        <v>0</v>
      </c>
      <c r="R2631" s="14"/>
      <c r="S2631" s="14"/>
      <c r="T2631" s="14"/>
      <c r="U2631" s="14"/>
      <c r="V2631" s="14"/>
      <c r="W2631" s="14"/>
    </row>
    <row r="2632" ht="31.5" customHeight="1">
      <c r="A2632" s="158"/>
      <c r="B2632" s="159"/>
      <c r="C2632" s="160"/>
      <c r="D2632" s="130"/>
      <c r="E2632" s="130"/>
      <c r="F2632" s="161"/>
      <c r="G2632" s="164"/>
      <c r="H2632" s="76" t="b">
        <v>1</v>
      </c>
      <c r="I2632" s="76" t="b">
        <v>0</v>
      </c>
      <c r="J2632" s="76" t="b">
        <v>0</v>
      </c>
      <c r="K2632" s="76" t="b">
        <v>0</v>
      </c>
      <c r="L2632" s="76" t="b">
        <v>0</v>
      </c>
      <c r="M2632" s="76" t="b">
        <v>0</v>
      </c>
      <c r="N2632" s="76" t="b">
        <v>0</v>
      </c>
      <c r="O2632" s="76" t="b">
        <v>0</v>
      </c>
      <c r="P2632" s="76" t="b">
        <v>0</v>
      </c>
      <c r="Q2632" s="76" t="b">
        <v>0</v>
      </c>
      <c r="R2632" s="14"/>
      <c r="S2632" s="14"/>
      <c r="T2632" s="14"/>
      <c r="U2632" s="14"/>
      <c r="V2632" s="14"/>
      <c r="W2632" s="14"/>
    </row>
    <row r="2633" ht="31.5" customHeight="1">
      <c r="A2633" s="158"/>
      <c r="B2633" s="159"/>
      <c r="C2633" s="160"/>
      <c r="D2633" s="130"/>
      <c r="E2633" s="130"/>
      <c r="F2633" s="161"/>
      <c r="G2633" s="164"/>
      <c r="H2633" s="76" t="b">
        <v>1</v>
      </c>
      <c r="I2633" s="76" t="b">
        <v>0</v>
      </c>
      <c r="J2633" s="76" t="b">
        <v>0</v>
      </c>
      <c r="K2633" s="76" t="b">
        <v>0</v>
      </c>
      <c r="L2633" s="76" t="b">
        <v>0</v>
      </c>
      <c r="M2633" s="76" t="b">
        <v>0</v>
      </c>
      <c r="N2633" s="76" t="b">
        <v>0</v>
      </c>
      <c r="O2633" s="76" t="b">
        <v>0</v>
      </c>
      <c r="P2633" s="76" t="b">
        <v>0</v>
      </c>
      <c r="Q2633" s="76" t="b">
        <v>0</v>
      </c>
      <c r="R2633" s="14"/>
      <c r="S2633" s="14"/>
      <c r="T2633" s="14"/>
      <c r="U2633" s="14"/>
      <c r="V2633" s="14"/>
      <c r="W2633" s="14"/>
    </row>
    <row r="2634" ht="31.5" customHeight="1">
      <c r="A2634" s="158"/>
      <c r="B2634" s="159"/>
      <c r="C2634" s="160"/>
      <c r="D2634" s="130"/>
      <c r="E2634" s="130"/>
      <c r="F2634" s="161"/>
      <c r="G2634" s="164"/>
      <c r="H2634" s="76" t="b">
        <v>1</v>
      </c>
      <c r="I2634" s="76" t="b">
        <v>0</v>
      </c>
      <c r="J2634" s="76" t="b">
        <v>0</v>
      </c>
      <c r="K2634" s="76" t="b">
        <v>0</v>
      </c>
      <c r="L2634" s="76" t="b">
        <v>0</v>
      </c>
      <c r="M2634" s="76" t="b">
        <v>0</v>
      </c>
      <c r="N2634" s="76" t="b">
        <v>0</v>
      </c>
      <c r="O2634" s="76" t="b">
        <v>0</v>
      </c>
      <c r="P2634" s="76" t="b">
        <v>0</v>
      </c>
      <c r="Q2634" s="76" t="b">
        <v>0</v>
      </c>
      <c r="R2634" s="14"/>
      <c r="S2634" s="14"/>
      <c r="T2634" s="14"/>
      <c r="U2634" s="14"/>
      <c r="V2634" s="14"/>
      <c r="W2634" s="14"/>
    </row>
    <row r="2635" ht="31.5" customHeight="1">
      <c r="A2635" s="158"/>
      <c r="B2635" s="159"/>
      <c r="C2635" s="160"/>
      <c r="D2635" s="130"/>
      <c r="E2635" s="130"/>
      <c r="F2635" s="161"/>
      <c r="G2635" s="164"/>
      <c r="H2635" s="76" t="b">
        <v>1</v>
      </c>
      <c r="I2635" s="76" t="b">
        <v>0</v>
      </c>
      <c r="J2635" s="76" t="b">
        <v>0</v>
      </c>
      <c r="K2635" s="76" t="b">
        <v>0</v>
      </c>
      <c r="L2635" s="76" t="b">
        <v>0</v>
      </c>
      <c r="M2635" s="76" t="b">
        <v>0</v>
      </c>
      <c r="N2635" s="76" t="b">
        <v>0</v>
      </c>
      <c r="O2635" s="76" t="b">
        <v>0</v>
      </c>
      <c r="P2635" s="76" t="b">
        <v>0</v>
      </c>
      <c r="Q2635" s="76" t="b">
        <v>0</v>
      </c>
      <c r="R2635" s="14"/>
      <c r="S2635" s="14"/>
      <c r="T2635" s="14"/>
      <c r="U2635" s="14"/>
      <c r="V2635" s="14"/>
      <c r="W2635" s="14"/>
    </row>
    <row r="2636" ht="31.5" customHeight="1">
      <c r="A2636" s="158"/>
      <c r="B2636" s="159"/>
      <c r="C2636" s="160"/>
      <c r="D2636" s="130"/>
      <c r="E2636" s="130"/>
      <c r="F2636" s="161"/>
      <c r="G2636" s="164"/>
      <c r="H2636" s="76" t="b">
        <v>1</v>
      </c>
      <c r="I2636" s="76" t="b">
        <v>0</v>
      </c>
      <c r="J2636" s="76" t="b">
        <v>0</v>
      </c>
      <c r="K2636" s="76" t="b">
        <v>0</v>
      </c>
      <c r="L2636" s="76" t="b">
        <v>0</v>
      </c>
      <c r="M2636" s="76" t="b">
        <v>0</v>
      </c>
      <c r="N2636" s="76" t="b">
        <v>0</v>
      </c>
      <c r="O2636" s="76" t="b">
        <v>0</v>
      </c>
      <c r="P2636" s="76" t="b">
        <v>0</v>
      </c>
      <c r="Q2636" s="76" t="b">
        <v>0</v>
      </c>
      <c r="R2636" s="14"/>
      <c r="S2636" s="14"/>
      <c r="T2636" s="14"/>
      <c r="U2636" s="14"/>
      <c r="V2636" s="14"/>
      <c r="W2636" s="14"/>
    </row>
    <row r="2637" ht="31.5" customHeight="1">
      <c r="A2637" s="158"/>
      <c r="B2637" s="159"/>
      <c r="C2637" s="160"/>
      <c r="D2637" s="130"/>
      <c r="E2637" s="130"/>
      <c r="F2637" s="161"/>
      <c r="G2637" s="164"/>
      <c r="H2637" s="76" t="b">
        <v>1</v>
      </c>
      <c r="I2637" s="76" t="b">
        <v>0</v>
      </c>
      <c r="J2637" s="76" t="b">
        <v>0</v>
      </c>
      <c r="K2637" s="76" t="b">
        <v>0</v>
      </c>
      <c r="L2637" s="76" t="b">
        <v>0</v>
      </c>
      <c r="M2637" s="76" t="b">
        <v>0</v>
      </c>
      <c r="N2637" s="76" t="b">
        <v>0</v>
      </c>
      <c r="O2637" s="76" t="b">
        <v>0</v>
      </c>
      <c r="P2637" s="76" t="b">
        <v>0</v>
      </c>
      <c r="Q2637" s="76" t="b">
        <v>0</v>
      </c>
      <c r="R2637" s="14"/>
      <c r="S2637" s="14"/>
      <c r="T2637" s="14"/>
      <c r="U2637" s="14"/>
      <c r="V2637" s="14"/>
      <c r="W2637" s="14"/>
    </row>
    <row r="2638" ht="31.5" customHeight="1">
      <c r="A2638" s="158"/>
      <c r="B2638" s="159"/>
      <c r="C2638" s="160"/>
      <c r="D2638" s="130"/>
      <c r="E2638" s="130"/>
      <c r="F2638" s="161"/>
      <c r="G2638" s="164"/>
      <c r="H2638" s="76" t="b">
        <v>1</v>
      </c>
      <c r="I2638" s="76" t="b">
        <v>0</v>
      </c>
      <c r="J2638" s="76" t="b">
        <v>0</v>
      </c>
      <c r="K2638" s="76" t="b">
        <v>0</v>
      </c>
      <c r="L2638" s="76" t="b">
        <v>0</v>
      </c>
      <c r="M2638" s="76" t="b">
        <v>0</v>
      </c>
      <c r="N2638" s="76" t="b">
        <v>0</v>
      </c>
      <c r="O2638" s="76" t="b">
        <v>0</v>
      </c>
      <c r="P2638" s="76" t="b">
        <v>0</v>
      </c>
      <c r="Q2638" s="76" t="b">
        <v>0</v>
      </c>
      <c r="R2638" s="14"/>
      <c r="S2638" s="14"/>
      <c r="T2638" s="14"/>
      <c r="U2638" s="14"/>
      <c r="V2638" s="14"/>
      <c r="W2638" s="14"/>
    </row>
    <row r="2639" ht="31.5" customHeight="1">
      <c r="A2639" s="158"/>
      <c r="B2639" s="159"/>
      <c r="C2639" s="160"/>
      <c r="D2639" s="130"/>
      <c r="E2639" s="130"/>
      <c r="F2639" s="161"/>
      <c r="G2639" s="164"/>
      <c r="H2639" s="76" t="b">
        <v>1</v>
      </c>
      <c r="I2639" s="76" t="b">
        <v>0</v>
      </c>
      <c r="J2639" s="76" t="b">
        <v>0</v>
      </c>
      <c r="K2639" s="76" t="b">
        <v>0</v>
      </c>
      <c r="L2639" s="76" t="b">
        <v>0</v>
      </c>
      <c r="M2639" s="76" t="b">
        <v>0</v>
      </c>
      <c r="N2639" s="76" t="b">
        <v>0</v>
      </c>
      <c r="O2639" s="76" t="b">
        <v>0</v>
      </c>
      <c r="P2639" s="76" t="b">
        <v>0</v>
      </c>
      <c r="Q2639" s="76" t="b">
        <v>0</v>
      </c>
      <c r="R2639" s="14"/>
      <c r="S2639" s="14"/>
      <c r="T2639" s="14"/>
      <c r="U2639" s="14"/>
      <c r="V2639" s="14"/>
      <c r="W2639" s="14"/>
    </row>
    <row r="2640" ht="31.5" customHeight="1">
      <c r="A2640" s="158"/>
      <c r="B2640" s="159"/>
      <c r="C2640" s="160"/>
      <c r="D2640" s="130"/>
      <c r="E2640" s="130"/>
      <c r="F2640" s="161"/>
      <c r="G2640" s="164"/>
      <c r="H2640" s="76" t="b">
        <v>1</v>
      </c>
      <c r="I2640" s="76" t="b">
        <v>0</v>
      </c>
      <c r="J2640" s="76" t="b">
        <v>0</v>
      </c>
      <c r="K2640" s="76" t="b">
        <v>0</v>
      </c>
      <c r="L2640" s="76" t="b">
        <v>0</v>
      </c>
      <c r="M2640" s="76" t="b">
        <v>0</v>
      </c>
      <c r="N2640" s="76" t="b">
        <v>0</v>
      </c>
      <c r="O2640" s="76" t="b">
        <v>0</v>
      </c>
      <c r="P2640" s="76" t="b">
        <v>0</v>
      </c>
      <c r="Q2640" s="76" t="b">
        <v>0</v>
      </c>
      <c r="R2640" s="14"/>
      <c r="S2640" s="14"/>
      <c r="T2640" s="14"/>
      <c r="U2640" s="14"/>
      <c r="V2640" s="14"/>
      <c r="W2640" s="14"/>
    </row>
    <row r="2641" ht="31.5" customHeight="1">
      <c r="A2641" s="158"/>
      <c r="B2641" s="159"/>
      <c r="C2641" s="160"/>
      <c r="D2641" s="130"/>
      <c r="E2641" s="130"/>
      <c r="F2641" s="161"/>
      <c r="G2641" s="164"/>
      <c r="H2641" s="76" t="b">
        <v>1</v>
      </c>
      <c r="I2641" s="76" t="b">
        <v>0</v>
      </c>
      <c r="J2641" s="76" t="b">
        <v>0</v>
      </c>
      <c r="K2641" s="76" t="b">
        <v>0</v>
      </c>
      <c r="L2641" s="76" t="b">
        <v>0</v>
      </c>
      <c r="M2641" s="76" t="b">
        <v>0</v>
      </c>
      <c r="N2641" s="76" t="b">
        <v>0</v>
      </c>
      <c r="O2641" s="76" t="b">
        <v>0</v>
      </c>
      <c r="P2641" s="76" t="b">
        <v>0</v>
      </c>
      <c r="Q2641" s="76" t="b">
        <v>0</v>
      </c>
      <c r="R2641" s="14"/>
      <c r="S2641" s="14"/>
      <c r="T2641" s="14"/>
      <c r="U2641" s="14"/>
      <c r="V2641" s="14"/>
      <c r="W2641" s="14"/>
    </row>
    <row r="2642" ht="31.5" customHeight="1">
      <c r="A2642" s="158"/>
      <c r="B2642" s="159"/>
      <c r="C2642" s="160"/>
      <c r="D2642" s="130"/>
      <c r="E2642" s="130"/>
      <c r="F2642" s="161"/>
      <c r="G2642" s="164"/>
      <c r="H2642" s="76" t="b">
        <v>1</v>
      </c>
      <c r="I2642" s="76" t="b">
        <v>0</v>
      </c>
      <c r="J2642" s="76" t="b">
        <v>0</v>
      </c>
      <c r="K2642" s="76" t="b">
        <v>0</v>
      </c>
      <c r="L2642" s="76" t="b">
        <v>0</v>
      </c>
      <c r="M2642" s="76" t="b">
        <v>0</v>
      </c>
      <c r="N2642" s="76" t="b">
        <v>0</v>
      </c>
      <c r="O2642" s="76" t="b">
        <v>0</v>
      </c>
      <c r="P2642" s="76" t="b">
        <v>0</v>
      </c>
      <c r="Q2642" s="76" t="b">
        <v>0</v>
      </c>
      <c r="R2642" s="14"/>
      <c r="S2642" s="14"/>
      <c r="T2642" s="14"/>
      <c r="U2642" s="14"/>
      <c r="V2642" s="14"/>
      <c r="W2642" s="14"/>
    </row>
    <row r="2643" ht="31.5" customHeight="1">
      <c r="A2643" s="158"/>
      <c r="B2643" s="159"/>
      <c r="C2643" s="160"/>
      <c r="D2643" s="130"/>
      <c r="E2643" s="130"/>
      <c r="F2643" s="161"/>
      <c r="G2643" s="164"/>
      <c r="H2643" s="76" t="b">
        <v>1</v>
      </c>
      <c r="I2643" s="76" t="b">
        <v>0</v>
      </c>
      <c r="J2643" s="76" t="b">
        <v>0</v>
      </c>
      <c r="K2643" s="76" t="b">
        <v>0</v>
      </c>
      <c r="L2643" s="76" t="b">
        <v>0</v>
      </c>
      <c r="M2643" s="76" t="b">
        <v>0</v>
      </c>
      <c r="N2643" s="76" t="b">
        <v>0</v>
      </c>
      <c r="O2643" s="76" t="b">
        <v>0</v>
      </c>
      <c r="P2643" s="76" t="b">
        <v>0</v>
      </c>
      <c r="Q2643" s="76" t="b">
        <v>0</v>
      </c>
      <c r="R2643" s="14"/>
      <c r="S2643" s="14"/>
      <c r="T2643" s="14"/>
      <c r="U2643" s="14"/>
      <c r="V2643" s="14"/>
      <c r="W2643" s="14"/>
    </row>
    <row r="2644" ht="31.5" customHeight="1">
      <c r="A2644" s="158"/>
      <c r="B2644" s="159"/>
      <c r="C2644" s="160"/>
      <c r="D2644" s="130"/>
      <c r="E2644" s="130"/>
      <c r="F2644" s="161"/>
      <c r="G2644" s="164"/>
      <c r="H2644" s="76" t="b">
        <v>1</v>
      </c>
      <c r="I2644" s="76" t="b">
        <v>0</v>
      </c>
      <c r="J2644" s="76" t="b">
        <v>0</v>
      </c>
      <c r="K2644" s="76" t="b">
        <v>0</v>
      </c>
      <c r="L2644" s="76" t="b">
        <v>0</v>
      </c>
      <c r="M2644" s="76" t="b">
        <v>0</v>
      </c>
      <c r="N2644" s="76" t="b">
        <v>0</v>
      </c>
      <c r="O2644" s="76" t="b">
        <v>0</v>
      </c>
      <c r="P2644" s="76" t="b">
        <v>0</v>
      </c>
      <c r="Q2644" s="76" t="b">
        <v>0</v>
      </c>
      <c r="R2644" s="14"/>
      <c r="S2644" s="14"/>
      <c r="T2644" s="14"/>
      <c r="U2644" s="14"/>
      <c r="V2644" s="14"/>
      <c r="W2644" s="14"/>
    </row>
    <row r="2645" ht="31.5" customHeight="1">
      <c r="A2645" s="158"/>
      <c r="B2645" s="159"/>
      <c r="C2645" s="160"/>
      <c r="D2645" s="130"/>
      <c r="E2645" s="130"/>
      <c r="F2645" s="161"/>
      <c r="G2645" s="164"/>
      <c r="H2645" s="76" t="b">
        <v>1</v>
      </c>
      <c r="I2645" s="76" t="b">
        <v>0</v>
      </c>
      <c r="J2645" s="76" t="b">
        <v>0</v>
      </c>
      <c r="K2645" s="76" t="b">
        <v>0</v>
      </c>
      <c r="L2645" s="76" t="b">
        <v>0</v>
      </c>
      <c r="M2645" s="76" t="b">
        <v>0</v>
      </c>
      <c r="N2645" s="76" t="b">
        <v>0</v>
      </c>
      <c r="O2645" s="76" t="b">
        <v>0</v>
      </c>
      <c r="P2645" s="76" t="b">
        <v>0</v>
      </c>
      <c r="Q2645" s="76" t="b">
        <v>0</v>
      </c>
      <c r="R2645" s="14"/>
      <c r="S2645" s="14"/>
      <c r="T2645" s="14"/>
      <c r="U2645" s="14"/>
      <c r="V2645" s="14"/>
      <c r="W2645" s="14"/>
    </row>
    <row r="2646" ht="31.5" customHeight="1">
      <c r="A2646" s="158"/>
      <c r="B2646" s="159"/>
      <c r="C2646" s="160"/>
      <c r="D2646" s="130"/>
      <c r="E2646" s="130"/>
      <c r="F2646" s="161"/>
      <c r="G2646" s="164"/>
      <c r="H2646" s="76" t="b">
        <v>1</v>
      </c>
      <c r="I2646" s="76" t="b">
        <v>0</v>
      </c>
      <c r="J2646" s="76" t="b">
        <v>0</v>
      </c>
      <c r="K2646" s="76" t="b">
        <v>0</v>
      </c>
      <c r="L2646" s="76" t="b">
        <v>0</v>
      </c>
      <c r="M2646" s="76" t="b">
        <v>0</v>
      </c>
      <c r="N2646" s="76" t="b">
        <v>0</v>
      </c>
      <c r="O2646" s="76" t="b">
        <v>0</v>
      </c>
      <c r="P2646" s="76" t="b">
        <v>0</v>
      </c>
      <c r="Q2646" s="76" t="b">
        <v>0</v>
      </c>
      <c r="R2646" s="14"/>
      <c r="S2646" s="14"/>
      <c r="T2646" s="14"/>
      <c r="U2646" s="14"/>
      <c r="V2646" s="14"/>
      <c r="W2646" s="14"/>
    </row>
    <row r="2647" ht="31.5" customHeight="1">
      <c r="A2647" s="158"/>
      <c r="B2647" s="159"/>
      <c r="C2647" s="160"/>
      <c r="D2647" s="130"/>
      <c r="E2647" s="130"/>
      <c r="F2647" s="161"/>
      <c r="G2647" s="164"/>
      <c r="H2647" s="76" t="b">
        <v>1</v>
      </c>
      <c r="I2647" s="76" t="b">
        <v>0</v>
      </c>
      <c r="J2647" s="76" t="b">
        <v>0</v>
      </c>
      <c r="K2647" s="76" t="b">
        <v>0</v>
      </c>
      <c r="L2647" s="76" t="b">
        <v>0</v>
      </c>
      <c r="M2647" s="76" t="b">
        <v>0</v>
      </c>
      <c r="N2647" s="76" t="b">
        <v>0</v>
      </c>
      <c r="O2647" s="76" t="b">
        <v>0</v>
      </c>
      <c r="P2647" s="76" t="b">
        <v>0</v>
      </c>
      <c r="Q2647" s="76" t="b">
        <v>0</v>
      </c>
      <c r="R2647" s="14"/>
      <c r="S2647" s="14"/>
      <c r="T2647" s="14"/>
      <c r="U2647" s="14"/>
      <c r="V2647" s="14"/>
      <c r="W2647" s="14"/>
    </row>
    <row r="2648" ht="31.5" customHeight="1">
      <c r="A2648" s="158"/>
      <c r="B2648" s="159"/>
      <c r="C2648" s="160"/>
      <c r="D2648" s="130"/>
      <c r="E2648" s="130"/>
      <c r="F2648" s="161"/>
      <c r="G2648" s="164"/>
      <c r="H2648" s="76" t="b">
        <v>1</v>
      </c>
      <c r="I2648" s="76" t="b">
        <v>0</v>
      </c>
      <c r="J2648" s="76" t="b">
        <v>0</v>
      </c>
      <c r="K2648" s="76" t="b">
        <v>0</v>
      </c>
      <c r="L2648" s="76" t="b">
        <v>0</v>
      </c>
      <c r="M2648" s="76" t="b">
        <v>0</v>
      </c>
      <c r="N2648" s="76" t="b">
        <v>0</v>
      </c>
      <c r="O2648" s="76" t="b">
        <v>0</v>
      </c>
      <c r="P2648" s="76" t="b">
        <v>0</v>
      </c>
      <c r="Q2648" s="76" t="b">
        <v>0</v>
      </c>
      <c r="R2648" s="14"/>
      <c r="S2648" s="14"/>
      <c r="T2648" s="14"/>
      <c r="U2648" s="14"/>
      <c r="V2648" s="14"/>
      <c r="W2648" s="14"/>
    </row>
    <row r="2649" ht="31.5" customHeight="1">
      <c r="A2649" s="158"/>
      <c r="B2649" s="159"/>
      <c r="C2649" s="160"/>
      <c r="D2649" s="130"/>
      <c r="E2649" s="130"/>
      <c r="F2649" s="161"/>
      <c r="G2649" s="164"/>
      <c r="H2649" s="76" t="b">
        <v>1</v>
      </c>
      <c r="I2649" s="76" t="b">
        <v>0</v>
      </c>
      <c r="J2649" s="76" t="b">
        <v>0</v>
      </c>
      <c r="K2649" s="76" t="b">
        <v>0</v>
      </c>
      <c r="L2649" s="76" t="b">
        <v>0</v>
      </c>
      <c r="M2649" s="76" t="b">
        <v>0</v>
      </c>
      <c r="N2649" s="76" t="b">
        <v>0</v>
      </c>
      <c r="O2649" s="76" t="b">
        <v>0</v>
      </c>
      <c r="P2649" s="76" t="b">
        <v>0</v>
      </c>
      <c r="Q2649" s="76" t="b">
        <v>0</v>
      </c>
      <c r="R2649" s="14"/>
      <c r="S2649" s="14"/>
      <c r="T2649" s="14"/>
      <c r="U2649" s="14"/>
      <c r="V2649" s="14"/>
      <c r="W2649" s="14"/>
    </row>
    <row r="2650" ht="31.5" customHeight="1">
      <c r="A2650" s="158"/>
      <c r="B2650" s="159"/>
      <c r="C2650" s="160"/>
      <c r="D2650" s="130"/>
      <c r="E2650" s="130"/>
      <c r="F2650" s="161"/>
      <c r="G2650" s="164"/>
      <c r="H2650" s="76" t="b">
        <v>1</v>
      </c>
      <c r="I2650" s="76" t="b">
        <v>0</v>
      </c>
      <c r="J2650" s="76" t="b">
        <v>0</v>
      </c>
      <c r="K2650" s="76" t="b">
        <v>0</v>
      </c>
      <c r="L2650" s="76" t="b">
        <v>0</v>
      </c>
      <c r="M2650" s="76" t="b">
        <v>0</v>
      </c>
      <c r="N2650" s="76" t="b">
        <v>0</v>
      </c>
      <c r="O2650" s="76" t="b">
        <v>0</v>
      </c>
      <c r="P2650" s="76" t="b">
        <v>0</v>
      </c>
      <c r="Q2650" s="76" t="b">
        <v>0</v>
      </c>
      <c r="R2650" s="14"/>
      <c r="S2650" s="14"/>
      <c r="T2650" s="14"/>
      <c r="U2650" s="14"/>
      <c r="V2650" s="14"/>
      <c r="W2650" s="14"/>
    </row>
    <row r="2651" ht="31.5" customHeight="1">
      <c r="A2651" s="158"/>
      <c r="B2651" s="159"/>
      <c r="C2651" s="160"/>
      <c r="D2651" s="130"/>
      <c r="E2651" s="130"/>
      <c r="F2651" s="161"/>
      <c r="G2651" s="164"/>
      <c r="H2651" s="76" t="b">
        <v>1</v>
      </c>
      <c r="I2651" s="76" t="b">
        <v>0</v>
      </c>
      <c r="J2651" s="76" t="b">
        <v>0</v>
      </c>
      <c r="K2651" s="76" t="b">
        <v>0</v>
      </c>
      <c r="L2651" s="76" t="b">
        <v>0</v>
      </c>
      <c r="M2651" s="76" t="b">
        <v>0</v>
      </c>
      <c r="N2651" s="76" t="b">
        <v>0</v>
      </c>
      <c r="O2651" s="76" t="b">
        <v>0</v>
      </c>
      <c r="P2651" s="76" t="b">
        <v>0</v>
      </c>
      <c r="Q2651" s="76" t="b">
        <v>0</v>
      </c>
      <c r="R2651" s="14"/>
      <c r="S2651" s="14"/>
      <c r="T2651" s="14"/>
      <c r="U2651" s="14"/>
      <c r="V2651" s="14"/>
      <c r="W2651" s="14"/>
    </row>
    <row r="2652" ht="31.5" customHeight="1">
      <c r="A2652" s="158"/>
      <c r="B2652" s="159"/>
      <c r="C2652" s="160"/>
      <c r="D2652" s="130"/>
      <c r="E2652" s="130"/>
      <c r="F2652" s="161"/>
      <c r="G2652" s="164"/>
      <c r="H2652" s="76" t="b">
        <v>1</v>
      </c>
      <c r="I2652" s="76" t="b">
        <v>0</v>
      </c>
      <c r="J2652" s="76" t="b">
        <v>0</v>
      </c>
      <c r="K2652" s="76" t="b">
        <v>0</v>
      </c>
      <c r="L2652" s="76" t="b">
        <v>0</v>
      </c>
      <c r="M2652" s="76" t="b">
        <v>0</v>
      </c>
      <c r="N2652" s="76" t="b">
        <v>0</v>
      </c>
      <c r="O2652" s="76" t="b">
        <v>0</v>
      </c>
      <c r="P2652" s="76" t="b">
        <v>0</v>
      </c>
      <c r="Q2652" s="76" t="b">
        <v>0</v>
      </c>
      <c r="R2652" s="14"/>
      <c r="S2652" s="14"/>
      <c r="T2652" s="14"/>
      <c r="U2652" s="14"/>
      <c r="V2652" s="14"/>
      <c r="W2652" s="14"/>
    </row>
    <row r="2653" ht="31.5" customHeight="1">
      <c r="A2653" s="158"/>
      <c r="B2653" s="159"/>
      <c r="C2653" s="160"/>
      <c r="D2653" s="130"/>
      <c r="E2653" s="130"/>
      <c r="F2653" s="161"/>
      <c r="G2653" s="164"/>
      <c r="H2653" s="76" t="b">
        <v>1</v>
      </c>
      <c r="I2653" s="76" t="b">
        <v>0</v>
      </c>
      <c r="J2653" s="76" t="b">
        <v>0</v>
      </c>
      <c r="K2653" s="76" t="b">
        <v>0</v>
      </c>
      <c r="L2653" s="76" t="b">
        <v>0</v>
      </c>
      <c r="M2653" s="76" t="b">
        <v>0</v>
      </c>
      <c r="N2653" s="76" t="b">
        <v>0</v>
      </c>
      <c r="O2653" s="76" t="b">
        <v>0</v>
      </c>
      <c r="P2653" s="76" t="b">
        <v>0</v>
      </c>
      <c r="Q2653" s="76" t="b">
        <v>0</v>
      </c>
      <c r="R2653" s="14"/>
      <c r="S2653" s="14"/>
      <c r="T2653" s="14"/>
      <c r="U2653" s="14"/>
      <c r="V2653" s="14"/>
      <c r="W2653" s="14"/>
    </row>
    <row r="2654" ht="31.5" customHeight="1">
      <c r="A2654" s="158"/>
      <c r="B2654" s="159"/>
      <c r="C2654" s="160"/>
      <c r="D2654" s="130"/>
      <c r="E2654" s="130"/>
      <c r="F2654" s="161"/>
      <c r="G2654" s="164"/>
      <c r="H2654" s="76" t="b">
        <v>1</v>
      </c>
      <c r="I2654" s="76" t="b">
        <v>0</v>
      </c>
      <c r="J2654" s="76" t="b">
        <v>0</v>
      </c>
      <c r="K2654" s="76" t="b">
        <v>0</v>
      </c>
      <c r="L2654" s="76" t="b">
        <v>0</v>
      </c>
      <c r="M2654" s="76" t="b">
        <v>0</v>
      </c>
      <c r="N2654" s="76" t="b">
        <v>0</v>
      </c>
      <c r="O2654" s="76" t="b">
        <v>0</v>
      </c>
      <c r="P2654" s="76" t="b">
        <v>0</v>
      </c>
      <c r="Q2654" s="76" t="b">
        <v>0</v>
      </c>
      <c r="R2654" s="14"/>
      <c r="S2654" s="14"/>
      <c r="T2654" s="14"/>
      <c r="U2654" s="14"/>
      <c r="V2654" s="14"/>
      <c r="W2654" s="14"/>
    </row>
    <row r="2655" ht="31.5" customHeight="1">
      <c r="A2655" s="158"/>
      <c r="B2655" s="159"/>
      <c r="C2655" s="160"/>
      <c r="D2655" s="130"/>
      <c r="E2655" s="130"/>
      <c r="F2655" s="161"/>
      <c r="G2655" s="164"/>
      <c r="H2655" s="76" t="b">
        <v>1</v>
      </c>
      <c r="I2655" s="76" t="b">
        <v>0</v>
      </c>
      <c r="J2655" s="76" t="b">
        <v>0</v>
      </c>
      <c r="K2655" s="76" t="b">
        <v>0</v>
      </c>
      <c r="L2655" s="76" t="b">
        <v>0</v>
      </c>
      <c r="M2655" s="76" t="b">
        <v>0</v>
      </c>
      <c r="N2655" s="76" t="b">
        <v>0</v>
      </c>
      <c r="O2655" s="76" t="b">
        <v>0</v>
      </c>
      <c r="P2655" s="76" t="b">
        <v>0</v>
      </c>
      <c r="Q2655" s="76" t="b">
        <v>0</v>
      </c>
      <c r="R2655" s="14"/>
      <c r="S2655" s="14"/>
      <c r="T2655" s="14"/>
      <c r="U2655" s="14"/>
      <c r="V2655" s="14"/>
      <c r="W2655" s="14"/>
    </row>
    <row r="2656" ht="31.5" customHeight="1">
      <c r="A2656" s="158"/>
      <c r="B2656" s="159"/>
      <c r="C2656" s="160"/>
      <c r="D2656" s="130"/>
      <c r="E2656" s="130"/>
      <c r="F2656" s="161"/>
      <c r="G2656" s="164"/>
      <c r="H2656" s="76" t="b">
        <v>1</v>
      </c>
      <c r="I2656" s="76" t="b">
        <v>0</v>
      </c>
      <c r="J2656" s="76" t="b">
        <v>0</v>
      </c>
      <c r="K2656" s="76" t="b">
        <v>0</v>
      </c>
      <c r="L2656" s="76" t="b">
        <v>0</v>
      </c>
      <c r="M2656" s="76" t="b">
        <v>0</v>
      </c>
      <c r="N2656" s="76" t="b">
        <v>0</v>
      </c>
      <c r="O2656" s="76" t="b">
        <v>0</v>
      </c>
      <c r="P2656" s="76" t="b">
        <v>0</v>
      </c>
      <c r="Q2656" s="76" t="b">
        <v>0</v>
      </c>
      <c r="R2656" s="14"/>
      <c r="S2656" s="14"/>
      <c r="T2656" s="14"/>
      <c r="U2656" s="14"/>
      <c r="V2656" s="14"/>
      <c r="W2656" s="14"/>
    </row>
    <row r="2657" ht="31.5" customHeight="1">
      <c r="A2657" s="158"/>
      <c r="B2657" s="159"/>
      <c r="C2657" s="160"/>
      <c r="D2657" s="130"/>
      <c r="E2657" s="130"/>
      <c r="F2657" s="161"/>
      <c r="G2657" s="164"/>
      <c r="H2657" s="76" t="b">
        <v>1</v>
      </c>
      <c r="I2657" s="76" t="b">
        <v>0</v>
      </c>
      <c r="J2657" s="76" t="b">
        <v>0</v>
      </c>
      <c r="K2657" s="76" t="b">
        <v>0</v>
      </c>
      <c r="L2657" s="76" t="b">
        <v>0</v>
      </c>
      <c r="M2657" s="76" t="b">
        <v>0</v>
      </c>
      <c r="N2657" s="76" t="b">
        <v>0</v>
      </c>
      <c r="O2657" s="76" t="b">
        <v>0</v>
      </c>
      <c r="P2657" s="76" t="b">
        <v>0</v>
      </c>
      <c r="Q2657" s="76" t="b">
        <v>0</v>
      </c>
      <c r="R2657" s="14"/>
      <c r="S2657" s="14"/>
      <c r="T2657" s="14"/>
      <c r="U2657" s="14"/>
      <c r="V2657" s="14"/>
      <c r="W2657" s="14"/>
    </row>
    <row r="2658" ht="31.5" customHeight="1">
      <c r="A2658" s="158"/>
      <c r="B2658" s="159"/>
      <c r="C2658" s="160"/>
      <c r="D2658" s="130"/>
      <c r="E2658" s="130"/>
      <c r="F2658" s="161"/>
      <c r="G2658" s="164"/>
      <c r="H2658" s="76" t="b">
        <v>1</v>
      </c>
      <c r="I2658" s="76" t="b">
        <v>0</v>
      </c>
      <c r="J2658" s="76" t="b">
        <v>0</v>
      </c>
      <c r="K2658" s="76" t="b">
        <v>0</v>
      </c>
      <c r="L2658" s="76" t="b">
        <v>0</v>
      </c>
      <c r="M2658" s="76" t="b">
        <v>0</v>
      </c>
      <c r="N2658" s="76" t="b">
        <v>0</v>
      </c>
      <c r="O2658" s="76" t="b">
        <v>0</v>
      </c>
      <c r="P2658" s="76" t="b">
        <v>0</v>
      </c>
      <c r="Q2658" s="76" t="b">
        <v>0</v>
      </c>
      <c r="R2658" s="14"/>
      <c r="S2658" s="14"/>
      <c r="T2658" s="14"/>
      <c r="U2658" s="14"/>
      <c r="V2658" s="14"/>
      <c r="W2658" s="14"/>
    </row>
    <row r="2659" ht="31.5" customHeight="1">
      <c r="A2659" s="158"/>
      <c r="B2659" s="159"/>
      <c r="C2659" s="160"/>
      <c r="D2659" s="130"/>
      <c r="E2659" s="130"/>
      <c r="F2659" s="161"/>
      <c r="G2659" s="164"/>
      <c r="H2659" s="76" t="b">
        <v>1</v>
      </c>
      <c r="I2659" s="76" t="b">
        <v>0</v>
      </c>
      <c r="J2659" s="76" t="b">
        <v>0</v>
      </c>
      <c r="K2659" s="76" t="b">
        <v>0</v>
      </c>
      <c r="L2659" s="76" t="b">
        <v>0</v>
      </c>
      <c r="M2659" s="76" t="b">
        <v>0</v>
      </c>
      <c r="N2659" s="76" t="b">
        <v>0</v>
      </c>
      <c r="O2659" s="76" t="b">
        <v>0</v>
      </c>
      <c r="P2659" s="76" t="b">
        <v>0</v>
      </c>
      <c r="Q2659" s="76" t="b">
        <v>0</v>
      </c>
      <c r="R2659" s="14"/>
      <c r="S2659" s="14"/>
      <c r="T2659" s="14"/>
      <c r="U2659" s="14"/>
      <c r="V2659" s="14"/>
      <c r="W2659" s="14"/>
    </row>
    <row r="2660" ht="31.5" customHeight="1">
      <c r="A2660" s="158"/>
      <c r="B2660" s="159"/>
      <c r="C2660" s="160"/>
      <c r="D2660" s="130"/>
      <c r="E2660" s="130"/>
      <c r="F2660" s="161"/>
      <c r="G2660" s="164"/>
      <c r="H2660" s="76" t="b">
        <v>1</v>
      </c>
      <c r="I2660" s="76" t="b">
        <v>0</v>
      </c>
      <c r="J2660" s="76" t="b">
        <v>0</v>
      </c>
      <c r="K2660" s="76" t="b">
        <v>0</v>
      </c>
      <c r="L2660" s="76" t="b">
        <v>0</v>
      </c>
      <c r="M2660" s="76" t="b">
        <v>0</v>
      </c>
      <c r="N2660" s="76" t="b">
        <v>0</v>
      </c>
      <c r="O2660" s="76" t="b">
        <v>0</v>
      </c>
      <c r="P2660" s="76" t="b">
        <v>0</v>
      </c>
      <c r="Q2660" s="76" t="b">
        <v>0</v>
      </c>
      <c r="R2660" s="14"/>
      <c r="S2660" s="14"/>
      <c r="T2660" s="14"/>
      <c r="U2660" s="14"/>
      <c r="V2660" s="14"/>
      <c r="W2660" s="14"/>
    </row>
    <row r="2661" ht="31.5" customHeight="1">
      <c r="A2661" s="158"/>
      <c r="B2661" s="159"/>
      <c r="C2661" s="160"/>
      <c r="D2661" s="130"/>
      <c r="E2661" s="130"/>
      <c r="F2661" s="161"/>
      <c r="G2661" s="164"/>
      <c r="H2661" s="76" t="b">
        <v>1</v>
      </c>
      <c r="I2661" s="76" t="b">
        <v>0</v>
      </c>
      <c r="J2661" s="76" t="b">
        <v>0</v>
      </c>
      <c r="K2661" s="76" t="b">
        <v>0</v>
      </c>
      <c r="L2661" s="76" t="b">
        <v>0</v>
      </c>
      <c r="M2661" s="76" t="b">
        <v>0</v>
      </c>
      <c r="N2661" s="76" t="b">
        <v>0</v>
      </c>
      <c r="O2661" s="76" t="b">
        <v>0</v>
      </c>
      <c r="P2661" s="76" t="b">
        <v>0</v>
      </c>
      <c r="Q2661" s="76" t="b">
        <v>0</v>
      </c>
      <c r="R2661" s="14"/>
      <c r="S2661" s="14"/>
      <c r="T2661" s="14"/>
      <c r="U2661" s="14"/>
      <c r="V2661" s="14"/>
      <c r="W2661" s="14"/>
    </row>
    <row r="2662" ht="31.5" customHeight="1">
      <c r="A2662" s="158"/>
      <c r="B2662" s="159"/>
      <c r="C2662" s="160"/>
      <c r="D2662" s="130"/>
      <c r="E2662" s="130"/>
      <c r="F2662" s="161"/>
      <c r="G2662" s="164"/>
      <c r="H2662" s="76" t="b">
        <v>1</v>
      </c>
      <c r="I2662" s="76" t="b">
        <v>0</v>
      </c>
      <c r="J2662" s="76" t="b">
        <v>0</v>
      </c>
      <c r="K2662" s="76" t="b">
        <v>0</v>
      </c>
      <c r="L2662" s="76" t="b">
        <v>0</v>
      </c>
      <c r="M2662" s="76" t="b">
        <v>0</v>
      </c>
      <c r="N2662" s="76" t="b">
        <v>0</v>
      </c>
      <c r="O2662" s="76" t="b">
        <v>0</v>
      </c>
      <c r="P2662" s="76" t="b">
        <v>0</v>
      </c>
      <c r="Q2662" s="76" t="b">
        <v>0</v>
      </c>
      <c r="R2662" s="14"/>
      <c r="S2662" s="14"/>
      <c r="T2662" s="14"/>
      <c r="U2662" s="14"/>
      <c r="V2662" s="14"/>
      <c r="W2662" s="14"/>
    </row>
    <row r="2663" ht="31.5" customHeight="1">
      <c r="A2663" s="158"/>
      <c r="B2663" s="159"/>
      <c r="C2663" s="160"/>
      <c r="D2663" s="130"/>
      <c r="E2663" s="130"/>
      <c r="F2663" s="161"/>
      <c r="G2663" s="164"/>
      <c r="H2663" s="76" t="b">
        <v>1</v>
      </c>
      <c r="I2663" s="76" t="b">
        <v>0</v>
      </c>
      <c r="J2663" s="76" t="b">
        <v>0</v>
      </c>
      <c r="K2663" s="76" t="b">
        <v>0</v>
      </c>
      <c r="L2663" s="76" t="b">
        <v>0</v>
      </c>
      <c r="M2663" s="76" t="b">
        <v>0</v>
      </c>
      <c r="N2663" s="76" t="b">
        <v>0</v>
      </c>
      <c r="O2663" s="76" t="b">
        <v>0</v>
      </c>
      <c r="P2663" s="76" t="b">
        <v>0</v>
      </c>
      <c r="Q2663" s="76" t="b">
        <v>0</v>
      </c>
      <c r="R2663" s="14"/>
      <c r="S2663" s="14"/>
      <c r="T2663" s="14"/>
      <c r="U2663" s="14"/>
      <c r="V2663" s="14"/>
      <c r="W2663" s="14"/>
    </row>
    <row r="2664" ht="31.5" customHeight="1">
      <c r="A2664" s="158"/>
      <c r="B2664" s="159"/>
      <c r="C2664" s="160"/>
      <c r="D2664" s="130"/>
      <c r="E2664" s="130"/>
      <c r="F2664" s="161"/>
      <c r="G2664" s="164"/>
      <c r="H2664" s="76" t="b">
        <v>1</v>
      </c>
      <c r="I2664" s="76" t="b">
        <v>0</v>
      </c>
      <c r="J2664" s="76" t="b">
        <v>0</v>
      </c>
      <c r="K2664" s="76" t="b">
        <v>0</v>
      </c>
      <c r="L2664" s="76" t="b">
        <v>0</v>
      </c>
      <c r="M2664" s="76" t="b">
        <v>0</v>
      </c>
      <c r="N2664" s="76" t="b">
        <v>0</v>
      </c>
      <c r="O2664" s="76" t="b">
        <v>0</v>
      </c>
      <c r="P2664" s="76" t="b">
        <v>0</v>
      </c>
      <c r="Q2664" s="76" t="b">
        <v>0</v>
      </c>
      <c r="R2664" s="14"/>
      <c r="S2664" s="14"/>
      <c r="T2664" s="14"/>
      <c r="U2664" s="14"/>
      <c r="V2664" s="14"/>
      <c r="W2664" s="14"/>
    </row>
    <row r="2665" ht="31.5" customHeight="1">
      <c r="A2665" s="158"/>
      <c r="B2665" s="159"/>
      <c r="C2665" s="160"/>
      <c r="D2665" s="130"/>
      <c r="E2665" s="130"/>
      <c r="F2665" s="161"/>
      <c r="G2665" s="164"/>
      <c r="H2665" s="76" t="b">
        <v>1</v>
      </c>
      <c r="I2665" s="76" t="b">
        <v>0</v>
      </c>
      <c r="J2665" s="76" t="b">
        <v>0</v>
      </c>
      <c r="K2665" s="76" t="b">
        <v>0</v>
      </c>
      <c r="L2665" s="76" t="b">
        <v>0</v>
      </c>
      <c r="M2665" s="76" t="b">
        <v>0</v>
      </c>
      <c r="N2665" s="76" t="b">
        <v>0</v>
      </c>
      <c r="O2665" s="76" t="b">
        <v>0</v>
      </c>
      <c r="P2665" s="76" t="b">
        <v>0</v>
      </c>
      <c r="Q2665" s="76" t="b">
        <v>0</v>
      </c>
      <c r="R2665" s="14"/>
      <c r="S2665" s="14"/>
      <c r="T2665" s="14"/>
      <c r="U2665" s="14"/>
      <c r="V2665" s="14"/>
      <c r="W2665" s="14"/>
    </row>
    <row r="2666" ht="31.5" customHeight="1">
      <c r="A2666" s="158"/>
      <c r="B2666" s="159"/>
      <c r="C2666" s="160"/>
      <c r="D2666" s="130"/>
      <c r="E2666" s="130"/>
      <c r="F2666" s="161"/>
      <c r="G2666" s="164"/>
      <c r="H2666" s="76" t="b">
        <v>1</v>
      </c>
      <c r="I2666" s="76" t="b">
        <v>0</v>
      </c>
      <c r="J2666" s="76" t="b">
        <v>0</v>
      </c>
      <c r="K2666" s="76" t="b">
        <v>0</v>
      </c>
      <c r="L2666" s="76" t="b">
        <v>0</v>
      </c>
      <c r="M2666" s="76" t="b">
        <v>0</v>
      </c>
      <c r="N2666" s="76" t="b">
        <v>0</v>
      </c>
      <c r="O2666" s="76" t="b">
        <v>0</v>
      </c>
      <c r="P2666" s="76" t="b">
        <v>0</v>
      </c>
      <c r="Q2666" s="76" t="b">
        <v>0</v>
      </c>
      <c r="R2666" s="14"/>
      <c r="S2666" s="14"/>
      <c r="T2666" s="14"/>
      <c r="U2666" s="14"/>
      <c r="V2666" s="14"/>
      <c r="W2666" s="14"/>
    </row>
    <row r="2667" ht="31.5" customHeight="1">
      <c r="A2667" s="158"/>
      <c r="B2667" s="159"/>
      <c r="C2667" s="160"/>
      <c r="D2667" s="130"/>
      <c r="E2667" s="130"/>
      <c r="F2667" s="161"/>
      <c r="G2667" s="164"/>
      <c r="H2667" s="76" t="b">
        <v>1</v>
      </c>
      <c r="I2667" s="76" t="b">
        <v>0</v>
      </c>
      <c r="J2667" s="76" t="b">
        <v>0</v>
      </c>
      <c r="K2667" s="76" t="b">
        <v>0</v>
      </c>
      <c r="L2667" s="76" t="b">
        <v>0</v>
      </c>
      <c r="M2667" s="76" t="b">
        <v>0</v>
      </c>
      <c r="N2667" s="76" t="b">
        <v>0</v>
      </c>
      <c r="O2667" s="76" t="b">
        <v>0</v>
      </c>
      <c r="P2667" s="76" t="b">
        <v>0</v>
      </c>
      <c r="Q2667" s="76" t="b">
        <v>0</v>
      </c>
      <c r="R2667" s="14"/>
      <c r="S2667" s="14"/>
      <c r="T2667" s="14"/>
      <c r="U2667" s="14"/>
      <c r="V2667" s="14"/>
      <c r="W2667" s="14"/>
    </row>
    <row r="2668" ht="31.5" customHeight="1">
      <c r="A2668" s="158"/>
      <c r="B2668" s="159"/>
      <c r="C2668" s="160"/>
      <c r="D2668" s="130"/>
      <c r="E2668" s="130"/>
      <c r="F2668" s="161"/>
      <c r="G2668" s="164"/>
      <c r="H2668" s="76" t="b">
        <v>1</v>
      </c>
      <c r="I2668" s="76" t="b">
        <v>0</v>
      </c>
      <c r="J2668" s="76" t="b">
        <v>0</v>
      </c>
      <c r="K2668" s="76" t="b">
        <v>0</v>
      </c>
      <c r="L2668" s="76" t="b">
        <v>0</v>
      </c>
      <c r="M2668" s="76" t="b">
        <v>0</v>
      </c>
      <c r="N2668" s="76" t="b">
        <v>0</v>
      </c>
      <c r="O2668" s="76" t="b">
        <v>0</v>
      </c>
      <c r="P2668" s="76" t="b">
        <v>0</v>
      </c>
      <c r="Q2668" s="76" t="b">
        <v>0</v>
      </c>
      <c r="R2668" s="14"/>
      <c r="S2668" s="14"/>
      <c r="T2668" s="14"/>
      <c r="U2668" s="14"/>
      <c r="V2668" s="14"/>
      <c r="W2668" s="14"/>
    </row>
    <row r="2669" ht="31.5" customHeight="1">
      <c r="A2669" s="158"/>
      <c r="B2669" s="159"/>
      <c r="C2669" s="160"/>
      <c r="D2669" s="130"/>
      <c r="E2669" s="130"/>
      <c r="F2669" s="161"/>
      <c r="G2669" s="164"/>
      <c r="H2669" s="76" t="b">
        <v>1</v>
      </c>
      <c r="I2669" s="76" t="b">
        <v>0</v>
      </c>
      <c r="J2669" s="76" t="b">
        <v>0</v>
      </c>
      <c r="K2669" s="76" t="b">
        <v>0</v>
      </c>
      <c r="L2669" s="76" t="b">
        <v>0</v>
      </c>
      <c r="M2669" s="76" t="b">
        <v>0</v>
      </c>
      <c r="N2669" s="76" t="b">
        <v>0</v>
      </c>
      <c r="O2669" s="76" t="b">
        <v>0</v>
      </c>
      <c r="P2669" s="76" t="b">
        <v>0</v>
      </c>
      <c r="Q2669" s="76" t="b">
        <v>0</v>
      </c>
      <c r="R2669" s="14"/>
      <c r="S2669" s="14"/>
      <c r="T2669" s="14"/>
      <c r="U2669" s="14"/>
      <c r="V2669" s="14"/>
      <c r="W2669" s="14"/>
    </row>
    <row r="2670" ht="31.5" customHeight="1">
      <c r="A2670" s="158"/>
      <c r="B2670" s="159"/>
      <c r="C2670" s="160"/>
      <c r="D2670" s="130"/>
      <c r="E2670" s="130"/>
      <c r="F2670" s="161"/>
      <c r="G2670" s="164"/>
      <c r="H2670" s="76" t="b">
        <v>1</v>
      </c>
      <c r="I2670" s="76" t="b">
        <v>0</v>
      </c>
      <c r="J2670" s="76" t="b">
        <v>0</v>
      </c>
      <c r="K2670" s="76" t="b">
        <v>0</v>
      </c>
      <c r="L2670" s="76" t="b">
        <v>0</v>
      </c>
      <c r="M2670" s="76" t="b">
        <v>0</v>
      </c>
      <c r="N2670" s="76" t="b">
        <v>0</v>
      </c>
      <c r="O2670" s="76" t="b">
        <v>0</v>
      </c>
      <c r="P2670" s="76" t="b">
        <v>0</v>
      </c>
      <c r="Q2670" s="76" t="b">
        <v>0</v>
      </c>
      <c r="R2670" s="14"/>
      <c r="S2670" s="14"/>
      <c r="T2670" s="14"/>
      <c r="U2670" s="14"/>
      <c r="V2670" s="14"/>
      <c r="W2670" s="14"/>
    </row>
    <row r="2671" ht="31.5" customHeight="1">
      <c r="A2671" s="158"/>
      <c r="B2671" s="159"/>
      <c r="C2671" s="160"/>
      <c r="D2671" s="130"/>
      <c r="E2671" s="130"/>
      <c r="F2671" s="161"/>
      <c r="G2671" s="164"/>
      <c r="H2671" s="76" t="b">
        <v>1</v>
      </c>
      <c r="I2671" s="76" t="b">
        <v>0</v>
      </c>
      <c r="J2671" s="76" t="b">
        <v>0</v>
      </c>
      <c r="K2671" s="76" t="b">
        <v>0</v>
      </c>
      <c r="L2671" s="76" t="b">
        <v>0</v>
      </c>
      <c r="M2671" s="76" t="b">
        <v>0</v>
      </c>
      <c r="N2671" s="76" t="b">
        <v>0</v>
      </c>
      <c r="O2671" s="76" t="b">
        <v>0</v>
      </c>
      <c r="P2671" s="76" t="b">
        <v>0</v>
      </c>
      <c r="Q2671" s="76" t="b">
        <v>0</v>
      </c>
      <c r="R2671" s="14"/>
      <c r="S2671" s="14"/>
      <c r="T2671" s="14"/>
      <c r="U2671" s="14"/>
      <c r="V2671" s="14"/>
      <c r="W2671" s="14"/>
    </row>
    <row r="2672" ht="31.5" customHeight="1">
      <c r="A2672" s="158"/>
      <c r="B2672" s="159"/>
      <c r="C2672" s="160"/>
      <c r="D2672" s="130"/>
      <c r="E2672" s="130"/>
      <c r="F2672" s="161"/>
      <c r="G2672" s="164"/>
      <c r="H2672" s="76" t="b">
        <v>1</v>
      </c>
      <c r="I2672" s="76" t="b">
        <v>0</v>
      </c>
      <c r="J2672" s="76" t="b">
        <v>0</v>
      </c>
      <c r="K2672" s="76" t="b">
        <v>0</v>
      </c>
      <c r="L2672" s="76" t="b">
        <v>0</v>
      </c>
      <c r="M2672" s="76" t="b">
        <v>0</v>
      </c>
      <c r="N2672" s="76" t="b">
        <v>0</v>
      </c>
      <c r="O2672" s="76" t="b">
        <v>0</v>
      </c>
      <c r="P2672" s="76" t="b">
        <v>0</v>
      </c>
      <c r="Q2672" s="76" t="b">
        <v>0</v>
      </c>
      <c r="R2672" s="14"/>
      <c r="S2672" s="14"/>
      <c r="T2672" s="14"/>
      <c r="U2672" s="14"/>
      <c r="V2672" s="14"/>
      <c r="W2672" s="14"/>
    </row>
    <row r="2673" ht="31.5" customHeight="1">
      <c r="A2673" s="158"/>
      <c r="B2673" s="159"/>
      <c r="C2673" s="160"/>
      <c r="D2673" s="130"/>
      <c r="E2673" s="130"/>
      <c r="F2673" s="161"/>
      <c r="G2673" s="164"/>
      <c r="H2673" s="76" t="b">
        <v>1</v>
      </c>
      <c r="I2673" s="76" t="b">
        <v>0</v>
      </c>
      <c r="J2673" s="76" t="b">
        <v>0</v>
      </c>
      <c r="K2673" s="76" t="b">
        <v>0</v>
      </c>
      <c r="L2673" s="76" t="b">
        <v>0</v>
      </c>
      <c r="M2673" s="76" t="b">
        <v>0</v>
      </c>
      <c r="N2673" s="76" t="b">
        <v>0</v>
      </c>
      <c r="O2673" s="76" t="b">
        <v>0</v>
      </c>
      <c r="P2673" s="76" t="b">
        <v>0</v>
      </c>
      <c r="Q2673" s="76" t="b">
        <v>0</v>
      </c>
      <c r="R2673" s="14"/>
      <c r="S2673" s="14"/>
      <c r="T2673" s="14"/>
      <c r="U2673" s="14"/>
      <c r="V2673" s="14"/>
      <c r="W2673" s="14"/>
    </row>
    <row r="2674" ht="31.5" customHeight="1">
      <c r="A2674" s="158"/>
      <c r="B2674" s="159"/>
      <c r="C2674" s="160"/>
      <c r="D2674" s="130"/>
      <c r="E2674" s="130"/>
      <c r="F2674" s="161"/>
      <c r="G2674" s="164"/>
      <c r="H2674" s="76" t="b">
        <v>1</v>
      </c>
      <c r="I2674" s="76" t="b">
        <v>0</v>
      </c>
      <c r="J2674" s="76" t="b">
        <v>0</v>
      </c>
      <c r="K2674" s="76" t="b">
        <v>0</v>
      </c>
      <c r="L2674" s="76" t="b">
        <v>0</v>
      </c>
      <c r="M2674" s="76" t="b">
        <v>0</v>
      </c>
      <c r="N2674" s="76" t="b">
        <v>0</v>
      </c>
      <c r="O2674" s="76" t="b">
        <v>0</v>
      </c>
      <c r="P2674" s="76" t="b">
        <v>0</v>
      </c>
      <c r="Q2674" s="76" t="b">
        <v>0</v>
      </c>
      <c r="R2674" s="14"/>
      <c r="S2674" s="14"/>
      <c r="T2674" s="14"/>
      <c r="U2674" s="14"/>
      <c r="V2674" s="14"/>
      <c r="W2674" s="14"/>
    </row>
    <row r="2675" ht="31.5" customHeight="1">
      <c r="A2675" s="158"/>
      <c r="B2675" s="159"/>
      <c r="C2675" s="160"/>
      <c r="D2675" s="130"/>
      <c r="E2675" s="130"/>
      <c r="F2675" s="161"/>
      <c r="G2675" s="164"/>
      <c r="H2675" s="76" t="b">
        <v>1</v>
      </c>
      <c r="I2675" s="76" t="b">
        <v>0</v>
      </c>
      <c r="J2675" s="76" t="b">
        <v>0</v>
      </c>
      <c r="K2675" s="76" t="b">
        <v>0</v>
      </c>
      <c r="L2675" s="76" t="b">
        <v>0</v>
      </c>
      <c r="M2675" s="76" t="b">
        <v>0</v>
      </c>
      <c r="N2675" s="76" t="b">
        <v>0</v>
      </c>
      <c r="O2675" s="76" t="b">
        <v>0</v>
      </c>
      <c r="P2675" s="76" t="b">
        <v>0</v>
      </c>
      <c r="Q2675" s="76" t="b">
        <v>0</v>
      </c>
      <c r="R2675" s="14"/>
      <c r="S2675" s="14"/>
      <c r="T2675" s="14"/>
      <c r="U2675" s="14"/>
      <c r="V2675" s="14"/>
      <c r="W2675" s="14"/>
    </row>
    <row r="2676" ht="31.5" customHeight="1">
      <c r="A2676" s="158"/>
      <c r="B2676" s="159"/>
      <c r="C2676" s="160"/>
      <c r="D2676" s="130"/>
      <c r="E2676" s="130"/>
      <c r="F2676" s="161"/>
      <c r="G2676" s="164"/>
      <c r="H2676" s="76" t="b">
        <v>1</v>
      </c>
      <c r="I2676" s="76" t="b">
        <v>0</v>
      </c>
      <c r="J2676" s="76" t="b">
        <v>0</v>
      </c>
      <c r="K2676" s="76" t="b">
        <v>0</v>
      </c>
      <c r="L2676" s="76" t="b">
        <v>0</v>
      </c>
      <c r="M2676" s="76" t="b">
        <v>0</v>
      </c>
      <c r="N2676" s="76" t="b">
        <v>0</v>
      </c>
      <c r="O2676" s="76" t="b">
        <v>0</v>
      </c>
      <c r="P2676" s="76" t="b">
        <v>0</v>
      </c>
      <c r="Q2676" s="76" t="b">
        <v>0</v>
      </c>
      <c r="R2676" s="14"/>
      <c r="S2676" s="14"/>
      <c r="T2676" s="14"/>
      <c r="U2676" s="14"/>
      <c r="V2676" s="14"/>
      <c r="W2676" s="14"/>
    </row>
    <row r="2677" ht="31.5" customHeight="1">
      <c r="A2677" s="158"/>
      <c r="B2677" s="159"/>
      <c r="C2677" s="160"/>
      <c r="D2677" s="130"/>
      <c r="E2677" s="130"/>
      <c r="F2677" s="161"/>
      <c r="G2677" s="164"/>
      <c r="H2677" s="76" t="b">
        <v>1</v>
      </c>
      <c r="I2677" s="76" t="b">
        <v>0</v>
      </c>
      <c r="J2677" s="76" t="b">
        <v>0</v>
      </c>
      <c r="K2677" s="76" t="b">
        <v>0</v>
      </c>
      <c r="L2677" s="76" t="b">
        <v>0</v>
      </c>
      <c r="M2677" s="76" t="b">
        <v>0</v>
      </c>
      <c r="N2677" s="76" t="b">
        <v>0</v>
      </c>
      <c r="O2677" s="76" t="b">
        <v>0</v>
      </c>
      <c r="P2677" s="76" t="b">
        <v>0</v>
      </c>
      <c r="Q2677" s="76" t="b">
        <v>0</v>
      </c>
      <c r="R2677" s="14"/>
      <c r="S2677" s="14"/>
      <c r="T2677" s="14"/>
      <c r="U2677" s="14"/>
      <c r="V2677" s="14"/>
      <c r="W2677" s="14"/>
    </row>
    <row r="2678" ht="31.5" customHeight="1">
      <c r="A2678" s="158"/>
      <c r="B2678" s="159"/>
      <c r="C2678" s="160"/>
      <c r="D2678" s="130"/>
      <c r="E2678" s="130"/>
      <c r="F2678" s="161"/>
      <c r="G2678" s="164"/>
      <c r="H2678" s="76" t="b">
        <v>1</v>
      </c>
      <c r="I2678" s="76" t="b">
        <v>0</v>
      </c>
      <c r="J2678" s="76" t="b">
        <v>0</v>
      </c>
      <c r="K2678" s="76" t="b">
        <v>0</v>
      </c>
      <c r="L2678" s="76" t="b">
        <v>0</v>
      </c>
      <c r="M2678" s="76" t="b">
        <v>0</v>
      </c>
      <c r="N2678" s="76" t="b">
        <v>0</v>
      </c>
      <c r="O2678" s="76" t="b">
        <v>0</v>
      </c>
      <c r="P2678" s="76" t="b">
        <v>0</v>
      </c>
      <c r="Q2678" s="76" t="b">
        <v>0</v>
      </c>
      <c r="R2678" s="14"/>
      <c r="S2678" s="14"/>
      <c r="T2678" s="14"/>
      <c r="U2678" s="14"/>
      <c r="V2678" s="14"/>
      <c r="W2678" s="14"/>
    </row>
    <row r="2679" ht="31.5" customHeight="1">
      <c r="A2679" s="158"/>
      <c r="B2679" s="159"/>
      <c r="C2679" s="160"/>
      <c r="D2679" s="130"/>
      <c r="E2679" s="130"/>
      <c r="F2679" s="161"/>
      <c r="G2679" s="164"/>
      <c r="H2679" s="76" t="b">
        <v>1</v>
      </c>
      <c r="I2679" s="76" t="b">
        <v>0</v>
      </c>
      <c r="J2679" s="76" t="b">
        <v>0</v>
      </c>
      <c r="K2679" s="76" t="b">
        <v>0</v>
      </c>
      <c r="L2679" s="76" t="b">
        <v>0</v>
      </c>
      <c r="M2679" s="76" t="b">
        <v>0</v>
      </c>
      <c r="N2679" s="76" t="b">
        <v>0</v>
      </c>
      <c r="O2679" s="76" t="b">
        <v>0</v>
      </c>
      <c r="P2679" s="76" t="b">
        <v>0</v>
      </c>
      <c r="Q2679" s="76" t="b">
        <v>0</v>
      </c>
      <c r="R2679" s="14"/>
      <c r="S2679" s="14"/>
      <c r="T2679" s="14"/>
      <c r="U2679" s="14"/>
      <c r="V2679" s="14"/>
      <c r="W2679" s="14"/>
    </row>
    <row r="2680" ht="31.5" customHeight="1">
      <c r="A2680" s="158"/>
      <c r="B2680" s="159"/>
      <c r="C2680" s="160"/>
      <c r="D2680" s="130"/>
      <c r="E2680" s="130"/>
      <c r="F2680" s="161"/>
      <c r="G2680" s="164"/>
      <c r="H2680" s="76" t="b">
        <v>1</v>
      </c>
      <c r="I2680" s="76" t="b">
        <v>0</v>
      </c>
      <c r="J2680" s="76" t="b">
        <v>0</v>
      </c>
      <c r="K2680" s="76" t="b">
        <v>0</v>
      </c>
      <c r="L2680" s="76" t="b">
        <v>0</v>
      </c>
      <c r="M2680" s="76" t="b">
        <v>0</v>
      </c>
      <c r="N2680" s="76" t="b">
        <v>0</v>
      </c>
      <c r="O2680" s="76" t="b">
        <v>0</v>
      </c>
      <c r="P2680" s="76" t="b">
        <v>0</v>
      </c>
      <c r="Q2680" s="76" t="b">
        <v>0</v>
      </c>
      <c r="R2680" s="14"/>
      <c r="S2680" s="14"/>
      <c r="T2680" s="14"/>
      <c r="U2680" s="14"/>
      <c r="V2680" s="14"/>
      <c r="W2680" s="14"/>
    </row>
    <row r="2681" ht="31.5" customHeight="1">
      <c r="A2681" s="158"/>
      <c r="B2681" s="159"/>
      <c r="C2681" s="160"/>
      <c r="D2681" s="130"/>
      <c r="E2681" s="130"/>
      <c r="F2681" s="161"/>
      <c r="G2681" s="164"/>
      <c r="H2681" s="76" t="b">
        <v>1</v>
      </c>
      <c r="I2681" s="76" t="b">
        <v>0</v>
      </c>
      <c r="J2681" s="76" t="b">
        <v>0</v>
      </c>
      <c r="K2681" s="76" t="b">
        <v>0</v>
      </c>
      <c r="L2681" s="76" t="b">
        <v>0</v>
      </c>
      <c r="M2681" s="76" t="b">
        <v>0</v>
      </c>
      <c r="N2681" s="76" t="b">
        <v>0</v>
      </c>
      <c r="O2681" s="76" t="b">
        <v>0</v>
      </c>
      <c r="P2681" s="76" t="b">
        <v>0</v>
      </c>
      <c r="Q2681" s="76" t="b">
        <v>0</v>
      </c>
      <c r="R2681" s="14"/>
      <c r="S2681" s="14"/>
      <c r="T2681" s="14"/>
      <c r="U2681" s="14"/>
      <c r="V2681" s="14"/>
      <c r="W2681" s="14"/>
    </row>
    <row r="2682" ht="31.5" customHeight="1">
      <c r="A2682" s="158"/>
      <c r="B2682" s="159"/>
      <c r="C2682" s="160"/>
      <c r="D2682" s="130"/>
      <c r="E2682" s="130"/>
      <c r="F2682" s="161"/>
      <c r="G2682" s="164"/>
      <c r="H2682" s="76" t="b">
        <v>1</v>
      </c>
      <c r="I2682" s="76" t="b">
        <v>0</v>
      </c>
      <c r="J2682" s="76" t="b">
        <v>0</v>
      </c>
      <c r="K2682" s="76" t="b">
        <v>0</v>
      </c>
      <c r="L2682" s="76" t="b">
        <v>0</v>
      </c>
      <c r="M2682" s="76" t="b">
        <v>0</v>
      </c>
      <c r="N2682" s="76" t="b">
        <v>0</v>
      </c>
      <c r="O2682" s="76" t="b">
        <v>0</v>
      </c>
      <c r="P2682" s="76" t="b">
        <v>0</v>
      </c>
      <c r="Q2682" s="76" t="b">
        <v>0</v>
      </c>
      <c r="R2682" s="14"/>
      <c r="S2682" s="14"/>
      <c r="T2682" s="14"/>
      <c r="U2682" s="14"/>
      <c r="V2682" s="14"/>
      <c r="W2682" s="14"/>
    </row>
    <row r="2683" ht="31.5" customHeight="1">
      <c r="A2683" s="158"/>
      <c r="B2683" s="159"/>
      <c r="C2683" s="160"/>
      <c r="D2683" s="130"/>
      <c r="E2683" s="130"/>
      <c r="F2683" s="161"/>
      <c r="G2683" s="164"/>
      <c r="H2683" s="76" t="b">
        <v>1</v>
      </c>
      <c r="I2683" s="76" t="b">
        <v>0</v>
      </c>
      <c r="J2683" s="76" t="b">
        <v>0</v>
      </c>
      <c r="K2683" s="76" t="b">
        <v>0</v>
      </c>
      <c r="L2683" s="76" t="b">
        <v>0</v>
      </c>
      <c r="M2683" s="76" t="b">
        <v>0</v>
      </c>
      <c r="N2683" s="76" t="b">
        <v>0</v>
      </c>
      <c r="O2683" s="76" t="b">
        <v>0</v>
      </c>
      <c r="P2683" s="76" t="b">
        <v>0</v>
      </c>
      <c r="Q2683" s="76" t="b">
        <v>0</v>
      </c>
      <c r="R2683" s="14"/>
      <c r="S2683" s="14"/>
      <c r="T2683" s="14"/>
      <c r="U2683" s="14"/>
      <c r="V2683" s="14"/>
      <c r="W2683" s="14"/>
    </row>
    <row r="2684" ht="31.5" customHeight="1">
      <c r="A2684" s="158"/>
      <c r="B2684" s="159"/>
      <c r="C2684" s="160"/>
      <c r="D2684" s="130"/>
      <c r="E2684" s="130"/>
      <c r="F2684" s="161"/>
      <c r="G2684" s="164"/>
      <c r="H2684" s="76" t="b">
        <v>1</v>
      </c>
      <c r="I2684" s="76" t="b">
        <v>0</v>
      </c>
      <c r="J2684" s="76" t="b">
        <v>0</v>
      </c>
      <c r="K2684" s="76" t="b">
        <v>0</v>
      </c>
      <c r="L2684" s="76" t="b">
        <v>0</v>
      </c>
      <c r="M2684" s="76" t="b">
        <v>0</v>
      </c>
      <c r="N2684" s="76" t="b">
        <v>0</v>
      </c>
      <c r="O2684" s="76" t="b">
        <v>0</v>
      </c>
      <c r="P2684" s="76" t="b">
        <v>0</v>
      </c>
      <c r="Q2684" s="76" t="b">
        <v>0</v>
      </c>
      <c r="R2684" s="14"/>
      <c r="S2684" s="14"/>
      <c r="T2684" s="14"/>
      <c r="U2684" s="14"/>
      <c r="V2684" s="14"/>
      <c r="W2684" s="14"/>
    </row>
    <row r="2685" ht="31.5" customHeight="1">
      <c r="A2685" s="158"/>
      <c r="B2685" s="159"/>
      <c r="C2685" s="160"/>
      <c r="D2685" s="130"/>
      <c r="E2685" s="130"/>
      <c r="F2685" s="161"/>
      <c r="G2685" s="164"/>
      <c r="H2685" s="76" t="b">
        <v>1</v>
      </c>
      <c r="I2685" s="76" t="b">
        <v>0</v>
      </c>
      <c r="J2685" s="76" t="b">
        <v>0</v>
      </c>
      <c r="K2685" s="76" t="b">
        <v>0</v>
      </c>
      <c r="L2685" s="76" t="b">
        <v>0</v>
      </c>
      <c r="M2685" s="76" t="b">
        <v>0</v>
      </c>
      <c r="N2685" s="76" t="b">
        <v>0</v>
      </c>
      <c r="O2685" s="76" t="b">
        <v>0</v>
      </c>
      <c r="P2685" s="76" t="b">
        <v>0</v>
      </c>
      <c r="Q2685" s="76" t="b">
        <v>0</v>
      </c>
      <c r="R2685" s="14"/>
      <c r="S2685" s="14"/>
      <c r="T2685" s="14"/>
      <c r="U2685" s="14"/>
      <c r="V2685" s="14"/>
      <c r="W2685" s="14"/>
    </row>
    <row r="2686" ht="31.5" customHeight="1">
      <c r="A2686" s="158"/>
      <c r="B2686" s="159"/>
      <c r="C2686" s="160"/>
      <c r="D2686" s="130"/>
      <c r="E2686" s="130"/>
      <c r="F2686" s="161"/>
      <c r="G2686" s="164"/>
      <c r="H2686" s="76" t="b">
        <v>1</v>
      </c>
      <c r="I2686" s="76" t="b">
        <v>0</v>
      </c>
      <c r="J2686" s="76" t="b">
        <v>0</v>
      </c>
      <c r="K2686" s="76" t="b">
        <v>0</v>
      </c>
      <c r="L2686" s="76" t="b">
        <v>0</v>
      </c>
      <c r="M2686" s="76" t="b">
        <v>0</v>
      </c>
      <c r="N2686" s="76" t="b">
        <v>0</v>
      </c>
      <c r="O2686" s="76" t="b">
        <v>0</v>
      </c>
      <c r="P2686" s="76" t="b">
        <v>0</v>
      </c>
      <c r="Q2686" s="76" t="b">
        <v>0</v>
      </c>
      <c r="R2686" s="14"/>
      <c r="S2686" s="14"/>
      <c r="T2686" s="14"/>
      <c r="U2686" s="14"/>
      <c r="V2686" s="14"/>
      <c r="W2686" s="14"/>
    </row>
    <row r="2687" ht="31.5" customHeight="1">
      <c r="A2687" s="158"/>
      <c r="B2687" s="159"/>
      <c r="C2687" s="160"/>
      <c r="D2687" s="130"/>
      <c r="E2687" s="130"/>
      <c r="F2687" s="161"/>
      <c r="G2687" s="164"/>
      <c r="H2687" s="76" t="b">
        <v>1</v>
      </c>
      <c r="I2687" s="76" t="b">
        <v>0</v>
      </c>
      <c r="J2687" s="76" t="b">
        <v>0</v>
      </c>
      <c r="K2687" s="76" t="b">
        <v>0</v>
      </c>
      <c r="L2687" s="76" t="b">
        <v>0</v>
      </c>
      <c r="M2687" s="76" t="b">
        <v>0</v>
      </c>
      <c r="N2687" s="76" t="b">
        <v>0</v>
      </c>
      <c r="O2687" s="76" t="b">
        <v>0</v>
      </c>
      <c r="P2687" s="76" t="b">
        <v>0</v>
      </c>
      <c r="Q2687" s="76" t="b">
        <v>0</v>
      </c>
      <c r="R2687" s="14"/>
      <c r="S2687" s="14"/>
      <c r="T2687" s="14"/>
      <c r="U2687" s="14"/>
      <c r="V2687" s="14"/>
      <c r="W2687" s="14"/>
    </row>
    <row r="2688" ht="31.5" customHeight="1">
      <c r="A2688" s="158"/>
      <c r="B2688" s="159"/>
      <c r="C2688" s="160"/>
      <c r="D2688" s="130"/>
      <c r="E2688" s="130"/>
      <c r="F2688" s="161"/>
      <c r="G2688" s="164"/>
      <c r="H2688" s="76" t="b">
        <v>1</v>
      </c>
      <c r="I2688" s="76" t="b">
        <v>0</v>
      </c>
      <c r="J2688" s="76" t="b">
        <v>0</v>
      </c>
      <c r="K2688" s="76" t="b">
        <v>0</v>
      </c>
      <c r="L2688" s="76" t="b">
        <v>0</v>
      </c>
      <c r="M2688" s="76" t="b">
        <v>0</v>
      </c>
      <c r="N2688" s="76" t="b">
        <v>0</v>
      </c>
      <c r="O2688" s="76" t="b">
        <v>0</v>
      </c>
      <c r="P2688" s="76" t="b">
        <v>0</v>
      </c>
      <c r="Q2688" s="76" t="b">
        <v>0</v>
      </c>
      <c r="R2688" s="14"/>
      <c r="S2688" s="14"/>
      <c r="T2688" s="14"/>
      <c r="U2688" s="14"/>
      <c r="V2688" s="14"/>
      <c r="W2688" s="14"/>
    </row>
    <row r="2689" ht="31.5" customHeight="1">
      <c r="A2689" s="158"/>
      <c r="B2689" s="159"/>
      <c r="C2689" s="160"/>
      <c r="D2689" s="130"/>
      <c r="E2689" s="130"/>
      <c r="F2689" s="161"/>
      <c r="G2689" s="164"/>
      <c r="H2689" s="76" t="b">
        <v>1</v>
      </c>
      <c r="I2689" s="76" t="b">
        <v>0</v>
      </c>
      <c r="J2689" s="76" t="b">
        <v>0</v>
      </c>
      <c r="K2689" s="76" t="b">
        <v>0</v>
      </c>
      <c r="L2689" s="76" t="b">
        <v>0</v>
      </c>
      <c r="M2689" s="76" t="b">
        <v>0</v>
      </c>
      <c r="N2689" s="76" t="b">
        <v>0</v>
      </c>
      <c r="O2689" s="76" t="b">
        <v>0</v>
      </c>
      <c r="P2689" s="76" t="b">
        <v>0</v>
      </c>
      <c r="Q2689" s="76" t="b">
        <v>0</v>
      </c>
      <c r="R2689" s="14"/>
      <c r="S2689" s="14"/>
      <c r="T2689" s="14"/>
      <c r="U2689" s="14"/>
      <c r="V2689" s="14"/>
      <c r="W2689" s="14"/>
    </row>
    <row r="2690" ht="31.5" customHeight="1">
      <c r="A2690" s="158"/>
      <c r="B2690" s="159"/>
      <c r="C2690" s="160"/>
      <c r="D2690" s="130"/>
      <c r="E2690" s="130"/>
      <c r="F2690" s="161"/>
      <c r="G2690" s="164"/>
      <c r="H2690" s="76" t="b">
        <v>1</v>
      </c>
      <c r="I2690" s="76" t="b">
        <v>0</v>
      </c>
      <c r="J2690" s="76" t="b">
        <v>0</v>
      </c>
      <c r="K2690" s="76" t="b">
        <v>0</v>
      </c>
      <c r="L2690" s="76" t="b">
        <v>0</v>
      </c>
      <c r="M2690" s="76" t="b">
        <v>0</v>
      </c>
      <c r="N2690" s="76" t="b">
        <v>0</v>
      </c>
      <c r="O2690" s="76" t="b">
        <v>0</v>
      </c>
      <c r="P2690" s="76" t="b">
        <v>0</v>
      </c>
      <c r="Q2690" s="76" t="b">
        <v>0</v>
      </c>
      <c r="R2690" s="14"/>
      <c r="S2690" s="14"/>
      <c r="T2690" s="14"/>
      <c r="U2690" s="14"/>
      <c r="V2690" s="14"/>
      <c r="W2690" s="14"/>
    </row>
    <row r="2691" ht="31.5" customHeight="1">
      <c r="A2691" s="158"/>
      <c r="B2691" s="159"/>
      <c r="C2691" s="160"/>
      <c r="D2691" s="130"/>
      <c r="E2691" s="130"/>
      <c r="F2691" s="161"/>
      <c r="G2691" s="164"/>
      <c r="H2691" s="76" t="b">
        <v>1</v>
      </c>
      <c r="I2691" s="76" t="b">
        <v>0</v>
      </c>
      <c r="J2691" s="76" t="b">
        <v>0</v>
      </c>
      <c r="K2691" s="76" t="b">
        <v>0</v>
      </c>
      <c r="L2691" s="76" t="b">
        <v>0</v>
      </c>
      <c r="M2691" s="76" t="b">
        <v>0</v>
      </c>
      <c r="N2691" s="76" t="b">
        <v>0</v>
      </c>
      <c r="O2691" s="76" t="b">
        <v>0</v>
      </c>
      <c r="P2691" s="76" t="b">
        <v>0</v>
      </c>
      <c r="Q2691" s="76" t="b">
        <v>0</v>
      </c>
      <c r="R2691" s="14"/>
      <c r="S2691" s="14"/>
      <c r="T2691" s="14"/>
      <c r="U2691" s="14"/>
      <c r="V2691" s="14"/>
      <c r="W2691" s="14"/>
    </row>
    <row r="2692" ht="31.5" customHeight="1">
      <c r="A2692" s="158"/>
      <c r="B2692" s="159"/>
      <c r="C2692" s="160"/>
      <c r="D2692" s="130"/>
      <c r="E2692" s="130"/>
      <c r="F2692" s="161"/>
      <c r="G2692" s="164"/>
      <c r="H2692" s="76" t="b">
        <v>1</v>
      </c>
      <c r="I2692" s="76" t="b">
        <v>0</v>
      </c>
      <c r="J2692" s="76" t="b">
        <v>0</v>
      </c>
      <c r="K2692" s="76" t="b">
        <v>0</v>
      </c>
      <c r="L2692" s="76" t="b">
        <v>0</v>
      </c>
      <c r="M2692" s="76" t="b">
        <v>0</v>
      </c>
      <c r="N2692" s="76" t="b">
        <v>0</v>
      </c>
      <c r="O2692" s="76" t="b">
        <v>0</v>
      </c>
      <c r="P2692" s="76" t="b">
        <v>0</v>
      </c>
      <c r="Q2692" s="76" t="b">
        <v>0</v>
      </c>
      <c r="R2692" s="14"/>
      <c r="S2692" s="14"/>
      <c r="T2692" s="14"/>
      <c r="U2692" s="14"/>
      <c r="V2692" s="14"/>
      <c r="W2692" s="14"/>
    </row>
    <row r="2693" ht="31.5" customHeight="1">
      <c r="A2693" s="158"/>
      <c r="B2693" s="159"/>
      <c r="C2693" s="160"/>
      <c r="D2693" s="130"/>
      <c r="E2693" s="130"/>
      <c r="F2693" s="161"/>
      <c r="G2693" s="164"/>
      <c r="H2693" s="76" t="b">
        <v>1</v>
      </c>
      <c r="I2693" s="76" t="b">
        <v>0</v>
      </c>
      <c r="J2693" s="76" t="b">
        <v>0</v>
      </c>
      <c r="K2693" s="76" t="b">
        <v>0</v>
      </c>
      <c r="L2693" s="76" t="b">
        <v>0</v>
      </c>
      <c r="M2693" s="76" t="b">
        <v>0</v>
      </c>
      <c r="N2693" s="76" t="b">
        <v>0</v>
      </c>
      <c r="O2693" s="76" t="b">
        <v>0</v>
      </c>
      <c r="P2693" s="76" t="b">
        <v>0</v>
      </c>
      <c r="Q2693" s="76" t="b">
        <v>0</v>
      </c>
      <c r="R2693" s="14"/>
      <c r="S2693" s="14"/>
      <c r="T2693" s="14"/>
      <c r="U2693" s="14"/>
      <c r="V2693" s="14"/>
      <c r="W2693" s="14"/>
    </row>
    <row r="2694" ht="31.5" customHeight="1">
      <c r="A2694" s="158"/>
      <c r="B2694" s="159"/>
      <c r="C2694" s="160"/>
      <c r="D2694" s="130"/>
      <c r="E2694" s="130"/>
      <c r="F2694" s="161"/>
      <c r="G2694" s="164"/>
      <c r="H2694" s="76" t="b">
        <v>1</v>
      </c>
      <c r="I2694" s="76" t="b">
        <v>0</v>
      </c>
      <c r="J2694" s="76" t="b">
        <v>0</v>
      </c>
      <c r="K2694" s="76" t="b">
        <v>0</v>
      </c>
      <c r="L2694" s="76" t="b">
        <v>0</v>
      </c>
      <c r="M2694" s="76" t="b">
        <v>0</v>
      </c>
      <c r="N2694" s="76" t="b">
        <v>0</v>
      </c>
      <c r="O2694" s="76" t="b">
        <v>0</v>
      </c>
      <c r="P2694" s="76" t="b">
        <v>0</v>
      </c>
      <c r="Q2694" s="76" t="b">
        <v>0</v>
      </c>
      <c r="R2694" s="14"/>
      <c r="S2694" s="14"/>
      <c r="T2694" s="14"/>
      <c r="U2694" s="14"/>
      <c r="V2694" s="14"/>
      <c r="W2694" s="14"/>
    </row>
    <row r="2695" ht="31.5" customHeight="1">
      <c r="A2695" s="158"/>
      <c r="B2695" s="159"/>
      <c r="C2695" s="160"/>
      <c r="D2695" s="130"/>
      <c r="E2695" s="130"/>
      <c r="F2695" s="161"/>
      <c r="G2695" s="164"/>
      <c r="H2695" s="76" t="b">
        <v>1</v>
      </c>
      <c r="I2695" s="76" t="b">
        <v>0</v>
      </c>
      <c r="J2695" s="76" t="b">
        <v>0</v>
      </c>
      <c r="K2695" s="76" t="b">
        <v>0</v>
      </c>
      <c r="L2695" s="76" t="b">
        <v>0</v>
      </c>
      <c r="M2695" s="76" t="b">
        <v>0</v>
      </c>
      <c r="N2695" s="76" t="b">
        <v>0</v>
      </c>
      <c r="O2695" s="76" t="b">
        <v>0</v>
      </c>
      <c r="P2695" s="76" t="b">
        <v>0</v>
      </c>
      <c r="Q2695" s="76" t="b">
        <v>0</v>
      </c>
      <c r="R2695" s="14"/>
      <c r="S2695" s="14"/>
      <c r="T2695" s="14"/>
      <c r="U2695" s="14"/>
      <c r="V2695" s="14"/>
      <c r="W2695" s="14"/>
    </row>
    <row r="2696" ht="31.5" customHeight="1">
      <c r="A2696" s="158"/>
      <c r="B2696" s="159"/>
      <c r="C2696" s="160"/>
      <c r="D2696" s="130"/>
      <c r="E2696" s="130"/>
      <c r="F2696" s="161"/>
      <c r="G2696" s="164"/>
      <c r="H2696" s="76" t="b">
        <v>1</v>
      </c>
      <c r="I2696" s="76" t="b">
        <v>0</v>
      </c>
      <c r="J2696" s="76" t="b">
        <v>0</v>
      </c>
      <c r="K2696" s="76" t="b">
        <v>0</v>
      </c>
      <c r="L2696" s="76" t="b">
        <v>0</v>
      </c>
      <c r="M2696" s="76" t="b">
        <v>0</v>
      </c>
      <c r="N2696" s="76" t="b">
        <v>0</v>
      </c>
      <c r="O2696" s="76" t="b">
        <v>0</v>
      </c>
      <c r="P2696" s="76" t="b">
        <v>0</v>
      </c>
      <c r="Q2696" s="76" t="b">
        <v>0</v>
      </c>
      <c r="R2696" s="14"/>
      <c r="S2696" s="14"/>
      <c r="T2696" s="14"/>
      <c r="U2696" s="14"/>
      <c r="V2696" s="14"/>
      <c r="W2696" s="14"/>
    </row>
    <row r="2697" ht="31.5" customHeight="1">
      <c r="A2697" s="158"/>
      <c r="B2697" s="159"/>
      <c r="C2697" s="160"/>
      <c r="D2697" s="130"/>
      <c r="E2697" s="130"/>
      <c r="F2697" s="161"/>
      <c r="G2697" s="164"/>
      <c r="H2697" s="76" t="b">
        <v>1</v>
      </c>
      <c r="I2697" s="76" t="b">
        <v>0</v>
      </c>
      <c r="J2697" s="76" t="b">
        <v>0</v>
      </c>
      <c r="K2697" s="76" t="b">
        <v>0</v>
      </c>
      <c r="L2697" s="76" t="b">
        <v>0</v>
      </c>
      <c r="M2697" s="76" t="b">
        <v>0</v>
      </c>
      <c r="N2697" s="76" t="b">
        <v>0</v>
      </c>
      <c r="O2697" s="76" t="b">
        <v>0</v>
      </c>
      <c r="P2697" s="76" t="b">
        <v>0</v>
      </c>
      <c r="Q2697" s="76" t="b">
        <v>0</v>
      </c>
      <c r="R2697" s="14"/>
      <c r="S2697" s="14"/>
      <c r="T2697" s="14"/>
      <c r="U2697" s="14"/>
      <c r="V2697" s="14"/>
      <c r="W2697" s="14"/>
    </row>
    <row r="2698" ht="31.5" customHeight="1">
      <c r="A2698" s="158"/>
      <c r="B2698" s="159"/>
      <c r="C2698" s="160"/>
      <c r="D2698" s="130"/>
      <c r="E2698" s="130"/>
      <c r="F2698" s="161"/>
      <c r="G2698" s="164"/>
      <c r="H2698" s="76" t="b">
        <v>1</v>
      </c>
      <c r="I2698" s="76" t="b">
        <v>0</v>
      </c>
      <c r="J2698" s="76" t="b">
        <v>0</v>
      </c>
      <c r="K2698" s="76" t="b">
        <v>0</v>
      </c>
      <c r="L2698" s="76" t="b">
        <v>0</v>
      </c>
      <c r="M2698" s="76" t="b">
        <v>0</v>
      </c>
      <c r="N2698" s="76" t="b">
        <v>0</v>
      </c>
      <c r="O2698" s="76" t="b">
        <v>0</v>
      </c>
      <c r="P2698" s="76" t="b">
        <v>0</v>
      </c>
      <c r="Q2698" s="76" t="b">
        <v>0</v>
      </c>
      <c r="R2698" s="14"/>
      <c r="S2698" s="14"/>
      <c r="T2698" s="14"/>
      <c r="U2698" s="14"/>
      <c r="V2698" s="14"/>
      <c r="W2698" s="14"/>
    </row>
    <row r="2699" ht="31.5" customHeight="1">
      <c r="A2699" s="158"/>
      <c r="B2699" s="159"/>
      <c r="C2699" s="160"/>
      <c r="D2699" s="130"/>
      <c r="E2699" s="130"/>
      <c r="F2699" s="161"/>
      <c r="G2699" s="164"/>
      <c r="H2699" s="76" t="b">
        <v>1</v>
      </c>
      <c r="I2699" s="76" t="b">
        <v>0</v>
      </c>
      <c r="J2699" s="76" t="b">
        <v>0</v>
      </c>
      <c r="K2699" s="76" t="b">
        <v>0</v>
      </c>
      <c r="L2699" s="76" t="b">
        <v>0</v>
      </c>
      <c r="M2699" s="76" t="b">
        <v>0</v>
      </c>
      <c r="N2699" s="76" t="b">
        <v>0</v>
      </c>
      <c r="O2699" s="76" t="b">
        <v>0</v>
      </c>
      <c r="P2699" s="76" t="b">
        <v>0</v>
      </c>
      <c r="Q2699" s="76" t="b">
        <v>0</v>
      </c>
      <c r="R2699" s="14"/>
      <c r="S2699" s="14"/>
      <c r="T2699" s="14"/>
      <c r="U2699" s="14"/>
      <c r="V2699" s="14"/>
      <c r="W2699" s="14"/>
    </row>
    <row r="2700" ht="31.5" customHeight="1">
      <c r="A2700" s="158"/>
      <c r="B2700" s="159"/>
      <c r="C2700" s="160"/>
      <c r="D2700" s="130"/>
      <c r="E2700" s="130"/>
      <c r="F2700" s="161"/>
      <c r="G2700" s="164"/>
      <c r="H2700" s="76" t="b">
        <v>1</v>
      </c>
      <c r="I2700" s="76" t="b">
        <v>0</v>
      </c>
      <c r="J2700" s="76" t="b">
        <v>0</v>
      </c>
      <c r="K2700" s="76" t="b">
        <v>0</v>
      </c>
      <c r="L2700" s="76" t="b">
        <v>0</v>
      </c>
      <c r="M2700" s="76" t="b">
        <v>0</v>
      </c>
      <c r="N2700" s="76" t="b">
        <v>0</v>
      </c>
      <c r="O2700" s="76" t="b">
        <v>0</v>
      </c>
      <c r="P2700" s="76" t="b">
        <v>0</v>
      </c>
      <c r="Q2700" s="76" t="b">
        <v>0</v>
      </c>
      <c r="R2700" s="14"/>
      <c r="S2700" s="14"/>
      <c r="T2700" s="14"/>
      <c r="U2700" s="14"/>
      <c r="V2700" s="14"/>
      <c r="W2700" s="14"/>
    </row>
    <row r="2701" ht="31.5" customHeight="1">
      <c r="A2701" s="158"/>
      <c r="B2701" s="159"/>
      <c r="C2701" s="160"/>
      <c r="D2701" s="130"/>
      <c r="E2701" s="130"/>
      <c r="F2701" s="161"/>
      <c r="G2701" s="164"/>
      <c r="H2701" s="76" t="b">
        <v>1</v>
      </c>
      <c r="I2701" s="76" t="b">
        <v>0</v>
      </c>
      <c r="J2701" s="76" t="b">
        <v>0</v>
      </c>
      <c r="K2701" s="76" t="b">
        <v>0</v>
      </c>
      <c r="L2701" s="76" t="b">
        <v>0</v>
      </c>
      <c r="M2701" s="76" t="b">
        <v>0</v>
      </c>
      <c r="N2701" s="76" t="b">
        <v>0</v>
      </c>
      <c r="O2701" s="76" t="b">
        <v>0</v>
      </c>
      <c r="P2701" s="76" t="b">
        <v>0</v>
      </c>
      <c r="Q2701" s="76" t="b">
        <v>0</v>
      </c>
      <c r="R2701" s="14"/>
      <c r="S2701" s="14"/>
      <c r="T2701" s="14"/>
      <c r="U2701" s="14"/>
      <c r="V2701" s="14"/>
      <c r="W2701" s="14"/>
    </row>
    <row r="2702" ht="31.5" customHeight="1">
      <c r="A2702" s="158"/>
      <c r="B2702" s="159"/>
      <c r="C2702" s="160"/>
      <c r="D2702" s="130"/>
      <c r="E2702" s="130"/>
      <c r="F2702" s="161"/>
      <c r="G2702" s="164"/>
      <c r="H2702" s="76" t="b">
        <v>1</v>
      </c>
      <c r="I2702" s="76" t="b">
        <v>0</v>
      </c>
      <c r="J2702" s="76" t="b">
        <v>0</v>
      </c>
      <c r="K2702" s="76" t="b">
        <v>0</v>
      </c>
      <c r="L2702" s="76" t="b">
        <v>0</v>
      </c>
      <c r="M2702" s="76" t="b">
        <v>0</v>
      </c>
      <c r="N2702" s="76" t="b">
        <v>0</v>
      </c>
      <c r="O2702" s="76" t="b">
        <v>0</v>
      </c>
      <c r="P2702" s="76" t="b">
        <v>0</v>
      </c>
      <c r="Q2702" s="76" t="b">
        <v>0</v>
      </c>
      <c r="R2702" s="14"/>
      <c r="S2702" s="14"/>
      <c r="T2702" s="14"/>
      <c r="U2702" s="14"/>
      <c r="V2702" s="14"/>
      <c r="W2702" s="14"/>
    </row>
    <row r="2703" ht="31.5" customHeight="1">
      <c r="A2703" s="158"/>
      <c r="B2703" s="159"/>
      <c r="C2703" s="160"/>
      <c r="D2703" s="130"/>
      <c r="E2703" s="130"/>
      <c r="F2703" s="161"/>
      <c r="G2703" s="164"/>
      <c r="H2703" s="76" t="b">
        <v>1</v>
      </c>
      <c r="I2703" s="76" t="b">
        <v>0</v>
      </c>
      <c r="J2703" s="76" t="b">
        <v>0</v>
      </c>
      <c r="K2703" s="76" t="b">
        <v>0</v>
      </c>
      <c r="L2703" s="76" t="b">
        <v>0</v>
      </c>
      <c r="M2703" s="76" t="b">
        <v>0</v>
      </c>
      <c r="N2703" s="76" t="b">
        <v>0</v>
      </c>
      <c r="O2703" s="76" t="b">
        <v>0</v>
      </c>
      <c r="P2703" s="76" t="b">
        <v>0</v>
      </c>
      <c r="Q2703" s="76" t="b">
        <v>0</v>
      </c>
      <c r="R2703" s="14"/>
      <c r="S2703" s="14"/>
      <c r="T2703" s="14"/>
      <c r="U2703" s="14"/>
      <c r="V2703" s="14"/>
      <c r="W2703" s="14"/>
    </row>
    <row r="2704" ht="31.5" customHeight="1">
      <c r="A2704" s="158"/>
      <c r="B2704" s="159"/>
      <c r="C2704" s="160"/>
      <c r="D2704" s="130"/>
      <c r="E2704" s="130"/>
      <c r="F2704" s="161"/>
      <c r="G2704" s="164"/>
      <c r="H2704" s="76" t="b">
        <v>1</v>
      </c>
      <c r="I2704" s="76" t="b">
        <v>0</v>
      </c>
      <c r="J2704" s="76" t="b">
        <v>0</v>
      </c>
      <c r="K2704" s="76" t="b">
        <v>0</v>
      </c>
      <c r="L2704" s="76" t="b">
        <v>0</v>
      </c>
      <c r="M2704" s="76" t="b">
        <v>0</v>
      </c>
      <c r="N2704" s="76" t="b">
        <v>0</v>
      </c>
      <c r="O2704" s="76" t="b">
        <v>0</v>
      </c>
      <c r="P2704" s="76" t="b">
        <v>0</v>
      </c>
      <c r="Q2704" s="76" t="b">
        <v>0</v>
      </c>
      <c r="R2704" s="14"/>
      <c r="S2704" s="14"/>
      <c r="T2704" s="14"/>
      <c r="U2704" s="14"/>
      <c r="V2704" s="14"/>
      <c r="W2704" s="14"/>
    </row>
    <row r="2705" ht="31.5" customHeight="1">
      <c r="A2705" s="158"/>
      <c r="B2705" s="159"/>
      <c r="C2705" s="160"/>
      <c r="D2705" s="130"/>
      <c r="E2705" s="130"/>
      <c r="F2705" s="161"/>
      <c r="G2705" s="164"/>
      <c r="H2705" s="76" t="b">
        <v>0</v>
      </c>
      <c r="I2705" s="76" t="b">
        <v>0</v>
      </c>
      <c r="J2705" s="76" t="b">
        <v>0</v>
      </c>
      <c r="K2705" s="76" t="b">
        <v>0</v>
      </c>
      <c r="L2705" s="76" t="b">
        <v>0</v>
      </c>
      <c r="M2705" s="76" t="b">
        <v>0</v>
      </c>
      <c r="N2705" s="76" t="b">
        <v>0</v>
      </c>
      <c r="O2705" s="76" t="b">
        <v>0</v>
      </c>
      <c r="P2705" s="76" t="b">
        <v>0</v>
      </c>
      <c r="Q2705" s="76" t="b">
        <v>0</v>
      </c>
      <c r="R2705" s="14"/>
      <c r="S2705" s="14"/>
      <c r="T2705" s="14"/>
      <c r="U2705" s="14"/>
      <c r="V2705" s="14"/>
      <c r="W2705" s="14"/>
    </row>
    <row r="2706" ht="31.5" customHeight="1">
      <c r="A2706" s="158"/>
      <c r="B2706" s="159"/>
      <c r="C2706" s="160"/>
      <c r="D2706" s="130"/>
      <c r="E2706" s="130"/>
      <c r="F2706" s="161"/>
      <c r="G2706" s="164"/>
      <c r="H2706" s="76" t="b">
        <v>0</v>
      </c>
      <c r="I2706" s="76" t="b">
        <v>0</v>
      </c>
      <c r="J2706" s="76" t="b">
        <v>0</v>
      </c>
      <c r="K2706" s="76" t="b">
        <v>0</v>
      </c>
      <c r="L2706" s="76" t="b">
        <v>0</v>
      </c>
      <c r="M2706" s="76" t="b">
        <v>0</v>
      </c>
      <c r="N2706" s="76" t="b">
        <v>0</v>
      </c>
      <c r="O2706" s="76" t="b">
        <v>0</v>
      </c>
      <c r="P2706" s="76" t="b">
        <v>0</v>
      </c>
      <c r="Q2706" s="76" t="b">
        <v>0</v>
      </c>
      <c r="R2706" s="14"/>
      <c r="S2706" s="14"/>
      <c r="T2706" s="14"/>
      <c r="U2706" s="14"/>
      <c r="V2706" s="14"/>
      <c r="W2706" s="14"/>
    </row>
    <row r="2707" ht="31.5" customHeight="1">
      <c r="A2707" s="158"/>
      <c r="B2707" s="159"/>
      <c r="C2707" s="160"/>
      <c r="D2707" s="130"/>
      <c r="E2707" s="130"/>
      <c r="F2707" s="161"/>
      <c r="G2707" s="164"/>
      <c r="H2707" s="76" t="b">
        <v>0</v>
      </c>
      <c r="I2707" s="76" t="b">
        <v>0</v>
      </c>
      <c r="J2707" s="76" t="b">
        <v>0</v>
      </c>
      <c r="K2707" s="76" t="b">
        <v>0</v>
      </c>
      <c r="L2707" s="76" t="b">
        <v>0</v>
      </c>
      <c r="M2707" s="76" t="b">
        <v>0</v>
      </c>
      <c r="N2707" s="76" t="b">
        <v>0</v>
      </c>
      <c r="O2707" s="76" t="b">
        <v>0</v>
      </c>
      <c r="P2707" s="76" t="b">
        <v>0</v>
      </c>
      <c r="Q2707" s="76" t="b">
        <v>0</v>
      </c>
      <c r="R2707" s="14"/>
      <c r="S2707" s="14"/>
      <c r="T2707" s="14"/>
      <c r="U2707" s="14"/>
      <c r="V2707" s="14"/>
      <c r="W2707" s="14"/>
    </row>
    <row r="2708" ht="31.5" customHeight="1">
      <c r="A2708" s="158"/>
      <c r="B2708" s="159"/>
      <c r="C2708" s="160"/>
      <c r="D2708" s="130"/>
      <c r="E2708" s="130"/>
      <c r="F2708" s="161"/>
      <c r="G2708" s="164"/>
      <c r="H2708" s="76" t="b">
        <v>0</v>
      </c>
      <c r="I2708" s="76" t="b">
        <v>0</v>
      </c>
      <c r="J2708" s="76" t="b">
        <v>0</v>
      </c>
      <c r="K2708" s="76" t="b">
        <v>0</v>
      </c>
      <c r="L2708" s="76" t="b">
        <v>0</v>
      </c>
      <c r="M2708" s="76" t="b">
        <v>0</v>
      </c>
      <c r="N2708" s="76" t="b">
        <v>0</v>
      </c>
      <c r="O2708" s="76" t="b">
        <v>0</v>
      </c>
      <c r="P2708" s="76" t="b">
        <v>0</v>
      </c>
      <c r="Q2708" s="76" t="b">
        <v>0</v>
      </c>
      <c r="R2708" s="14"/>
      <c r="S2708" s="14"/>
      <c r="T2708" s="14"/>
      <c r="U2708" s="14"/>
      <c r="V2708" s="14"/>
      <c r="W2708" s="14"/>
    </row>
    <row r="2709" ht="31.5" customHeight="1">
      <c r="A2709" s="158"/>
      <c r="B2709" s="159"/>
      <c r="C2709" s="160"/>
      <c r="D2709" s="130"/>
      <c r="E2709" s="130"/>
      <c r="F2709" s="161"/>
      <c r="G2709" s="164"/>
      <c r="H2709" s="76" t="b">
        <v>0</v>
      </c>
      <c r="I2709" s="76" t="b">
        <v>0</v>
      </c>
      <c r="J2709" s="76" t="b">
        <v>0</v>
      </c>
      <c r="K2709" s="76" t="b">
        <v>0</v>
      </c>
      <c r="L2709" s="76" t="b">
        <v>0</v>
      </c>
      <c r="M2709" s="76" t="b">
        <v>0</v>
      </c>
      <c r="N2709" s="76" t="b">
        <v>0</v>
      </c>
      <c r="O2709" s="76" t="b">
        <v>0</v>
      </c>
      <c r="P2709" s="76" t="b">
        <v>0</v>
      </c>
      <c r="Q2709" s="76" t="b">
        <v>0</v>
      </c>
      <c r="R2709" s="14"/>
      <c r="S2709" s="14"/>
      <c r="T2709" s="14"/>
      <c r="U2709" s="14"/>
      <c r="V2709" s="14"/>
      <c r="W2709" s="14"/>
    </row>
    <row r="2710" ht="31.5" customHeight="1">
      <c r="A2710" s="158"/>
      <c r="B2710" s="159"/>
      <c r="C2710" s="160"/>
      <c r="D2710" s="130"/>
      <c r="E2710" s="130"/>
      <c r="F2710" s="161"/>
      <c r="G2710" s="164"/>
      <c r="H2710" s="76" t="b">
        <v>0</v>
      </c>
      <c r="I2710" s="76" t="b">
        <v>0</v>
      </c>
      <c r="J2710" s="76" t="b">
        <v>0</v>
      </c>
      <c r="K2710" s="76" t="b">
        <v>0</v>
      </c>
      <c r="L2710" s="76" t="b">
        <v>0</v>
      </c>
      <c r="M2710" s="76" t="b">
        <v>0</v>
      </c>
      <c r="N2710" s="76" t="b">
        <v>0</v>
      </c>
      <c r="O2710" s="76" t="b">
        <v>0</v>
      </c>
      <c r="P2710" s="76" t="b">
        <v>0</v>
      </c>
      <c r="Q2710" s="76" t="b">
        <v>0</v>
      </c>
      <c r="R2710" s="14"/>
      <c r="S2710" s="14"/>
      <c r="T2710" s="14"/>
      <c r="U2710" s="14"/>
      <c r="V2710" s="14"/>
      <c r="W2710" s="14"/>
    </row>
    <row r="2711" ht="31.5" customHeight="1">
      <c r="A2711" s="158"/>
      <c r="B2711" s="159"/>
      <c r="C2711" s="160"/>
      <c r="D2711" s="130"/>
      <c r="E2711" s="130"/>
      <c r="F2711" s="161"/>
      <c r="G2711" s="164"/>
      <c r="H2711" s="76" t="b">
        <v>0</v>
      </c>
      <c r="I2711" s="76" t="b">
        <v>0</v>
      </c>
      <c r="J2711" s="76" t="b">
        <v>0</v>
      </c>
      <c r="K2711" s="76" t="b">
        <v>0</v>
      </c>
      <c r="L2711" s="76" t="b">
        <v>0</v>
      </c>
      <c r="M2711" s="76" t="b">
        <v>0</v>
      </c>
      <c r="N2711" s="76" t="b">
        <v>0</v>
      </c>
      <c r="O2711" s="76" t="b">
        <v>0</v>
      </c>
      <c r="P2711" s="76" t="b">
        <v>0</v>
      </c>
      <c r="Q2711" s="76" t="b">
        <v>0</v>
      </c>
      <c r="R2711" s="14"/>
      <c r="S2711" s="14"/>
      <c r="T2711" s="14"/>
      <c r="U2711" s="14"/>
      <c r="V2711" s="14"/>
      <c r="W2711" s="14"/>
    </row>
    <row r="2712" ht="31.5" customHeight="1">
      <c r="A2712" s="158"/>
      <c r="B2712" s="159"/>
      <c r="C2712" s="160"/>
      <c r="D2712" s="130"/>
      <c r="E2712" s="130"/>
      <c r="F2712" s="161"/>
      <c r="G2712" s="164"/>
      <c r="H2712" s="76" t="b">
        <v>0</v>
      </c>
      <c r="I2712" s="76" t="b">
        <v>0</v>
      </c>
      <c r="J2712" s="76" t="b">
        <v>0</v>
      </c>
      <c r="K2712" s="76" t="b">
        <v>0</v>
      </c>
      <c r="L2712" s="76" t="b">
        <v>0</v>
      </c>
      <c r="M2712" s="76" t="b">
        <v>0</v>
      </c>
      <c r="N2712" s="76" t="b">
        <v>0</v>
      </c>
      <c r="O2712" s="76" t="b">
        <v>0</v>
      </c>
      <c r="P2712" s="76" t="b">
        <v>0</v>
      </c>
      <c r="Q2712" s="76" t="b">
        <v>0</v>
      </c>
      <c r="R2712" s="14"/>
      <c r="S2712" s="14"/>
      <c r="T2712" s="14"/>
      <c r="U2712" s="14"/>
      <c r="V2712" s="14"/>
      <c r="W2712" s="14"/>
    </row>
    <row r="2713" ht="31.5" customHeight="1">
      <c r="A2713" s="158"/>
      <c r="B2713" s="159"/>
      <c r="C2713" s="160"/>
      <c r="D2713" s="130"/>
      <c r="E2713" s="130"/>
      <c r="F2713" s="161"/>
      <c r="G2713" s="164"/>
      <c r="H2713" s="76" t="b">
        <v>0</v>
      </c>
      <c r="I2713" s="76" t="b">
        <v>0</v>
      </c>
      <c r="J2713" s="76" t="b">
        <v>0</v>
      </c>
      <c r="K2713" s="76" t="b">
        <v>0</v>
      </c>
      <c r="L2713" s="76" t="b">
        <v>0</v>
      </c>
      <c r="M2713" s="76" t="b">
        <v>0</v>
      </c>
      <c r="N2713" s="76" t="b">
        <v>0</v>
      </c>
      <c r="O2713" s="76" t="b">
        <v>0</v>
      </c>
      <c r="P2713" s="76" t="b">
        <v>0</v>
      </c>
      <c r="Q2713" s="76" t="b">
        <v>0</v>
      </c>
      <c r="R2713" s="14"/>
      <c r="S2713" s="14"/>
      <c r="T2713" s="14"/>
      <c r="U2713" s="14"/>
      <c r="V2713" s="14"/>
      <c r="W2713" s="14"/>
    </row>
    <row r="2714" ht="31.5" customHeight="1">
      <c r="A2714" s="158"/>
      <c r="B2714" s="159"/>
      <c r="C2714" s="160"/>
      <c r="D2714" s="130"/>
      <c r="E2714" s="130"/>
      <c r="F2714" s="161"/>
      <c r="G2714" s="164"/>
      <c r="H2714" s="76" t="b">
        <v>0</v>
      </c>
      <c r="I2714" s="76" t="b">
        <v>0</v>
      </c>
      <c r="J2714" s="76" t="b">
        <v>0</v>
      </c>
      <c r="K2714" s="76" t="b">
        <v>0</v>
      </c>
      <c r="L2714" s="76" t="b">
        <v>0</v>
      </c>
      <c r="M2714" s="76" t="b">
        <v>0</v>
      </c>
      <c r="N2714" s="76" t="b">
        <v>0</v>
      </c>
      <c r="O2714" s="76" t="b">
        <v>0</v>
      </c>
      <c r="P2714" s="76" t="b">
        <v>0</v>
      </c>
      <c r="Q2714" s="76" t="b">
        <v>0</v>
      </c>
      <c r="R2714" s="14"/>
      <c r="S2714" s="14"/>
      <c r="T2714" s="14"/>
      <c r="U2714" s="14"/>
      <c r="V2714" s="14"/>
      <c r="W2714" s="14"/>
    </row>
    <row r="2715" ht="31.5" customHeight="1">
      <c r="A2715" s="158"/>
      <c r="B2715" s="159"/>
      <c r="C2715" s="160"/>
      <c r="D2715" s="130"/>
      <c r="E2715" s="130"/>
      <c r="F2715" s="161"/>
      <c r="G2715" s="164"/>
      <c r="H2715" s="76" t="b">
        <v>0</v>
      </c>
      <c r="I2715" s="76" t="b">
        <v>0</v>
      </c>
      <c r="J2715" s="76" t="b">
        <v>0</v>
      </c>
      <c r="K2715" s="76" t="b">
        <v>0</v>
      </c>
      <c r="L2715" s="76" t="b">
        <v>0</v>
      </c>
      <c r="M2715" s="76" t="b">
        <v>0</v>
      </c>
      <c r="N2715" s="76" t="b">
        <v>0</v>
      </c>
      <c r="O2715" s="76" t="b">
        <v>0</v>
      </c>
      <c r="P2715" s="76" t="b">
        <v>0</v>
      </c>
      <c r="Q2715" s="76" t="b">
        <v>0</v>
      </c>
      <c r="R2715" s="14"/>
      <c r="S2715" s="14"/>
      <c r="T2715" s="14"/>
      <c r="U2715" s="14"/>
      <c r="V2715" s="14"/>
      <c r="W2715" s="14"/>
    </row>
    <row r="2716" ht="31.5" customHeight="1">
      <c r="A2716" s="158"/>
      <c r="B2716" s="159"/>
      <c r="C2716" s="160"/>
      <c r="D2716" s="130"/>
      <c r="E2716" s="130"/>
      <c r="F2716" s="161"/>
      <c r="G2716" s="164"/>
      <c r="H2716" s="76" t="b">
        <v>0</v>
      </c>
      <c r="I2716" s="76" t="b">
        <v>0</v>
      </c>
      <c r="J2716" s="76" t="b">
        <v>0</v>
      </c>
      <c r="K2716" s="76" t="b">
        <v>0</v>
      </c>
      <c r="L2716" s="76" t="b">
        <v>0</v>
      </c>
      <c r="M2716" s="76" t="b">
        <v>0</v>
      </c>
      <c r="N2716" s="76" t="b">
        <v>0</v>
      </c>
      <c r="O2716" s="76" t="b">
        <v>0</v>
      </c>
      <c r="P2716" s="76" t="b">
        <v>0</v>
      </c>
      <c r="Q2716" s="76" t="b">
        <v>0</v>
      </c>
      <c r="R2716" s="14"/>
      <c r="S2716" s="14"/>
      <c r="T2716" s="14"/>
      <c r="U2716" s="14"/>
      <c r="V2716" s="14"/>
      <c r="W2716" s="14"/>
    </row>
    <row r="2717" ht="31.5" customHeight="1">
      <c r="A2717" s="158"/>
      <c r="B2717" s="159"/>
      <c r="C2717" s="160"/>
      <c r="D2717" s="130"/>
      <c r="E2717" s="130"/>
      <c r="F2717" s="161"/>
      <c r="G2717" s="164"/>
      <c r="H2717" s="76" t="b">
        <v>0</v>
      </c>
      <c r="I2717" s="76" t="b">
        <v>0</v>
      </c>
      <c r="J2717" s="76" t="b">
        <v>0</v>
      </c>
      <c r="K2717" s="76" t="b">
        <v>0</v>
      </c>
      <c r="L2717" s="76" t="b">
        <v>0</v>
      </c>
      <c r="M2717" s="76" t="b">
        <v>0</v>
      </c>
      <c r="N2717" s="76" t="b">
        <v>0</v>
      </c>
      <c r="O2717" s="76" t="b">
        <v>0</v>
      </c>
      <c r="P2717" s="76" t="b">
        <v>0</v>
      </c>
      <c r="Q2717" s="76" t="b">
        <v>0</v>
      </c>
      <c r="R2717" s="14"/>
      <c r="S2717" s="14"/>
      <c r="T2717" s="14"/>
      <c r="U2717" s="14"/>
      <c r="V2717" s="14"/>
      <c r="W2717" s="14"/>
    </row>
    <row r="2718" ht="31.5" customHeight="1">
      <c r="A2718" s="158"/>
      <c r="B2718" s="159"/>
      <c r="C2718" s="160"/>
      <c r="D2718" s="130"/>
      <c r="E2718" s="130"/>
      <c r="F2718" s="161"/>
      <c r="G2718" s="164"/>
      <c r="H2718" s="76" t="b">
        <v>0</v>
      </c>
      <c r="I2718" s="76" t="b">
        <v>0</v>
      </c>
      <c r="J2718" s="76" t="b">
        <v>0</v>
      </c>
      <c r="K2718" s="76" t="b">
        <v>0</v>
      </c>
      <c r="L2718" s="76" t="b">
        <v>0</v>
      </c>
      <c r="M2718" s="76" t="b">
        <v>0</v>
      </c>
      <c r="N2718" s="76" t="b">
        <v>0</v>
      </c>
      <c r="O2718" s="76" t="b">
        <v>0</v>
      </c>
      <c r="P2718" s="76" t="b">
        <v>0</v>
      </c>
      <c r="Q2718" s="76" t="b">
        <v>0</v>
      </c>
      <c r="R2718" s="14"/>
      <c r="S2718" s="14"/>
      <c r="T2718" s="14"/>
      <c r="U2718" s="14"/>
      <c r="V2718" s="14"/>
      <c r="W2718" s="14"/>
    </row>
    <row r="2719" ht="31.5" customHeight="1">
      <c r="A2719" s="158"/>
      <c r="B2719" s="159"/>
      <c r="C2719" s="160"/>
      <c r="D2719" s="130"/>
      <c r="E2719" s="130"/>
      <c r="F2719" s="161"/>
      <c r="G2719" s="164"/>
      <c r="H2719" s="76" t="b">
        <v>0</v>
      </c>
      <c r="I2719" s="76" t="b">
        <v>0</v>
      </c>
      <c r="J2719" s="76" t="b">
        <v>0</v>
      </c>
      <c r="K2719" s="76" t="b">
        <v>0</v>
      </c>
      <c r="L2719" s="76" t="b">
        <v>0</v>
      </c>
      <c r="M2719" s="76" t="b">
        <v>0</v>
      </c>
      <c r="N2719" s="76" t="b">
        <v>0</v>
      </c>
      <c r="O2719" s="76" t="b">
        <v>0</v>
      </c>
      <c r="P2719" s="76" t="b">
        <v>0</v>
      </c>
      <c r="Q2719" s="76" t="b">
        <v>0</v>
      </c>
      <c r="R2719" s="14"/>
      <c r="S2719" s="14"/>
      <c r="T2719" s="14"/>
      <c r="U2719" s="14"/>
      <c r="V2719" s="14"/>
      <c r="W2719" s="14"/>
    </row>
    <row r="2720" ht="31.5" customHeight="1">
      <c r="A2720" s="158"/>
      <c r="B2720" s="159"/>
      <c r="C2720" s="160"/>
      <c r="D2720" s="130"/>
      <c r="E2720" s="130"/>
      <c r="F2720" s="161"/>
      <c r="G2720" s="164"/>
      <c r="H2720" s="76" t="b">
        <v>0</v>
      </c>
      <c r="I2720" s="76" t="b">
        <v>0</v>
      </c>
      <c r="J2720" s="76" t="b">
        <v>0</v>
      </c>
      <c r="K2720" s="76" t="b">
        <v>0</v>
      </c>
      <c r="L2720" s="76" t="b">
        <v>0</v>
      </c>
      <c r="M2720" s="76" t="b">
        <v>0</v>
      </c>
      <c r="N2720" s="76" t="b">
        <v>0</v>
      </c>
      <c r="O2720" s="76" t="b">
        <v>0</v>
      </c>
      <c r="P2720" s="76" t="b">
        <v>0</v>
      </c>
      <c r="Q2720" s="76" t="b">
        <v>0</v>
      </c>
      <c r="R2720" s="14"/>
      <c r="S2720" s="14"/>
      <c r="T2720" s="14"/>
      <c r="U2720" s="14"/>
      <c r="V2720" s="14"/>
      <c r="W2720" s="14"/>
    </row>
    <row r="2721" ht="31.5" customHeight="1">
      <c r="A2721" s="158"/>
      <c r="B2721" s="159"/>
      <c r="C2721" s="160"/>
      <c r="D2721" s="130"/>
      <c r="E2721" s="130"/>
      <c r="F2721" s="161"/>
      <c r="G2721" s="164"/>
      <c r="H2721" s="76" t="b">
        <v>0</v>
      </c>
      <c r="I2721" s="76" t="b">
        <v>0</v>
      </c>
      <c r="J2721" s="76" t="b">
        <v>0</v>
      </c>
      <c r="K2721" s="76" t="b">
        <v>0</v>
      </c>
      <c r="L2721" s="76" t="b">
        <v>0</v>
      </c>
      <c r="M2721" s="76" t="b">
        <v>0</v>
      </c>
      <c r="N2721" s="76" t="b">
        <v>0</v>
      </c>
      <c r="O2721" s="76" t="b">
        <v>0</v>
      </c>
      <c r="P2721" s="76" t="b">
        <v>0</v>
      </c>
      <c r="Q2721" s="76" t="b">
        <v>0</v>
      </c>
      <c r="R2721" s="14"/>
      <c r="S2721" s="14"/>
      <c r="T2721" s="14"/>
      <c r="U2721" s="14"/>
      <c r="V2721" s="14"/>
      <c r="W2721" s="14"/>
    </row>
    <row r="2722" ht="31.5" customHeight="1">
      <c r="A2722" s="158"/>
      <c r="B2722" s="159"/>
      <c r="C2722" s="160"/>
      <c r="D2722" s="130"/>
      <c r="E2722" s="130"/>
      <c r="F2722" s="161"/>
      <c r="G2722" s="164"/>
      <c r="H2722" s="76" t="b">
        <v>0</v>
      </c>
      <c r="I2722" s="76" t="b">
        <v>0</v>
      </c>
      <c r="J2722" s="76" t="b">
        <v>0</v>
      </c>
      <c r="K2722" s="76" t="b">
        <v>0</v>
      </c>
      <c r="L2722" s="76" t="b">
        <v>0</v>
      </c>
      <c r="M2722" s="76" t="b">
        <v>0</v>
      </c>
      <c r="N2722" s="76" t="b">
        <v>0</v>
      </c>
      <c r="O2722" s="76" t="b">
        <v>0</v>
      </c>
      <c r="P2722" s="76" t="b">
        <v>0</v>
      </c>
      <c r="Q2722" s="76" t="b">
        <v>0</v>
      </c>
      <c r="R2722" s="14"/>
      <c r="S2722" s="14"/>
      <c r="T2722" s="14"/>
      <c r="U2722" s="14"/>
      <c r="V2722" s="14"/>
      <c r="W2722" s="14"/>
    </row>
    <row r="2723" ht="31.5" customHeight="1">
      <c r="A2723" s="158"/>
      <c r="B2723" s="159"/>
      <c r="C2723" s="160"/>
      <c r="D2723" s="130"/>
      <c r="E2723" s="130"/>
      <c r="F2723" s="161"/>
      <c r="G2723" s="164"/>
      <c r="H2723" s="76" t="b">
        <v>0</v>
      </c>
      <c r="I2723" s="76" t="b">
        <v>0</v>
      </c>
      <c r="J2723" s="76" t="b">
        <v>0</v>
      </c>
      <c r="K2723" s="76" t="b">
        <v>0</v>
      </c>
      <c r="L2723" s="76" t="b">
        <v>0</v>
      </c>
      <c r="M2723" s="76" t="b">
        <v>0</v>
      </c>
      <c r="N2723" s="76" t="b">
        <v>0</v>
      </c>
      <c r="O2723" s="76" t="b">
        <v>0</v>
      </c>
      <c r="P2723" s="76" t="b">
        <v>0</v>
      </c>
      <c r="Q2723" s="76" t="b">
        <v>0</v>
      </c>
      <c r="R2723" s="14"/>
      <c r="S2723" s="14"/>
      <c r="T2723" s="14"/>
      <c r="U2723" s="14"/>
      <c r="V2723" s="14"/>
      <c r="W2723" s="14"/>
    </row>
    <row r="2724" ht="31.5" customHeight="1">
      <c r="A2724" s="158"/>
      <c r="B2724" s="159"/>
      <c r="C2724" s="160"/>
      <c r="D2724" s="130"/>
      <c r="E2724" s="130"/>
      <c r="F2724" s="161"/>
      <c r="G2724" s="164"/>
      <c r="H2724" s="76" t="b">
        <v>0</v>
      </c>
      <c r="I2724" s="76" t="b">
        <v>0</v>
      </c>
      <c r="J2724" s="76" t="b">
        <v>0</v>
      </c>
      <c r="K2724" s="76" t="b">
        <v>0</v>
      </c>
      <c r="L2724" s="76" t="b">
        <v>0</v>
      </c>
      <c r="M2724" s="76" t="b">
        <v>0</v>
      </c>
      <c r="N2724" s="76" t="b">
        <v>0</v>
      </c>
      <c r="O2724" s="76" t="b">
        <v>0</v>
      </c>
      <c r="P2724" s="76" t="b">
        <v>0</v>
      </c>
      <c r="Q2724" s="76" t="b">
        <v>0</v>
      </c>
      <c r="R2724" s="14"/>
      <c r="S2724" s="14"/>
      <c r="T2724" s="14"/>
      <c r="U2724" s="14"/>
      <c r="V2724" s="14"/>
      <c r="W2724" s="14"/>
    </row>
    <row r="2725" ht="31.5" customHeight="1">
      <c r="A2725" s="158"/>
      <c r="B2725" s="159"/>
      <c r="C2725" s="160"/>
      <c r="D2725" s="130"/>
      <c r="E2725" s="130"/>
      <c r="F2725" s="161"/>
      <c r="G2725" s="164"/>
      <c r="H2725" s="76" t="b">
        <v>0</v>
      </c>
      <c r="I2725" s="76" t="b">
        <v>0</v>
      </c>
      <c r="J2725" s="76" t="b">
        <v>0</v>
      </c>
      <c r="K2725" s="76" t="b">
        <v>0</v>
      </c>
      <c r="L2725" s="76" t="b">
        <v>0</v>
      </c>
      <c r="M2725" s="76" t="b">
        <v>0</v>
      </c>
      <c r="N2725" s="76" t="b">
        <v>0</v>
      </c>
      <c r="O2725" s="76" t="b">
        <v>0</v>
      </c>
      <c r="P2725" s="76" t="b">
        <v>0</v>
      </c>
      <c r="Q2725" s="76" t="b">
        <v>0</v>
      </c>
      <c r="R2725" s="14"/>
      <c r="S2725" s="14"/>
      <c r="T2725" s="14"/>
      <c r="U2725" s="14"/>
      <c r="V2725" s="14"/>
      <c r="W2725" s="14"/>
    </row>
    <row r="2726" ht="31.5" customHeight="1">
      <c r="A2726" s="158"/>
      <c r="B2726" s="159"/>
      <c r="C2726" s="160"/>
      <c r="D2726" s="130"/>
      <c r="E2726" s="130"/>
      <c r="F2726" s="161"/>
      <c r="G2726" s="164"/>
      <c r="H2726" s="76" t="b">
        <v>0</v>
      </c>
      <c r="I2726" s="76" t="b">
        <v>0</v>
      </c>
      <c r="J2726" s="76" t="b">
        <v>0</v>
      </c>
      <c r="K2726" s="76" t="b">
        <v>0</v>
      </c>
      <c r="L2726" s="76" t="b">
        <v>0</v>
      </c>
      <c r="M2726" s="76" t="b">
        <v>0</v>
      </c>
      <c r="N2726" s="76" t="b">
        <v>0</v>
      </c>
      <c r="O2726" s="76" t="b">
        <v>0</v>
      </c>
      <c r="P2726" s="76" t="b">
        <v>0</v>
      </c>
      <c r="Q2726" s="76" t="b">
        <v>0</v>
      </c>
      <c r="R2726" s="14"/>
      <c r="S2726" s="14"/>
      <c r="T2726" s="14"/>
      <c r="U2726" s="14"/>
      <c r="V2726" s="14"/>
      <c r="W2726" s="14"/>
    </row>
    <row r="2727" ht="31.5" customHeight="1">
      <c r="A2727" s="158"/>
      <c r="B2727" s="159"/>
      <c r="C2727" s="160"/>
      <c r="D2727" s="130"/>
      <c r="E2727" s="130"/>
      <c r="F2727" s="161"/>
      <c r="G2727" s="164"/>
      <c r="H2727" s="76" t="b">
        <v>0</v>
      </c>
      <c r="I2727" s="76" t="b">
        <v>0</v>
      </c>
      <c r="J2727" s="76" t="b">
        <v>0</v>
      </c>
      <c r="K2727" s="76" t="b">
        <v>0</v>
      </c>
      <c r="L2727" s="76" t="b">
        <v>0</v>
      </c>
      <c r="M2727" s="76" t="b">
        <v>0</v>
      </c>
      <c r="N2727" s="76" t="b">
        <v>0</v>
      </c>
      <c r="O2727" s="76" t="b">
        <v>0</v>
      </c>
      <c r="P2727" s="76" t="b">
        <v>0</v>
      </c>
      <c r="Q2727" s="76" t="b">
        <v>0</v>
      </c>
      <c r="R2727" s="14"/>
      <c r="S2727" s="14"/>
      <c r="T2727" s="14"/>
      <c r="U2727" s="14"/>
      <c r="V2727" s="14"/>
      <c r="W2727" s="14"/>
    </row>
    <row r="2728" ht="31.5" customHeight="1">
      <c r="A2728" s="158"/>
      <c r="B2728" s="159"/>
      <c r="C2728" s="160"/>
      <c r="D2728" s="130"/>
      <c r="E2728" s="130"/>
      <c r="F2728" s="161"/>
      <c r="G2728" s="164"/>
      <c r="H2728" s="76" t="b">
        <v>0</v>
      </c>
      <c r="I2728" s="76" t="b">
        <v>0</v>
      </c>
      <c r="J2728" s="76" t="b">
        <v>0</v>
      </c>
      <c r="K2728" s="76" t="b">
        <v>0</v>
      </c>
      <c r="L2728" s="76" t="b">
        <v>0</v>
      </c>
      <c r="M2728" s="76" t="b">
        <v>0</v>
      </c>
      <c r="N2728" s="76" t="b">
        <v>0</v>
      </c>
      <c r="O2728" s="76" t="b">
        <v>0</v>
      </c>
      <c r="P2728" s="76" t="b">
        <v>0</v>
      </c>
      <c r="Q2728" s="76" t="b">
        <v>0</v>
      </c>
      <c r="R2728" s="14"/>
      <c r="S2728" s="14"/>
      <c r="T2728" s="14"/>
      <c r="U2728" s="14"/>
      <c r="V2728" s="14"/>
      <c r="W2728" s="14"/>
    </row>
    <row r="2729" ht="31.5" customHeight="1">
      <c r="A2729" s="158"/>
      <c r="B2729" s="159"/>
      <c r="C2729" s="160"/>
      <c r="D2729" s="130"/>
      <c r="E2729" s="130"/>
      <c r="F2729" s="161"/>
      <c r="G2729" s="164"/>
      <c r="H2729" s="76" t="b">
        <v>0</v>
      </c>
      <c r="I2729" s="76" t="b">
        <v>0</v>
      </c>
      <c r="J2729" s="76" t="b">
        <v>0</v>
      </c>
      <c r="K2729" s="76" t="b">
        <v>0</v>
      </c>
      <c r="L2729" s="76" t="b">
        <v>0</v>
      </c>
      <c r="M2729" s="76" t="b">
        <v>0</v>
      </c>
      <c r="N2729" s="76" t="b">
        <v>0</v>
      </c>
      <c r="O2729" s="76" t="b">
        <v>0</v>
      </c>
      <c r="P2729" s="76" t="b">
        <v>0</v>
      </c>
      <c r="Q2729" s="76" t="b">
        <v>0</v>
      </c>
      <c r="R2729" s="14"/>
      <c r="S2729" s="14"/>
      <c r="T2729" s="14"/>
      <c r="U2729" s="14"/>
      <c r="V2729" s="14"/>
      <c r="W2729" s="14"/>
    </row>
    <row r="2730" ht="31.5" customHeight="1">
      <c r="A2730" s="158"/>
      <c r="B2730" s="159"/>
      <c r="C2730" s="160"/>
      <c r="D2730" s="130"/>
      <c r="E2730" s="130"/>
      <c r="F2730" s="161"/>
      <c r="G2730" s="164"/>
      <c r="H2730" s="76" t="b">
        <v>0</v>
      </c>
      <c r="I2730" s="76" t="b">
        <v>0</v>
      </c>
      <c r="J2730" s="76" t="b">
        <v>0</v>
      </c>
      <c r="K2730" s="76" t="b">
        <v>0</v>
      </c>
      <c r="L2730" s="76" t="b">
        <v>0</v>
      </c>
      <c r="M2730" s="76" t="b">
        <v>0</v>
      </c>
      <c r="N2730" s="76" t="b">
        <v>0</v>
      </c>
      <c r="O2730" s="76" t="b">
        <v>0</v>
      </c>
      <c r="P2730" s="76" t="b">
        <v>0</v>
      </c>
      <c r="Q2730" s="76" t="b">
        <v>0</v>
      </c>
      <c r="R2730" s="14"/>
      <c r="S2730" s="14"/>
      <c r="T2730" s="14"/>
      <c r="U2730" s="14"/>
      <c r="V2730" s="14"/>
      <c r="W2730" s="14"/>
    </row>
    <row r="2731" ht="31.5" customHeight="1">
      <c r="A2731" s="158"/>
      <c r="B2731" s="159"/>
      <c r="C2731" s="160"/>
      <c r="D2731" s="130"/>
      <c r="E2731" s="130"/>
      <c r="F2731" s="161"/>
      <c r="G2731" s="164"/>
      <c r="H2731" s="76" t="b">
        <v>0</v>
      </c>
      <c r="I2731" s="76" t="b">
        <v>0</v>
      </c>
      <c r="J2731" s="76" t="b">
        <v>0</v>
      </c>
      <c r="K2731" s="76" t="b">
        <v>0</v>
      </c>
      <c r="L2731" s="76" t="b">
        <v>0</v>
      </c>
      <c r="M2731" s="76" t="b">
        <v>0</v>
      </c>
      <c r="N2731" s="76" t="b">
        <v>0</v>
      </c>
      <c r="O2731" s="76" t="b">
        <v>0</v>
      </c>
      <c r="P2731" s="76" t="b">
        <v>0</v>
      </c>
      <c r="Q2731" s="76" t="b">
        <v>0</v>
      </c>
      <c r="R2731" s="14"/>
      <c r="S2731" s="14"/>
      <c r="T2731" s="14"/>
      <c r="U2731" s="14"/>
      <c r="V2731" s="14"/>
      <c r="W2731" s="14"/>
    </row>
    <row r="2732" ht="31.5" customHeight="1">
      <c r="A2732" s="158"/>
      <c r="B2732" s="159"/>
      <c r="C2732" s="160"/>
      <c r="D2732" s="130"/>
      <c r="E2732" s="130"/>
      <c r="F2732" s="161"/>
      <c r="G2732" s="164"/>
      <c r="H2732" s="76" t="b">
        <v>0</v>
      </c>
      <c r="I2732" s="76" t="b">
        <v>0</v>
      </c>
      <c r="J2732" s="76" t="b">
        <v>0</v>
      </c>
      <c r="K2732" s="76" t="b">
        <v>0</v>
      </c>
      <c r="L2732" s="76" t="b">
        <v>0</v>
      </c>
      <c r="M2732" s="76" t="b">
        <v>0</v>
      </c>
      <c r="N2732" s="76" t="b">
        <v>0</v>
      </c>
      <c r="O2732" s="76" t="b">
        <v>0</v>
      </c>
      <c r="P2732" s="76" t="b">
        <v>0</v>
      </c>
      <c r="Q2732" s="76" t="b">
        <v>0</v>
      </c>
      <c r="R2732" s="14"/>
      <c r="S2732" s="14"/>
      <c r="T2732" s="14"/>
      <c r="U2732" s="14"/>
      <c r="V2732" s="14"/>
      <c r="W2732" s="14"/>
    </row>
    <row r="2733" ht="31.5" customHeight="1">
      <c r="A2733" s="158"/>
      <c r="B2733" s="159"/>
      <c r="C2733" s="160"/>
      <c r="D2733" s="130"/>
      <c r="E2733" s="130"/>
      <c r="F2733" s="161"/>
      <c r="G2733" s="164"/>
      <c r="H2733" s="76" t="b">
        <v>0</v>
      </c>
      <c r="I2733" s="76" t="b">
        <v>0</v>
      </c>
      <c r="J2733" s="76" t="b">
        <v>0</v>
      </c>
      <c r="K2733" s="76" t="b">
        <v>0</v>
      </c>
      <c r="L2733" s="76" t="b">
        <v>0</v>
      </c>
      <c r="M2733" s="76" t="b">
        <v>0</v>
      </c>
      <c r="N2733" s="76" t="b">
        <v>0</v>
      </c>
      <c r="O2733" s="76" t="b">
        <v>0</v>
      </c>
      <c r="P2733" s="76" t="b">
        <v>0</v>
      </c>
      <c r="Q2733" s="76" t="b">
        <v>0</v>
      </c>
      <c r="R2733" s="14"/>
      <c r="S2733" s="14"/>
      <c r="T2733" s="14"/>
      <c r="U2733" s="14"/>
      <c r="V2733" s="14"/>
      <c r="W2733" s="14"/>
    </row>
    <row r="2734" ht="31.5" customHeight="1">
      <c r="A2734" s="158"/>
      <c r="B2734" s="159"/>
      <c r="C2734" s="160"/>
      <c r="D2734" s="130"/>
      <c r="E2734" s="130"/>
      <c r="F2734" s="161"/>
      <c r="G2734" s="164"/>
      <c r="H2734" s="76" t="b">
        <v>0</v>
      </c>
      <c r="I2734" s="76" t="b">
        <v>0</v>
      </c>
      <c r="J2734" s="76" t="b">
        <v>0</v>
      </c>
      <c r="K2734" s="76" t="b">
        <v>0</v>
      </c>
      <c r="L2734" s="76" t="b">
        <v>0</v>
      </c>
      <c r="M2734" s="76" t="b">
        <v>0</v>
      </c>
      <c r="N2734" s="76" t="b">
        <v>0</v>
      </c>
      <c r="O2734" s="76" t="b">
        <v>0</v>
      </c>
      <c r="P2734" s="76" t="b">
        <v>0</v>
      </c>
      <c r="Q2734" s="76" t="b">
        <v>0</v>
      </c>
      <c r="R2734" s="14"/>
      <c r="S2734" s="14"/>
      <c r="T2734" s="14"/>
      <c r="U2734" s="14"/>
      <c r="V2734" s="14"/>
      <c r="W2734" s="14"/>
    </row>
    <row r="2735" ht="31.5" customHeight="1">
      <c r="A2735" s="158"/>
      <c r="B2735" s="159"/>
      <c r="C2735" s="160"/>
      <c r="D2735" s="130"/>
      <c r="E2735" s="130"/>
      <c r="F2735" s="161"/>
      <c r="G2735" s="164"/>
      <c r="H2735" s="76" t="b">
        <v>0</v>
      </c>
      <c r="I2735" s="76" t="b">
        <v>0</v>
      </c>
      <c r="J2735" s="76" t="b">
        <v>0</v>
      </c>
      <c r="K2735" s="76" t="b">
        <v>0</v>
      </c>
      <c r="L2735" s="76" t="b">
        <v>0</v>
      </c>
      <c r="M2735" s="76" t="b">
        <v>0</v>
      </c>
      <c r="N2735" s="76" t="b">
        <v>0</v>
      </c>
      <c r="O2735" s="76" t="b">
        <v>0</v>
      </c>
      <c r="P2735" s="76" t="b">
        <v>0</v>
      </c>
      <c r="Q2735" s="76" t="b">
        <v>0</v>
      </c>
      <c r="R2735" s="14"/>
      <c r="S2735" s="14"/>
      <c r="T2735" s="14"/>
      <c r="U2735" s="14"/>
      <c r="V2735" s="14"/>
      <c r="W2735" s="14"/>
    </row>
    <row r="2736" ht="31.5" customHeight="1">
      <c r="A2736" s="158"/>
      <c r="B2736" s="159"/>
      <c r="C2736" s="160"/>
      <c r="D2736" s="130"/>
      <c r="E2736" s="130"/>
      <c r="F2736" s="161"/>
      <c r="G2736" s="164"/>
      <c r="H2736" s="76" t="b">
        <v>0</v>
      </c>
      <c r="I2736" s="76" t="b">
        <v>0</v>
      </c>
      <c r="J2736" s="76" t="b">
        <v>0</v>
      </c>
      <c r="K2736" s="76" t="b">
        <v>0</v>
      </c>
      <c r="L2736" s="76" t="b">
        <v>0</v>
      </c>
      <c r="M2736" s="76" t="b">
        <v>0</v>
      </c>
      <c r="N2736" s="76" t="b">
        <v>0</v>
      </c>
      <c r="O2736" s="76" t="b">
        <v>0</v>
      </c>
      <c r="P2736" s="76" t="b">
        <v>0</v>
      </c>
      <c r="Q2736" s="76" t="b">
        <v>0</v>
      </c>
      <c r="R2736" s="14"/>
      <c r="S2736" s="14"/>
      <c r="T2736" s="14"/>
      <c r="U2736" s="14"/>
      <c r="V2736" s="14"/>
      <c r="W2736" s="14"/>
    </row>
    <row r="2737" ht="31.5" customHeight="1">
      <c r="A2737" s="158"/>
      <c r="B2737" s="159"/>
      <c r="C2737" s="160"/>
      <c r="D2737" s="130"/>
      <c r="E2737" s="130"/>
      <c r="F2737" s="161"/>
      <c r="G2737" s="164"/>
      <c r="H2737" s="76" t="b">
        <v>0</v>
      </c>
      <c r="I2737" s="76" t="b">
        <v>0</v>
      </c>
      <c r="J2737" s="76" t="b">
        <v>0</v>
      </c>
      <c r="K2737" s="76" t="b">
        <v>0</v>
      </c>
      <c r="L2737" s="76" t="b">
        <v>0</v>
      </c>
      <c r="M2737" s="76" t="b">
        <v>0</v>
      </c>
      <c r="N2737" s="76" t="b">
        <v>0</v>
      </c>
      <c r="O2737" s="76" t="b">
        <v>0</v>
      </c>
      <c r="P2737" s="76" t="b">
        <v>0</v>
      </c>
      <c r="Q2737" s="76" t="b">
        <v>0</v>
      </c>
      <c r="R2737" s="14"/>
      <c r="S2737" s="14"/>
      <c r="T2737" s="14"/>
      <c r="U2737" s="14"/>
      <c r="V2737" s="14"/>
      <c r="W2737" s="14"/>
    </row>
    <row r="2738" ht="31.5" customHeight="1">
      <c r="A2738" s="158"/>
      <c r="B2738" s="159"/>
      <c r="C2738" s="160"/>
      <c r="D2738" s="130"/>
      <c r="E2738" s="130"/>
      <c r="F2738" s="161"/>
      <c r="G2738" s="164"/>
      <c r="H2738" s="76" t="b">
        <v>0</v>
      </c>
      <c r="I2738" s="76" t="b">
        <v>0</v>
      </c>
      <c r="J2738" s="76" t="b">
        <v>0</v>
      </c>
      <c r="K2738" s="76" t="b">
        <v>0</v>
      </c>
      <c r="L2738" s="76" t="b">
        <v>0</v>
      </c>
      <c r="M2738" s="76" t="b">
        <v>0</v>
      </c>
      <c r="N2738" s="76" t="b">
        <v>0</v>
      </c>
      <c r="O2738" s="76" t="b">
        <v>0</v>
      </c>
      <c r="P2738" s="76" t="b">
        <v>0</v>
      </c>
      <c r="Q2738" s="76" t="b">
        <v>0</v>
      </c>
      <c r="R2738" s="14"/>
      <c r="S2738" s="14"/>
      <c r="T2738" s="14"/>
      <c r="U2738" s="14"/>
      <c r="V2738" s="14"/>
      <c r="W2738" s="14"/>
    </row>
    <row r="2739" ht="31.5" customHeight="1">
      <c r="A2739" s="158"/>
      <c r="B2739" s="159"/>
      <c r="C2739" s="160"/>
      <c r="D2739" s="130"/>
      <c r="E2739" s="130"/>
      <c r="F2739" s="161"/>
      <c r="G2739" s="164"/>
      <c r="H2739" s="76" t="b">
        <v>0</v>
      </c>
      <c r="I2739" s="76" t="b">
        <v>0</v>
      </c>
      <c r="J2739" s="76" t="b">
        <v>0</v>
      </c>
      <c r="K2739" s="76" t="b">
        <v>0</v>
      </c>
      <c r="L2739" s="76" t="b">
        <v>0</v>
      </c>
      <c r="M2739" s="76" t="b">
        <v>0</v>
      </c>
      <c r="N2739" s="76" t="b">
        <v>0</v>
      </c>
      <c r="O2739" s="76" t="b">
        <v>0</v>
      </c>
      <c r="P2739" s="76" t="b">
        <v>0</v>
      </c>
      <c r="Q2739" s="76" t="b">
        <v>0</v>
      </c>
      <c r="R2739" s="14"/>
      <c r="S2739" s="14"/>
      <c r="T2739" s="14"/>
      <c r="U2739" s="14"/>
      <c r="V2739" s="14"/>
      <c r="W2739" s="14"/>
    </row>
    <row r="2740" ht="31.5" customHeight="1">
      <c r="A2740" s="158"/>
      <c r="B2740" s="159"/>
      <c r="C2740" s="160"/>
      <c r="D2740" s="130"/>
      <c r="E2740" s="130"/>
      <c r="F2740" s="161"/>
      <c r="G2740" s="164"/>
      <c r="H2740" s="76" t="b">
        <v>0</v>
      </c>
      <c r="I2740" s="76" t="b">
        <v>0</v>
      </c>
      <c r="J2740" s="76" t="b">
        <v>0</v>
      </c>
      <c r="K2740" s="76" t="b">
        <v>0</v>
      </c>
      <c r="L2740" s="76" t="b">
        <v>0</v>
      </c>
      <c r="M2740" s="76" t="b">
        <v>0</v>
      </c>
      <c r="N2740" s="76" t="b">
        <v>0</v>
      </c>
      <c r="O2740" s="76" t="b">
        <v>0</v>
      </c>
      <c r="P2740" s="76" t="b">
        <v>0</v>
      </c>
      <c r="Q2740" s="76" t="b">
        <v>0</v>
      </c>
      <c r="R2740" s="14"/>
      <c r="S2740" s="14"/>
      <c r="T2740" s="14"/>
      <c r="U2740" s="14"/>
      <c r="V2740" s="14"/>
      <c r="W2740" s="14"/>
    </row>
    <row r="2741" ht="31.5" customHeight="1">
      <c r="A2741" s="158"/>
      <c r="B2741" s="159"/>
      <c r="C2741" s="160"/>
      <c r="D2741" s="130"/>
      <c r="E2741" s="130"/>
      <c r="F2741" s="161"/>
      <c r="G2741" s="164"/>
      <c r="H2741" s="76" t="b">
        <v>0</v>
      </c>
      <c r="I2741" s="76" t="b">
        <v>0</v>
      </c>
      <c r="J2741" s="76" t="b">
        <v>0</v>
      </c>
      <c r="K2741" s="76" t="b">
        <v>0</v>
      </c>
      <c r="L2741" s="76" t="b">
        <v>0</v>
      </c>
      <c r="M2741" s="76" t="b">
        <v>0</v>
      </c>
      <c r="N2741" s="76" t="b">
        <v>0</v>
      </c>
      <c r="O2741" s="76" t="b">
        <v>0</v>
      </c>
      <c r="P2741" s="76" t="b">
        <v>0</v>
      </c>
      <c r="Q2741" s="76" t="b">
        <v>0</v>
      </c>
      <c r="R2741" s="14"/>
      <c r="S2741" s="14"/>
      <c r="T2741" s="14"/>
      <c r="U2741" s="14"/>
      <c r="V2741" s="14"/>
      <c r="W2741" s="14"/>
    </row>
    <row r="2742" ht="31.5" customHeight="1">
      <c r="A2742" s="158"/>
      <c r="B2742" s="159"/>
      <c r="C2742" s="160"/>
      <c r="D2742" s="130"/>
      <c r="E2742" s="130"/>
      <c r="F2742" s="161"/>
      <c r="G2742" s="164"/>
      <c r="H2742" s="76" t="b">
        <v>0</v>
      </c>
      <c r="I2742" s="76" t="b">
        <v>0</v>
      </c>
      <c r="J2742" s="76" t="b">
        <v>0</v>
      </c>
      <c r="K2742" s="76" t="b">
        <v>0</v>
      </c>
      <c r="L2742" s="76" t="b">
        <v>0</v>
      </c>
      <c r="M2742" s="76" t="b">
        <v>0</v>
      </c>
      <c r="N2742" s="76" t="b">
        <v>0</v>
      </c>
      <c r="O2742" s="76" t="b">
        <v>0</v>
      </c>
      <c r="P2742" s="76" t="b">
        <v>0</v>
      </c>
      <c r="Q2742" s="76" t="b">
        <v>0</v>
      </c>
      <c r="R2742" s="14"/>
      <c r="S2742" s="14"/>
      <c r="T2742" s="14"/>
      <c r="U2742" s="14"/>
      <c r="V2742" s="14"/>
      <c r="W2742" s="14"/>
    </row>
    <row r="2743" ht="31.5" customHeight="1">
      <c r="A2743" s="158"/>
      <c r="B2743" s="159"/>
      <c r="C2743" s="160"/>
      <c r="D2743" s="130"/>
      <c r="E2743" s="130"/>
      <c r="F2743" s="161"/>
      <c r="G2743" s="164"/>
      <c r="H2743" s="76" t="b">
        <v>0</v>
      </c>
      <c r="I2743" s="76" t="b">
        <v>0</v>
      </c>
      <c r="J2743" s="76" t="b">
        <v>0</v>
      </c>
      <c r="K2743" s="76" t="b">
        <v>0</v>
      </c>
      <c r="L2743" s="76" t="b">
        <v>0</v>
      </c>
      <c r="M2743" s="76" t="b">
        <v>0</v>
      </c>
      <c r="N2743" s="76" t="b">
        <v>0</v>
      </c>
      <c r="O2743" s="76" t="b">
        <v>0</v>
      </c>
      <c r="P2743" s="76" t="b">
        <v>0</v>
      </c>
      <c r="Q2743" s="76" t="b">
        <v>0</v>
      </c>
      <c r="R2743" s="14"/>
      <c r="S2743" s="14"/>
      <c r="T2743" s="14"/>
      <c r="U2743" s="14"/>
      <c r="V2743" s="14"/>
      <c r="W2743" s="14"/>
    </row>
    <row r="2744" ht="31.5" customHeight="1">
      <c r="A2744" s="158"/>
      <c r="B2744" s="159"/>
      <c r="C2744" s="160"/>
      <c r="D2744" s="130"/>
      <c r="E2744" s="130"/>
      <c r="F2744" s="161"/>
      <c r="G2744" s="164"/>
      <c r="H2744" s="76" t="b">
        <v>0</v>
      </c>
      <c r="I2744" s="76" t="b">
        <v>0</v>
      </c>
      <c r="J2744" s="76" t="b">
        <v>0</v>
      </c>
      <c r="K2744" s="76" t="b">
        <v>0</v>
      </c>
      <c r="L2744" s="76" t="b">
        <v>0</v>
      </c>
      <c r="M2744" s="76" t="b">
        <v>0</v>
      </c>
      <c r="N2744" s="76" t="b">
        <v>0</v>
      </c>
      <c r="O2744" s="76" t="b">
        <v>0</v>
      </c>
      <c r="P2744" s="76" t="b">
        <v>0</v>
      </c>
      <c r="Q2744" s="76" t="b">
        <v>0</v>
      </c>
      <c r="R2744" s="14"/>
      <c r="S2744" s="14"/>
      <c r="T2744" s="14"/>
      <c r="U2744" s="14"/>
      <c r="V2744" s="14"/>
      <c r="W2744" s="14"/>
    </row>
    <row r="2745" ht="31.5" customHeight="1">
      <c r="A2745" s="158"/>
      <c r="B2745" s="159"/>
      <c r="C2745" s="160"/>
      <c r="D2745" s="130"/>
      <c r="E2745" s="130"/>
      <c r="F2745" s="161"/>
      <c r="G2745" s="164"/>
      <c r="H2745" s="76" t="b">
        <v>0</v>
      </c>
      <c r="I2745" s="76" t="b">
        <v>0</v>
      </c>
      <c r="J2745" s="76" t="b">
        <v>0</v>
      </c>
      <c r="K2745" s="76" t="b">
        <v>0</v>
      </c>
      <c r="L2745" s="76" t="b">
        <v>0</v>
      </c>
      <c r="M2745" s="76" t="b">
        <v>0</v>
      </c>
      <c r="N2745" s="76" t="b">
        <v>0</v>
      </c>
      <c r="O2745" s="76" t="b">
        <v>0</v>
      </c>
      <c r="P2745" s="76" t="b">
        <v>0</v>
      </c>
      <c r="Q2745" s="76" t="b">
        <v>0</v>
      </c>
      <c r="R2745" s="14"/>
      <c r="S2745" s="14"/>
      <c r="T2745" s="14"/>
      <c r="U2745" s="14"/>
      <c r="V2745" s="14"/>
      <c r="W2745" s="14"/>
    </row>
    <row r="2746" ht="31.5" customHeight="1">
      <c r="A2746" s="158"/>
      <c r="B2746" s="159"/>
      <c r="C2746" s="160"/>
      <c r="D2746" s="130"/>
      <c r="E2746" s="130"/>
      <c r="F2746" s="161"/>
      <c r="G2746" s="164"/>
      <c r="H2746" s="76" t="b">
        <v>0</v>
      </c>
      <c r="I2746" s="76" t="b">
        <v>0</v>
      </c>
      <c r="J2746" s="76" t="b">
        <v>0</v>
      </c>
      <c r="K2746" s="76" t="b">
        <v>0</v>
      </c>
      <c r="L2746" s="76" t="b">
        <v>0</v>
      </c>
      <c r="M2746" s="76" t="b">
        <v>0</v>
      </c>
      <c r="N2746" s="76" t="b">
        <v>0</v>
      </c>
      <c r="O2746" s="76" t="b">
        <v>0</v>
      </c>
      <c r="P2746" s="76" t="b">
        <v>0</v>
      </c>
      <c r="Q2746" s="76" t="b">
        <v>0</v>
      </c>
      <c r="R2746" s="14"/>
      <c r="S2746" s="14"/>
      <c r="T2746" s="14"/>
      <c r="U2746" s="14"/>
      <c r="V2746" s="14"/>
      <c r="W2746" s="14"/>
    </row>
    <row r="2747" ht="31.5" customHeight="1">
      <c r="A2747" s="158"/>
      <c r="B2747" s="159"/>
      <c r="C2747" s="160"/>
      <c r="D2747" s="130"/>
      <c r="E2747" s="130"/>
      <c r="F2747" s="161"/>
      <c r="G2747" s="164"/>
      <c r="H2747" s="76" t="b">
        <v>0</v>
      </c>
      <c r="I2747" s="76" t="b">
        <v>0</v>
      </c>
      <c r="J2747" s="76" t="b">
        <v>0</v>
      </c>
      <c r="K2747" s="76" t="b">
        <v>0</v>
      </c>
      <c r="L2747" s="76" t="b">
        <v>0</v>
      </c>
      <c r="M2747" s="76" t="b">
        <v>0</v>
      </c>
      <c r="N2747" s="76" t="b">
        <v>0</v>
      </c>
      <c r="O2747" s="76" t="b">
        <v>0</v>
      </c>
      <c r="P2747" s="76" t="b">
        <v>0</v>
      </c>
      <c r="Q2747" s="76" t="b">
        <v>0</v>
      </c>
      <c r="R2747" s="14"/>
      <c r="S2747" s="14"/>
      <c r="T2747" s="14"/>
      <c r="U2747" s="14"/>
      <c r="V2747" s="14"/>
      <c r="W2747" s="14"/>
    </row>
    <row r="2748" ht="31.5" customHeight="1">
      <c r="A2748" s="158"/>
      <c r="B2748" s="159"/>
      <c r="C2748" s="160"/>
      <c r="D2748" s="130"/>
      <c r="E2748" s="130"/>
      <c r="F2748" s="161"/>
      <c r="G2748" s="164"/>
      <c r="H2748" s="76" t="b">
        <v>0</v>
      </c>
      <c r="I2748" s="76" t="b">
        <v>0</v>
      </c>
      <c r="J2748" s="76" t="b">
        <v>0</v>
      </c>
      <c r="K2748" s="76" t="b">
        <v>0</v>
      </c>
      <c r="L2748" s="76" t="b">
        <v>0</v>
      </c>
      <c r="M2748" s="76" t="b">
        <v>0</v>
      </c>
      <c r="N2748" s="76" t="b">
        <v>0</v>
      </c>
      <c r="O2748" s="76" t="b">
        <v>0</v>
      </c>
      <c r="P2748" s="76" t="b">
        <v>0</v>
      </c>
      <c r="Q2748" s="76" t="b">
        <v>0</v>
      </c>
      <c r="R2748" s="14"/>
      <c r="S2748" s="14"/>
      <c r="T2748" s="14"/>
      <c r="U2748" s="14"/>
      <c r="V2748" s="14"/>
      <c r="W2748" s="14"/>
    </row>
    <row r="2749" ht="31.5" customHeight="1">
      <c r="A2749" s="158"/>
      <c r="B2749" s="159"/>
      <c r="C2749" s="160"/>
      <c r="D2749" s="130"/>
      <c r="E2749" s="130"/>
      <c r="F2749" s="161"/>
      <c r="G2749" s="164"/>
      <c r="H2749" s="76" t="b">
        <v>1</v>
      </c>
      <c r="I2749" s="76" t="b">
        <v>0</v>
      </c>
      <c r="J2749" s="76" t="b">
        <v>0</v>
      </c>
      <c r="K2749" s="76" t="b">
        <v>0</v>
      </c>
      <c r="L2749" s="76" t="b">
        <v>0</v>
      </c>
      <c r="M2749" s="76" t="b">
        <v>0</v>
      </c>
      <c r="N2749" s="76" t="b">
        <v>0</v>
      </c>
      <c r="O2749" s="76" t="b">
        <v>0</v>
      </c>
      <c r="P2749" s="76" t="b">
        <v>0</v>
      </c>
      <c r="Q2749" s="76" t="b">
        <v>0</v>
      </c>
      <c r="R2749" s="14"/>
      <c r="S2749" s="14"/>
      <c r="T2749" s="14"/>
      <c r="U2749" s="14"/>
      <c r="V2749" s="14"/>
      <c r="W2749" s="14"/>
    </row>
    <row r="2750" ht="31.5" customHeight="1">
      <c r="A2750" s="158"/>
      <c r="B2750" s="159"/>
      <c r="C2750" s="160"/>
      <c r="D2750" s="130"/>
      <c r="E2750" s="130"/>
      <c r="F2750" s="161"/>
      <c r="G2750" s="164"/>
      <c r="H2750" s="76" t="b">
        <v>1</v>
      </c>
      <c r="I2750" s="76" t="b">
        <v>0</v>
      </c>
      <c r="J2750" s="76" t="b">
        <v>0</v>
      </c>
      <c r="K2750" s="76" t="b">
        <v>0</v>
      </c>
      <c r="L2750" s="76" t="b">
        <v>0</v>
      </c>
      <c r="M2750" s="76" t="b">
        <v>0</v>
      </c>
      <c r="N2750" s="76" t="b">
        <v>0</v>
      </c>
      <c r="O2750" s="76" t="b">
        <v>0</v>
      </c>
      <c r="P2750" s="76" t="b">
        <v>0</v>
      </c>
      <c r="Q2750" s="76" t="b">
        <v>0</v>
      </c>
      <c r="R2750" s="14"/>
      <c r="S2750" s="14"/>
      <c r="T2750" s="14"/>
      <c r="U2750" s="14"/>
      <c r="V2750" s="14"/>
      <c r="W2750" s="14"/>
    </row>
    <row r="2751" ht="31.5" customHeight="1">
      <c r="A2751" s="158"/>
      <c r="B2751" s="159"/>
      <c r="C2751" s="160"/>
      <c r="D2751" s="130"/>
      <c r="E2751" s="130"/>
      <c r="F2751" s="161"/>
      <c r="G2751" s="164"/>
      <c r="H2751" s="76" t="b">
        <v>1</v>
      </c>
      <c r="I2751" s="76" t="b">
        <v>0</v>
      </c>
      <c r="J2751" s="76" t="b">
        <v>0</v>
      </c>
      <c r="K2751" s="76" t="b">
        <v>0</v>
      </c>
      <c r="L2751" s="76" t="b">
        <v>0</v>
      </c>
      <c r="M2751" s="76" t="b">
        <v>0</v>
      </c>
      <c r="N2751" s="76" t="b">
        <v>0</v>
      </c>
      <c r="O2751" s="76" t="b">
        <v>0</v>
      </c>
      <c r="P2751" s="76" t="b">
        <v>0</v>
      </c>
      <c r="Q2751" s="76" t="b">
        <v>0</v>
      </c>
      <c r="R2751" s="14"/>
      <c r="S2751" s="14"/>
      <c r="T2751" s="14"/>
      <c r="U2751" s="14"/>
      <c r="V2751" s="14"/>
      <c r="W2751" s="14"/>
    </row>
    <row r="2752" ht="31.5" customHeight="1">
      <c r="A2752" s="158"/>
      <c r="B2752" s="159"/>
      <c r="C2752" s="160"/>
      <c r="D2752" s="130"/>
      <c r="E2752" s="130"/>
      <c r="F2752" s="161"/>
      <c r="G2752" s="164"/>
      <c r="H2752" s="76" t="b">
        <v>1</v>
      </c>
      <c r="I2752" s="76" t="b">
        <v>0</v>
      </c>
      <c r="J2752" s="76" t="b">
        <v>0</v>
      </c>
      <c r="K2752" s="76" t="b">
        <v>0</v>
      </c>
      <c r="L2752" s="76" t="b">
        <v>0</v>
      </c>
      <c r="M2752" s="76" t="b">
        <v>0</v>
      </c>
      <c r="N2752" s="76" t="b">
        <v>0</v>
      </c>
      <c r="O2752" s="76" t="b">
        <v>0</v>
      </c>
      <c r="P2752" s="76" t="b">
        <v>0</v>
      </c>
      <c r="Q2752" s="76" t="b">
        <v>0</v>
      </c>
      <c r="R2752" s="14"/>
      <c r="S2752" s="14"/>
      <c r="T2752" s="14"/>
      <c r="U2752" s="14"/>
      <c r="V2752" s="14"/>
      <c r="W2752" s="14"/>
    </row>
    <row r="2753" ht="31.5" customHeight="1">
      <c r="A2753" s="158"/>
      <c r="B2753" s="159"/>
      <c r="C2753" s="160"/>
      <c r="D2753" s="130"/>
      <c r="E2753" s="130"/>
      <c r="F2753" s="161"/>
      <c r="G2753" s="164"/>
      <c r="H2753" s="76" t="b">
        <v>1</v>
      </c>
      <c r="I2753" s="76" t="b">
        <v>0</v>
      </c>
      <c r="J2753" s="76" t="b">
        <v>0</v>
      </c>
      <c r="K2753" s="76" t="b">
        <v>0</v>
      </c>
      <c r="L2753" s="76" t="b">
        <v>0</v>
      </c>
      <c r="M2753" s="76" t="b">
        <v>0</v>
      </c>
      <c r="N2753" s="76" t="b">
        <v>0</v>
      </c>
      <c r="O2753" s="76" t="b">
        <v>0</v>
      </c>
      <c r="P2753" s="76" t="b">
        <v>0</v>
      </c>
      <c r="Q2753" s="76" t="b">
        <v>0</v>
      </c>
      <c r="R2753" s="14"/>
      <c r="S2753" s="14"/>
      <c r="T2753" s="14"/>
      <c r="U2753" s="14"/>
      <c r="V2753" s="14"/>
      <c r="W2753" s="14"/>
    </row>
    <row r="2754" ht="31.5" customHeight="1">
      <c r="A2754" s="158"/>
      <c r="B2754" s="159"/>
      <c r="C2754" s="160"/>
      <c r="D2754" s="130"/>
      <c r="E2754" s="130"/>
      <c r="F2754" s="161"/>
      <c r="G2754" s="164"/>
      <c r="H2754" s="76" t="b">
        <v>1</v>
      </c>
      <c r="I2754" s="76" t="b">
        <v>0</v>
      </c>
      <c r="J2754" s="76" t="b">
        <v>0</v>
      </c>
      <c r="K2754" s="76" t="b">
        <v>0</v>
      </c>
      <c r="L2754" s="76" t="b">
        <v>0</v>
      </c>
      <c r="M2754" s="76" t="b">
        <v>0</v>
      </c>
      <c r="N2754" s="76" t="b">
        <v>0</v>
      </c>
      <c r="O2754" s="76" t="b">
        <v>0</v>
      </c>
      <c r="P2754" s="76" t="b">
        <v>0</v>
      </c>
      <c r="Q2754" s="76" t="b">
        <v>0</v>
      </c>
      <c r="R2754" s="14"/>
      <c r="S2754" s="14"/>
      <c r="T2754" s="14"/>
      <c r="U2754" s="14"/>
      <c r="V2754" s="14"/>
      <c r="W2754" s="14"/>
    </row>
    <row r="2755" ht="31.5" customHeight="1">
      <c r="A2755" s="158"/>
      <c r="B2755" s="159"/>
      <c r="C2755" s="160"/>
      <c r="D2755" s="130"/>
      <c r="E2755" s="130"/>
      <c r="F2755" s="161"/>
      <c r="G2755" s="164"/>
      <c r="H2755" s="76" t="b">
        <v>1</v>
      </c>
      <c r="I2755" s="76" t="b">
        <v>0</v>
      </c>
      <c r="J2755" s="76" t="b">
        <v>0</v>
      </c>
      <c r="K2755" s="76" t="b">
        <v>0</v>
      </c>
      <c r="L2755" s="76" t="b">
        <v>0</v>
      </c>
      <c r="M2755" s="76" t="b">
        <v>0</v>
      </c>
      <c r="N2755" s="76" t="b">
        <v>0</v>
      </c>
      <c r="O2755" s="76" t="b">
        <v>0</v>
      </c>
      <c r="P2755" s="76" t="b">
        <v>0</v>
      </c>
      <c r="Q2755" s="76" t="b">
        <v>0</v>
      </c>
      <c r="R2755" s="14"/>
      <c r="S2755" s="14"/>
      <c r="T2755" s="14"/>
      <c r="U2755" s="14"/>
      <c r="V2755" s="14"/>
      <c r="W2755" s="14"/>
    </row>
    <row r="2756" ht="31.5" customHeight="1">
      <c r="A2756" s="158"/>
      <c r="B2756" s="159"/>
      <c r="C2756" s="160"/>
      <c r="D2756" s="130"/>
      <c r="E2756" s="130"/>
      <c r="F2756" s="161"/>
      <c r="G2756" s="164"/>
      <c r="H2756" s="76" t="b">
        <v>1</v>
      </c>
      <c r="I2756" s="76" t="b">
        <v>0</v>
      </c>
      <c r="J2756" s="76" t="b">
        <v>0</v>
      </c>
      <c r="K2756" s="76" t="b">
        <v>0</v>
      </c>
      <c r="L2756" s="76" t="b">
        <v>0</v>
      </c>
      <c r="M2756" s="76" t="b">
        <v>0</v>
      </c>
      <c r="N2756" s="76" t="b">
        <v>0</v>
      </c>
      <c r="O2756" s="76" t="b">
        <v>0</v>
      </c>
      <c r="P2756" s="76" t="b">
        <v>0</v>
      </c>
      <c r="Q2756" s="76" t="b">
        <v>0</v>
      </c>
      <c r="R2756" s="14"/>
      <c r="S2756" s="14"/>
      <c r="T2756" s="14"/>
      <c r="U2756" s="14"/>
      <c r="V2756" s="14"/>
      <c r="W2756" s="14"/>
    </row>
    <row r="2757" ht="31.5" customHeight="1">
      <c r="A2757" s="158"/>
      <c r="B2757" s="159"/>
      <c r="C2757" s="160"/>
      <c r="D2757" s="130"/>
      <c r="E2757" s="130"/>
      <c r="F2757" s="161"/>
      <c r="G2757" s="164"/>
      <c r="H2757" s="76" t="b">
        <v>1</v>
      </c>
      <c r="I2757" s="76" t="b">
        <v>0</v>
      </c>
      <c r="J2757" s="76" t="b">
        <v>0</v>
      </c>
      <c r="K2757" s="76" t="b">
        <v>0</v>
      </c>
      <c r="L2757" s="76" t="b">
        <v>0</v>
      </c>
      <c r="M2757" s="76" t="b">
        <v>0</v>
      </c>
      <c r="N2757" s="76" t="b">
        <v>0</v>
      </c>
      <c r="O2757" s="76" t="b">
        <v>0</v>
      </c>
      <c r="P2757" s="76" t="b">
        <v>0</v>
      </c>
      <c r="Q2757" s="76" t="b">
        <v>0</v>
      </c>
      <c r="R2757" s="14"/>
      <c r="S2757" s="14"/>
      <c r="T2757" s="14"/>
      <c r="U2757" s="14"/>
      <c r="V2757" s="14"/>
      <c r="W2757" s="14"/>
    </row>
    <row r="2758" ht="31.5" customHeight="1">
      <c r="A2758" s="158"/>
      <c r="B2758" s="159"/>
      <c r="C2758" s="160"/>
      <c r="D2758" s="130"/>
      <c r="E2758" s="130"/>
      <c r="F2758" s="161"/>
      <c r="G2758" s="164"/>
      <c r="H2758" s="76" t="b">
        <v>1</v>
      </c>
      <c r="I2758" s="76" t="b">
        <v>0</v>
      </c>
      <c r="J2758" s="76" t="b">
        <v>0</v>
      </c>
      <c r="K2758" s="76" t="b">
        <v>0</v>
      </c>
      <c r="L2758" s="76" t="b">
        <v>0</v>
      </c>
      <c r="M2758" s="76" t="b">
        <v>0</v>
      </c>
      <c r="N2758" s="76" t="b">
        <v>0</v>
      </c>
      <c r="O2758" s="76" t="b">
        <v>0</v>
      </c>
      <c r="P2758" s="76" t="b">
        <v>0</v>
      </c>
      <c r="Q2758" s="76" t="b">
        <v>0</v>
      </c>
      <c r="R2758" s="14"/>
      <c r="S2758" s="14"/>
      <c r="T2758" s="14"/>
      <c r="U2758" s="14"/>
      <c r="V2758" s="14"/>
      <c r="W2758" s="14"/>
    </row>
    <row r="2759" ht="31.5" customHeight="1">
      <c r="A2759" s="158"/>
      <c r="B2759" s="159"/>
      <c r="C2759" s="160"/>
      <c r="D2759" s="130"/>
      <c r="E2759" s="130"/>
      <c r="F2759" s="161"/>
      <c r="G2759" s="164"/>
      <c r="H2759" s="76" t="b">
        <v>1</v>
      </c>
      <c r="I2759" s="76" t="b">
        <v>0</v>
      </c>
      <c r="J2759" s="76" t="b">
        <v>0</v>
      </c>
      <c r="K2759" s="76" t="b">
        <v>0</v>
      </c>
      <c r="L2759" s="76" t="b">
        <v>0</v>
      </c>
      <c r="M2759" s="76" t="b">
        <v>0</v>
      </c>
      <c r="N2759" s="76" t="b">
        <v>0</v>
      </c>
      <c r="O2759" s="76" t="b">
        <v>0</v>
      </c>
      <c r="P2759" s="76" t="b">
        <v>0</v>
      </c>
      <c r="Q2759" s="76" t="b">
        <v>0</v>
      </c>
      <c r="R2759" s="14"/>
      <c r="S2759" s="14"/>
      <c r="T2759" s="14"/>
      <c r="U2759" s="14"/>
      <c r="V2759" s="14"/>
      <c r="W2759" s="14"/>
    </row>
    <row r="2760" ht="31.5" customHeight="1">
      <c r="A2760" s="158"/>
      <c r="B2760" s="159"/>
      <c r="C2760" s="160"/>
      <c r="D2760" s="130"/>
      <c r="E2760" s="130"/>
      <c r="F2760" s="161"/>
      <c r="G2760" s="164"/>
      <c r="H2760" s="76" t="b">
        <v>1</v>
      </c>
      <c r="I2760" s="76" t="b">
        <v>0</v>
      </c>
      <c r="J2760" s="76" t="b">
        <v>0</v>
      </c>
      <c r="K2760" s="76" t="b">
        <v>0</v>
      </c>
      <c r="L2760" s="76" t="b">
        <v>0</v>
      </c>
      <c r="M2760" s="76" t="b">
        <v>0</v>
      </c>
      <c r="N2760" s="76" t="b">
        <v>0</v>
      </c>
      <c r="O2760" s="76" t="b">
        <v>0</v>
      </c>
      <c r="P2760" s="76" t="b">
        <v>0</v>
      </c>
      <c r="Q2760" s="76" t="b">
        <v>0</v>
      </c>
      <c r="R2760" s="14"/>
      <c r="S2760" s="14"/>
      <c r="T2760" s="14"/>
      <c r="U2760" s="14"/>
      <c r="V2760" s="14"/>
      <c r="W2760" s="14"/>
    </row>
    <row r="2761" ht="31.5" customHeight="1">
      <c r="A2761" s="158"/>
      <c r="B2761" s="159"/>
      <c r="C2761" s="160"/>
      <c r="D2761" s="130"/>
      <c r="E2761" s="130"/>
      <c r="F2761" s="161"/>
      <c r="G2761" s="164"/>
      <c r="H2761" s="76" t="b">
        <v>1</v>
      </c>
      <c r="I2761" s="76" t="b">
        <v>0</v>
      </c>
      <c r="J2761" s="76" t="b">
        <v>0</v>
      </c>
      <c r="K2761" s="76" t="b">
        <v>0</v>
      </c>
      <c r="L2761" s="76" t="b">
        <v>0</v>
      </c>
      <c r="M2761" s="76" t="b">
        <v>0</v>
      </c>
      <c r="N2761" s="76" t="b">
        <v>0</v>
      </c>
      <c r="O2761" s="76" t="b">
        <v>0</v>
      </c>
      <c r="P2761" s="76" t="b">
        <v>0</v>
      </c>
      <c r="Q2761" s="76" t="b">
        <v>0</v>
      </c>
      <c r="R2761" s="14"/>
      <c r="S2761" s="14"/>
      <c r="T2761" s="14"/>
      <c r="U2761" s="14"/>
      <c r="V2761" s="14"/>
      <c r="W2761" s="14"/>
    </row>
    <row r="2762" ht="31.5" customHeight="1">
      <c r="A2762" s="158"/>
      <c r="B2762" s="159"/>
      <c r="C2762" s="160"/>
      <c r="D2762" s="130"/>
      <c r="E2762" s="130"/>
      <c r="F2762" s="161"/>
      <c r="G2762" s="164"/>
      <c r="H2762" s="76" t="b">
        <v>1</v>
      </c>
      <c r="I2762" s="76" t="b">
        <v>0</v>
      </c>
      <c r="J2762" s="76" t="b">
        <v>0</v>
      </c>
      <c r="K2762" s="76" t="b">
        <v>0</v>
      </c>
      <c r="L2762" s="76" t="b">
        <v>0</v>
      </c>
      <c r="M2762" s="76" t="b">
        <v>0</v>
      </c>
      <c r="N2762" s="76" t="b">
        <v>0</v>
      </c>
      <c r="O2762" s="76" t="b">
        <v>0</v>
      </c>
      <c r="P2762" s="76" t="b">
        <v>0</v>
      </c>
      <c r="Q2762" s="76" t="b">
        <v>0</v>
      </c>
      <c r="R2762" s="14"/>
      <c r="S2762" s="14"/>
      <c r="T2762" s="14"/>
      <c r="U2762" s="14"/>
      <c r="V2762" s="14"/>
      <c r="W2762" s="14"/>
    </row>
    <row r="2763" ht="31.5" customHeight="1">
      <c r="A2763" s="158"/>
      <c r="B2763" s="159"/>
      <c r="C2763" s="160"/>
      <c r="D2763" s="130"/>
      <c r="E2763" s="130"/>
      <c r="F2763" s="161"/>
      <c r="G2763" s="164"/>
      <c r="H2763" s="76" t="b">
        <v>1</v>
      </c>
      <c r="I2763" s="76" t="b">
        <v>0</v>
      </c>
      <c r="J2763" s="76" t="b">
        <v>0</v>
      </c>
      <c r="K2763" s="76" t="b">
        <v>0</v>
      </c>
      <c r="L2763" s="76" t="b">
        <v>0</v>
      </c>
      <c r="M2763" s="76" t="b">
        <v>0</v>
      </c>
      <c r="N2763" s="76" t="b">
        <v>0</v>
      </c>
      <c r="O2763" s="76" t="b">
        <v>0</v>
      </c>
      <c r="P2763" s="76" t="b">
        <v>0</v>
      </c>
      <c r="Q2763" s="76" t="b">
        <v>0</v>
      </c>
      <c r="R2763" s="14"/>
      <c r="S2763" s="14"/>
      <c r="T2763" s="14"/>
      <c r="U2763" s="14"/>
      <c r="V2763" s="14"/>
      <c r="W2763" s="14"/>
    </row>
    <row r="2764" ht="31.5" customHeight="1">
      <c r="A2764" s="158"/>
      <c r="B2764" s="159"/>
      <c r="C2764" s="160"/>
      <c r="D2764" s="130"/>
      <c r="E2764" s="130"/>
      <c r="F2764" s="161"/>
      <c r="G2764" s="164"/>
      <c r="H2764" s="76" t="b">
        <v>1</v>
      </c>
      <c r="I2764" s="76" t="b">
        <v>0</v>
      </c>
      <c r="J2764" s="76" t="b">
        <v>0</v>
      </c>
      <c r="K2764" s="76" t="b">
        <v>0</v>
      </c>
      <c r="L2764" s="76" t="b">
        <v>0</v>
      </c>
      <c r="M2764" s="76" t="b">
        <v>0</v>
      </c>
      <c r="N2764" s="76" t="b">
        <v>0</v>
      </c>
      <c r="O2764" s="76" t="b">
        <v>0</v>
      </c>
      <c r="P2764" s="76" t="b">
        <v>0</v>
      </c>
      <c r="Q2764" s="76" t="b">
        <v>0</v>
      </c>
      <c r="R2764" s="14"/>
      <c r="S2764" s="14"/>
      <c r="T2764" s="14"/>
      <c r="U2764" s="14"/>
      <c r="V2764" s="14"/>
      <c r="W2764" s="14"/>
    </row>
    <row r="2765" ht="31.5" customHeight="1">
      <c r="A2765" s="158"/>
      <c r="B2765" s="159"/>
      <c r="C2765" s="160"/>
      <c r="D2765" s="130"/>
      <c r="E2765" s="130"/>
      <c r="F2765" s="161"/>
      <c r="G2765" s="164"/>
      <c r="H2765" s="76" t="b">
        <v>1</v>
      </c>
      <c r="I2765" s="76" t="b">
        <v>0</v>
      </c>
      <c r="J2765" s="76" t="b">
        <v>0</v>
      </c>
      <c r="K2765" s="76" t="b">
        <v>0</v>
      </c>
      <c r="L2765" s="76" t="b">
        <v>0</v>
      </c>
      <c r="M2765" s="76" t="b">
        <v>0</v>
      </c>
      <c r="N2765" s="76" t="b">
        <v>0</v>
      </c>
      <c r="O2765" s="76" t="b">
        <v>0</v>
      </c>
      <c r="P2765" s="76" t="b">
        <v>0</v>
      </c>
      <c r="Q2765" s="76" t="b">
        <v>0</v>
      </c>
      <c r="R2765" s="14"/>
      <c r="S2765" s="14"/>
      <c r="T2765" s="14"/>
      <c r="U2765" s="14"/>
      <c r="V2765" s="14"/>
      <c r="W2765" s="14"/>
    </row>
    <row r="2766" ht="31.5" customHeight="1">
      <c r="A2766" s="158"/>
      <c r="B2766" s="159"/>
      <c r="C2766" s="160"/>
      <c r="D2766" s="130"/>
      <c r="E2766" s="130"/>
      <c r="F2766" s="161"/>
      <c r="G2766" s="164"/>
      <c r="H2766" s="76" t="b">
        <v>1</v>
      </c>
      <c r="I2766" s="76" t="b">
        <v>0</v>
      </c>
      <c r="J2766" s="76" t="b">
        <v>0</v>
      </c>
      <c r="K2766" s="76" t="b">
        <v>0</v>
      </c>
      <c r="L2766" s="76" t="b">
        <v>0</v>
      </c>
      <c r="M2766" s="76" t="b">
        <v>0</v>
      </c>
      <c r="N2766" s="76" t="b">
        <v>0</v>
      </c>
      <c r="O2766" s="76" t="b">
        <v>0</v>
      </c>
      <c r="P2766" s="76" t="b">
        <v>0</v>
      </c>
      <c r="Q2766" s="76" t="b">
        <v>0</v>
      </c>
      <c r="R2766" s="14"/>
      <c r="S2766" s="14"/>
      <c r="T2766" s="14"/>
      <c r="U2766" s="14"/>
      <c r="V2766" s="14"/>
      <c r="W2766" s="14"/>
    </row>
    <row r="2767" ht="31.5" customHeight="1">
      <c r="A2767" s="158"/>
      <c r="B2767" s="159"/>
      <c r="C2767" s="160"/>
      <c r="D2767" s="130"/>
      <c r="E2767" s="130"/>
      <c r="F2767" s="161"/>
      <c r="G2767" s="164"/>
      <c r="H2767" s="76" t="b">
        <v>1</v>
      </c>
      <c r="I2767" s="76" t="b">
        <v>0</v>
      </c>
      <c r="J2767" s="76" t="b">
        <v>0</v>
      </c>
      <c r="K2767" s="76" t="b">
        <v>0</v>
      </c>
      <c r="L2767" s="76" t="b">
        <v>0</v>
      </c>
      <c r="M2767" s="76" t="b">
        <v>0</v>
      </c>
      <c r="N2767" s="76" t="b">
        <v>0</v>
      </c>
      <c r="O2767" s="76" t="b">
        <v>0</v>
      </c>
      <c r="P2767" s="76" t="b">
        <v>0</v>
      </c>
      <c r="Q2767" s="76" t="b">
        <v>0</v>
      </c>
      <c r="R2767" s="14"/>
      <c r="S2767" s="14"/>
      <c r="T2767" s="14"/>
      <c r="U2767" s="14"/>
      <c r="V2767" s="14"/>
      <c r="W2767" s="14"/>
    </row>
    <row r="2768" ht="31.5" customHeight="1">
      <c r="A2768" s="158"/>
      <c r="B2768" s="159"/>
      <c r="C2768" s="160"/>
      <c r="D2768" s="130"/>
      <c r="E2768" s="130"/>
      <c r="F2768" s="161"/>
      <c r="G2768" s="164"/>
      <c r="H2768" s="76" t="b">
        <v>1</v>
      </c>
      <c r="I2768" s="76" t="b">
        <v>0</v>
      </c>
      <c r="J2768" s="76" t="b">
        <v>0</v>
      </c>
      <c r="K2768" s="76" t="b">
        <v>0</v>
      </c>
      <c r="L2768" s="76" t="b">
        <v>0</v>
      </c>
      <c r="M2768" s="76" t="b">
        <v>0</v>
      </c>
      <c r="N2768" s="76" t="b">
        <v>0</v>
      </c>
      <c r="O2768" s="76" t="b">
        <v>0</v>
      </c>
      <c r="P2768" s="76" t="b">
        <v>0</v>
      </c>
      <c r="Q2768" s="76" t="b">
        <v>0</v>
      </c>
      <c r="R2768" s="14"/>
      <c r="S2768" s="14"/>
      <c r="T2768" s="14"/>
      <c r="U2768" s="14"/>
      <c r="V2768" s="14"/>
      <c r="W2768" s="14"/>
    </row>
    <row r="2769" ht="31.5" customHeight="1">
      <c r="A2769" s="158"/>
      <c r="B2769" s="159"/>
      <c r="C2769" s="160"/>
      <c r="D2769" s="130"/>
      <c r="E2769" s="130"/>
      <c r="F2769" s="161"/>
      <c r="G2769" s="164"/>
      <c r="H2769" s="76" t="b">
        <v>1</v>
      </c>
      <c r="I2769" s="76" t="b">
        <v>0</v>
      </c>
      <c r="J2769" s="76" t="b">
        <v>0</v>
      </c>
      <c r="K2769" s="76" t="b">
        <v>0</v>
      </c>
      <c r="L2769" s="76" t="b">
        <v>0</v>
      </c>
      <c r="M2769" s="76" t="b">
        <v>0</v>
      </c>
      <c r="N2769" s="76" t="b">
        <v>0</v>
      </c>
      <c r="O2769" s="76" t="b">
        <v>0</v>
      </c>
      <c r="P2769" s="76" t="b">
        <v>0</v>
      </c>
      <c r="Q2769" s="76" t="b">
        <v>0</v>
      </c>
      <c r="R2769" s="14"/>
      <c r="S2769" s="14"/>
      <c r="T2769" s="14"/>
      <c r="U2769" s="14"/>
      <c r="V2769" s="14"/>
      <c r="W2769" s="14"/>
    </row>
    <row r="2770" ht="31.5" customHeight="1">
      <c r="A2770" s="158"/>
      <c r="B2770" s="159"/>
      <c r="C2770" s="160"/>
      <c r="D2770" s="130"/>
      <c r="E2770" s="130"/>
      <c r="F2770" s="161"/>
      <c r="G2770" s="164"/>
      <c r="H2770" s="76" t="b">
        <v>1</v>
      </c>
      <c r="I2770" s="76" t="b">
        <v>0</v>
      </c>
      <c r="J2770" s="76" t="b">
        <v>0</v>
      </c>
      <c r="K2770" s="76" t="b">
        <v>0</v>
      </c>
      <c r="L2770" s="76" t="b">
        <v>0</v>
      </c>
      <c r="M2770" s="76" t="b">
        <v>0</v>
      </c>
      <c r="N2770" s="76" t="b">
        <v>0</v>
      </c>
      <c r="O2770" s="76" t="b">
        <v>0</v>
      </c>
      <c r="P2770" s="76" t="b">
        <v>0</v>
      </c>
      <c r="Q2770" s="76" t="b">
        <v>0</v>
      </c>
      <c r="R2770" s="14"/>
      <c r="S2770" s="14"/>
      <c r="T2770" s="14"/>
      <c r="U2770" s="14"/>
      <c r="V2770" s="14"/>
      <c r="W2770" s="14"/>
    </row>
    <row r="2771" ht="31.5" customHeight="1">
      <c r="A2771" s="158"/>
      <c r="B2771" s="159"/>
      <c r="C2771" s="160"/>
      <c r="D2771" s="130"/>
      <c r="E2771" s="130"/>
      <c r="F2771" s="161"/>
      <c r="G2771" s="164"/>
      <c r="H2771" s="76" t="b">
        <v>1</v>
      </c>
      <c r="I2771" s="76" t="b">
        <v>0</v>
      </c>
      <c r="J2771" s="76" t="b">
        <v>0</v>
      </c>
      <c r="K2771" s="76" t="b">
        <v>0</v>
      </c>
      <c r="L2771" s="76" t="b">
        <v>0</v>
      </c>
      <c r="M2771" s="76" t="b">
        <v>0</v>
      </c>
      <c r="N2771" s="76" t="b">
        <v>0</v>
      </c>
      <c r="O2771" s="76" t="b">
        <v>0</v>
      </c>
      <c r="P2771" s="76" t="b">
        <v>0</v>
      </c>
      <c r="Q2771" s="76" t="b">
        <v>0</v>
      </c>
      <c r="R2771" s="14"/>
      <c r="S2771" s="14"/>
      <c r="T2771" s="14"/>
      <c r="U2771" s="14"/>
      <c r="V2771" s="14"/>
      <c r="W2771" s="14"/>
    </row>
    <row r="2772" ht="31.5" customHeight="1">
      <c r="A2772" s="158"/>
      <c r="B2772" s="159"/>
      <c r="C2772" s="160"/>
      <c r="D2772" s="130"/>
      <c r="E2772" s="130"/>
      <c r="F2772" s="161"/>
      <c r="G2772" s="164"/>
      <c r="H2772" s="76" t="b">
        <v>1</v>
      </c>
      <c r="I2772" s="76" t="b">
        <v>0</v>
      </c>
      <c r="J2772" s="76" t="b">
        <v>0</v>
      </c>
      <c r="K2772" s="76" t="b">
        <v>0</v>
      </c>
      <c r="L2772" s="76" t="b">
        <v>0</v>
      </c>
      <c r="M2772" s="76" t="b">
        <v>0</v>
      </c>
      <c r="N2772" s="76" t="b">
        <v>0</v>
      </c>
      <c r="O2772" s="76" t="b">
        <v>0</v>
      </c>
      <c r="P2772" s="76" t="b">
        <v>0</v>
      </c>
      <c r="Q2772" s="76" t="b">
        <v>0</v>
      </c>
      <c r="R2772" s="14"/>
      <c r="S2772" s="14"/>
      <c r="T2772" s="14"/>
      <c r="U2772" s="14"/>
      <c r="V2772" s="14"/>
      <c r="W2772" s="14"/>
    </row>
    <row r="2773" ht="31.5" customHeight="1">
      <c r="A2773" s="158"/>
      <c r="B2773" s="159"/>
      <c r="C2773" s="160"/>
      <c r="D2773" s="130"/>
      <c r="E2773" s="130"/>
      <c r="F2773" s="161"/>
      <c r="G2773" s="164"/>
      <c r="H2773" s="76" t="b">
        <v>1</v>
      </c>
      <c r="I2773" s="76" t="b">
        <v>0</v>
      </c>
      <c r="J2773" s="76" t="b">
        <v>0</v>
      </c>
      <c r="K2773" s="76" t="b">
        <v>0</v>
      </c>
      <c r="L2773" s="76" t="b">
        <v>0</v>
      </c>
      <c r="M2773" s="76" t="b">
        <v>0</v>
      </c>
      <c r="N2773" s="76" t="b">
        <v>0</v>
      </c>
      <c r="O2773" s="76" t="b">
        <v>0</v>
      </c>
      <c r="P2773" s="76" t="b">
        <v>0</v>
      </c>
      <c r="Q2773" s="76" t="b">
        <v>0</v>
      </c>
      <c r="R2773" s="14"/>
      <c r="S2773" s="14"/>
      <c r="T2773" s="14"/>
      <c r="U2773" s="14"/>
      <c r="V2773" s="14"/>
      <c r="W2773" s="14"/>
    </row>
    <row r="2774" ht="31.5" customHeight="1">
      <c r="A2774" s="158"/>
      <c r="B2774" s="159"/>
      <c r="C2774" s="160"/>
      <c r="D2774" s="130"/>
      <c r="E2774" s="130"/>
      <c r="F2774" s="161"/>
      <c r="G2774" s="164"/>
      <c r="H2774" s="76" t="b">
        <v>1</v>
      </c>
      <c r="I2774" s="76" t="b">
        <v>0</v>
      </c>
      <c r="J2774" s="76" t="b">
        <v>0</v>
      </c>
      <c r="K2774" s="76" t="b">
        <v>0</v>
      </c>
      <c r="L2774" s="76" t="b">
        <v>0</v>
      </c>
      <c r="M2774" s="76" t="b">
        <v>0</v>
      </c>
      <c r="N2774" s="76" t="b">
        <v>0</v>
      </c>
      <c r="O2774" s="76" t="b">
        <v>0</v>
      </c>
      <c r="P2774" s="76" t="b">
        <v>0</v>
      </c>
      <c r="Q2774" s="76" t="b">
        <v>0</v>
      </c>
      <c r="R2774" s="14"/>
      <c r="S2774" s="14"/>
      <c r="T2774" s="14"/>
      <c r="U2774" s="14"/>
      <c r="V2774" s="14"/>
      <c r="W2774" s="14"/>
    </row>
    <row r="2775" ht="31.5" customHeight="1">
      <c r="A2775" s="158"/>
      <c r="B2775" s="159"/>
      <c r="C2775" s="160"/>
      <c r="D2775" s="130"/>
      <c r="E2775" s="130"/>
      <c r="F2775" s="161"/>
      <c r="G2775" s="164"/>
      <c r="H2775" s="76" t="b">
        <v>1</v>
      </c>
      <c r="I2775" s="76" t="b">
        <v>0</v>
      </c>
      <c r="J2775" s="76" t="b">
        <v>0</v>
      </c>
      <c r="K2775" s="76" t="b">
        <v>0</v>
      </c>
      <c r="L2775" s="76" t="b">
        <v>0</v>
      </c>
      <c r="M2775" s="76" t="b">
        <v>0</v>
      </c>
      <c r="N2775" s="76" t="b">
        <v>0</v>
      </c>
      <c r="O2775" s="76" t="b">
        <v>0</v>
      </c>
      <c r="P2775" s="76" t="b">
        <v>0</v>
      </c>
      <c r="Q2775" s="76" t="b">
        <v>0</v>
      </c>
      <c r="R2775" s="14"/>
      <c r="S2775" s="14"/>
      <c r="T2775" s="14"/>
      <c r="U2775" s="14"/>
      <c r="V2775" s="14"/>
      <c r="W2775" s="14"/>
    </row>
    <row r="2776" ht="31.5" customHeight="1">
      <c r="A2776" s="158"/>
      <c r="B2776" s="159"/>
      <c r="C2776" s="160"/>
      <c r="D2776" s="130"/>
      <c r="E2776" s="130"/>
      <c r="F2776" s="161"/>
      <c r="G2776" s="164"/>
      <c r="H2776" s="76" t="b">
        <v>1</v>
      </c>
      <c r="I2776" s="76" t="b">
        <v>0</v>
      </c>
      <c r="J2776" s="76" t="b">
        <v>0</v>
      </c>
      <c r="K2776" s="76" t="b">
        <v>0</v>
      </c>
      <c r="L2776" s="76" t="b">
        <v>0</v>
      </c>
      <c r="M2776" s="76" t="b">
        <v>0</v>
      </c>
      <c r="N2776" s="76" t="b">
        <v>0</v>
      </c>
      <c r="O2776" s="76" t="b">
        <v>0</v>
      </c>
      <c r="P2776" s="76" t="b">
        <v>0</v>
      </c>
      <c r="Q2776" s="76" t="b">
        <v>0</v>
      </c>
      <c r="R2776" s="14"/>
      <c r="S2776" s="14"/>
      <c r="T2776" s="14"/>
      <c r="U2776" s="14"/>
      <c r="V2776" s="14"/>
      <c r="W2776" s="14"/>
    </row>
    <row r="2777" ht="31.5" customHeight="1">
      <c r="A2777" s="158"/>
      <c r="B2777" s="159"/>
      <c r="C2777" s="160"/>
      <c r="D2777" s="130"/>
      <c r="E2777" s="130"/>
      <c r="F2777" s="161"/>
      <c r="G2777" s="164"/>
      <c r="H2777" s="76" t="b">
        <v>1</v>
      </c>
      <c r="I2777" s="76" t="b">
        <v>0</v>
      </c>
      <c r="J2777" s="76" t="b">
        <v>0</v>
      </c>
      <c r="K2777" s="76" t="b">
        <v>0</v>
      </c>
      <c r="L2777" s="76" t="b">
        <v>0</v>
      </c>
      <c r="M2777" s="76" t="b">
        <v>0</v>
      </c>
      <c r="N2777" s="76" t="b">
        <v>0</v>
      </c>
      <c r="O2777" s="76" t="b">
        <v>0</v>
      </c>
      <c r="P2777" s="76" t="b">
        <v>0</v>
      </c>
      <c r="Q2777" s="76" t="b">
        <v>0</v>
      </c>
      <c r="R2777" s="14"/>
      <c r="S2777" s="14"/>
      <c r="T2777" s="14"/>
      <c r="U2777" s="14"/>
      <c r="V2777" s="14"/>
      <c r="W2777" s="14"/>
    </row>
    <row r="2778" ht="31.5" customHeight="1">
      <c r="A2778" s="158"/>
      <c r="B2778" s="159"/>
      <c r="C2778" s="160"/>
      <c r="D2778" s="130"/>
      <c r="E2778" s="130"/>
      <c r="F2778" s="161"/>
      <c r="G2778" s="164"/>
      <c r="H2778" s="76" t="b">
        <v>1</v>
      </c>
      <c r="I2778" s="76" t="b">
        <v>0</v>
      </c>
      <c r="J2778" s="76" t="b">
        <v>0</v>
      </c>
      <c r="K2778" s="76" t="b">
        <v>0</v>
      </c>
      <c r="L2778" s="76" t="b">
        <v>0</v>
      </c>
      <c r="M2778" s="76" t="b">
        <v>0</v>
      </c>
      <c r="N2778" s="76" t="b">
        <v>0</v>
      </c>
      <c r="O2778" s="76" t="b">
        <v>0</v>
      </c>
      <c r="P2778" s="76" t="b">
        <v>0</v>
      </c>
      <c r="Q2778" s="76" t="b">
        <v>0</v>
      </c>
      <c r="R2778" s="14"/>
      <c r="S2778" s="14"/>
      <c r="T2778" s="14"/>
      <c r="U2778" s="14"/>
      <c r="V2778" s="14"/>
      <c r="W2778" s="14"/>
    </row>
    <row r="2779" ht="31.5" customHeight="1">
      <c r="A2779" s="158"/>
      <c r="B2779" s="159"/>
      <c r="C2779" s="160"/>
      <c r="D2779" s="130"/>
      <c r="E2779" s="130"/>
      <c r="F2779" s="161"/>
      <c r="G2779" s="164"/>
      <c r="H2779" s="76" t="b">
        <v>1</v>
      </c>
      <c r="I2779" s="76" t="b">
        <v>0</v>
      </c>
      <c r="J2779" s="76" t="b">
        <v>0</v>
      </c>
      <c r="K2779" s="76" t="b">
        <v>0</v>
      </c>
      <c r="L2779" s="76" t="b">
        <v>0</v>
      </c>
      <c r="M2779" s="76" t="b">
        <v>0</v>
      </c>
      <c r="N2779" s="76" t="b">
        <v>0</v>
      </c>
      <c r="O2779" s="76" t="b">
        <v>0</v>
      </c>
      <c r="P2779" s="76" t="b">
        <v>0</v>
      </c>
      <c r="Q2779" s="76" t="b">
        <v>0</v>
      </c>
      <c r="R2779" s="14"/>
      <c r="S2779" s="14"/>
      <c r="T2779" s="14"/>
      <c r="U2779" s="14"/>
      <c r="V2779" s="14"/>
      <c r="W2779" s="14"/>
    </row>
    <row r="2780" ht="31.5" customHeight="1">
      <c r="A2780" s="158"/>
      <c r="B2780" s="159"/>
      <c r="C2780" s="160"/>
      <c r="D2780" s="130"/>
      <c r="E2780" s="130"/>
      <c r="F2780" s="161"/>
      <c r="G2780" s="164"/>
      <c r="H2780" s="76" t="b">
        <v>1</v>
      </c>
      <c r="I2780" s="76" t="b">
        <v>0</v>
      </c>
      <c r="J2780" s="76" t="b">
        <v>0</v>
      </c>
      <c r="K2780" s="76" t="b">
        <v>0</v>
      </c>
      <c r="L2780" s="76" t="b">
        <v>0</v>
      </c>
      <c r="M2780" s="76" t="b">
        <v>0</v>
      </c>
      <c r="N2780" s="76" t="b">
        <v>0</v>
      </c>
      <c r="O2780" s="76" t="b">
        <v>0</v>
      </c>
      <c r="P2780" s="76" t="b">
        <v>0</v>
      </c>
      <c r="Q2780" s="76" t="b">
        <v>0</v>
      </c>
      <c r="R2780" s="14"/>
      <c r="S2780" s="14"/>
      <c r="T2780" s="14"/>
      <c r="U2780" s="14"/>
      <c r="V2780" s="14"/>
      <c r="W2780" s="14"/>
    </row>
    <row r="2781" ht="31.5" customHeight="1">
      <c r="A2781" s="158"/>
      <c r="B2781" s="159"/>
      <c r="C2781" s="160"/>
      <c r="D2781" s="130"/>
      <c r="E2781" s="130"/>
      <c r="F2781" s="161"/>
      <c r="G2781" s="164"/>
      <c r="H2781" s="76" t="b">
        <v>1</v>
      </c>
      <c r="I2781" s="76" t="b">
        <v>0</v>
      </c>
      <c r="J2781" s="76" t="b">
        <v>0</v>
      </c>
      <c r="K2781" s="76" t="b">
        <v>0</v>
      </c>
      <c r="L2781" s="76" t="b">
        <v>0</v>
      </c>
      <c r="M2781" s="76" t="b">
        <v>0</v>
      </c>
      <c r="N2781" s="76" t="b">
        <v>0</v>
      </c>
      <c r="O2781" s="76" t="b">
        <v>0</v>
      </c>
      <c r="P2781" s="76" t="b">
        <v>0</v>
      </c>
      <c r="Q2781" s="76" t="b">
        <v>0</v>
      </c>
      <c r="R2781" s="14"/>
      <c r="S2781" s="14"/>
      <c r="T2781" s="14"/>
      <c r="U2781" s="14"/>
      <c r="V2781" s="14"/>
      <c r="W2781" s="14"/>
    </row>
    <row r="2782" ht="31.5" customHeight="1">
      <c r="A2782" s="158"/>
      <c r="B2782" s="159"/>
      <c r="C2782" s="160"/>
      <c r="D2782" s="130"/>
      <c r="E2782" s="130"/>
      <c r="F2782" s="161"/>
      <c r="G2782" s="164"/>
      <c r="H2782" s="76" t="b">
        <v>1</v>
      </c>
      <c r="I2782" s="76" t="b">
        <v>0</v>
      </c>
      <c r="J2782" s="76" t="b">
        <v>0</v>
      </c>
      <c r="K2782" s="76" t="b">
        <v>0</v>
      </c>
      <c r="L2782" s="76" t="b">
        <v>0</v>
      </c>
      <c r="M2782" s="76" t="b">
        <v>0</v>
      </c>
      <c r="N2782" s="76" t="b">
        <v>0</v>
      </c>
      <c r="O2782" s="76" t="b">
        <v>0</v>
      </c>
      <c r="P2782" s="76" t="b">
        <v>0</v>
      </c>
      <c r="Q2782" s="76" t="b">
        <v>0</v>
      </c>
      <c r="R2782" s="14"/>
      <c r="S2782" s="14"/>
      <c r="T2782" s="14"/>
      <c r="U2782" s="14"/>
      <c r="V2782" s="14"/>
      <c r="W2782" s="14"/>
    </row>
    <row r="2783" ht="31.5" customHeight="1">
      <c r="A2783" s="158"/>
      <c r="B2783" s="159"/>
      <c r="C2783" s="160"/>
      <c r="D2783" s="130"/>
      <c r="E2783" s="130"/>
      <c r="F2783" s="161"/>
      <c r="G2783" s="164"/>
      <c r="H2783" s="76" t="b">
        <v>1</v>
      </c>
      <c r="I2783" s="76" t="b">
        <v>0</v>
      </c>
      <c r="J2783" s="76" t="b">
        <v>0</v>
      </c>
      <c r="K2783" s="76" t="b">
        <v>0</v>
      </c>
      <c r="L2783" s="76" t="b">
        <v>0</v>
      </c>
      <c r="M2783" s="76" t="b">
        <v>0</v>
      </c>
      <c r="N2783" s="76" t="b">
        <v>0</v>
      </c>
      <c r="O2783" s="76" t="b">
        <v>0</v>
      </c>
      <c r="P2783" s="76" t="b">
        <v>0</v>
      </c>
      <c r="Q2783" s="76" t="b">
        <v>0</v>
      </c>
      <c r="R2783" s="14"/>
      <c r="S2783" s="14"/>
      <c r="T2783" s="14"/>
      <c r="U2783" s="14"/>
      <c r="V2783" s="14"/>
      <c r="W2783" s="14"/>
    </row>
    <row r="2784" ht="31.5" customHeight="1">
      <c r="A2784" s="158"/>
      <c r="B2784" s="159"/>
      <c r="C2784" s="160"/>
      <c r="D2784" s="130"/>
      <c r="E2784" s="130"/>
      <c r="F2784" s="161"/>
      <c r="G2784" s="164"/>
      <c r="H2784" s="76" t="b">
        <v>1</v>
      </c>
      <c r="I2784" s="76" t="b">
        <v>0</v>
      </c>
      <c r="J2784" s="76" t="b">
        <v>0</v>
      </c>
      <c r="K2784" s="76" t="b">
        <v>0</v>
      </c>
      <c r="L2784" s="76" t="b">
        <v>0</v>
      </c>
      <c r="M2784" s="76" t="b">
        <v>0</v>
      </c>
      <c r="N2784" s="76" t="b">
        <v>0</v>
      </c>
      <c r="O2784" s="76" t="b">
        <v>0</v>
      </c>
      <c r="P2784" s="76" t="b">
        <v>0</v>
      </c>
      <c r="Q2784" s="76" t="b">
        <v>0</v>
      </c>
      <c r="R2784" s="14"/>
      <c r="S2784" s="14"/>
      <c r="T2784" s="14"/>
      <c r="U2784" s="14"/>
      <c r="V2784" s="14"/>
      <c r="W2784" s="14"/>
    </row>
    <row r="2785" ht="31.5" customHeight="1">
      <c r="A2785" s="158"/>
      <c r="B2785" s="159"/>
      <c r="C2785" s="160"/>
      <c r="D2785" s="130"/>
      <c r="E2785" s="130"/>
      <c r="F2785" s="161"/>
      <c r="G2785" s="164"/>
      <c r="H2785" s="76" t="b">
        <v>1</v>
      </c>
      <c r="I2785" s="76" t="b">
        <v>0</v>
      </c>
      <c r="J2785" s="76" t="b">
        <v>0</v>
      </c>
      <c r="K2785" s="76" t="b">
        <v>0</v>
      </c>
      <c r="L2785" s="76" t="b">
        <v>0</v>
      </c>
      <c r="M2785" s="76" t="b">
        <v>0</v>
      </c>
      <c r="N2785" s="76" t="b">
        <v>0</v>
      </c>
      <c r="O2785" s="76" t="b">
        <v>0</v>
      </c>
      <c r="P2785" s="76" t="b">
        <v>0</v>
      </c>
      <c r="Q2785" s="76" t="b">
        <v>0</v>
      </c>
      <c r="R2785" s="14"/>
      <c r="S2785" s="14"/>
      <c r="T2785" s="14"/>
      <c r="U2785" s="14"/>
      <c r="V2785" s="14"/>
      <c r="W2785" s="14"/>
    </row>
    <row r="2786" ht="31.5" customHeight="1">
      <c r="A2786" s="158"/>
      <c r="B2786" s="159"/>
      <c r="C2786" s="160"/>
      <c r="D2786" s="130"/>
      <c r="E2786" s="130"/>
      <c r="F2786" s="161"/>
      <c r="G2786" s="164"/>
      <c r="H2786" s="76" t="b">
        <v>1</v>
      </c>
      <c r="I2786" s="76" t="b">
        <v>0</v>
      </c>
      <c r="J2786" s="76" t="b">
        <v>0</v>
      </c>
      <c r="K2786" s="76" t="b">
        <v>0</v>
      </c>
      <c r="L2786" s="76" t="b">
        <v>0</v>
      </c>
      <c r="M2786" s="76" t="b">
        <v>0</v>
      </c>
      <c r="N2786" s="76" t="b">
        <v>0</v>
      </c>
      <c r="O2786" s="76" t="b">
        <v>0</v>
      </c>
      <c r="P2786" s="76" t="b">
        <v>0</v>
      </c>
      <c r="Q2786" s="76" t="b">
        <v>0</v>
      </c>
      <c r="R2786" s="14"/>
      <c r="S2786" s="14"/>
      <c r="T2786" s="14"/>
      <c r="U2786" s="14"/>
      <c r="V2786" s="14"/>
      <c r="W2786" s="14"/>
    </row>
    <row r="2787" ht="31.5" customHeight="1">
      <c r="A2787" s="158"/>
      <c r="B2787" s="159"/>
      <c r="C2787" s="160"/>
      <c r="D2787" s="130"/>
      <c r="E2787" s="130"/>
      <c r="F2787" s="161"/>
      <c r="G2787" s="164"/>
      <c r="H2787" s="76" t="b">
        <v>1</v>
      </c>
      <c r="I2787" s="76" t="b">
        <v>0</v>
      </c>
      <c r="J2787" s="76" t="b">
        <v>0</v>
      </c>
      <c r="K2787" s="76" t="b">
        <v>0</v>
      </c>
      <c r="L2787" s="76" t="b">
        <v>0</v>
      </c>
      <c r="M2787" s="76" t="b">
        <v>0</v>
      </c>
      <c r="N2787" s="76" t="b">
        <v>0</v>
      </c>
      <c r="O2787" s="76" t="b">
        <v>0</v>
      </c>
      <c r="P2787" s="76" t="b">
        <v>0</v>
      </c>
      <c r="Q2787" s="76" t="b">
        <v>0</v>
      </c>
      <c r="R2787" s="14"/>
      <c r="S2787" s="14"/>
      <c r="T2787" s="14"/>
      <c r="U2787" s="14"/>
      <c r="V2787" s="14"/>
      <c r="W2787" s="14"/>
    </row>
    <row r="2788" ht="31.5" customHeight="1">
      <c r="A2788" s="158"/>
      <c r="B2788" s="159"/>
      <c r="C2788" s="160"/>
      <c r="D2788" s="130"/>
      <c r="E2788" s="130"/>
      <c r="F2788" s="161"/>
      <c r="G2788" s="164"/>
      <c r="H2788" s="76" t="b">
        <v>1</v>
      </c>
      <c r="I2788" s="76" t="b">
        <v>0</v>
      </c>
      <c r="J2788" s="76" t="b">
        <v>0</v>
      </c>
      <c r="K2788" s="76" t="b">
        <v>0</v>
      </c>
      <c r="L2788" s="76" t="b">
        <v>0</v>
      </c>
      <c r="M2788" s="76" t="b">
        <v>0</v>
      </c>
      <c r="N2788" s="76" t="b">
        <v>0</v>
      </c>
      <c r="O2788" s="76" t="b">
        <v>0</v>
      </c>
      <c r="P2788" s="76" t="b">
        <v>0</v>
      </c>
      <c r="Q2788" s="76" t="b">
        <v>0</v>
      </c>
      <c r="R2788" s="14"/>
      <c r="S2788" s="14"/>
      <c r="T2788" s="14"/>
      <c r="U2788" s="14"/>
      <c r="V2788" s="14"/>
      <c r="W2788" s="14"/>
    </row>
    <row r="2789" ht="31.5" customHeight="1">
      <c r="A2789" s="158"/>
      <c r="B2789" s="159"/>
      <c r="C2789" s="160"/>
      <c r="D2789" s="130"/>
      <c r="E2789" s="130"/>
      <c r="F2789" s="161"/>
      <c r="G2789" s="164"/>
      <c r="H2789" s="76" t="b">
        <v>1</v>
      </c>
      <c r="I2789" s="76" t="b">
        <v>0</v>
      </c>
      <c r="J2789" s="76" t="b">
        <v>0</v>
      </c>
      <c r="K2789" s="76" t="b">
        <v>0</v>
      </c>
      <c r="L2789" s="76" t="b">
        <v>0</v>
      </c>
      <c r="M2789" s="76" t="b">
        <v>0</v>
      </c>
      <c r="N2789" s="76" t="b">
        <v>0</v>
      </c>
      <c r="O2789" s="76" t="b">
        <v>0</v>
      </c>
      <c r="P2789" s="76" t="b">
        <v>0</v>
      </c>
      <c r="Q2789" s="76" t="b">
        <v>0</v>
      </c>
      <c r="R2789" s="14"/>
      <c r="S2789" s="14"/>
      <c r="T2789" s="14"/>
      <c r="U2789" s="14"/>
      <c r="V2789" s="14"/>
      <c r="W2789" s="14"/>
    </row>
    <row r="2790" ht="31.5" customHeight="1">
      <c r="A2790" s="158"/>
      <c r="B2790" s="159"/>
      <c r="C2790" s="160"/>
      <c r="D2790" s="130"/>
      <c r="E2790" s="130"/>
      <c r="F2790" s="161"/>
      <c r="G2790" s="164"/>
      <c r="H2790" s="76" t="b">
        <v>1</v>
      </c>
      <c r="I2790" s="76" t="b">
        <v>0</v>
      </c>
      <c r="J2790" s="76" t="b">
        <v>0</v>
      </c>
      <c r="K2790" s="76" t="b">
        <v>0</v>
      </c>
      <c r="L2790" s="76" t="b">
        <v>0</v>
      </c>
      <c r="M2790" s="76" t="b">
        <v>0</v>
      </c>
      <c r="N2790" s="76" t="b">
        <v>0</v>
      </c>
      <c r="O2790" s="76" t="b">
        <v>0</v>
      </c>
      <c r="P2790" s="76" t="b">
        <v>0</v>
      </c>
      <c r="Q2790" s="76" t="b">
        <v>0</v>
      </c>
      <c r="R2790" s="14"/>
      <c r="S2790" s="14"/>
      <c r="T2790" s="14"/>
      <c r="U2790" s="14"/>
      <c r="V2790" s="14"/>
      <c r="W2790" s="14"/>
    </row>
    <row r="2791" ht="31.5" customHeight="1">
      <c r="A2791" s="158"/>
      <c r="B2791" s="159"/>
      <c r="C2791" s="160"/>
      <c r="D2791" s="130"/>
      <c r="E2791" s="130"/>
      <c r="F2791" s="161"/>
      <c r="G2791" s="164"/>
      <c r="H2791" s="76" t="b">
        <v>1</v>
      </c>
      <c r="I2791" s="76" t="b">
        <v>0</v>
      </c>
      <c r="J2791" s="76" t="b">
        <v>0</v>
      </c>
      <c r="K2791" s="76" t="b">
        <v>0</v>
      </c>
      <c r="L2791" s="76" t="b">
        <v>0</v>
      </c>
      <c r="M2791" s="76" t="b">
        <v>0</v>
      </c>
      <c r="N2791" s="76" t="b">
        <v>0</v>
      </c>
      <c r="O2791" s="76" t="b">
        <v>0</v>
      </c>
      <c r="P2791" s="76" t="b">
        <v>0</v>
      </c>
      <c r="Q2791" s="76" t="b">
        <v>0</v>
      </c>
      <c r="R2791" s="14"/>
      <c r="S2791" s="14"/>
      <c r="T2791" s="14"/>
      <c r="U2791" s="14"/>
      <c r="V2791" s="14"/>
      <c r="W2791" s="14"/>
    </row>
    <row r="2792" ht="31.5" customHeight="1">
      <c r="A2792" s="158"/>
      <c r="B2792" s="159"/>
      <c r="C2792" s="160"/>
      <c r="D2792" s="130"/>
      <c r="E2792" s="130"/>
      <c r="F2792" s="161"/>
      <c r="G2792" s="164"/>
      <c r="H2792" s="76" t="b">
        <v>1</v>
      </c>
      <c r="I2792" s="76" t="b">
        <v>0</v>
      </c>
      <c r="J2792" s="76" t="b">
        <v>0</v>
      </c>
      <c r="K2792" s="76" t="b">
        <v>0</v>
      </c>
      <c r="L2792" s="76" t="b">
        <v>0</v>
      </c>
      <c r="M2792" s="76" t="b">
        <v>0</v>
      </c>
      <c r="N2792" s="76" t="b">
        <v>0</v>
      </c>
      <c r="O2792" s="76" t="b">
        <v>0</v>
      </c>
      <c r="P2792" s="76" t="b">
        <v>0</v>
      </c>
      <c r="Q2792" s="76" t="b">
        <v>0</v>
      </c>
      <c r="R2792" s="14"/>
      <c r="S2792" s="14"/>
      <c r="T2792" s="14"/>
      <c r="U2792" s="14"/>
      <c r="V2792" s="14"/>
      <c r="W2792" s="14"/>
    </row>
    <row r="2793" ht="31.5" customHeight="1">
      <c r="A2793" s="158"/>
      <c r="B2793" s="159"/>
      <c r="C2793" s="160"/>
      <c r="D2793" s="130"/>
      <c r="E2793" s="130"/>
      <c r="F2793" s="161"/>
      <c r="G2793" s="164"/>
      <c r="H2793" s="76" t="b">
        <v>1</v>
      </c>
      <c r="I2793" s="76" t="b">
        <v>0</v>
      </c>
      <c r="J2793" s="76" t="b">
        <v>0</v>
      </c>
      <c r="K2793" s="76" t="b">
        <v>0</v>
      </c>
      <c r="L2793" s="76" t="b">
        <v>0</v>
      </c>
      <c r="M2793" s="76" t="b">
        <v>0</v>
      </c>
      <c r="N2793" s="76" t="b">
        <v>0</v>
      </c>
      <c r="O2793" s="76" t="b">
        <v>0</v>
      </c>
      <c r="P2793" s="76" t="b">
        <v>0</v>
      </c>
      <c r="Q2793" s="76" t="b">
        <v>0</v>
      </c>
      <c r="R2793" s="14"/>
      <c r="S2793" s="14"/>
      <c r="T2793" s="14"/>
      <c r="U2793" s="14"/>
      <c r="V2793" s="14"/>
      <c r="W2793" s="14"/>
    </row>
    <row r="2794" ht="31.5" customHeight="1">
      <c r="A2794" s="158"/>
      <c r="B2794" s="159"/>
      <c r="C2794" s="160"/>
      <c r="D2794" s="130"/>
      <c r="E2794" s="130"/>
      <c r="F2794" s="161"/>
      <c r="G2794" s="164"/>
      <c r="H2794" s="76" t="b">
        <v>1</v>
      </c>
      <c r="I2794" s="76" t="b">
        <v>0</v>
      </c>
      <c r="J2794" s="76" t="b">
        <v>0</v>
      </c>
      <c r="K2794" s="76" t="b">
        <v>0</v>
      </c>
      <c r="L2794" s="76" t="b">
        <v>0</v>
      </c>
      <c r="M2794" s="76" t="b">
        <v>0</v>
      </c>
      <c r="N2794" s="76" t="b">
        <v>0</v>
      </c>
      <c r="O2794" s="76" t="b">
        <v>0</v>
      </c>
      <c r="P2794" s="76" t="b">
        <v>0</v>
      </c>
      <c r="Q2794" s="76" t="b">
        <v>0</v>
      </c>
      <c r="R2794" s="14"/>
      <c r="S2794" s="14"/>
      <c r="T2794" s="14"/>
      <c r="U2794" s="14"/>
      <c r="V2794" s="14"/>
      <c r="W2794" s="14"/>
    </row>
    <row r="2795" ht="31.5" customHeight="1">
      <c r="A2795" s="158"/>
      <c r="B2795" s="159"/>
      <c r="C2795" s="160"/>
      <c r="D2795" s="130"/>
      <c r="E2795" s="130"/>
      <c r="F2795" s="161"/>
      <c r="G2795" s="164"/>
      <c r="H2795" s="76" t="b">
        <v>1</v>
      </c>
      <c r="I2795" s="76" t="b">
        <v>0</v>
      </c>
      <c r="J2795" s="76" t="b">
        <v>0</v>
      </c>
      <c r="K2795" s="76" t="b">
        <v>0</v>
      </c>
      <c r="L2795" s="76" t="b">
        <v>0</v>
      </c>
      <c r="M2795" s="76" t="b">
        <v>0</v>
      </c>
      <c r="N2795" s="76" t="b">
        <v>0</v>
      </c>
      <c r="O2795" s="76" t="b">
        <v>0</v>
      </c>
      <c r="P2795" s="76" t="b">
        <v>0</v>
      </c>
      <c r="Q2795" s="76" t="b">
        <v>0</v>
      </c>
      <c r="R2795" s="14"/>
      <c r="S2795" s="14"/>
      <c r="T2795" s="14"/>
      <c r="U2795" s="14"/>
      <c r="V2795" s="14"/>
      <c r="W2795" s="14"/>
    </row>
    <row r="2796" ht="31.5" customHeight="1">
      <c r="A2796" s="158"/>
      <c r="B2796" s="159"/>
      <c r="C2796" s="160"/>
      <c r="D2796" s="130"/>
      <c r="E2796" s="130"/>
      <c r="F2796" s="161"/>
      <c r="G2796" s="164"/>
      <c r="H2796" s="76" t="b">
        <v>1</v>
      </c>
      <c r="I2796" s="76" t="b">
        <v>0</v>
      </c>
      <c r="J2796" s="76" t="b">
        <v>0</v>
      </c>
      <c r="K2796" s="76" t="b">
        <v>0</v>
      </c>
      <c r="L2796" s="76" t="b">
        <v>0</v>
      </c>
      <c r="M2796" s="76" t="b">
        <v>0</v>
      </c>
      <c r="N2796" s="76" t="b">
        <v>0</v>
      </c>
      <c r="O2796" s="76" t="b">
        <v>0</v>
      </c>
      <c r="P2796" s="76" t="b">
        <v>0</v>
      </c>
      <c r="Q2796" s="76" t="b">
        <v>0</v>
      </c>
      <c r="R2796" s="14"/>
      <c r="S2796" s="14"/>
      <c r="T2796" s="14"/>
      <c r="U2796" s="14"/>
      <c r="V2796" s="14"/>
      <c r="W2796" s="14"/>
    </row>
    <row r="2797" ht="31.5" customHeight="1">
      <c r="A2797" s="158"/>
      <c r="B2797" s="159"/>
      <c r="C2797" s="160"/>
      <c r="D2797" s="130"/>
      <c r="E2797" s="130"/>
      <c r="F2797" s="161"/>
      <c r="G2797" s="164"/>
      <c r="H2797" s="76" t="b">
        <v>1</v>
      </c>
      <c r="I2797" s="76" t="b">
        <v>0</v>
      </c>
      <c r="J2797" s="76" t="b">
        <v>0</v>
      </c>
      <c r="K2797" s="76" t="b">
        <v>0</v>
      </c>
      <c r="L2797" s="76" t="b">
        <v>0</v>
      </c>
      <c r="M2797" s="76" t="b">
        <v>0</v>
      </c>
      <c r="N2797" s="76" t="b">
        <v>0</v>
      </c>
      <c r="O2797" s="76" t="b">
        <v>0</v>
      </c>
      <c r="P2797" s="76" t="b">
        <v>0</v>
      </c>
      <c r="Q2797" s="76" t="b">
        <v>0</v>
      </c>
      <c r="R2797" s="14"/>
      <c r="S2797" s="14"/>
      <c r="T2797" s="14"/>
      <c r="U2797" s="14"/>
      <c r="V2797" s="14"/>
      <c r="W2797" s="14"/>
    </row>
    <row r="2798" ht="31.5" customHeight="1">
      <c r="A2798" s="158"/>
      <c r="B2798" s="159"/>
      <c r="C2798" s="160"/>
      <c r="D2798" s="130"/>
      <c r="E2798" s="130"/>
      <c r="F2798" s="161"/>
      <c r="G2798" s="164"/>
      <c r="H2798" s="76" t="b">
        <v>1</v>
      </c>
      <c r="I2798" s="76" t="b">
        <v>0</v>
      </c>
      <c r="J2798" s="76" t="b">
        <v>0</v>
      </c>
      <c r="K2798" s="76" t="b">
        <v>0</v>
      </c>
      <c r="L2798" s="76" t="b">
        <v>0</v>
      </c>
      <c r="M2798" s="76" t="b">
        <v>0</v>
      </c>
      <c r="N2798" s="76" t="b">
        <v>0</v>
      </c>
      <c r="O2798" s="76" t="b">
        <v>0</v>
      </c>
      <c r="P2798" s="76" t="b">
        <v>0</v>
      </c>
      <c r="Q2798" s="76" t="b">
        <v>0</v>
      </c>
      <c r="R2798" s="14"/>
      <c r="S2798" s="14"/>
      <c r="T2798" s="14"/>
      <c r="U2798" s="14"/>
      <c r="V2798" s="14"/>
      <c r="W2798" s="14"/>
    </row>
    <row r="2799" ht="31.5" customHeight="1">
      <c r="A2799" s="158"/>
      <c r="B2799" s="159"/>
      <c r="C2799" s="160"/>
      <c r="D2799" s="130"/>
      <c r="E2799" s="130"/>
      <c r="F2799" s="161"/>
      <c r="G2799" s="164"/>
      <c r="H2799" s="76" t="b">
        <v>1</v>
      </c>
      <c r="I2799" s="76" t="b">
        <v>0</v>
      </c>
      <c r="J2799" s="76" t="b">
        <v>0</v>
      </c>
      <c r="K2799" s="76" t="b">
        <v>0</v>
      </c>
      <c r="L2799" s="76" t="b">
        <v>0</v>
      </c>
      <c r="M2799" s="76" t="b">
        <v>0</v>
      </c>
      <c r="N2799" s="76" t="b">
        <v>0</v>
      </c>
      <c r="O2799" s="76" t="b">
        <v>0</v>
      </c>
      <c r="P2799" s="76" t="b">
        <v>0</v>
      </c>
      <c r="Q2799" s="76" t="b">
        <v>0</v>
      </c>
      <c r="R2799" s="14"/>
      <c r="S2799" s="14"/>
      <c r="T2799" s="14"/>
      <c r="U2799" s="14"/>
      <c r="V2799" s="14"/>
      <c r="W2799" s="14"/>
    </row>
    <row r="2800" ht="31.5" customHeight="1">
      <c r="A2800" s="158"/>
      <c r="B2800" s="159"/>
      <c r="C2800" s="160"/>
      <c r="D2800" s="130"/>
      <c r="E2800" s="130"/>
      <c r="F2800" s="161"/>
      <c r="G2800" s="164"/>
      <c r="H2800" s="76" t="b">
        <v>1</v>
      </c>
      <c r="I2800" s="76" t="b">
        <v>0</v>
      </c>
      <c r="J2800" s="76" t="b">
        <v>0</v>
      </c>
      <c r="K2800" s="76" t="b">
        <v>0</v>
      </c>
      <c r="L2800" s="76" t="b">
        <v>0</v>
      </c>
      <c r="M2800" s="76" t="b">
        <v>0</v>
      </c>
      <c r="N2800" s="76" t="b">
        <v>0</v>
      </c>
      <c r="O2800" s="76" t="b">
        <v>0</v>
      </c>
      <c r="P2800" s="76" t="b">
        <v>0</v>
      </c>
      <c r="Q2800" s="76" t="b">
        <v>0</v>
      </c>
      <c r="R2800" s="14"/>
      <c r="S2800" s="14"/>
      <c r="T2800" s="14"/>
      <c r="U2800" s="14"/>
      <c r="V2800" s="14"/>
      <c r="W2800" s="14"/>
    </row>
    <row r="2801" ht="31.5" customHeight="1">
      <c r="A2801" s="158"/>
      <c r="B2801" s="159"/>
      <c r="C2801" s="160"/>
      <c r="D2801" s="130"/>
      <c r="E2801" s="130"/>
      <c r="F2801" s="161"/>
      <c r="G2801" s="164"/>
      <c r="H2801" s="76" t="b">
        <v>1</v>
      </c>
      <c r="I2801" s="76" t="b">
        <v>0</v>
      </c>
      <c r="J2801" s="76" t="b">
        <v>0</v>
      </c>
      <c r="K2801" s="76" t="b">
        <v>0</v>
      </c>
      <c r="L2801" s="76" t="b">
        <v>0</v>
      </c>
      <c r="M2801" s="76" t="b">
        <v>0</v>
      </c>
      <c r="N2801" s="76" t="b">
        <v>0</v>
      </c>
      <c r="O2801" s="76" t="b">
        <v>0</v>
      </c>
      <c r="P2801" s="76" t="b">
        <v>0</v>
      </c>
      <c r="Q2801" s="76" t="b">
        <v>0</v>
      </c>
      <c r="R2801" s="14"/>
      <c r="S2801" s="14"/>
      <c r="T2801" s="14"/>
      <c r="U2801" s="14"/>
      <c r="V2801" s="14"/>
      <c r="W2801" s="14"/>
    </row>
    <row r="2802" ht="31.5" customHeight="1">
      <c r="A2802" s="158"/>
      <c r="B2802" s="159"/>
      <c r="C2802" s="160"/>
      <c r="D2802" s="130"/>
      <c r="E2802" s="130"/>
      <c r="F2802" s="161"/>
      <c r="G2802" s="164"/>
      <c r="H2802" s="76" t="b">
        <v>1</v>
      </c>
      <c r="I2802" s="76" t="b">
        <v>0</v>
      </c>
      <c r="J2802" s="76" t="b">
        <v>0</v>
      </c>
      <c r="K2802" s="76" t="b">
        <v>0</v>
      </c>
      <c r="L2802" s="76" t="b">
        <v>0</v>
      </c>
      <c r="M2802" s="76" t="b">
        <v>0</v>
      </c>
      <c r="N2802" s="76" t="b">
        <v>0</v>
      </c>
      <c r="O2802" s="76" t="b">
        <v>0</v>
      </c>
      <c r="P2802" s="76" t="b">
        <v>0</v>
      </c>
      <c r="Q2802" s="76" t="b">
        <v>0</v>
      </c>
      <c r="R2802" s="14"/>
      <c r="S2802" s="14"/>
      <c r="T2802" s="14"/>
      <c r="U2802" s="14"/>
      <c r="V2802" s="14"/>
      <c r="W2802" s="14"/>
    </row>
    <row r="2803" ht="31.5" customHeight="1">
      <c r="A2803" s="158"/>
      <c r="B2803" s="159"/>
      <c r="C2803" s="160"/>
      <c r="D2803" s="130"/>
      <c r="E2803" s="130"/>
      <c r="F2803" s="161"/>
      <c r="G2803" s="164"/>
      <c r="H2803" s="76" t="b">
        <v>1</v>
      </c>
      <c r="I2803" s="76" t="b">
        <v>0</v>
      </c>
      <c r="J2803" s="76" t="b">
        <v>0</v>
      </c>
      <c r="K2803" s="76" t="b">
        <v>0</v>
      </c>
      <c r="L2803" s="76" t="b">
        <v>0</v>
      </c>
      <c r="M2803" s="76" t="b">
        <v>0</v>
      </c>
      <c r="N2803" s="76" t="b">
        <v>0</v>
      </c>
      <c r="O2803" s="76" t="b">
        <v>0</v>
      </c>
      <c r="P2803" s="76" t="b">
        <v>0</v>
      </c>
      <c r="Q2803" s="76" t="b">
        <v>0</v>
      </c>
      <c r="R2803" s="14"/>
      <c r="S2803" s="14"/>
      <c r="T2803" s="14"/>
      <c r="U2803" s="14"/>
      <c r="V2803" s="14"/>
      <c r="W2803" s="14"/>
    </row>
    <row r="2804" ht="31.5" customHeight="1">
      <c r="A2804" s="158"/>
      <c r="B2804" s="159"/>
      <c r="C2804" s="160"/>
      <c r="D2804" s="130"/>
      <c r="E2804" s="130"/>
      <c r="F2804" s="161"/>
      <c r="G2804" s="164"/>
      <c r="H2804" s="76" t="b">
        <v>1</v>
      </c>
      <c r="I2804" s="76" t="b">
        <v>0</v>
      </c>
      <c r="J2804" s="76" t="b">
        <v>0</v>
      </c>
      <c r="K2804" s="76" t="b">
        <v>0</v>
      </c>
      <c r="L2804" s="76" t="b">
        <v>0</v>
      </c>
      <c r="M2804" s="76" t="b">
        <v>0</v>
      </c>
      <c r="N2804" s="76" t="b">
        <v>0</v>
      </c>
      <c r="O2804" s="76" t="b">
        <v>0</v>
      </c>
      <c r="P2804" s="76" t="b">
        <v>0</v>
      </c>
      <c r="Q2804" s="76" t="b">
        <v>0</v>
      </c>
      <c r="R2804" s="14"/>
      <c r="S2804" s="14"/>
      <c r="T2804" s="14"/>
      <c r="U2804" s="14"/>
      <c r="V2804" s="14"/>
      <c r="W2804" s="14"/>
    </row>
    <row r="2805" ht="31.5" customHeight="1">
      <c r="A2805" s="158"/>
      <c r="B2805" s="159"/>
      <c r="C2805" s="160"/>
      <c r="D2805" s="130"/>
      <c r="E2805" s="130"/>
      <c r="F2805" s="161"/>
      <c r="G2805" s="164"/>
      <c r="H2805" s="76" t="b">
        <v>1</v>
      </c>
      <c r="I2805" s="76" t="b">
        <v>0</v>
      </c>
      <c r="J2805" s="76" t="b">
        <v>0</v>
      </c>
      <c r="K2805" s="76" t="b">
        <v>0</v>
      </c>
      <c r="L2805" s="76" t="b">
        <v>0</v>
      </c>
      <c r="M2805" s="76" t="b">
        <v>0</v>
      </c>
      <c r="N2805" s="76" t="b">
        <v>0</v>
      </c>
      <c r="O2805" s="76" t="b">
        <v>0</v>
      </c>
      <c r="P2805" s="76" t="b">
        <v>0</v>
      </c>
      <c r="Q2805" s="76" t="b">
        <v>0</v>
      </c>
      <c r="R2805" s="14"/>
      <c r="S2805" s="14"/>
      <c r="T2805" s="14"/>
      <c r="U2805" s="14"/>
      <c r="V2805" s="14"/>
      <c r="W2805" s="14"/>
    </row>
    <row r="2806" ht="31.5" customHeight="1">
      <c r="A2806" s="158"/>
      <c r="B2806" s="159"/>
      <c r="C2806" s="160"/>
      <c r="D2806" s="130"/>
      <c r="E2806" s="130"/>
      <c r="F2806" s="161"/>
      <c r="G2806" s="164"/>
      <c r="H2806" s="76" t="b">
        <v>1</v>
      </c>
      <c r="I2806" s="76" t="b">
        <v>0</v>
      </c>
      <c r="J2806" s="76" t="b">
        <v>0</v>
      </c>
      <c r="K2806" s="76" t="b">
        <v>0</v>
      </c>
      <c r="L2806" s="76" t="b">
        <v>0</v>
      </c>
      <c r="M2806" s="76" t="b">
        <v>0</v>
      </c>
      <c r="N2806" s="76" t="b">
        <v>0</v>
      </c>
      <c r="O2806" s="76" t="b">
        <v>0</v>
      </c>
      <c r="P2806" s="76" t="b">
        <v>0</v>
      </c>
      <c r="Q2806" s="76" t="b">
        <v>0</v>
      </c>
      <c r="R2806" s="14"/>
      <c r="S2806" s="14"/>
      <c r="T2806" s="14"/>
      <c r="U2806" s="14"/>
      <c r="V2806" s="14"/>
      <c r="W2806" s="14"/>
    </row>
    <row r="2807" ht="31.5" customHeight="1">
      <c r="A2807" s="158"/>
      <c r="B2807" s="159"/>
      <c r="C2807" s="160"/>
      <c r="D2807" s="130"/>
      <c r="E2807" s="130"/>
      <c r="F2807" s="161"/>
      <c r="G2807" s="164"/>
      <c r="H2807" s="76" t="b">
        <v>1</v>
      </c>
      <c r="I2807" s="76" t="b">
        <v>0</v>
      </c>
      <c r="J2807" s="76" t="b">
        <v>0</v>
      </c>
      <c r="K2807" s="76" t="b">
        <v>0</v>
      </c>
      <c r="L2807" s="76" t="b">
        <v>0</v>
      </c>
      <c r="M2807" s="76" t="b">
        <v>0</v>
      </c>
      <c r="N2807" s="76" t="b">
        <v>0</v>
      </c>
      <c r="O2807" s="76" t="b">
        <v>0</v>
      </c>
      <c r="P2807" s="76" t="b">
        <v>0</v>
      </c>
      <c r="Q2807" s="76" t="b">
        <v>0</v>
      </c>
      <c r="R2807" s="14"/>
      <c r="S2807" s="14"/>
      <c r="T2807" s="14"/>
      <c r="U2807" s="14"/>
      <c r="V2807" s="14"/>
      <c r="W2807" s="14"/>
    </row>
    <row r="2808" ht="31.5" customHeight="1">
      <c r="A2808" s="158"/>
      <c r="B2808" s="159"/>
      <c r="C2808" s="160"/>
      <c r="D2808" s="130"/>
      <c r="E2808" s="130"/>
      <c r="F2808" s="161"/>
      <c r="G2808" s="164"/>
      <c r="H2808" s="76" t="b">
        <v>1</v>
      </c>
      <c r="I2808" s="76" t="b">
        <v>0</v>
      </c>
      <c r="J2808" s="76" t="b">
        <v>0</v>
      </c>
      <c r="K2808" s="76" t="b">
        <v>0</v>
      </c>
      <c r="L2808" s="76" t="b">
        <v>0</v>
      </c>
      <c r="M2808" s="76" t="b">
        <v>0</v>
      </c>
      <c r="N2808" s="76" t="b">
        <v>0</v>
      </c>
      <c r="O2808" s="76" t="b">
        <v>0</v>
      </c>
      <c r="P2808" s="76" t="b">
        <v>0</v>
      </c>
      <c r="Q2808" s="76" t="b">
        <v>0</v>
      </c>
      <c r="R2808" s="14"/>
      <c r="S2808" s="14"/>
      <c r="T2808" s="14"/>
      <c r="U2808" s="14"/>
      <c r="V2808" s="14"/>
      <c r="W2808" s="14"/>
    </row>
    <row r="2809" ht="31.5" customHeight="1">
      <c r="A2809" s="158"/>
      <c r="B2809" s="159"/>
      <c r="C2809" s="160"/>
      <c r="D2809" s="130"/>
      <c r="E2809" s="130"/>
      <c r="F2809" s="161"/>
      <c r="G2809" s="164"/>
      <c r="H2809" s="76" t="b">
        <v>1</v>
      </c>
      <c r="I2809" s="76" t="b">
        <v>0</v>
      </c>
      <c r="J2809" s="76" t="b">
        <v>0</v>
      </c>
      <c r="K2809" s="76" t="b">
        <v>0</v>
      </c>
      <c r="L2809" s="76" t="b">
        <v>0</v>
      </c>
      <c r="M2809" s="76" t="b">
        <v>0</v>
      </c>
      <c r="N2809" s="76" t="b">
        <v>0</v>
      </c>
      <c r="O2809" s="76" t="b">
        <v>0</v>
      </c>
      <c r="P2809" s="76" t="b">
        <v>0</v>
      </c>
      <c r="Q2809" s="76" t="b">
        <v>0</v>
      </c>
      <c r="R2809" s="14"/>
      <c r="S2809" s="14"/>
      <c r="T2809" s="14"/>
      <c r="U2809" s="14"/>
      <c r="V2809" s="14"/>
      <c r="W2809" s="14"/>
    </row>
    <row r="2810" ht="31.5" customHeight="1">
      <c r="A2810" s="158"/>
      <c r="B2810" s="159"/>
      <c r="C2810" s="160"/>
      <c r="D2810" s="130"/>
      <c r="E2810" s="130"/>
      <c r="F2810" s="161"/>
      <c r="G2810" s="164"/>
      <c r="H2810" s="76" t="b">
        <v>1</v>
      </c>
      <c r="I2810" s="76" t="b">
        <v>0</v>
      </c>
      <c r="J2810" s="76" t="b">
        <v>0</v>
      </c>
      <c r="K2810" s="76" t="b">
        <v>0</v>
      </c>
      <c r="L2810" s="76" t="b">
        <v>0</v>
      </c>
      <c r="M2810" s="76" t="b">
        <v>0</v>
      </c>
      <c r="N2810" s="76" t="b">
        <v>0</v>
      </c>
      <c r="O2810" s="76" t="b">
        <v>0</v>
      </c>
      <c r="P2810" s="76" t="b">
        <v>0</v>
      </c>
      <c r="Q2810" s="76" t="b">
        <v>0</v>
      </c>
      <c r="R2810" s="14"/>
      <c r="S2810" s="14"/>
      <c r="T2810" s="14"/>
      <c r="U2810" s="14"/>
      <c r="V2810" s="14"/>
      <c r="W2810" s="14"/>
    </row>
    <row r="2811" ht="31.5" customHeight="1">
      <c r="A2811" s="158"/>
      <c r="B2811" s="159"/>
      <c r="C2811" s="160"/>
      <c r="D2811" s="130"/>
      <c r="E2811" s="130"/>
      <c r="F2811" s="161"/>
      <c r="G2811" s="164"/>
      <c r="H2811" s="76" t="b">
        <v>1</v>
      </c>
      <c r="I2811" s="76" t="b">
        <v>0</v>
      </c>
      <c r="J2811" s="76" t="b">
        <v>0</v>
      </c>
      <c r="K2811" s="76" t="b">
        <v>0</v>
      </c>
      <c r="L2811" s="76" t="b">
        <v>0</v>
      </c>
      <c r="M2811" s="76" t="b">
        <v>0</v>
      </c>
      <c r="N2811" s="76" t="b">
        <v>0</v>
      </c>
      <c r="O2811" s="76" t="b">
        <v>0</v>
      </c>
      <c r="P2811" s="76" t="b">
        <v>0</v>
      </c>
      <c r="Q2811" s="76" t="b">
        <v>0</v>
      </c>
      <c r="R2811" s="14"/>
      <c r="S2811" s="14"/>
      <c r="T2811" s="14"/>
      <c r="U2811" s="14"/>
      <c r="V2811" s="14"/>
      <c r="W2811" s="14"/>
    </row>
    <row r="2812" ht="31.5" customHeight="1">
      <c r="A2812" s="158"/>
      <c r="B2812" s="159"/>
      <c r="C2812" s="160"/>
      <c r="D2812" s="130"/>
      <c r="E2812" s="130"/>
      <c r="F2812" s="161"/>
      <c r="G2812" s="164"/>
      <c r="H2812" s="76" t="b">
        <v>1</v>
      </c>
      <c r="I2812" s="76" t="b">
        <v>0</v>
      </c>
      <c r="J2812" s="76" t="b">
        <v>0</v>
      </c>
      <c r="K2812" s="76" t="b">
        <v>0</v>
      </c>
      <c r="L2812" s="76" t="b">
        <v>0</v>
      </c>
      <c r="M2812" s="76" t="b">
        <v>0</v>
      </c>
      <c r="N2812" s="76" t="b">
        <v>0</v>
      </c>
      <c r="O2812" s="76" t="b">
        <v>0</v>
      </c>
      <c r="P2812" s="76" t="b">
        <v>0</v>
      </c>
      <c r="Q2812" s="76" t="b">
        <v>0</v>
      </c>
      <c r="R2812" s="14"/>
      <c r="S2812" s="14"/>
      <c r="T2812" s="14"/>
      <c r="U2812" s="14"/>
      <c r="V2812" s="14"/>
      <c r="W2812" s="14"/>
    </row>
    <row r="2813" ht="31.5" customHeight="1">
      <c r="A2813" s="158"/>
      <c r="B2813" s="159"/>
      <c r="C2813" s="160"/>
      <c r="D2813" s="130"/>
      <c r="E2813" s="130"/>
      <c r="F2813" s="161"/>
      <c r="G2813" s="164"/>
      <c r="H2813" s="76" t="b">
        <v>1</v>
      </c>
      <c r="I2813" s="76" t="b">
        <v>0</v>
      </c>
      <c r="J2813" s="76" t="b">
        <v>0</v>
      </c>
      <c r="K2813" s="76" t="b">
        <v>0</v>
      </c>
      <c r="L2813" s="76" t="b">
        <v>0</v>
      </c>
      <c r="M2813" s="76" t="b">
        <v>0</v>
      </c>
      <c r="N2813" s="76" t="b">
        <v>0</v>
      </c>
      <c r="O2813" s="76" t="b">
        <v>0</v>
      </c>
      <c r="P2813" s="76" t="b">
        <v>0</v>
      </c>
      <c r="Q2813" s="76" t="b">
        <v>0</v>
      </c>
      <c r="R2813" s="14"/>
      <c r="S2813" s="14"/>
      <c r="T2813" s="14"/>
      <c r="U2813" s="14"/>
      <c r="V2813" s="14"/>
      <c r="W2813" s="14"/>
    </row>
    <row r="2814" ht="31.5" customHeight="1">
      <c r="A2814" s="158"/>
      <c r="B2814" s="159"/>
      <c r="C2814" s="160"/>
      <c r="D2814" s="130"/>
      <c r="E2814" s="130"/>
      <c r="F2814" s="161"/>
      <c r="G2814" s="164"/>
      <c r="H2814" s="76" t="b">
        <v>1</v>
      </c>
      <c r="I2814" s="76" t="b">
        <v>0</v>
      </c>
      <c r="J2814" s="76" t="b">
        <v>0</v>
      </c>
      <c r="K2814" s="76" t="b">
        <v>0</v>
      </c>
      <c r="L2814" s="76" t="b">
        <v>0</v>
      </c>
      <c r="M2814" s="76" t="b">
        <v>0</v>
      </c>
      <c r="N2814" s="76" t="b">
        <v>0</v>
      </c>
      <c r="O2814" s="76" t="b">
        <v>0</v>
      </c>
      <c r="P2814" s="76" t="b">
        <v>0</v>
      </c>
      <c r="Q2814" s="76" t="b">
        <v>0</v>
      </c>
      <c r="R2814" s="14"/>
      <c r="S2814" s="14"/>
      <c r="T2814" s="14"/>
      <c r="U2814" s="14"/>
      <c r="V2814" s="14"/>
      <c r="W2814" s="14"/>
    </row>
    <row r="2815" ht="31.5" customHeight="1">
      <c r="A2815" s="158"/>
      <c r="B2815" s="159"/>
      <c r="C2815" s="160"/>
      <c r="D2815" s="130"/>
      <c r="E2815" s="130"/>
      <c r="F2815" s="161"/>
      <c r="G2815" s="164"/>
      <c r="H2815" s="76" t="b">
        <v>1</v>
      </c>
      <c r="I2815" s="76" t="b">
        <v>0</v>
      </c>
      <c r="J2815" s="76" t="b">
        <v>0</v>
      </c>
      <c r="K2815" s="76" t="b">
        <v>0</v>
      </c>
      <c r="L2815" s="76" t="b">
        <v>0</v>
      </c>
      <c r="M2815" s="76" t="b">
        <v>0</v>
      </c>
      <c r="N2815" s="76" t="b">
        <v>0</v>
      </c>
      <c r="O2815" s="76" t="b">
        <v>0</v>
      </c>
      <c r="P2815" s="76" t="b">
        <v>0</v>
      </c>
      <c r="Q2815" s="76" t="b">
        <v>0</v>
      </c>
      <c r="R2815" s="14"/>
      <c r="S2815" s="14"/>
      <c r="T2815" s="14"/>
      <c r="U2815" s="14"/>
      <c r="V2815" s="14"/>
      <c r="W2815" s="14"/>
    </row>
    <row r="2816" ht="31.5" customHeight="1">
      <c r="A2816" s="158"/>
      <c r="B2816" s="159"/>
      <c r="C2816" s="160"/>
      <c r="D2816" s="130"/>
      <c r="E2816" s="130"/>
      <c r="F2816" s="161"/>
      <c r="G2816" s="164"/>
      <c r="H2816" s="76" t="b">
        <v>1</v>
      </c>
      <c r="I2816" s="76" t="b">
        <v>0</v>
      </c>
      <c r="J2816" s="76" t="b">
        <v>0</v>
      </c>
      <c r="K2816" s="76" t="b">
        <v>0</v>
      </c>
      <c r="L2816" s="76" t="b">
        <v>0</v>
      </c>
      <c r="M2816" s="76" t="b">
        <v>0</v>
      </c>
      <c r="N2816" s="76" t="b">
        <v>0</v>
      </c>
      <c r="O2816" s="76" t="b">
        <v>0</v>
      </c>
      <c r="P2816" s="76" t="b">
        <v>0</v>
      </c>
      <c r="Q2816" s="76" t="b">
        <v>0</v>
      </c>
      <c r="R2816" s="14"/>
      <c r="S2816" s="14"/>
      <c r="T2816" s="14"/>
      <c r="U2816" s="14"/>
      <c r="V2816" s="14"/>
      <c r="W2816" s="14"/>
    </row>
    <row r="2817" ht="31.5" customHeight="1">
      <c r="A2817" s="158"/>
      <c r="B2817" s="159"/>
      <c r="C2817" s="160"/>
      <c r="D2817" s="130"/>
      <c r="E2817" s="130"/>
      <c r="F2817" s="161"/>
      <c r="G2817" s="164"/>
      <c r="H2817" s="76" t="b">
        <v>1</v>
      </c>
      <c r="I2817" s="76" t="b">
        <v>0</v>
      </c>
      <c r="J2817" s="76" t="b">
        <v>0</v>
      </c>
      <c r="K2817" s="76" t="b">
        <v>0</v>
      </c>
      <c r="L2817" s="76" t="b">
        <v>0</v>
      </c>
      <c r="M2817" s="76" t="b">
        <v>0</v>
      </c>
      <c r="N2817" s="76" t="b">
        <v>0</v>
      </c>
      <c r="O2817" s="76" t="b">
        <v>0</v>
      </c>
      <c r="P2817" s="76" t="b">
        <v>0</v>
      </c>
      <c r="Q2817" s="76" t="b">
        <v>0</v>
      </c>
      <c r="R2817" s="14"/>
      <c r="S2817" s="14"/>
      <c r="T2817" s="14"/>
      <c r="U2817" s="14"/>
      <c r="V2817" s="14"/>
      <c r="W2817" s="14"/>
    </row>
    <row r="2818" ht="31.5" customHeight="1">
      <c r="A2818" s="158"/>
      <c r="B2818" s="159"/>
      <c r="C2818" s="160"/>
      <c r="D2818" s="130"/>
      <c r="E2818" s="130"/>
      <c r="F2818" s="161"/>
      <c r="G2818" s="164"/>
      <c r="H2818" s="76" t="b">
        <v>1</v>
      </c>
      <c r="I2818" s="76" t="b">
        <v>0</v>
      </c>
      <c r="J2818" s="76" t="b">
        <v>0</v>
      </c>
      <c r="K2818" s="76" t="b">
        <v>0</v>
      </c>
      <c r="L2818" s="76" t="b">
        <v>0</v>
      </c>
      <c r="M2818" s="76" t="b">
        <v>0</v>
      </c>
      <c r="N2818" s="76" t="b">
        <v>0</v>
      </c>
      <c r="O2818" s="76" t="b">
        <v>0</v>
      </c>
      <c r="P2818" s="76" t="b">
        <v>0</v>
      </c>
      <c r="Q2818" s="76" t="b">
        <v>0</v>
      </c>
      <c r="R2818" s="14"/>
      <c r="S2818" s="14"/>
      <c r="T2818" s="14"/>
      <c r="U2818" s="14"/>
      <c r="V2818" s="14"/>
      <c r="W2818" s="14"/>
    </row>
    <row r="2819" ht="31.5" customHeight="1">
      <c r="A2819" s="158"/>
      <c r="B2819" s="159"/>
      <c r="C2819" s="160"/>
      <c r="D2819" s="130"/>
      <c r="E2819" s="130"/>
      <c r="F2819" s="161"/>
      <c r="G2819" s="164"/>
      <c r="H2819" s="76" t="b">
        <v>1</v>
      </c>
      <c r="I2819" s="76" t="b">
        <v>0</v>
      </c>
      <c r="J2819" s="76" t="b">
        <v>0</v>
      </c>
      <c r="K2819" s="76" t="b">
        <v>0</v>
      </c>
      <c r="L2819" s="76" t="b">
        <v>0</v>
      </c>
      <c r="M2819" s="76" t="b">
        <v>0</v>
      </c>
      <c r="N2819" s="76" t="b">
        <v>0</v>
      </c>
      <c r="O2819" s="76" t="b">
        <v>0</v>
      </c>
      <c r="P2819" s="76" t="b">
        <v>0</v>
      </c>
      <c r="Q2819" s="76" t="b">
        <v>0</v>
      </c>
      <c r="R2819" s="14"/>
      <c r="S2819" s="14"/>
      <c r="T2819" s="14"/>
      <c r="U2819" s="14"/>
      <c r="V2819" s="14"/>
      <c r="W2819" s="14"/>
    </row>
    <row r="2820" ht="31.5" customHeight="1">
      <c r="A2820" s="158"/>
      <c r="B2820" s="159"/>
      <c r="C2820" s="160"/>
      <c r="D2820" s="130"/>
      <c r="E2820" s="130"/>
      <c r="F2820" s="161"/>
      <c r="G2820" s="164"/>
      <c r="H2820" s="76" t="b">
        <v>1</v>
      </c>
      <c r="I2820" s="76" t="b">
        <v>0</v>
      </c>
      <c r="J2820" s="76" t="b">
        <v>0</v>
      </c>
      <c r="K2820" s="76" t="b">
        <v>0</v>
      </c>
      <c r="L2820" s="76" t="b">
        <v>0</v>
      </c>
      <c r="M2820" s="76" t="b">
        <v>0</v>
      </c>
      <c r="N2820" s="76" t="b">
        <v>0</v>
      </c>
      <c r="O2820" s="76" t="b">
        <v>0</v>
      </c>
      <c r="P2820" s="76" t="b">
        <v>0</v>
      </c>
      <c r="Q2820" s="76" t="b">
        <v>0</v>
      </c>
      <c r="R2820" s="14"/>
      <c r="S2820" s="14"/>
      <c r="T2820" s="14"/>
      <c r="U2820" s="14"/>
      <c r="V2820" s="14"/>
      <c r="W2820" s="14"/>
    </row>
    <row r="2821" ht="31.5" customHeight="1">
      <c r="A2821" s="158"/>
      <c r="B2821" s="159"/>
      <c r="C2821" s="160"/>
      <c r="D2821" s="130"/>
      <c r="E2821" s="130"/>
      <c r="F2821" s="161"/>
      <c r="G2821" s="164"/>
      <c r="H2821" s="76" t="b">
        <v>1</v>
      </c>
      <c r="I2821" s="76" t="b">
        <v>0</v>
      </c>
      <c r="J2821" s="76" t="b">
        <v>0</v>
      </c>
      <c r="K2821" s="76" t="b">
        <v>0</v>
      </c>
      <c r="L2821" s="76" t="b">
        <v>0</v>
      </c>
      <c r="M2821" s="76" t="b">
        <v>0</v>
      </c>
      <c r="N2821" s="76" t="b">
        <v>0</v>
      </c>
      <c r="O2821" s="76" t="b">
        <v>0</v>
      </c>
      <c r="P2821" s="76" t="b">
        <v>0</v>
      </c>
      <c r="Q2821" s="76" t="b">
        <v>0</v>
      </c>
      <c r="R2821" s="14"/>
      <c r="S2821" s="14"/>
      <c r="T2821" s="14"/>
      <c r="U2821" s="14"/>
      <c r="V2821" s="14"/>
      <c r="W2821" s="14"/>
    </row>
    <row r="2822" ht="31.5" customHeight="1">
      <c r="A2822" s="158"/>
      <c r="B2822" s="159"/>
      <c r="C2822" s="160"/>
      <c r="D2822" s="130"/>
      <c r="E2822" s="130"/>
      <c r="F2822" s="161"/>
      <c r="G2822" s="164"/>
      <c r="H2822" s="76" t="b">
        <v>1</v>
      </c>
      <c r="I2822" s="76" t="b">
        <v>0</v>
      </c>
      <c r="J2822" s="76" t="b">
        <v>0</v>
      </c>
      <c r="K2822" s="76" t="b">
        <v>0</v>
      </c>
      <c r="L2822" s="76" t="b">
        <v>0</v>
      </c>
      <c r="M2822" s="76" t="b">
        <v>0</v>
      </c>
      <c r="N2822" s="76" t="b">
        <v>0</v>
      </c>
      <c r="O2822" s="76" t="b">
        <v>0</v>
      </c>
      <c r="P2822" s="76" t="b">
        <v>0</v>
      </c>
      <c r="Q2822" s="76" t="b">
        <v>0</v>
      </c>
      <c r="R2822" s="14"/>
      <c r="S2822" s="14"/>
      <c r="T2822" s="14"/>
      <c r="U2822" s="14"/>
      <c r="V2822" s="14"/>
      <c r="W2822" s="14"/>
    </row>
    <row r="2823" ht="31.5" customHeight="1">
      <c r="A2823" s="158"/>
      <c r="B2823" s="159"/>
      <c r="C2823" s="160"/>
      <c r="D2823" s="130"/>
      <c r="E2823" s="130"/>
      <c r="F2823" s="161"/>
      <c r="G2823" s="164"/>
      <c r="H2823" s="76" t="b">
        <v>1</v>
      </c>
      <c r="I2823" s="76" t="b">
        <v>0</v>
      </c>
      <c r="J2823" s="76" t="b">
        <v>0</v>
      </c>
      <c r="K2823" s="76" t="b">
        <v>0</v>
      </c>
      <c r="L2823" s="76" t="b">
        <v>0</v>
      </c>
      <c r="M2823" s="76" t="b">
        <v>0</v>
      </c>
      <c r="N2823" s="76" t="b">
        <v>0</v>
      </c>
      <c r="O2823" s="76" t="b">
        <v>0</v>
      </c>
      <c r="P2823" s="76" t="b">
        <v>0</v>
      </c>
      <c r="Q2823" s="76" t="b">
        <v>0</v>
      </c>
      <c r="R2823" s="14"/>
      <c r="S2823" s="14"/>
      <c r="T2823" s="14"/>
      <c r="U2823" s="14"/>
      <c r="V2823" s="14"/>
      <c r="W2823" s="14"/>
    </row>
    <row r="2824" ht="31.5" customHeight="1">
      <c r="A2824" s="158"/>
      <c r="B2824" s="159"/>
      <c r="C2824" s="160"/>
      <c r="D2824" s="130"/>
      <c r="E2824" s="130"/>
      <c r="F2824" s="161"/>
      <c r="G2824" s="164"/>
      <c r="H2824" s="76" t="b">
        <v>1</v>
      </c>
      <c r="I2824" s="76" t="b">
        <v>0</v>
      </c>
      <c r="J2824" s="76" t="b">
        <v>0</v>
      </c>
      <c r="K2824" s="76" t="b">
        <v>0</v>
      </c>
      <c r="L2824" s="76" t="b">
        <v>0</v>
      </c>
      <c r="M2824" s="76" t="b">
        <v>0</v>
      </c>
      <c r="N2824" s="76" t="b">
        <v>0</v>
      </c>
      <c r="O2824" s="76" t="b">
        <v>0</v>
      </c>
      <c r="P2824" s="76" t="b">
        <v>0</v>
      </c>
      <c r="Q2824" s="76" t="b">
        <v>0</v>
      </c>
      <c r="R2824" s="14"/>
      <c r="S2824" s="14"/>
      <c r="T2824" s="14"/>
      <c r="U2824" s="14"/>
      <c r="V2824" s="14"/>
      <c r="W2824" s="14"/>
    </row>
    <row r="2825" ht="31.5" customHeight="1">
      <c r="A2825" s="158"/>
      <c r="B2825" s="159"/>
      <c r="C2825" s="160"/>
      <c r="D2825" s="130"/>
      <c r="E2825" s="130"/>
      <c r="F2825" s="161"/>
      <c r="G2825" s="164"/>
      <c r="H2825" s="76" t="b">
        <v>1</v>
      </c>
      <c r="I2825" s="76" t="b">
        <v>0</v>
      </c>
      <c r="J2825" s="76" t="b">
        <v>0</v>
      </c>
      <c r="K2825" s="76" t="b">
        <v>0</v>
      </c>
      <c r="L2825" s="76" t="b">
        <v>0</v>
      </c>
      <c r="M2825" s="76" t="b">
        <v>0</v>
      </c>
      <c r="N2825" s="76" t="b">
        <v>0</v>
      </c>
      <c r="O2825" s="76" t="b">
        <v>0</v>
      </c>
      <c r="P2825" s="76" t="b">
        <v>0</v>
      </c>
      <c r="Q2825" s="76" t="b">
        <v>0</v>
      </c>
      <c r="R2825" s="14"/>
      <c r="S2825" s="14"/>
      <c r="T2825" s="14"/>
      <c r="U2825" s="14"/>
      <c r="V2825" s="14"/>
      <c r="W2825" s="14"/>
    </row>
    <row r="2826" ht="31.5" customHeight="1">
      <c r="A2826" s="158"/>
      <c r="B2826" s="159"/>
      <c r="C2826" s="160"/>
      <c r="D2826" s="130"/>
      <c r="E2826" s="130"/>
      <c r="F2826" s="161"/>
      <c r="G2826" s="164"/>
      <c r="H2826" s="76" t="b">
        <v>1</v>
      </c>
      <c r="I2826" s="76" t="b">
        <v>0</v>
      </c>
      <c r="J2826" s="76" t="b">
        <v>0</v>
      </c>
      <c r="K2826" s="76" t="b">
        <v>0</v>
      </c>
      <c r="L2826" s="76" t="b">
        <v>0</v>
      </c>
      <c r="M2826" s="76" t="b">
        <v>0</v>
      </c>
      <c r="N2826" s="76" t="b">
        <v>0</v>
      </c>
      <c r="O2826" s="76" t="b">
        <v>0</v>
      </c>
      <c r="P2826" s="76" t="b">
        <v>0</v>
      </c>
      <c r="Q2826" s="76" t="b">
        <v>0</v>
      </c>
      <c r="R2826" s="14"/>
      <c r="S2826" s="14"/>
      <c r="T2826" s="14"/>
      <c r="U2826" s="14"/>
      <c r="V2826" s="14"/>
      <c r="W2826" s="14"/>
    </row>
    <row r="2827" ht="31.5" customHeight="1">
      <c r="A2827" s="158"/>
      <c r="B2827" s="159"/>
      <c r="C2827" s="160"/>
      <c r="D2827" s="130"/>
      <c r="E2827" s="130"/>
      <c r="F2827" s="161"/>
      <c r="G2827" s="164"/>
      <c r="H2827" s="76" t="b">
        <v>1</v>
      </c>
      <c r="I2827" s="76" t="b">
        <v>0</v>
      </c>
      <c r="J2827" s="76" t="b">
        <v>0</v>
      </c>
      <c r="K2827" s="76" t="b">
        <v>0</v>
      </c>
      <c r="L2827" s="76" t="b">
        <v>0</v>
      </c>
      <c r="M2827" s="76" t="b">
        <v>0</v>
      </c>
      <c r="N2827" s="76" t="b">
        <v>0</v>
      </c>
      <c r="O2827" s="76" t="b">
        <v>0</v>
      </c>
      <c r="P2827" s="76" t="b">
        <v>0</v>
      </c>
      <c r="Q2827" s="76" t="b">
        <v>0</v>
      </c>
      <c r="R2827" s="14"/>
      <c r="S2827" s="14"/>
      <c r="T2827" s="14"/>
      <c r="U2827" s="14"/>
      <c r="V2827" s="14"/>
      <c r="W2827" s="14"/>
    </row>
    <row r="2828" ht="31.5" customHeight="1">
      <c r="A2828" s="158"/>
      <c r="B2828" s="159"/>
      <c r="C2828" s="160"/>
      <c r="D2828" s="130"/>
      <c r="E2828" s="130"/>
      <c r="F2828" s="161"/>
      <c r="G2828" s="164"/>
      <c r="H2828" s="76" t="b">
        <v>1</v>
      </c>
      <c r="I2828" s="76" t="b">
        <v>0</v>
      </c>
      <c r="J2828" s="76" t="b">
        <v>0</v>
      </c>
      <c r="K2828" s="76" t="b">
        <v>0</v>
      </c>
      <c r="L2828" s="76" t="b">
        <v>0</v>
      </c>
      <c r="M2828" s="76" t="b">
        <v>0</v>
      </c>
      <c r="N2828" s="76" t="b">
        <v>0</v>
      </c>
      <c r="O2828" s="76" t="b">
        <v>0</v>
      </c>
      <c r="P2828" s="76" t="b">
        <v>0</v>
      </c>
      <c r="Q2828" s="76" t="b">
        <v>0</v>
      </c>
      <c r="R2828" s="14"/>
      <c r="S2828" s="14"/>
      <c r="T2828" s="14"/>
      <c r="U2828" s="14"/>
      <c r="V2828" s="14"/>
      <c r="W2828" s="14"/>
    </row>
    <row r="2829" ht="31.5" customHeight="1">
      <c r="A2829" s="158"/>
      <c r="B2829" s="159"/>
      <c r="C2829" s="160"/>
      <c r="D2829" s="130"/>
      <c r="E2829" s="130"/>
      <c r="F2829" s="161"/>
      <c r="G2829" s="164"/>
      <c r="H2829" s="76" t="b">
        <v>1</v>
      </c>
      <c r="I2829" s="76" t="b">
        <v>0</v>
      </c>
      <c r="J2829" s="76" t="b">
        <v>0</v>
      </c>
      <c r="K2829" s="76" t="b">
        <v>0</v>
      </c>
      <c r="L2829" s="76" t="b">
        <v>0</v>
      </c>
      <c r="M2829" s="76" t="b">
        <v>0</v>
      </c>
      <c r="N2829" s="76" t="b">
        <v>0</v>
      </c>
      <c r="O2829" s="76" t="b">
        <v>0</v>
      </c>
      <c r="P2829" s="76" t="b">
        <v>0</v>
      </c>
      <c r="Q2829" s="76" t="b">
        <v>0</v>
      </c>
      <c r="R2829" s="14"/>
      <c r="S2829" s="14"/>
      <c r="T2829" s="14"/>
      <c r="U2829" s="14"/>
      <c r="V2829" s="14"/>
      <c r="W2829" s="14"/>
    </row>
    <row r="2830" ht="31.5" customHeight="1">
      <c r="A2830" s="158"/>
      <c r="B2830" s="159"/>
      <c r="C2830" s="160"/>
      <c r="D2830" s="130"/>
      <c r="E2830" s="130"/>
      <c r="F2830" s="161"/>
      <c r="G2830" s="164"/>
      <c r="H2830" s="76" t="b">
        <v>1</v>
      </c>
      <c r="I2830" s="76" t="b">
        <v>0</v>
      </c>
      <c r="J2830" s="76" t="b">
        <v>0</v>
      </c>
      <c r="K2830" s="76" t="b">
        <v>0</v>
      </c>
      <c r="L2830" s="76" t="b">
        <v>0</v>
      </c>
      <c r="M2830" s="76" t="b">
        <v>0</v>
      </c>
      <c r="N2830" s="76" t="b">
        <v>0</v>
      </c>
      <c r="O2830" s="76" t="b">
        <v>0</v>
      </c>
      <c r="P2830" s="76" t="b">
        <v>0</v>
      </c>
      <c r="Q2830" s="76" t="b">
        <v>0</v>
      </c>
      <c r="R2830" s="14"/>
      <c r="S2830" s="14"/>
      <c r="T2830" s="14"/>
      <c r="U2830" s="14"/>
      <c r="V2830" s="14"/>
      <c r="W2830" s="14"/>
    </row>
    <row r="2831" ht="31.5" customHeight="1">
      <c r="A2831" s="158"/>
      <c r="B2831" s="159"/>
      <c r="C2831" s="160"/>
      <c r="D2831" s="130"/>
      <c r="E2831" s="130"/>
      <c r="F2831" s="161"/>
      <c r="G2831" s="164"/>
      <c r="H2831" s="76" t="b">
        <v>1</v>
      </c>
      <c r="I2831" s="76" t="b">
        <v>0</v>
      </c>
      <c r="J2831" s="76" t="b">
        <v>0</v>
      </c>
      <c r="K2831" s="76" t="b">
        <v>0</v>
      </c>
      <c r="L2831" s="76" t="b">
        <v>0</v>
      </c>
      <c r="M2831" s="76" t="b">
        <v>0</v>
      </c>
      <c r="N2831" s="76" t="b">
        <v>0</v>
      </c>
      <c r="O2831" s="76" t="b">
        <v>0</v>
      </c>
      <c r="P2831" s="76" t="b">
        <v>0</v>
      </c>
      <c r="Q2831" s="76" t="b">
        <v>0</v>
      </c>
      <c r="R2831" s="14"/>
      <c r="S2831" s="14"/>
      <c r="T2831" s="14"/>
      <c r="U2831" s="14"/>
      <c r="V2831" s="14"/>
      <c r="W2831" s="14"/>
    </row>
    <row r="2832" ht="31.5" customHeight="1">
      <c r="A2832" s="158"/>
      <c r="B2832" s="159"/>
      <c r="C2832" s="160"/>
      <c r="D2832" s="130"/>
      <c r="E2832" s="130"/>
      <c r="F2832" s="161"/>
      <c r="G2832" s="164"/>
      <c r="H2832" s="76" t="b">
        <v>1</v>
      </c>
      <c r="I2832" s="76" t="b">
        <v>0</v>
      </c>
      <c r="J2832" s="76" t="b">
        <v>0</v>
      </c>
      <c r="K2832" s="76" t="b">
        <v>0</v>
      </c>
      <c r="L2832" s="76" t="b">
        <v>0</v>
      </c>
      <c r="M2832" s="76" t="b">
        <v>0</v>
      </c>
      <c r="N2832" s="76" t="b">
        <v>0</v>
      </c>
      <c r="O2832" s="76" t="b">
        <v>0</v>
      </c>
      <c r="P2832" s="76" t="b">
        <v>0</v>
      </c>
      <c r="Q2832" s="76" t="b">
        <v>0</v>
      </c>
      <c r="R2832" s="14"/>
      <c r="S2832" s="14"/>
      <c r="T2832" s="14"/>
      <c r="U2832" s="14"/>
      <c r="V2832" s="14"/>
      <c r="W2832" s="14"/>
    </row>
    <row r="2833" ht="31.5" customHeight="1">
      <c r="A2833" s="158"/>
      <c r="B2833" s="159"/>
      <c r="C2833" s="160"/>
      <c r="D2833" s="130"/>
      <c r="E2833" s="130"/>
      <c r="F2833" s="161"/>
      <c r="G2833" s="164"/>
      <c r="H2833" s="76" t="b">
        <v>1</v>
      </c>
      <c r="I2833" s="76" t="b">
        <v>0</v>
      </c>
      <c r="J2833" s="76" t="b">
        <v>0</v>
      </c>
      <c r="K2833" s="76" t="b">
        <v>0</v>
      </c>
      <c r="L2833" s="76" t="b">
        <v>0</v>
      </c>
      <c r="M2833" s="76" t="b">
        <v>0</v>
      </c>
      <c r="N2833" s="76" t="b">
        <v>0</v>
      </c>
      <c r="O2833" s="76" t="b">
        <v>0</v>
      </c>
      <c r="P2833" s="76" t="b">
        <v>0</v>
      </c>
      <c r="Q2833" s="76" t="b">
        <v>0</v>
      </c>
      <c r="R2833" s="14"/>
      <c r="S2833" s="14"/>
      <c r="T2833" s="14"/>
      <c r="U2833" s="14"/>
      <c r="V2833" s="14"/>
      <c r="W2833" s="14"/>
    </row>
    <row r="2834" ht="31.5" customHeight="1">
      <c r="A2834" s="158"/>
      <c r="B2834" s="159"/>
      <c r="C2834" s="160"/>
      <c r="D2834" s="130"/>
      <c r="E2834" s="130"/>
      <c r="F2834" s="161"/>
      <c r="G2834" s="164"/>
      <c r="H2834" s="76" t="b">
        <v>1</v>
      </c>
      <c r="I2834" s="76" t="b">
        <v>0</v>
      </c>
      <c r="J2834" s="76" t="b">
        <v>0</v>
      </c>
      <c r="K2834" s="76" t="b">
        <v>0</v>
      </c>
      <c r="L2834" s="76" t="b">
        <v>0</v>
      </c>
      <c r="M2834" s="76" t="b">
        <v>0</v>
      </c>
      <c r="N2834" s="76" t="b">
        <v>0</v>
      </c>
      <c r="O2834" s="76" t="b">
        <v>0</v>
      </c>
      <c r="P2834" s="76" t="b">
        <v>0</v>
      </c>
      <c r="Q2834" s="76" t="b">
        <v>0</v>
      </c>
      <c r="R2834" s="14"/>
      <c r="S2834" s="14"/>
      <c r="T2834" s="14"/>
      <c r="U2834" s="14"/>
      <c r="V2834" s="14"/>
      <c r="W2834" s="14"/>
    </row>
    <row r="2835" ht="31.5" customHeight="1">
      <c r="A2835" s="158"/>
      <c r="B2835" s="159"/>
      <c r="C2835" s="160"/>
      <c r="D2835" s="130"/>
      <c r="E2835" s="130"/>
      <c r="F2835" s="161"/>
      <c r="G2835" s="164"/>
      <c r="H2835" s="76" t="b">
        <v>1</v>
      </c>
      <c r="I2835" s="76" t="b">
        <v>0</v>
      </c>
      <c r="J2835" s="76" t="b">
        <v>0</v>
      </c>
      <c r="K2835" s="76" t="b">
        <v>0</v>
      </c>
      <c r="L2835" s="76" t="b">
        <v>0</v>
      </c>
      <c r="M2835" s="76" t="b">
        <v>0</v>
      </c>
      <c r="N2835" s="76" t="b">
        <v>0</v>
      </c>
      <c r="O2835" s="76" t="b">
        <v>0</v>
      </c>
      <c r="P2835" s="76" t="b">
        <v>0</v>
      </c>
      <c r="Q2835" s="76" t="b">
        <v>0</v>
      </c>
      <c r="R2835" s="14"/>
      <c r="S2835" s="14"/>
      <c r="T2835" s="14"/>
      <c r="U2835" s="14"/>
      <c r="V2835" s="14"/>
      <c r="W2835" s="14"/>
    </row>
    <row r="2836" ht="31.5" customHeight="1">
      <c r="A2836" s="158"/>
      <c r="B2836" s="159"/>
      <c r="C2836" s="160"/>
      <c r="D2836" s="130"/>
      <c r="E2836" s="130"/>
      <c r="F2836" s="161"/>
      <c r="G2836" s="164"/>
      <c r="H2836" s="76" t="b">
        <v>1</v>
      </c>
      <c r="I2836" s="76" t="b">
        <v>0</v>
      </c>
      <c r="J2836" s="76" t="b">
        <v>0</v>
      </c>
      <c r="K2836" s="76" t="b">
        <v>0</v>
      </c>
      <c r="L2836" s="76" t="b">
        <v>0</v>
      </c>
      <c r="M2836" s="76" t="b">
        <v>0</v>
      </c>
      <c r="N2836" s="76" t="b">
        <v>0</v>
      </c>
      <c r="O2836" s="76" t="b">
        <v>0</v>
      </c>
      <c r="P2836" s="76" t="b">
        <v>0</v>
      </c>
      <c r="Q2836" s="76" t="b">
        <v>0</v>
      </c>
      <c r="R2836" s="14"/>
      <c r="S2836" s="14"/>
      <c r="T2836" s="14"/>
      <c r="U2836" s="14"/>
      <c r="V2836" s="14"/>
      <c r="W2836" s="14"/>
    </row>
    <row r="2837" ht="31.5" customHeight="1">
      <c r="A2837" s="158"/>
      <c r="B2837" s="159"/>
      <c r="C2837" s="160"/>
      <c r="D2837" s="130"/>
      <c r="E2837" s="130"/>
      <c r="F2837" s="161"/>
      <c r="G2837" s="164"/>
      <c r="H2837" s="76" t="b">
        <v>1</v>
      </c>
      <c r="I2837" s="76" t="b">
        <v>0</v>
      </c>
      <c r="J2837" s="76" t="b">
        <v>0</v>
      </c>
      <c r="K2837" s="76" t="b">
        <v>0</v>
      </c>
      <c r="L2837" s="76" t="b">
        <v>0</v>
      </c>
      <c r="M2837" s="76" t="b">
        <v>0</v>
      </c>
      <c r="N2837" s="76" t="b">
        <v>0</v>
      </c>
      <c r="O2837" s="76" t="b">
        <v>0</v>
      </c>
      <c r="P2837" s="76" t="b">
        <v>0</v>
      </c>
      <c r="Q2837" s="76" t="b">
        <v>0</v>
      </c>
      <c r="R2837" s="14"/>
      <c r="S2837" s="14"/>
      <c r="T2837" s="14"/>
      <c r="U2837" s="14"/>
      <c r="V2837" s="14"/>
      <c r="W2837" s="14"/>
    </row>
    <row r="2838" ht="31.5" customHeight="1">
      <c r="A2838" s="158"/>
      <c r="B2838" s="159"/>
      <c r="C2838" s="160"/>
      <c r="D2838" s="130"/>
      <c r="E2838" s="130"/>
      <c r="F2838" s="161"/>
      <c r="G2838" s="164"/>
      <c r="H2838" s="76" t="b">
        <v>1</v>
      </c>
      <c r="I2838" s="76" t="b">
        <v>0</v>
      </c>
      <c r="J2838" s="76" t="b">
        <v>0</v>
      </c>
      <c r="K2838" s="76" t="b">
        <v>0</v>
      </c>
      <c r="L2838" s="76" t="b">
        <v>0</v>
      </c>
      <c r="M2838" s="76" t="b">
        <v>0</v>
      </c>
      <c r="N2838" s="76" t="b">
        <v>0</v>
      </c>
      <c r="O2838" s="76" t="b">
        <v>0</v>
      </c>
      <c r="P2838" s="76" t="b">
        <v>0</v>
      </c>
      <c r="Q2838" s="76" t="b">
        <v>0</v>
      </c>
      <c r="R2838" s="14"/>
      <c r="S2838" s="14"/>
      <c r="T2838" s="14"/>
      <c r="U2838" s="14"/>
      <c r="V2838" s="14"/>
      <c r="W2838" s="14"/>
    </row>
    <row r="2839" ht="31.5" customHeight="1">
      <c r="A2839" s="158"/>
      <c r="B2839" s="159"/>
      <c r="C2839" s="160"/>
      <c r="D2839" s="130"/>
      <c r="E2839" s="130"/>
      <c r="F2839" s="161"/>
      <c r="G2839" s="164"/>
      <c r="H2839" s="76" t="b">
        <v>1</v>
      </c>
      <c r="I2839" s="76" t="b">
        <v>0</v>
      </c>
      <c r="J2839" s="76" t="b">
        <v>0</v>
      </c>
      <c r="K2839" s="76" t="b">
        <v>0</v>
      </c>
      <c r="L2839" s="76" t="b">
        <v>0</v>
      </c>
      <c r="M2839" s="76" t="b">
        <v>0</v>
      </c>
      <c r="N2839" s="76" t="b">
        <v>0</v>
      </c>
      <c r="O2839" s="76" t="b">
        <v>0</v>
      </c>
      <c r="P2839" s="76" t="b">
        <v>0</v>
      </c>
      <c r="Q2839" s="76" t="b">
        <v>0</v>
      </c>
      <c r="R2839" s="14"/>
      <c r="S2839" s="14"/>
      <c r="T2839" s="14"/>
      <c r="U2839" s="14"/>
      <c r="V2839" s="14"/>
      <c r="W2839" s="14"/>
    </row>
    <row r="2840" ht="31.5" customHeight="1">
      <c r="A2840" s="158"/>
      <c r="B2840" s="159"/>
      <c r="C2840" s="160"/>
      <c r="D2840" s="130"/>
      <c r="E2840" s="130"/>
      <c r="F2840" s="161"/>
      <c r="G2840" s="164"/>
      <c r="H2840" s="76" t="b">
        <v>1</v>
      </c>
      <c r="I2840" s="76" t="b">
        <v>0</v>
      </c>
      <c r="J2840" s="76" t="b">
        <v>0</v>
      </c>
      <c r="K2840" s="76" t="b">
        <v>0</v>
      </c>
      <c r="L2840" s="76" t="b">
        <v>0</v>
      </c>
      <c r="M2840" s="76" t="b">
        <v>0</v>
      </c>
      <c r="N2840" s="76" t="b">
        <v>0</v>
      </c>
      <c r="O2840" s="76" t="b">
        <v>0</v>
      </c>
      <c r="P2840" s="76" t="b">
        <v>0</v>
      </c>
      <c r="Q2840" s="76" t="b">
        <v>0</v>
      </c>
      <c r="R2840" s="14"/>
      <c r="S2840" s="14"/>
      <c r="T2840" s="14"/>
      <c r="U2840" s="14"/>
      <c r="V2840" s="14"/>
      <c r="W2840" s="14"/>
    </row>
    <row r="2841" ht="31.5" customHeight="1">
      <c r="A2841" s="158"/>
      <c r="B2841" s="159"/>
      <c r="C2841" s="160"/>
      <c r="D2841" s="130"/>
      <c r="E2841" s="130"/>
      <c r="F2841" s="161"/>
      <c r="G2841" s="164"/>
      <c r="H2841" s="76" t="b">
        <v>1</v>
      </c>
      <c r="I2841" s="76" t="b">
        <v>0</v>
      </c>
      <c r="J2841" s="76" t="b">
        <v>0</v>
      </c>
      <c r="K2841" s="76" t="b">
        <v>0</v>
      </c>
      <c r="L2841" s="76" t="b">
        <v>0</v>
      </c>
      <c r="M2841" s="76" t="b">
        <v>0</v>
      </c>
      <c r="N2841" s="76" t="b">
        <v>0</v>
      </c>
      <c r="O2841" s="76" t="b">
        <v>0</v>
      </c>
      <c r="P2841" s="76" t="b">
        <v>0</v>
      </c>
      <c r="Q2841" s="76" t="b">
        <v>0</v>
      </c>
      <c r="R2841" s="14"/>
      <c r="S2841" s="14"/>
      <c r="T2841" s="14"/>
      <c r="U2841" s="14"/>
      <c r="V2841" s="14"/>
      <c r="W2841" s="14"/>
    </row>
    <row r="2842" ht="31.5" customHeight="1">
      <c r="A2842" s="158"/>
      <c r="B2842" s="159"/>
      <c r="C2842" s="160"/>
      <c r="D2842" s="130"/>
      <c r="E2842" s="130"/>
      <c r="F2842" s="161"/>
      <c r="G2842" s="164"/>
      <c r="H2842" s="76" t="b">
        <v>1</v>
      </c>
      <c r="I2842" s="76" t="b">
        <v>0</v>
      </c>
      <c r="J2842" s="76" t="b">
        <v>0</v>
      </c>
      <c r="K2842" s="76" t="b">
        <v>0</v>
      </c>
      <c r="L2842" s="76" t="b">
        <v>0</v>
      </c>
      <c r="M2842" s="76" t="b">
        <v>0</v>
      </c>
      <c r="N2842" s="76" t="b">
        <v>0</v>
      </c>
      <c r="O2842" s="76" t="b">
        <v>0</v>
      </c>
      <c r="P2842" s="76" t="b">
        <v>0</v>
      </c>
      <c r="Q2842" s="76" t="b">
        <v>0</v>
      </c>
      <c r="R2842" s="14"/>
      <c r="S2842" s="14"/>
      <c r="T2842" s="14"/>
      <c r="U2842" s="14"/>
      <c r="V2842" s="14"/>
      <c r="W2842" s="14"/>
    </row>
    <row r="2843" ht="31.5" customHeight="1">
      <c r="A2843" s="158"/>
      <c r="B2843" s="159"/>
      <c r="C2843" s="160"/>
      <c r="D2843" s="130"/>
      <c r="E2843" s="130"/>
      <c r="F2843" s="161"/>
      <c r="G2843" s="164"/>
      <c r="H2843" s="76" t="b">
        <v>1</v>
      </c>
      <c r="I2843" s="76" t="b">
        <v>0</v>
      </c>
      <c r="J2843" s="76" t="b">
        <v>0</v>
      </c>
      <c r="K2843" s="76" t="b">
        <v>0</v>
      </c>
      <c r="L2843" s="76" t="b">
        <v>0</v>
      </c>
      <c r="M2843" s="76" t="b">
        <v>0</v>
      </c>
      <c r="N2843" s="76" t="b">
        <v>0</v>
      </c>
      <c r="O2843" s="76" t="b">
        <v>0</v>
      </c>
      <c r="P2843" s="76" t="b">
        <v>0</v>
      </c>
      <c r="Q2843" s="76" t="b">
        <v>0</v>
      </c>
      <c r="R2843" s="14"/>
      <c r="S2843" s="14"/>
      <c r="T2843" s="14"/>
      <c r="U2843" s="14"/>
      <c r="V2843" s="14"/>
      <c r="W2843" s="14"/>
    </row>
    <row r="2844" ht="31.5" customHeight="1">
      <c r="A2844" s="158"/>
      <c r="B2844" s="159"/>
      <c r="C2844" s="160"/>
      <c r="D2844" s="130"/>
      <c r="E2844" s="130"/>
      <c r="F2844" s="161"/>
      <c r="G2844" s="164"/>
      <c r="H2844" s="76" t="b">
        <v>1</v>
      </c>
      <c r="I2844" s="76" t="b">
        <v>0</v>
      </c>
      <c r="J2844" s="76" t="b">
        <v>0</v>
      </c>
      <c r="K2844" s="76" t="b">
        <v>0</v>
      </c>
      <c r="L2844" s="76" t="b">
        <v>0</v>
      </c>
      <c r="M2844" s="76" t="b">
        <v>0</v>
      </c>
      <c r="N2844" s="76" t="b">
        <v>0</v>
      </c>
      <c r="O2844" s="76" t="b">
        <v>0</v>
      </c>
      <c r="P2844" s="76" t="b">
        <v>0</v>
      </c>
      <c r="Q2844" s="76" t="b">
        <v>0</v>
      </c>
      <c r="R2844" s="14"/>
      <c r="S2844" s="14"/>
      <c r="T2844" s="14"/>
      <c r="U2844" s="14"/>
      <c r="V2844" s="14"/>
      <c r="W2844" s="14"/>
    </row>
    <row r="2845" ht="31.5" customHeight="1">
      <c r="A2845" s="158"/>
      <c r="B2845" s="159"/>
      <c r="C2845" s="160"/>
      <c r="D2845" s="130"/>
      <c r="E2845" s="130"/>
      <c r="F2845" s="161"/>
      <c r="G2845" s="164"/>
      <c r="H2845" s="76" t="b">
        <v>1</v>
      </c>
      <c r="I2845" s="76" t="b">
        <v>0</v>
      </c>
      <c r="J2845" s="76" t="b">
        <v>0</v>
      </c>
      <c r="K2845" s="76" t="b">
        <v>0</v>
      </c>
      <c r="L2845" s="76" t="b">
        <v>0</v>
      </c>
      <c r="M2845" s="76" t="b">
        <v>0</v>
      </c>
      <c r="N2845" s="76" t="b">
        <v>0</v>
      </c>
      <c r="O2845" s="76" t="b">
        <v>0</v>
      </c>
      <c r="P2845" s="76" t="b">
        <v>0</v>
      </c>
      <c r="Q2845" s="76" t="b">
        <v>0</v>
      </c>
      <c r="R2845" s="14"/>
      <c r="S2845" s="14"/>
      <c r="T2845" s="14"/>
      <c r="U2845" s="14"/>
      <c r="V2845" s="14"/>
      <c r="W2845" s="14"/>
    </row>
    <row r="2846" ht="31.5" customHeight="1">
      <c r="A2846" s="158"/>
      <c r="B2846" s="159"/>
      <c r="C2846" s="160"/>
      <c r="D2846" s="130"/>
      <c r="E2846" s="130"/>
      <c r="F2846" s="161"/>
      <c r="G2846" s="164"/>
      <c r="H2846" s="76" t="b">
        <v>1</v>
      </c>
      <c r="I2846" s="76" t="b">
        <v>0</v>
      </c>
      <c r="J2846" s="76" t="b">
        <v>0</v>
      </c>
      <c r="K2846" s="76" t="b">
        <v>0</v>
      </c>
      <c r="L2846" s="76" t="b">
        <v>0</v>
      </c>
      <c r="M2846" s="76" t="b">
        <v>0</v>
      </c>
      <c r="N2846" s="76" t="b">
        <v>0</v>
      </c>
      <c r="O2846" s="76" t="b">
        <v>0</v>
      </c>
      <c r="P2846" s="76" t="b">
        <v>0</v>
      </c>
      <c r="Q2846" s="76" t="b">
        <v>0</v>
      </c>
      <c r="R2846" s="14"/>
      <c r="S2846" s="14"/>
      <c r="T2846" s="14"/>
      <c r="U2846" s="14"/>
      <c r="V2846" s="14"/>
      <c r="W2846" s="14"/>
    </row>
    <row r="2847" ht="31.5" customHeight="1">
      <c r="A2847" s="158"/>
      <c r="B2847" s="159"/>
      <c r="C2847" s="160"/>
      <c r="D2847" s="130"/>
      <c r="E2847" s="130"/>
      <c r="F2847" s="161"/>
      <c r="G2847" s="164"/>
      <c r="H2847" s="76" t="b">
        <v>1</v>
      </c>
      <c r="I2847" s="76" t="b">
        <v>0</v>
      </c>
      <c r="J2847" s="76" t="b">
        <v>0</v>
      </c>
      <c r="K2847" s="76" t="b">
        <v>0</v>
      </c>
      <c r="L2847" s="76" t="b">
        <v>0</v>
      </c>
      <c r="M2847" s="76" t="b">
        <v>0</v>
      </c>
      <c r="N2847" s="76" t="b">
        <v>0</v>
      </c>
      <c r="O2847" s="76" t="b">
        <v>0</v>
      </c>
      <c r="P2847" s="76" t="b">
        <v>0</v>
      </c>
      <c r="Q2847" s="76" t="b">
        <v>0</v>
      </c>
      <c r="R2847" s="14"/>
      <c r="S2847" s="14"/>
      <c r="T2847" s="14"/>
      <c r="U2847" s="14"/>
      <c r="V2847" s="14"/>
      <c r="W2847" s="14"/>
    </row>
    <row r="2848" ht="31.5" customHeight="1">
      <c r="A2848" s="158"/>
      <c r="B2848" s="159"/>
      <c r="C2848" s="160"/>
      <c r="D2848" s="130"/>
      <c r="E2848" s="130"/>
      <c r="F2848" s="161"/>
      <c r="G2848" s="164"/>
      <c r="H2848" s="76" t="b">
        <v>1</v>
      </c>
      <c r="I2848" s="76" t="b">
        <v>0</v>
      </c>
      <c r="J2848" s="76" t="b">
        <v>0</v>
      </c>
      <c r="K2848" s="76" t="b">
        <v>0</v>
      </c>
      <c r="L2848" s="76" t="b">
        <v>0</v>
      </c>
      <c r="M2848" s="76" t="b">
        <v>0</v>
      </c>
      <c r="N2848" s="76" t="b">
        <v>0</v>
      </c>
      <c r="O2848" s="76" t="b">
        <v>0</v>
      </c>
      <c r="P2848" s="76" t="b">
        <v>0</v>
      </c>
      <c r="Q2848" s="76" t="b">
        <v>0</v>
      </c>
      <c r="R2848" s="14"/>
      <c r="S2848" s="14"/>
      <c r="T2848" s="14"/>
      <c r="U2848" s="14"/>
      <c r="V2848" s="14"/>
      <c r="W2848" s="14"/>
    </row>
    <row r="2849" ht="31.5" customHeight="1">
      <c r="A2849" s="158"/>
      <c r="B2849" s="159"/>
      <c r="C2849" s="160"/>
      <c r="D2849" s="130"/>
      <c r="E2849" s="130"/>
      <c r="F2849" s="161"/>
      <c r="G2849" s="164"/>
      <c r="H2849" s="76" t="b">
        <v>1</v>
      </c>
      <c r="I2849" s="76" t="b">
        <v>0</v>
      </c>
      <c r="J2849" s="76" t="b">
        <v>0</v>
      </c>
      <c r="K2849" s="76" t="b">
        <v>0</v>
      </c>
      <c r="L2849" s="76" t="b">
        <v>0</v>
      </c>
      <c r="M2849" s="76" t="b">
        <v>0</v>
      </c>
      <c r="N2849" s="76" t="b">
        <v>0</v>
      </c>
      <c r="O2849" s="76" t="b">
        <v>0</v>
      </c>
      <c r="P2849" s="76" t="b">
        <v>0</v>
      </c>
      <c r="Q2849" s="76" t="b">
        <v>0</v>
      </c>
      <c r="R2849" s="14"/>
      <c r="S2849" s="14"/>
      <c r="T2849" s="14"/>
      <c r="U2849" s="14"/>
      <c r="V2849" s="14"/>
      <c r="W2849" s="14"/>
    </row>
    <row r="2850" ht="31.5" customHeight="1">
      <c r="A2850" s="158"/>
      <c r="B2850" s="159"/>
      <c r="C2850" s="160"/>
      <c r="D2850" s="130"/>
      <c r="E2850" s="130"/>
      <c r="F2850" s="161"/>
      <c r="G2850" s="164"/>
      <c r="H2850" s="76" t="b">
        <v>1</v>
      </c>
      <c r="I2850" s="76" t="b">
        <v>0</v>
      </c>
      <c r="J2850" s="76" t="b">
        <v>0</v>
      </c>
      <c r="K2850" s="76" t="b">
        <v>0</v>
      </c>
      <c r="L2850" s="76" t="b">
        <v>0</v>
      </c>
      <c r="M2850" s="76" t="b">
        <v>0</v>
      </c>
      <c r="N2850" s="76" t="b">
        <v>0</v>
      </c>
      <c r="O2850" s="76" t="b">
        <v>0</v>
      </c>
      <c r="P2850" s="76" t="b">
        <v>0</v>
      </c>
      <c r="Q2850" s="76" t="b">
        <v>0</v>
      </c>
      <c r="R2850" s="14"/>
      <c r="S2850" s="14"/>
      <c r="T2850" s="14"/>
      <c r="U2850" s="14"/>
      <c r="V2850" s="14"/>
      <c r="W2850" s="14"/>
    </row>
    <row r="2851" ht="31.5" customHeight="1">
      <c r="A2851" s="158"/>
      <c r="B2851" s="159"/>
      <c r="C2851" s="160"/>
      <c r="D2851" s="130"/>
      <c r="E2851" s="130"/>
      <c r="F2851" s="161"/>
      <c r="G2851" s="164"/>
      <c r="H2851" s="76" t="b">
        <v>1</v>
      </c>
      <c r="I2851" s="76" t="b">
        <v>0</v>
      </c>
      <c r="J2851" s="76" t="b">
        <v>0</v>
      </c>
      <c r="K2851" s="76" t="b">
        <v>0</v>
      </c>
      <c r="L2851" s="76" t="b">
        <v>0</v>
      </c>
      <c r="M2851" s="76" t="b">
        <v>0</v>
      </c>
      <c r="N2851" s="76" t="b">
        <v>0</v>
      </c>
      <c r="O2851" s="76" t="b">
        <v>0</v>
      </c>
      <c r="P2851" s="76" t="b">
        <v>0</v>
      </c>
      <c r="Q2851" s="76" t="b">
        <v>0</v>
      </c>
      <c r="R2851" s="14"/>
      <c r="S2851" s="14"/>
      <c r="T2851" s="14"/>
      <c r="U2851" s="14"/>
      <c r="V2851" s="14"/>
      <c r="W2851" s="14"/>
    </row>
    <row r="2852" ht="31.5" customHeight="1">
      <c r="A2852" s="158"/>
      <c r="B2852" s="159"/>
      <c r="C2852" s="160"/>
      <c r="D2852" s="130"/>
      <c r="E2852" s="130"/>
      <c r="F2852" s="161"/>
      <c r="G2852" s="164"/>
      <c r="H2852" s="76" t="b">
        <v>1</v>
      </c>
      <c r="I2852" s="76" t="b">
        <v>0</v>
      </c>
      <c r="J2852" s="76" t="b">
        <v>0</v>
      </c>
      <c r="K2852" s="76" t="b">
        <v>0</v>
      </c>
      <c r="L2852" s="76" t="b">
        <v>0</v>
      </c>
      <c r="M2852" s="76" t="b">
        <v>0</v>
      </c>
      <c r="N2852" s="76" t="b">
        <v>0</v>
      </c>
      <c r="O2852" s="76" t="b">
        <v>0</v>
      </c>
      <c r="P2852" s="76" t="b">
        <v>0</v>
      </c>
      <c r="Q2852" s="76" t="b">
        <v>0</v>
      </c>
      <c r="R2852" s="14"/>
      <c r="S2852" s="14"/>
      <c r="T2852" s="14"/>
      <c r="U2852" s="14"/>
      <c r="V2852" s="14"/>
      <c r="W2852" s="14"/>
    </row>
    <row r="2853" ht="31.5" customHeight="1">
      <c r="A2853" s="158"/>
      <c r="B2853" s="159"/>
      <c r="C2853" s="160"/>
      <c r="D2853" s="130"/>
      <c r="E2853" s="130"/>
      <c r="F2853" s="161"/>
      <c r="G2853" s="164"/>
      <c r="H2853" s="76" t="b">
        <v>1</v>
      </c>
      <c r="I2853" s="76" t="b">
        <v>0</v>
      </c>
      <c r="J2853" s="76" t="b">
        <v>0</v>
      </c>
      <c r="K2853" s="76" t="b">
        <v>0</v>
      </c>
      <c r="L2853" s="76" t="b">
        <v>0</v>
      </c>
      <c r="M2853" s="76" t="b">
        <v>0</v>
      </c>
      <c r="N2853" s="76" t="b">
        <v>0</v>
      </c>
      <c r="O2853" s="76" t="b">
        <v>0</v>
      </c>
      <c r="P2853" s="76" t="b">
        <v>0</v>
      </c>
      <c r="Q2853" s="76" t="b">
        <v>0</v>
      </c>
      <c r="R2853" s="14"/>
      <c r="S2853" s="14"/>
      <c r="T2853" s="14"/>
      <c r="U2853" s="14"/>
      <c r="V2853" s="14"/>
      <c r="W2853" s="14"/>
    </row>
    <row r="2854" ht="31.5" customHeight="1">
      <c r="A2854" s="158"/>
      <c r="B2854" s="159"/>
      <c r="C2854" s="160"/>
      <c r="D2854" s="130"/>
      <c r="E2854" s="130"/>
      <c r="F2854" s="161"/>
      <c r="G2854" s="164"/>
      <c r="H2854" s="76" t="b">
        <v>0</v>
      </c>
      <c r="I2854" s="76" t="b">
        <v>0</v>
      </c>
      <c r="J2854" s="76" t="b">
        <v>0</v>
      </c>
      <c r="K2854" s="76" t="b">
        <v>0</v>
      </c>
      <c r="L2854" s="76" t="b">
        <v>0</v>
      </c>
      <c r="M2854" s="76" t="b">
        <v>0</v>
      </c>
      <c r="N2854" s="76" t="b">
        <v>0</v>
      </c>
      <c r="O2854" s="76" t="b">
        <v>0</v>
      </c>
      <c r="P2854" s="76" t="b">
        <v>0</v>
      </c>
      <c r="Q2854" s="76" t="b">
        <v>0</v>
      </c>
      <c r="R2854" s="14"/>
      <c r="S2854" s="14"/>
      <c r="T2854" s="14"/>
      <c r="U2854" s="14"/>
      <c r="V2854" s="14"/>
      <c r="W2854" s="14"/>
    </row>
    <row r="2855" ht="31.5" customHeight="1">
      <c r="A2855" s="158"/>
      <c r="B2855" s="159"/>
      <c r="C2855" s="160"/>
      <c r="D2855" s="130"/>
      <c r="E2855" s="130"/>
      <c r="F2855" s="161"/>
      <c r="G2855" s="164"/>
      <c r="H2855" s="76" t="b">
        <v>0</v>
      </c>
      <c r="I2855" s="76" t="b">
        <v>0</v>
      </c>
      <c r="J2855" s="76" t="b">
        <v>0</v>
      </c>
      <c r="K2855" s="76" t="b">
        <v>0</v>
      </c>
      <c r="L2855" s="76" t="b">
        <v>0</v>
      </c>
      <c r="M2855" s="76" t="b">
        <v>0</v>
      </c>
      <c r="N2855" s="76" t="b">
        <v>0</v>
      </c>
      <c r="O2855" s="76" t="b">
        <v>0</v>
      </c>
      <c r="P2855" s="76" t="b">
        <v>0</v>
      </c>
      <c r="Q2855" s="76" t="b">
        <v>0</v>
      </c>
      <c r="R2855" s="14"/>
      <c r="S2855" s="14"/>
      <c r="T2855" s="14"/>
      <c r="U2855" s="14"/>
      <c r="V2855" s="14"/>
      <c r="W2855" s="14"/>
    </row>
    <row r="2856" ht="31.5" customHeight="1">
      <c r="A2856" s="158"/>
      <c r="B2856" s="159"/>
      <c r="C2856" s="160"/>
      <c r="D2856" s="130"/>
      <c r="E2856" s="130"/>
      <c r="F2856" s="161"/>
      <c r="G2856" s="164"/>
      <c r="H2856" s="76" t="b">
        <v>0</v>
      </c>
      <c r="I2856" s="76" t="b">
        <v>0</v>
      </c>
      <c r="J2856" s="76" t="b">
        <v>0</v>
      </c>
      <c r="K2856" s="76" t="b">
        <v>0</v>
      </c>
      <c r="L2856" s="76" t="b">
        <v>0</v>
      </c>
      <c r="M2856" s="76" t="b">
        <v>0</v>
      </c>
      <c r="N2856" s="76" t="b">
        <v>0</v>
      </c>
      <c r="O2856" s="76" t="b">
        <v>0</v>
      </c>
      <c r="P2856" s="76" t="b">
        <v>0</v>
      </c>
      <c r="Q2856" s="76" t="b">
        <v>0</v>
      </c>
      <c r="R2856" s="14"/>
      <c r="S2856" s="14"/>
      <c r="T2856" s="14"/>
      <c r="U2856" s="14"/>
      <c r="V2856" s="14"/>
      <c r="W2856" s="14"/>
    </row>
    <row r="2857" ht="31.5" customHeight="1">
      <c r="A2857" s="158"/>
      <c r="B2857" s="159"/>
      <c r="C2857" s="160"/>
      <c r="D2857" s="130"/>
      <c r="E2857" s="130"/>
      <c r="F2857" s="161"/>
      <c r="G2857" s="164"/>
      <c r="H2857" s="76" t="b">
        <v>0</v>
      </c>
      <c r="I2857" s="76" t="b">
        <v>0</v>
      </c>
      <c r="J2857" s="76" t="b">
        <v>0</v>
      </c>
      <c r="K2857" s="76" t="b">
        <v>0</v>
      </c>
      <c r="L2857" s="76" t="b">
        <v>0</v>
      </c>
      <c r="M2857" s="76" t="b">
        <v>0</v>
      </c>
      <c r="N2857" s="76" t="b">
        <v>0</v>
      </c>
      <c r="O2857" s="76" t="b">
        <v>0</v>
      </c>
      <c r="P2857" s="76" t="b">
        <v>0</v>
      </c>
      <c r="Q2857" s="76" t="b">
        <v>0</v>
      </c>
      <c r="R2857" s="14"/>
      <c r="S2857" s="14"/>
      <c r="T2857" s="14"/>
      <c r="U2857" s="14"/>
      <c r="V2857" s="14"/>
      <c r="W2857" s="14"/>
    </row>
    <row r="2858" ht="31.5" customHeight="1">
      <c r="A2858" s="158"/>
      <c r="B2858" s="159"/>
      <c r="C2858" s="160"/>
      <c r="D2858" s="130"/>
      <c r="E2858" s="130"/>
      <c r="F2858" s="161"/>
      <c r="G2858" s="164"/>
      <c r="H2858" s="76" t="b">
        <v>0</v>
      </c>
      <c r="I2858" s="76" t="b">
        <v>0</v>
      </c>
      <c r="J2858" s="76" t="b">
        <v>0</v>
      </c>
      <c r="K2858" s="76" t="b">
        <v>0</v>
      </c>
      <c r="L2858" s="76" t="b">
        <v>0</v>
      </c>
      <c r="M2858" s="76" t="b">
        <v>0</v>
      </c>
      <c r="N2858" s="76" t="b">
        <v>0</v>
      </c>
      <c r="O2858" s="76" t="b">
        <v>0</v>
      </c>
      <c r="P2858" s="76" t="b">
        <v>0</v>
      </c>
      <c r="Q2858" s="76" t="b">
        <v>0</v>
      </c>
      <c r="R2858" s="14"/>
      <c r="S2858" s="14"/>
      <c r="T2858" s="14"/>
      <c r="U2858" s="14"/>
      <c r="V2858" s="14"/>
      <c r="W2858" s="14"/>
    </row>
    <row r="2859" ht="31.5" customHeight="1">
      <c r="A2859" s="158"/>
      <c r="B2859" s="159"/>
      <c r="C2859" s="160"/>
      <c r="D2859" s="130"/>
      <c r="E2859" s="130"/>
      <c r="F2859" s="161"/>
      <c r="G2859" s="164"/>
      <c r="H2859" s="76" t="b">
        <v>0</v>
      </c>
      <c r="I2859" s="76" t="b">
        <v>0</v>
      </c>
      <c r="J2859" s="76" t="b">
        <v>0</v>
      </c>
      <c r="K2859" s="76" t="b">
        <v>0</v>
      </c>
      <c r="L2859" s="76" t="b">
        <v>0</v>
      </c>
      <c r="M2859" s="76" t="b">
        <v>0</v>
      </c>
      <c r="N2859" s="76" t="b">
        <v>0</v>
      </c>
      <c r="O2859" s="76" t="b">
        <v>0</v>
      </c>
      <c r="P2859" s="76" t="b">
        <v>0</v>
      </c>
      <c r="Q2859" s="76" t="b">
        <v>0</v>
      </c>
      <c r="R2859" s="14"/>
      <c r="S2859" s="14"/>
      <c r="T2859" s="14"/>
      <c r="U2859" s="14"/>
      <c r="V2859" s="14"/>
      <c r="W2859" s="14"/>
    </row>
    <row r="2860" ht="31.5" customHeight="1">
      <c r="A2860" s="158"/>
      <c r="B2860" s="159"/>
      <c r="C2860" s="160"/>
      <c r="D2860" s="130"/>
      <c r="E2860" s="130"/>
      <c r="F2860" s="161"/>
      <c r="G2860" s="164"/>
      <c r="H2860" s="76" t="b">
        <v>0</v>
      </c>
      <c r="I2860" s="76" t="b">
        <v>0</v>
      </c>
      <c r="J2860" s="76" t="b">
        <v>0</v>
      </c>
      <c r="K2860" s="76" t="b">
        <v>0</v>
      </c>
      <c r="L2860" s="76" t="b">
        <v>0</v>
      </c>
      <c r="M2860" s="76" t="b">
        <v>0</v>
      </c>
      <c r="N2860" s="76" t="b">
        <v>0</v>
      </c>
      <c r="O2860" s="76" t="b">
        <v>0</v>
      </c>
      <c r="P2860" s="76" t="b">
        <v>0</v>
      </c>
      <c r="Q2860" s="76" t="b">
        <v>0</v>
      </c>
      <c r="R2860" s="14"/>
      <c r="S2860" s="14"/>
      <c r="T2860" s="14"/>
      <c r="U2860" s="14"/>
      <c r="V2860" s="14"/>
      <c r="W2860" s="14"/>
    </row>
    <row r="2861" ht="31.5" customHeight="1">
      <c r="A2861" s="158"/>
      <c r="B2861" s="159"/>
      <c r="C2861" s="160"/>
      <c r="D2861" s="130"/>
      <c r="E2861" s="130"/>
      <c r="F2861" s="161"/>
      <c r="G2861" s="164"/>
      <c r="H2861" s="76" t="b">
        <v>0</v>
      </c>
      <c r="I2861" s="76" t="b">
        <v>0</v>
      </c>
      <c r="J2861" s="76" t="b">
        <v>0</v>
      </c>
      <c r="K2861" s="76" t="b">
        <v>0</v>
      </c>
      <c r="L2861" s="76" t="b">
        <v>0</v>
      </c>
      <c r="M2861" s="76" t="b">
        <v>0</v>
      </c>
      <c r="N2861" s="76" t="b">
        <v>0</v>
      </c>
      <c r="O2861" s="76" t="b">
        <v>0</v>
      </c>
      <c r="P2861" s="76" t="b">
        <v>0</v>
      </c>
      <c r="Q2861" s="76" t="b">
        <v>0</v>
      </c>
      <c r="R2861" s="14"/>
      <c r="S2861" s="14"/>
      <c r="T2861" s="14"/>
      <c r="U2861" s="14"/>
      <c r="V2861" s="14"/>
      <c r="W2861" s="14"/>
    </row>
    <row r="2862" ht="31.5" customHeight="1">
      <c r="A2862" s="158"/>
      <c r="B2862" s="159"/>
      <c r="C2862" s="160"/>
      <c r="D2862" s="130"/>
      <c r="E2862" s="130"/>
      <c r="F2862" s="161"/>
      <c r="G2862" s="164"/>
      <c r="H2862" s="76" t="b">
        <v>0</v>
      </c>
      <c r="I2862" s="76" t="b">
        <v>0</v>
      </c>
      <c r="J2862" s="76" t="b">
        <v>0</v>
      </c>
      <c r="K2862" s="76" t="b">
        <v>0</v>
      </c>
      <c r="L2862" s="76" t="b">
        <v>0</v>
      </c>
      <c r="M2862" s="76" t="b">
        <v>0</v>
      </c>
      <c r="N2862" s="76" t="b">
        <v>0</v>
      </c>
      <c r="O2862" s="76" t="b">
        <v>0</v>
      </c>
      <c r="P2862" s="76" t="b">
        <v>0</v>
      </c>
      <c r="Q2862" s="76" t="b">
        <v>0</v>
      </c>
      <c r="R2862" s="14"/>
      <c r="S2862" s="14"/>
      <c r="T2862" s="14"/>
      <c r="U2862" s="14"/>
      <c r="V2862" s="14"/>
      <c r="W2862" s="14"/>
    </row>
    <row r="2863" ht="31.5" customHeight="1">
      <c r="A2863" s="158"/>
      <c r="B2863" s="159"/>
      <c r="C2863" s="160"/>
      <c r="D2863" s="130"/>
      <c r="E2863" s="130"/>
      <c r="F2863" s="161"/>
      <c r="G2863" s="164"/>
      <c r="H2863" s="76" t="b">
        <v>0</v>
      </c>
      <c r="I2863" s="76" t="b">
        <v>0</v>
      </c>
      <c r="J2863" s="76" t="b">
        <v>0</v>
      </c>
      <c r="K2863" s="76" t="b">
        <v>0</v>
      </c>
      <c r="L2863" s="76" t="b">
        <v>0</v>
      </c>
      <c r="M2863" s="76" t="b">
        <v>0</v>
      </c>
      <c r="N2863" s="76" t="b">
        <v>0</v>
      </c>
      <c r="O2863" s="76" t="b">
        <v>0</v>
      </c>
      <c r="P2863" s="76" t="b">
        <v>0</v>
      </c>
      <c r="Q2863" s="76" t="b">
        <v>0</v>
      </c>
      <c r="R2863" s="14"/>
      <c r="S2863" s="14"/>
      <c r="T2863" s="14"/>
      <c r="U2863" s="14"/>
      <c r="V2863" s="14"/>
      <c r="W2863" s="14"/>
    </row>
    <row r="2864" ht="31.5" customHeight="1">
      <c r="A2864" s="158"/>
      <c r="B2864" s="159"/>
      <c r="C2864" s="160"/>
      <c r="D2864" s="130"/>
      <c r="E2864" s="130"/>
      <c r="F2864" s="161"/>
      <c r="G2864" s="164"/>
      <c r="H2864" s="76" t="b">
        <v>0</v>
      </c>
      <c r="I2864" s="76" t="b">
        <v>0</v>
      </c>
      <c r="J2864" s="76" t="b">
        <v>0</v>
      </c>
      <c r="K2864" s="76" t="b">
        <v>0</v>
      </c>
      <c r="L2864" s="76" t="b">
        <v>0</v>
      </c>
      <c r="M2864" s="76" t="b">
        <v>0</v>
      </c>
      <c r="N2864" s="76" t="b">
        <v>0</v>
      </c>
      <c r="O2864" s="76" t="b">
        <v>0</v>
      </c>
      <c r="P2864" s="76" t="b">
        <v>0</v>
      </c>
      <c r="Q2864" s="76" t="b">
        <v>0</v>
      </c>
      <c r="R2864" s="14"/>
      <c r="S2864" s="14"/>
      <c r="T2864" s="14"/>
      <c r="U2864" s="14"/>
      <c r="V2864" s="14"/>
      <c r="W2864" s="14"/>
    </row>
    <row r="2865" ht="31.5" customHeight="1">
      <c r="A2865" s="158"/>
      <c r="B2865" s="159"/>
      <c r="C2865" s="160"/>
      <c r="D2865" s="130"/>
      <c r="E2865" s="130"/>
      <c r="F2865" s="161"/>
      <c r="G2865" s="164"/>
      <c r="H2865" s="76" t="b">
        <v>0</v>
      </c>
      <c r="I2865" s="76" t="b">
        <v>0</v>
      </c>
      <c r="J2865" s="76" t="b">
        <v>0</v>
      </c>
      <c r="K2865" s="76" t="b">
        <v>0</v>
      </c>
      <c r="L2865" s="76" t="b">
        <v>0</v>
      </c>
      <c r="M2865" s="76" t="b">
        <v>0</v>
      </c>
      <c r="N2865" s="76" t="b">
        <v>0</v>
      </c>
      <c r="O2865" s="76" t="b">
        <v>0</v>
      </c>
      <c r="P2865" s="76" t="b">
        <v>0</v>
      </c>
      <c r="Q2865" s="76" t="b">
        <v>0</v>
      </c>
      <c r="R2865" s="14"/>
      <c r="S2865" s="14"/>
      <c r="T2865" s="14"/>
      <c r="U2865" s="14"/>
      <c r="V2865" s="14"/>
      <c r="W2865" s="14"/>
    </row>
    <row r="2866" ht="31.5" customHeight="1">
      <c r="A2866" s="158"/>
      <c r="B2866" s="159"/>
      <c r="C2866" s="160"/>
      <c r="D2866" s="130"/>
      <c r="E2866" s="130"/>
      <c r="F2866" s="161"/>
      <c r="G2866" s="164"/>
      <c r="H2866" s="76" t="b">
        <v>0</v>
      </c>
      <c r="I2866" s="76" t="b">
        <v>0</v>
      </c>
      <c r="J2866" s="76" t="b">
        <v>0</v>
      </c>
      <c r="K2866" s="76" t="b">
        <v>0</v>
      </c>
      <c r="L2866" s="76" t="b">
        <v>0</v>
      </c>
      <c r="M2866" s="76" t="b">
        <v>0</v>
      </c>
      <c r="N2866" s="76" t="b">
        <v>0</v>
      </c>
      <c r="O2866" s="76" t="b">
        <v>0</v>
      </c>
      <c r="P2866" s="76" t="b">
        <v>0</v>
      </c>
      <c r="Q2866" s="76" t="b">
        <v>0</v>
      </c>
      <c r="R2866" s="14"/>
      <c r="S2866" s="14"/>
      <c r="T2866" s="14"/>
      <c r="U2866" s="14"/>
      <c r="V2866" s="14"/>
      <c r="W2866" s="14"/>
    </row>
    <row r="2867" ht="31.5" customHeight="1">
      <c r="A2867" s="158"/>
      <c r="B2867" s="159"/>
      <c r="C2867" s="160"/>
      <c r="D2867" s="130"/>
      <c r="E2867" s="130"/>
      <c r="F2867" s="161"/>
      <c r="G2867" s="164"/>
      <c r="H2867" s="76" t="b">
        <v>0</v>
      </c>
      <c r="I2867" s="76" t="b">
        <v>0</v>
      </c>
      <c r="J2867" s="76" t="b">
        <v>0</v>
      </c>
      <c r="K2867" s="76" t="b">
        <v>0</v>
      </c>
      <c r="L2867" s="76" t="b">
        <v>0</v>
      </c>
      <c r="M2867" s="76" t="b">
        <v>0</v>
      </c>
      <c r="N2867" s="76" t="b">
        <v>0</v>
      </c>
      <c r="O2867" s="76" t="b">
        <v>0</v>
      </c>
      <c r="P2867" s="76" t="b">
        <v>0</v>
      </c>
      <c r="Q2867" s="76" t="b">
        <v>0</v>
      </c>
      <c r="R2867" s="14"/>
      <c r="S2867" s="14"/>
      <c r="T2867" s="14"/>
      <c r="U2867" s="14"/>
      <c r="V2867" s="14"/>
      <c r="W2867" s="14"/>
    </row>
    <row r="2868" ht="31.5" customHeight="1">
      <c r="A2868" s="158"/>
      <c r="B2868" s="159"/>
      <c r="C2868" s="160"/>
      <c r="D2868" s="130"/>
      <c r="E2868" s="130"/>
      <c r="F2868" s="161"/>
      <c r="G2868" s="164"/>
      <c r="H2868" s="76" t="b">
        <v>0</v>
      </c>
      <c r="I2868" s="76" t="b">
        <v>0</v>
      </c>
      <c r="J2868" s="76" t="b">
        <v>0</v>
      </c>
      <c r="K2868" s="76" t="b">
        <v>0</v>
      </c>
      <c r="L2868" s="76" t="b">
        <v>0</v>
      </c>
      <c r="M2868" s="76" t="b">
        <v>0</v>
      </c>
      <c r="N2868" s="76" t="b">
        <v>0</v>
      </c>
      <c r="O2868" s="76" t="b">
        <v>0</v>
      </c>
      <c r="P2868" s="76" t="b">
        <v>0</v>
      </c>
      <c r="Q2868" s="76" t="b">
        <v>0</v>
      </c>
      <c r="R2868" s="14"/>
      <c r="S2868" s="14"/>
      <c r="T2868" s="14"/>
      <c r="U2868" s="14"/>
      <c r="V2868" s="14"/>
      <c r="W2868" s="14"/>
    </row>
    <row r="2869" ht="31.5" customHeight="1">
      <c r="A2869" s="158"/>
      <c r="B2869" s="159"/>
      <c r="C2869" s="160"/>
      <c r="D2869" s="130"/>
      <c r="E2869" s="130"/>
      <c r="F2869" s="161"/>
      <c r="G2869" s="164"/>
      <c r="H2869" s="76" t="b">
        <v>0</v>
      </c>
      <c r="I2869" s="76" t="b">
        <v>0</v>
      </c>
      <c r="J2869" s="76" t="b">
        <v>0</v>
      </c>
      <c r="K2869" s="76" t="b">
        <v>0</v>
      </c>
      <c r="L2869" s="76" t="b">
        <v>0</v>
      </c>
      <c r="M2869" s="76" t="b">
        <v>0</v>
      </c>
      <c r="N2869" s="76" t="b">
        <v>0</v>
      </c>
      <c r="O2869" s="76" t="b">
        <v>0</v>
      </c>
      <c r="P2869" s="76" t="b">
        <v>0</v>
      </c>
      <c r="Q2869" s="76" t="b">
        <v>0</v>
      </c>
      <c r="R2869" s="14"/>
      <c r="S2869" s="14"/>
      <c r="T2869" s="14"/>
      <c r="U2869" s="14"/>
      <c r="V2869" s="14"/>
      <c r="W2869" s="14"/>
    </row>
    <row r="2870" ht="31.5" customHeight="1">
      <c r="A2870" s="158"/>
      <c r="B2870" s="159"/>
      <c r="C2870" s="160"/>
      <c r="D2870" s="130"/>
      <c r="E2870" s="130"/>
      <c r="F2870" s="161"/>
      <c r="G2870" s="164"/>
      <c r="H2870" s="76" t="b">
        <v>0</v>
      </c>
      <c r="I2870" s="76" t="b">
        <v>0</v>
      </c>
      <c r="J2870" s="76" t="b">
        <v>0</v>
      </c>
      <c r="K2870" s="76" t="b">
        <v>0</v>
      </c>
      <c r="L2870" s="76" t="b">
        <v>0</v>
      </c>
      <c r="M2870" s="76" t="b">
        <v>0</v>
      </c>
      <c r="N2870" s="76" t="b">
        <v>0</v>
      </c>
      <c r="O2870" s="76" t="b">
        <v>0</v>
      </c>
      <c r="P2870" s="76" t="b">
        <v>0</v>
      </c>
      <c r="Q2870" s="76" t="b">
        <v>0</v>
      </c>
      <c r="R2870" s="14"/>
      <c r="S2870" s="14"/>
      <c r="T2870" s="14"/>
      <c r="U2870" s="14"/>
      <c r="V2870" s="14"/>
      <c r="W2870" s="14"/>
    </row>
    <row r="2871" ht="31.5" customHeight="1">
      <c r="A2871" s="158"/>
      <c r="B2871" s="159"/>
      <c r="C2871" s="160"/>
      <c r="D2871" s="130"/>
      <c r="E2871" s="130"/>
      <c r="F2871" s="161"/>
      <c r="G2871" s="164"/>
      <c r="H2871" s="76" t="b">
        <v>0</v>
      </c>
      <c r="I2871" s="76" t="b">
        <v>0</v>
      </c>
      <c r="J2871" s="76" t="b">
        <v>0</v>
      </c>
      <c r="K2871" s="76" t="b">
        <v>0</v>
      </c>
      <c r="L2871" s="76" t="b">
        <v>0</v>
      </c>
      <c r="M2871" s="76" t="b">
        <v>0</v>
      </c>
      <c r="N2871" s="76" t="b">
        <v>0</v>
      </c>
      <c r="O2871" s="76" t="b">
        <v>0</v>
      </c>
      <c r="P2871" s="76" t="b">
        <v>0</v>
      </c>
      <c r="Q2871" s="76" t="b">
        <v>0</v>
      </c>
      <c r="R2871" s="14"/>
      <c r="S2871" s="14"/>
      <c r="T2871" s="14"/>
      <c r="U2871" s="14"/>
      <c r="V2871" s="14"/>
      <c r="W2871" s="14"/>
    </row>
    <row r="2872" ht="31.5" customHeight="1">
      <c r="A2872" s="158"/>
      <c r="B2872" s="159"/>
      <c r="C2872" s="160"/>
      <c r="D2872" s="130"/>
      <c r="E2872" s="130"/>
      <c r="F2872" s="161"/>
      <c r="G2872" s="164"/>
      <c r="H2872" s="76" t="b">
        <v>0</v>
      </c>
      <c r="I2872" s="76" t="b">
        <v>0</v>
      </c>
      <c r="J2872" s="76" t="b">
        <v>0</v>
      </c>
      <c r="K2872" s="76" t="b">
        <v>0</v>
      </c>
      <c r="L2872" s="76" t="b">
        <v>0</v>
      </c>
      <c r="M2872" s="76" t="b">
        <v>0</v>
      </c>
      <c r="N2872" s="76" t="b">
        <v>0</v>
      </c>
      <c r="O2872" s="76" t="b">
        <v>0</v>
      </c>
      <c r="P2872" s="76" t="b">
        <v>0</v>
      </c>
      <c r="Q2872" s="76" t="b">
        <v>0</v>
      </c>
      <c r="R2872" s="14"/>
      <c r="S2872" s="14"/>
      <c r="T2872" s="14"/>
      <c r="U2872" s="14"/>
      <c r="V2872" s="14"/>
      <c r="W2872" s="14"/>
    </row>
    <row r="2873" ht="31.5" customHeight="1">
      <c r="A2873" s="158"/>
      <c r="B2873" s="159"/>
      <c r="C2873" s="160"/>
      <c r="D2873" s="130"/>
      <c r="E2873" s="130"/>
      <c r="F2873" s="161"/>
      <c r="G2873" s="164"/>
      <c r="H2873" s="76" t="b">
        <v>0</v>
      </c>
      <c r="I2873" s="76" t="b">
        <v>0</v>
      </c>
      <c r="J2873" s="76" t="b">
        <v>0</v>
      </c>
      <c r="K2873" s="76" t="b">
        <v>0</v>
      </c>
      <c r="L2873" s="76" t="b">
        <v>0</v>
      </c>
      <c r="M2873" s="76" t="b">
        <v>0</v>
      </c>
      <c r="N2873" s="76" t="b">
        <v>0</v>
      </c>
      <c r="O2873" s="76" t="b">
        <v>0</v>
      </c>
      <c r="P2873" s="76" t="b">
        <v>0</v>
      </c>
      <c r="Q2873" s="76" t="b">
        <v>0</v>
      </c>
      <c r="R2873" s="14"/>
      <c r="S2873" s="14"/>
      <c r="T2873" s="14"/>
      <c r="U2873" s="14"/>
      <c r="V2873" s="14"/>
      <c r="W2873" s="14"/>
    </row>
    <row r="2874" ht="31.5" customHeight="1">
      <c r="A2874" s="158"/>
      <c r="B2874" s="159"/>
      <c r="C2874" s="160"/>
      <c r="D2874" s="130"/>
      <c r="E2874" s="130"/>
      <c r="F2874" s="161"/>
      <c r="G2874" s="164"/>
      <c r="H2874" s="76" t="b">
        <v>0</v>
      </c>
      <c r="I2874" s="76" t="b">
        <v>0</v>
      </c>
      <c r="J2874" s="76" t="b">
        <v>0</v>
      </c>
      <c r="K2874" s="76" t="b">
        <v>0</v>
      </c>
      <c r="L2874" s="76" t="b">
        <v>0</v>
      </c>
      <c r="M2874" s="76" t="b">
        <v>0</v>
      </c>
      <c r="N2874" s="76" t="b">
        <v>0</v>
      </c>
      <c r="O2874" s="76" t="b">
        <v>0</v>
      </c>
      <c r="P2874" s="76" t="b">
        <v>0</v>
      </c>
      <c r="Q2874" s="76" t="b">
        <v>0</v>
      </c>
      <c r="R2874" s="14"/>
      <c r="S2874" s="14"/>
      <c r="T2874" s="14"/>
      <c r="U2874" s="14"/>
      <c r="V2874" s="14"/>
      <c r="W2874" s="14"/>
    </row>
    <row r="2875" ht="31.5" customHeight="1">
      <c r="A2875" s="158"/>
      <c r="B2875" s="159"/>
      <c r="C2875" s="160"/>
      <c r="D2875" s="130"/>
      <c r="E2875" s="130"/>
      <c r="F2875" s="161"/>
      <c r="G2875" s="164"/>
      <c r="H2875" s="76" t="b">
        <v>0</v>
      </c>
      <c r="I2875" s="76" t="b">
        <v>0</v>
      </c>
      <c r="J2875" s="76" t="b">
        <v>0</v>
      </c>
      <c r="K2875" s="76" t="b">
        <v>0</v>
      </c>
      <c r="L2875" s="76" t="b">
        <v>0</v>
      </c>
      <c r="M2875" s="76" t="b">
        <v>0</v>
      </c>
      <c r="N2875" s="76" t="b">
        <v>0</v>
      </c>
      <c r="O2875" s="76" t="b">
        <v>0</v>
      </c>
      <c r="P2875" s="76" t="b">
        <v>0</v>
      </c>
      <c r="Q2875" s="76" t="b">
        <v>0</v>
      </c>
      <c r="R2875" s="14"/>
      <c r="S2875" s="14"/>
      <c r="T2875" s="14"/>
      <c r="U2875" s="14"/>
      <c r="V2875" s="14"/>
      <c r="W2875" s="14"/>
    </row>
    <row r="2876" ht="31.5" customHeight="1">
      <c r="A2876" s="158"/>
      <c r="B2876" s="159"/>
      <c r="C2876" s="160"/>
      <c r="D2876" s="130"/>
      <c r="E2876" s="130"/>
      <c r="F2876" s="161"/>
      <c r="G2876" s="164"/>
      <c r="H2876" s="76" t="b">
        <v>0</v>
      </c>
      <c r="I2876" s="76" t="b">
        <v>0</v>
      </c>
      <c r="J2876" s="76" t="b">
        <v>0</v>
      </c>
      <c r="K2876" s="76" t="b">
        <v>0</v>
      </c>
      <c r="L2876" s="76" t="b">
        <v>0</v>
      </c>
      <c r="M2876" s="76" t="b">
        <v>0</v>
      </c>
      <c r="N2876" s="76" t="b">
        <v>0</v>
      </c>
      <c r="O2876" s="76" t="b">
        <v>0</v>
      </c>
      <c r="P2876" s="76" t="b">
        <v>0</v>
      </c>
      <c r="Q2876" s="76" t="b">
        <v>0</v>
      </c>
      <c r="R2876" s="14"/>
      <c r="S2876" s="14"/>
      <c r="T2876" s="14"/>
      <c r="U2876" s="14"/>
      <c r="V2876" s="14"/>
      <c r="W2876" s="14"/>
    </row>
    <row r="2877" ht="31.5" customHeight="1">
      <c r="A2877" s="158"/>
      <c r="B2877" s="159"/>
      <c r="C2877" s="160"/>
      <c r="D2877" s="130"/>
      <c r="E2877" s="130"/>
      <c r="F2877" s="161"/>
      <c r="G2877" s="164"/>
      <c r="H2877" s="76" t="b">
        <v>0</v>
      </c>
      <c r="I2877" s="76" t="b">
        <v>0</v>
      </c>
      <c r="J2877" s="76" t="b">
        <v>0</v>
      </c>
      <c r="K2877" s="76" t="b">
        <v>0</v>
      </c>
      <c r="L2877" s="76" t="b">
        <v>0</v>
      </c>
      <c r="M2877" s="76" t="b">
        <v>0</v>
      </c>
      <c r="N2877" s="76" t="b">
        <v>0</v>
      </c>
      <c r="O2877" s="76" t="b">
        <v>0</v>
      </c>
      <c r="P2877" s="76" t="b">
        <v>0</v>
      </c>
      <c r="Q2877" s="76" t="b">
        <v>0</v>
      </c>
      <c r="R2877" s="14"/>
      <c r="S2877" s="14"/>
      <c r="T2877" s="14"/>
      <c r="U2877" s="14"/>
      <c r="V2877" s="14"/>
      <c r="W2877" s="14"/>
    </row>
    <row r="2878" ht="31.5" customHeight="1">
      <c r="A2878" s="158"/>
      <c r="B2878" s="159"/>
      <c r="C2878" s="160"/>
      <c r="D2878" s="130"/>
      <c r="E2878" s="130"/>
      <c r="F2878" s="161"/>
      <c r="G2878" s="164"/>
      <c r="H2878" s="76" t="b">
        <v>0</v>
      </c>
      <c r="I2878" s="76" t="b">
        <v>0</v>
      </c>
      <c r="J2878" s="76" t="b">
        <v>0</v>
      </c>
      <c r="K2878" s="76" t="b">
        <v>0</v>
      </c>
      <c r="L2878" s="76" t="b">
        <v>0</v>
      </c>
      <c r="M2878" s="76" t="b">
        <v>0</v>
      </c>
      <c r="N2878" s="76" t="b">
        <v>0</v>
      </c>
      <c r="O2878" s="76" t="b">
        <v>0</v>
      </c>
      <c r="P2878" s="76" t="b">
        <v>0</v>
      </c>
      <c r="Q2878" s="76" t="b">
        <v>0</v>
      </c>
      <c r="R2878" s="14"/>
      <c r="S2878" s="14"/>
      <c r="T2878" s="14"/>
      <c r="U2878" s="14"/>
      <c r="V2878" s="14"/>
      <c r="W2878" s="14"/>
    </row>
    <row r="2879" ht="31.5" customHeight="1">
      <c r="A2879" s="158"/>
      <c r="B2879" s="159"/>
      <c r="C2879" s="160"/>
      <c r="D2879" s="130"/>
      <c r="E2879" s="130"/>
      <c r="F2879" s="161"/>
      <c r="G2879" s="164"/>
      <c r="H2879" s="76" t="b">
        <v>0</v>
      </c>
      <c r="I2879" s="76" t="b">
        <v>0</v>
      </c>
      <c r="J2879" s="76" t="b">
        <v>0</v>
      </c>
      <c r="K2879" s="76" t="b">
        <v>0</v>
      </c>
      <c r="L2879" s="76" t="b">
        <v>0</v>
      </c>
      <c r="M2879" s="76" t="b">
        <v>0</v>
      </c>
      <c r="N2879" s="76" t="b">
        <v>0</v>
      </c>
      <c r="O2879" s="76" t="b">
        <v>0</v>
      </c>
      <c r="P2879" s="76" t="b">
        <v>0</v>
      </c>
      <c r="Q2879" s="76" t="b">
        <v>0</v>
      </c>
      <c r="R2879" s="14"/>
      <c r="S2879" s="14"/>
      <c r="T2879" s="14"/>
      <c r="U2879" s="14"/>
      <c r="V2879" s="14"/>
      <c r="W2879" s="14"/>
    </row>
    <row r="2880" ht="31.5" customHeight="1">
      <c r="A2880" s="158"/>
      <c r="B2880" s="159"/>
      <c r="C2880" s="160"/>
      <c r="D2880" s="130"/>
      <c r="E2880" s="130"/>
      <c r="F2880" s="161"/>
      <c r="G2880" s="164"/>
      <c r="H2880" s="76" t="b">
        <v>0</v>
      </c>
      <c r="I2880" s="76" t="b">
        <v>0</v>
      </c>
      <c r="J2880" s="76" t="b">
        <v>0</v>
      </c>
      <c r="K2880" s="76" t="b">
        <v>0</v>
      </c>
      <c r="L2880" s="76" t="b">
        <v>0</v>
      </c>
      <c r="M2880" s="76" t="b">
        <v>0</v>
      </c>
      <c r="N2880" s="76" t="b">
        <v>0</v>
      </c>
      <c r="O2880" s="76" t="b">
        <v>0</v>
      </c>
      <c r="P2880" s="76" t="b">
        <v>0</v>
      </c>
      <c r="Q2880" s="76" t="b">
        <v>0</v>
      </c>
      <c r="R2880" s="14"/>
      <c r="S2880" s="14"/>
      <c r="T2880" s="14"/>
      <c r="U2880" s="14"/>
      <c r="V2880" s="14"/>
      <c r="W2880" s="14"/>
    </row>
    <row r="2881" ht="31.5" customHeight="1">
      <c r="A2881" s="158"/>
      <c r="B2881" s="159"/>
      <c r="C2881" s="160"/>
      <c r="D2881" s="130"/>
      <c r="E2881" s="130"/>
      <c r="F2881" s="161"/>
      <c r="G2881" s="164"/>
      <c r="H2881" s="76" t="b">
        <v>0</v>
      </c>
      <c r="I2881" s="76" t="b">
        <v>0</v>
      </c>
      <c r="J2881" s="76" t="b">
        <v>0</v>
      </c>
      <c r="K2881" s="76" t="b">
        <v>0</v>
      </c>
      <c r="L2881" s="76" t="b">
        <v>0</v>
      </c>
      <c r="M2881" s="76" t="b">
        <v>0</v>
      </c>
      <c r="N2881" s="76" t="b">
        <v>0</v>
      </c>
      <c r="O2881" s="76" t="b">
        <v>0</v>
      </c>
      <c r="P2881" s="76" t="b">
        <v>0</v>
      </c>
      <c r="Q2881" s="76" t="b">
        <v>0</v>
      </c>
      <c r="R2881" s="14"/>
      <c r="S2881" s="14"/>
      <c r="T2881" s="14"/>
      <c r="U2881" s="14"/>
      <c r="V2881" s="14"/>
      <c r="W2881" s="14"/>
    </row>
    <row r="2882" ht="31.5" customHeight="1">
      <c r="A2882" s="158"/>
      <c r="B2882" s="159"/>
      <c r="C2882" s="160"/>
      <c r="D2882" s="130"/>
      <c r="E2882" s="130"/>
      <c r="F2882" s="161"/>
      <c r="G2882" s="164"/>
      <c r="H2882" s="76" t="b">
        <v>0</v>
      </c>
      <c r="I2882" s="76" t="b">
        <v>0</v>
      </c>
      <c r="J2882" s="76" t="b">
        <v>0</v>
      </c>
      <c r="K2882" s="76" t="b">
        <v>0</v>
      </c>
      <c r="L2882" s="76" t="b">
        <v>0</v>
      </c>
      <c r="M2882" s="76" t="b">
        <v>0</v>
      </c>
      <c r="N2882" s="76" t="b">
        <v>0</v>
      </c>
      <c r="O2882" s="76" t="b">
        <v>0</v>
      </c>
      <c r="P2882" s="76" t="b">
        <v>0</v>
      </c>
      <c r="Q2882" s="76" t="b">
        <v>0</v>
      </c>
      <c r="R2882" s="14"/>
      <c r="S2882" s="14"/>
      <c r="T2882" s="14"/>
      <c r="U2882" s="14"/>
      <c r="V2882" s="14"/>
      <c r="W2882" s="14"/>
    </row>
    <row r="2883" ht="31.5" customHeight="1">
      <c r="A2883" s="158"/>
      <c r="B2883" s="159"/>
      <c r="C2883" s="160"/>
      <c r="D2883" s="130"/>
      <c r="E2883" s="130"/>
      <c r="F2883" s="161"/>
      <c r="G2883" s="164"/>
      <c r="H2883" s="76" t="b">
        <v>0</v>
      </c>
      <c r="I2883" s="76" t="b">
        <v>0</v>
      </c>
      <c r="J2883" s="76" t="b">
        <v>0</v>
      </c>
      <c r="K2883" s="76" t="b">
        <v>0</v>
      </c>
      <c r="L2883" s="76" t="b">
        <v>0</v>
      </c>
      <c r="M2883" s="76" t="b">
        <v>0</v>
      </c>
      <c r="N2883" s="76" t="b">
        <v>0</v>
      </c>
      <c r="O2883" s="76" t="b">
        <v>0</v>
      </c>
      <c r="P2883" s="76" t="b">
        <v>0</v>
      </c>
      <c r="Q2883" s="76" t="b">
        <v>0</v>
      </c>
      <c r="R2883" s="14"/>
      <c r="S2883" s="14"/>
      <c r="T2883" s="14"/>
      <c r="U2883" s="14"/>
      <c r="V2883" s="14"/>
      <c r="W2883" s="14"/>
    </row>
    <row r="2884" ht="31.5" customHeight="1">
      <c r="A2884" s="158"/>
      <c r="B2884" s="159"/>
      <c r="C2884" s="160"/>
      <c r="D2884" s="130"/>
      <c r="E2884" s="130"/>
      <c r="F2884" s="161"/>
      <c r="G2884" s="164"/>
      <c r="H2884" s="76" t="b">
        <v>0</v>
      </c>
      <c r="I2884" s="76" t="b">
        <v>0</v>
      </c>
      <c r="J2884" s="76" t="b">
        <v>0</v>
      </c>
      <c r="K2884" s="76" t="b">
        <v>0</v>
      </c>
      <c r="L2884" s="76" t="b">
        <v>0</v>
      </c>
      <c r="M2884" s="76" t="b">
        <v>0</v>
      </c>
      <c r="N2884" s="76" t="b">
        <v>0</v>
      </c>
      <c r="O2884" s="76" t="b">
        <v>0</v>
      </c>
      <c r="P2884" s="76" t="b">
        <v>0</v>
      </c>
      <c r="Q2884" s="76" t="b">
        <v>0</v>
      </c>
      <c r="R2884" s="14"/>
      <c r="S2884" s="14"/>
      <c r="T2884" s="14"/>
      <c r="U2884" s="14"/>
      <c r="V2884" s="14"/>
      <c r="W2884" s="14"/>
    </row>
    <row r="2885" ht="31.5" customHeight="1">
      <c r="A2885" s="158"/>
      <c r="B2885" s="159"/>
      <c r="C2885" s="160"/>
      <c r="D2885" s="130"/>
      <c r="E2885" s="130"/>
      <c r="F2885" s="161"/>
      <c r="G2885" s="164"/>
      <c r="H2885" s="76" t="b">
        <v>0</v>
      </c>
      <c r="I2885" s="76" t="b">
        <v>0</v>
      </c>
      <c r="J2885" s="76" t="b">
        <v>0</v>
      </c>
      <c r="K2885" s="76" t="b">
        <v>0</v>
      </c>
      <c r="L2885" s="76" t="b">
        <v>0</v>
      </c>
      <c r="M2885" s="76" t="b">
        <v>0</v>
      </c>
      <c r="N2885" s="76" t="b">
        <v>0</v>
      </c>
      <c r="O2885" s="76" t="b">
        <v>0</v>
      </c>
      <c r="P2885" s="76" t="b">
        <v>0</v>
      </c>
      <c r="Q2885" s="76" t="b">
        <v>0</v>
      </c>
      <c r="R2885" s="14"/>
      <c r="S2885" s="14"/>
      <c r="T2885" s="14"/>
      <c r="U2885" s="14"/>
      <c r="V2885" s="14"/>
      <c r="W2885" s="14"/>
    </row>
    <row r="2886" ht="31.5" customHeight="1">
      <c r="A2886" s="158"/>
      <c r="B2886" s="159"/>
      <c r="C2886" s="160"/>
      <c r="D2886" s="130"/>
      <c r="E2886" s="130"/>
      <c r="F2886" s="161"/>
      <c r="G2886" s="164"/>
      <c r="H2886" s="76" t="b">
        <v>0</v>
      </c>
      <c r="I2886" s="76" t="b">
        <v>0</v>
      </c>
      <c r="J2886" s="76" t="b">
        <v>0</v>
      </c>
      <c r="K2886" s="76" t="b">
        <v>0</v>
      </c>
      <c r="L2886" s="76" t="b">
        <v>0</v>
      </c>
      <c r="M2886" s="76" t="b">
        <v>0</v>
      </c>
      <c r="N2886" s="76" t="b">
        <v>0</v>
      </c>
      <c r="O2886" s="76" t="b">
        <v>0</v>
      </c>
      <c r="P2886" s="76" t="b">
        <v>0</v>
      </c>
      <c r="Q2886" s="76" t="b">
        <v>0</v>
      </c>
      <c r="R2886" s="14"/>
      <c r="S2886" s="14"/>
      <c r="T2886" s="14"/>
      <c r="U2886" s="14"/>
      <c r="V2886" s="14"/>
      <c r="W2886" s="14"/>
    </row>
    <row r="2887" ht="31.5" customHeight="1">
      <c r="A2887" s="158"/>
      <c r="B2887" s="159"/>
      <c r="C2887" s="160"/>
      <c r="D2887" s="130"/>
      <c r="E2887" s="130"/>
      <c r="F2887" s="161"/>
      <c r="G2887" s="164"/>
      <c r="H2887" s="76" t="b">
        <v>0</v>
      </c>
      <c r="I2887" s="76" t="b">
        <v>0</v>
      </c>
      <c r="J2887" s="76" t="b">
        <v>0</v>
      </c>
      <c r="K2887" s="76" t="b">
        <v>0</v>
      </c>
      <c r="L2887" s="76" t="b">
        <v>0</v>
      </c>
      <c r="M2887" s="76" t="b">
        <v>0</v>
      </c>
      <c r="N2887" s="76" t="b">
        <v>0</v>
      </c>
      <c r="O2887" s="76" t="b">
        <v>0</v>
      </c>
      <c r="P2887" s="76" t="b">
        <v>0</v>
      </c>
      <c r="Q2887" s="76" t="b">
        <v>0</v>
      </c>
      <c r="R2887" s="14"/>
      <c r="S2887" s="14"/>
      <c r="T2887" s="14"/>
      <c r="U2887" s="14"/>
      <c r="V2887" s="14"/>
      <c r="W2887" s="14"/>
    </row>
    <row r="2888" ht="31.5" customHeight="1">
      <c r="A2888" s="158"/>
      <c r="B2888" s="159"/>
      <c r="C2888" s="160"/>
      <c r="D2888" s="130"/>
      <c r="E2888" s="130"/>
      <c r="F2888" s="161"/>
      <c r="G2888" s="164"/>
      <c r="H2888" s="76" t="b">
        <v>0</v>
      </c>
      <c r="I2888" s="76" t="b">
        <v>0</v>
      </c>
      <c r="J2888" s="76" t="b">
        <v>0</v>
      </c>
      <c r="K2888" s="76" t="b">
        <v>0</v>
      </c>
      <c r="L2888" s="76" t="b">
        <v>0</v>
      </c>
      <c r="M2888" s="76" t="b">
        <v>0</v>
      </c>
      <c r="N2888" s="76" t="b">
        <v>0</v>
      </c>
      <c r="O2888" s="76" t="b">
        <v>0</v>
      </c>
      <c r="P2888" s="76" t="b">
        <v>0</v>
      </c>
      <c r="Q2888" s="76" t="b">
        <v>0</v>
      </c>
      <c r="R2888" s="14"/>
      <c r="S2888" s="14"/>
      <c r="T2888" s="14"/>
      <c r="U2888" s="14"/>
      <c r="V2888" s="14"/>
      <c r="W2888" s="14"/>
    </row>
    <row r="2889" ht="31.5" customHeight="1">
      <c r="A2889" s="158"/>
      <c r="B2889" s="159"/>
      <c r="C2889" s="160"/>
      <c r="D2889" s="130"/>
      <c r="E2889" s="130"/>
      <c r="F2889" s="161"/>
      <c r="G2889" s="164"/>
      <c r="H2889" s="76" t="b">
        <v>0</v>
      </c>
      <c r="I2889" s="76" t="b">
        <v>0</v>
      </c>
      <c r="J2889" s="76" t="b">
        <v>0</v>
      </c>
      <c r="K2889" s="76" t="b">
        <v>0</v>
      </c>
      <c r="L2889" s="76" t="b">
        <v>0</v>
      </c>
      <c r="M2889" s="76" t="b">
        <v>0</v>
      </c>
      <c r="N2889" s="76" t="b">
        <v>0</v>
      </c>
      <c r="O2889" s="76" t="b">
        <v>0</v>
      </c>
      <c r="P2889" s="76" t="b">
        <v>0</v>
      </c>
      <c r="Q2889" s="76" t="b">
        <v>0</v>
      </c>
      <c r="R2889" s="14"/>
      <c r="S2889" s="14"/>
      <c r="T2889" s="14"/>
      <c r="U2889" s="14"/>
      <c r="V2889" s="14"/>
      <c r="W2889" s="14"/>
    </row>
    <row r="2890" ht="31.5" customHeight="1">
      <c r="A2890" s="158"/>
      <c r="B2890" s="159"/>
      <c r="C2890" s="160"/>
      <c r="D2890" s="130"/>
      <c r="E2890" s="130"/>
      <c r="F2890" s="161"/>
      <c r="G2890" s="164"/>
      <c r="H2890" s="76" t="b">
        <v>0</v>
      </c>
      <c r="I2890" s="76" t="b">
        <v>0</v>
      </c>
      <c r="J2890" s="76" t="b">
        <v>0</v>
      </c>
      <c r="K2890" s="76" t="b">
        <v>0</v>
      </c>
      <c r="L2890" s="76" t="b">
        <v>0</v>
      </c>
      <c r="M2890" s="76" t="b">
        <v>0</v>
      </c>
      <c r="N2890" s="76" t="b">
        <v>0</v>
      </c>
      <c r="O2890" s="76" t="b">
        <v>0</v>
      </c>
      <c r="P2890" s="76" t="b">
        <v>0</v>
      </c>
      <c r="Q2890" s="76" t="b">
        <v>0</v>
      </c>
      <c r="R2890" s="14"/>
      <c r="S2890" s="14"/>
      <c r="T2890" s="14"/>
      <c r="U2890" s="14"/>
      <c r="V2890" s="14"/>
      <c r="W2890" s="14"/>
    </row>
    <row r="2891" ht="31.5" customHeight="1">
      <c r="A2891" s="158"/>
      <c r="B2891" s="159"/>
      <c r="C2891" s="160"/>
      <c r="D2891" s="130"/>
      <c r="E2891" s="130"/>
      <c r="F2891" s="161"/>
      <c r="G2891" s="164"/>
      <c r="H2891" s="76" t="b">
        <v>0</v>
      </c>
      <c r="I2891" s="76" t="b">
        <v>0</v>
      </c>
      <c r="J2891" s="76" t="b">
        <v>0</v>
      </c>
      <c r="K2891" s="76" t="b">
        <v>0</v>
      </c>
      <c r="L2891" s="76" t="b">
        <v>0</v>
      </c>
      <c r="M2891" s="76" t="b">
        <v>0</v>
      </c>
      <c r="N2891" s="76" t="b">
        <v>0</v>
      </c>
      <c r="O2891" s="76" t="b">
        <v>0</v>
      </c>
      <c r="P2891" s="76" t="b">
        <v>0</v>
      </c>
      <c r="Q2891" s="76" t="b">
        <v>0</v>
      </c>
      <c r="R2891" s="14"/>
      <c r="S2891" s="14"/>
      <c r="T2891" s="14"/>
      <c r="U2891" s="14"/>
      <c r="V2891" s="14"/>
      <c r="W2891" s="14"/>
    </row>
    <row r="2892" ht="31.5" customHeight="1">
      <c r="A2892" s="158"/>
      <c r="B2892" s="159"/>
      <c r="C2892" s="160"/>
      <c r="D2892" s="130"/>
      <c r="E2892" s="130"/>
      <c r="F2892" s="161"/>
      <c r="G2892" s="164"/>
      <c r="H2892" s="76" t="b">
        <v>0</v>
      </c>
      <c r="I2892" s="76" t="b">
        <v>0</v>
      </c>
      <c r="J2892" s="76" t="b">
        <v>0</v>
      </c>
      <c r="K2892" s="76" t="b">
        <v>0</v>
      </c>
      <c r="L2892" s="76" t="b">
        <v>0</v>
      </c>
      <c r="M2892" s="76" t="b">
        <v>0</v>
      </c>
      <c r="N2892" s="76" t="b">
        <v>0</v>
      </c>
      <c r="O2892" s="76" t="b">
        <v>0</v>
      </c>
      <c r="P2892" s="76" t="b">
        <v>0</v>
      </c>
      <c r="Q2892" s="76" t="b">
        <v>0</v>
      </c>
      <c r="R2892" s="14"/>
      <c r="S2892" s="14"/>
      <c r="T2892" s="14"/>
      <c r="U2892" s="14"/>
      <c r="V2892" s="14"/>
      <c r="W2892" s="14"/>
    </row>
    <row r="2893" ht="31.5" customHeight="1">
      <c r="A2893" s="158"/>
      <c r="B2893" s="159"/>
      <c r="C2893" s="160"/>
      <c r="D2893" s="130"/>
      <c r="E2893" s="130"/>
      <c r="F2893" s="161"/>
      <c r="G2893" s="164"/>
      <c r="H2893" s="76" t="b">
        <v>0</v>
      </c>
      <c r="I2893" s="76" t="b">
        <v>0</v>
      </c>
      <c r="J2893" s="76" t="b">
        <v>0</v>
      </c>
      <c r="K2893" s="76" t="b">
        <v>0</v>
      </c>
      <c r="L2893" s="76" t="b">
        <v>0</v>
      </c>
      <c r="M2893" s="76" t="b">
        <v>0</v>
      </c>
      <c r="N2893" s="76" t="b">
        <v>0</v>
      </c>
      <c r="O2893" s="76" t="b">
        <v>0</v>
      </c>
      <c r="P2893" s="76" t="b">
        <v>0</v>
      </c>
      <c r="Q2893" s="76" t="b">
        <v>0</v>
      </c>
      <c r="R2893" s="14"/>
      <c r="S2893" s="14"/>
      <c r="T2893" s="14"/>
      <c r="U2893" s="14"/>
      <c r="V2893" s="14"/>
      <c r="W2893" s="14"/>
    </row>
    <row r="2894" ht="31.5" customHeight="1">
      <c r="A2894" s="158"/>
      <c r="B2894" s="159"/>
      <c r="C2894" s="160"/>
      <c r="D2894" s="130"/>
      <c r="E2894" s="130"/>
      <c r="F2894" s="161"/>
      <c r="G2894" s="164"/>
      <c r="H2894" s="76" t="b">
        <v>0</v>
      </c>
      <c r="I2894" s="76" t="b">
        <v>0</v>
      </c>
      <c r="J2894" s="76" t="b">
        <v>0</v>
      </c>
      <c r="K2894" s="76" t="b">
        <v>0</v>
      </c>
      <c r="L2894" s="76" t="b">
        <v>0</v>
      </c>
      <c r="M2894" s="76" t="b">
        <v>0</v>
      </c>
      <c r="N2894" s="76" t="b">
        <v>0</v>
      </c>
      <c r="O2894" s="76" t="b">
        <v>0</v>
      </c>
      <c r="P2894" s="76" t="b">
        <v>0</v>
      </c>
      <c r="Q2894" s="76" t="b">
        <v>0</v>
      </c>
      <c r="R2894" s="14"/>
      <c r="S2894" s="14"/>
      <c r="T2894" s="14"/>
      <c r="U2894" s="14"/>
      <c r="V2894" s="14"/>
      <c r="W2894" s="14"/>
    </row>
    <row r="2895" ht="31.5" customHeight="1">
      <c r="A2895" s="158"/>
      <c r="B2895" s="159"/>
      <c r="C2895" s="160"/>
      <c r="D2895" s="130"/>
      <c r="E2895" s="130"/>
      <c r="F2895" s="161"/>
      <c r="G2895" s="164"/>
      <c r="H2895" s="76" t="b">
        <v>0</v>
      </c>
      <c r="I2895" s="76" t="b">
        <v>0</v>
      </c>
      <c r="J2895" s="76" t="b">
        <v>0</v>
      </c>
      <c r="K2895" s="76" t="b">
        <v>0</v>
      </c>
      <c r="L2895" s="76" t="b">
        <v>0</v>
      </c>
      <c r="M2895" s="76" t="b">
        <v>0</v>
      </c>
      <c r="N2895" s="76" t="b">
        <v>0</v>
      </c>
      <c r="O2895" s="76" t="b">
        <v>0</v>
      </c>
      <c r="P2895" s="76" t="b">
        <v>0</v>
      </c>
      <c r="Q2895" s="76" t="b">
        <v>0</v>
      </c>
      <c r="R2895" s="14"/>
      <c r="S2895" s="14"/>
      <c r="T2895" s="14"/>
      <c r="U2895" s="14"/>
      <c r="V2895" s="14"/>
      <c r="W2895" s="14"/>
    </row>
    <row r="2896" ht="31.5" customHeight="1">
      <c r="A2896" s="158"/>
      <c r="B2896" s="159"/>
      <c r="C2896" s="160"/>
      <c r="D2896" s="130"/>
      <c r="E2896" s="130"/>
      <c r="F2896" s="161"/>
      <c r="G2896" s="164"/>
      <c r="H2896" s="76" t="b">
        <v>0</v>
      </c>
      <c r="I2896" s="76" t="b">
        <v>0</v>
      </c>
      <c r="J2896" s="76" t="b">
        <v>0</v>
      </c>
      <c r="K2896" s="76" t="b">
        <v>0</v>
      </c>
      <c r="L2896" s="76" t="b">
        <v>0</v>
      </c>
      <c r="M2896" s="76" t="b">
        <v>0</v>
      </c>
      <c r="N2896" s="76" t="b">
        <v>0</v>
      </c>
      <c r="O2896" s="76" t="b">
        <v>0</v>
      </c>
      <c r="P2896" s="76" t="b">
        <v>0</v>
      </c>
      <c r="Q2896" s="76" t="b">
        <v>0</v>
      </c>
      <c r="R2896" s="14"/>
      <c r="S2896" s="14"/>
      <c r="T2896" s="14"/>
      <c r="U2896" s="14"/>
      <c r="V2896" s="14"/>
      <c r="W2896" s="14"/>
    </row>
    <row r="2897" ht="31.5" customHeight="1">
      <c r="A2897" s="158"/>
      <c r="B2897" s="159"/>
      <c r="C2897" s="160"/>
      <c r="D2897" s="130"/>
      <c r="E2897" s="130"/>
      <c r="F2897" s="161"/>
      <c r="G2897" s="164"/>
      <c r="H2897" s="76" t="b">
        <v>0</v>
      </c>
      <c r="I2897" s="76" t="b">
        <v>0</v>
      </c>
      <c r="J2897" s="76" t="b">
        <v>0</v>
      </c>
      <c r="K2897" s="76" t="b">
        <v>0</v>
      </c>
      <c r="L2897" s="76" t="b">
        <v>0</v>
      </c>
      <c r="M2897" s="76" t="b">
        <v>0</v>
      </c>
      <c r="N2897" s="76" t="b">
        <v>0</v>
      </c>
      <c r="O2897" s="76" t="b">
        <v>0</v>
      </c>
      <c r="P2897" s="76" t="b">
        <v>0</v>
      </c>
      <c r="Q2897" s="76" t="b">
        <v>0</v>
      </c>
      <c r="R2897" s="14"/>
      <c r="S2897" s="14"/>
      <c r="T2897" s="14"/>
      <c r="U2897" s="14"/>
      <c r="V2897" s="14"/>
      <c r="W2897" s="14"/>
    </row>
    <row r="2898" ht="31.5" customHeight="1">
      <c r="A2898" s="158"/>
      <c r="B2898" s="159"/>
      <c r="C2898" s="160"/>
      <c r="D2898" s="130"/>
      <c r="E2898" s="130"/>
      <c r="F2898" s="161"/>
      <c r="G2898" s="164"/>
      <c r="H2898" s="76" t="b">
        <v>1</v>
      </c>
      <c r="I2898" s="76" t="b">
        <v>0</v>
      </c>
      <c r="J2898" s="76" t="b">
        <v>0</v>
      </c>
      <c r="K2898" s="76" t="b">
        <v>0</v>
      </c>
      <c r="L2898" s="76" t="b">
        <v>0</v>
      </c>
      <c r="M2898" s="76" t="b">
        <v>0</v>
      </c>
      <c r="N2898" s="76" t="b">
        <v>0</v>
      </c>
      <c r="O2898" s="76" t="b">
        <v>0</v>
      </c>
      <c r="P2898" s="76" t="b">
        <v>0</v>
      </c>
      <c r="Q2898" s="76" t="b">
        <v>0</v>
      </c>
      <c r="R2898" s="14"/>
      <c r="S2898" s="14"/>
      <c r="T2898" s="14"/>
      <c r="U2898" s="14"/>
      <c r="V2898" s="14"/>
      <c r="W2898" s="14"/>
    </row>
    <row r="2899" ht="31.5" customHeight="1">
      <c r="A2899" s="158"/>
      <c r="B2899" s="159"/>
      <c r="C2899" s="160"/>
      <c r="D2899" s="130"/>
      <c r="E2899" s="130"/>
      <c r="F2899" s="161"/>
      <c r="G2899" s="164"/>
      <c r="H2899" s="76" t="b">
        <v>1</v>
      </c>
      <c r="I2899" s="76" t="b">
        <v>0</v>
      </c>
      <c r="J2899" s="76" t="b">
        <v>0</v>
      </c>
      <c r="K2899" s="76" t="b">
        <v>0</v>
      </c>
      <c r="L2899" s="76" t="b">
        <v>0</v>
      </c>
      <c r="M2899" s="76" t="b">
        <v>0</v>
      </c>
      <c r="N2899" s="76" t="b">
        <v>0</v>
      </c>
      <c r="O2899" s="76" t="b">
        <v>0</v>
      </c>
      <c r="P2899" s="76" t="b">
        <v>0</v>
      </c>
      <c r="Q2899" s="76" t="b">
        <v>0</v>
      </c>
      <c r="R2899" s="14"/>
      <c r="S2899" s="14"/>
      <c r="T2899" s="14"/>
      <c r="U2899" s="14"/>
      <c r="V2899" s="14"/>
      <c r="W2899" s="14"/>
    </row>
    <row r="2900" ht="31.5" customHeight="1">
      <c r="A2900" s="158"/>
      <c r="B2900" s="159"/>
      <c r="C2900" s="160"/>
      <c r="D2900" s="130"/>
      <c r="E2900" s="130"/>
      <c r="F2900" s="161"/>
      <c r="G2900" s="164"/>
      <c r="H2900" s="76" t="b">
        <v>1</v>
      </c>
      <c r="I2900" s="76" t="b">
        <v>0</v>
      </c>
      <c r="J2900" s="76" t="b">
        <v>0</v>
      </c>
      <c r="K2900" s="76" t="b">
        <v>0</v>
      </c>
      <c r="L2900" s="76" t="b">
        <v>0</v>
      </c>
      <c r="M2900" s="76" t="b">
        <v>0</v>
      </c>
      <c r="N2900" s="76" t="b">
        <v>0</v>
      </c>
      <c r="O2900" s="76" t="b">
        <v>0</v>
      </c>
      <c r="P2900" s="76" t="b">
        <v>0</v>
      </c>
      <c r="Q2900" s="76" t="b">
        <v>0</v>
      </c>
      <c r="R2900" s="14"/>
      <c r="S2900" s="14"/>
      <c r="T2900" s="14"/>
      <c r="U2900" s="14"/>
      <c r="V2900" s="14"/>
      <c r="W2900" s="14"/>
    </row>
    <row r="2901" ht="31.5" customHeight="1">
      <c r="A2901" s="158"/>
      <c r="B2901" s="159"/>
      <c r="C2901" s="160"/>
      <c r="D2901" s="130"/>
      <c r="E2901" s="130"/>
      <c r="F2901" s="161"/>
      <c r="G2901" s="164"/>
      <c r="H2901" s="76" t="b">
        <v>1</v>
      </c>
      <c r="I2901" s="76" t="b">
        <v>0</v>
      </c>
      <c r="J2901" s="76" t="b">
        <v>0</v>
      </c>
      <c r="K2901" s="76" t="b">
        <v>0</v>
      </c>
      <c r="L2901" s="76" t="b">
        <v>0</v>
      </c>
      <c r="M2901" s="76" t="b">
        <v>0</v>
      </c>
      <c r="N2901" s="76" t="b">
        <v>0</v>
      </c>
      <c r="O2901" s="76" t="b">
        <v>0</v>
      </c>
      <c r="P2901" s="76" t="b">
        <v>0</v>
      </c>
      <c r="Q2901" s="76" t="b">
        <v>0</v>
      </c>
      <c r="R2901" s="14"/>
      <c r="S2901" s="14"/>
      <c r="T2901" s="14"/>
      <c r="U2901" s="14"/>
      <c r="V2901" s="14"/>
      <c r="W2901" s="14"/>
    </row>
    <row r="2902" ht="31.5" customHeight="1">
      <c r="A2902" s="158"/>
      <c r="B2902" s="159"/>
      <c r="C2902" s="160"/>
      <c r="D2902" s="130"/>
      <c r="E2902" s="130"/>
      <c r="F2902" s="161"/>
      <c r="G2902" s="164"/>
      <c r="H2902" s="76" t="b">
        <v>1</v>
      </c>
      <c r="I2902" s="76" t="b">
        <v>0</v>
      </c>
      <c r="J2902" s="76" t="b">
        <v>0</v>
      </c>
      <c r="K2902" s="76" t="b">
        <v>0</v>
      </c>
      <c r="L2902" s="76" t="b">
        <v>0</v>
      </c>
      <c r="M2902" s="76" t="b">
        <v>0</v>
      </c>
      <c r="N2902" s="76" t="b">
        <v>0</v>
      </c>
      <c r="O2902" s="76" t="b">
        <v>0</v>
      </c>
      <c r="P2902" s="76" t="b">
        <v>0</v>
      </c>
      <c r="Q2902" s="76" t="b">
        <v>0</v>
      </c>
      <c r="R2902" s="14"/>
      <c r="S2902" s="14"/>
      <c r="T2902" s="14"/>
      <c r="U2902" s="14"/>
      <c r="V2902" s="14"/>
      <c r="W2902" s="14"/>
    </row>
    <row r="2903" ht="31.5" customHeight="1">
      <c r="A2903" s="158"/>
      <c r="B2903" s="159"/>
      <c r="C2903" s="160"/>
      <c r="D2903" s="130"/>
      <c r="E2903" s="130"/>
      <c r="F2903" s="161"/>
      <c r="G2903" s="164"/>
      <c r="H2903" s="76" t="b">
        <v>1</v>
      </c>
      <c r="I2903" s="76" t="b">
        <v>0</v>
      </c>
      <c r="J2903" s="76" t="b">
        <v>0</v>
      </c>
      <c r="K2903" s="76" t="b">
        <v>0</v>
      </c>
      <c r="L2903" s="76" t="b">
        <v>0</v>
      </c>
      <c r="M2903" s="76" t="b">
        <v>0</v>
      </c>
      <c r="N2903" s="76" t="b">
        <v>0</v>
      </c>
      <c r="O2903" s="76" t="b">
        <v>0</v>
      </c>
      <c r="P2903" s="76" t="b">
        <v>0</v>
      </c>
      <c r="Q2903" s="76" t="b">
        <v>0</v>
      </c>
      <c r="R2903" s="14"/>
      <c r="S2903" s="14"/>
      <c r="T2903" s="14"/>
      <c r="U2903" s="14"/>
      <c r="V2903" s="14"/>
      <c r="W2903" s="14"/>
    </row>
    <row r="2904" ht="31.5" customHeight="1">
      <c r="A2904" s="158"/>
      <c r="B2904" s="159"/>
      <c r="C2904" s="160"/>
      <c r="D2904" s="130"/>
      <c r="E2904" s="130"/>
      <c r="F2904" s="161"/>
      <c r="G2904" s="164"/>
      <c r="H2904" s="76" t="b">
        <v>1</v>
      </c>
      <c r="I2904" s="76" t="b">
        <v>0</v>
      </c>
      <c r="J2904" s="76" t="b">
        <v>0</v>
      </c>
      <c r="K2904" s="76" t="b">
        <v>0</v>
      </c>
      <c r="L2904" s="76" t="b">
        <v>0</v>
      </c>
      <c r="M2904" s="76" t="b">
        <v>0</v>
      </c>
      <c r="N2904" s="76" t="b">
        <v>0</v>
      </c>
      <c r="O2904" s="76" t="b">
        <v>0</v>
      </c>
      <c r="P2904" s="76" t="b">
        <v>0</v>
      </c>
      <c r="Q2904" s="76" t="b">
        <v>0</v>
      </c>
      <c r="R2904" s="14"/>
      <c r="S2904" s="14"/>
      <c r="T2904" s="14"/>
      <c r="U2904" s="14"/>
      <c r="V2904" s="14"/>
      <c r="W2904" s="14"/>
    </row>
    <row r="2905" ht="31.5" customHeight="1">
      <c r="A2905" s="158"/>
      <c r="B2905" s="159"/>
      <c r="C2905" s="160"/>
      <c r="D2905" s="130"/>
      <c r="E2905" s="130"/>
      <c r="F2905" s="161"/>
      <c r="G2905" s="164"/>
      <c r="H2905" s="76" t="b">
        <v>1</v>
      </c>
      <c r="I2905" s="76" t="b">
        <v>0</v>
      </c>
      <c r="J2905" s="76" t="b">
        <v>0</v>
      </c>
      <c r="K2905" s="76" t="b">
        <v>0</v>
      </c>
      <c r="L2905" s="76" t="b">
        <v>0</v>
      </c>
      <c r="M2905" s="76" t="b">
        <v>0</v>
      </c>
      <c r="N2905" s="76" t="b">
        <v>0</v>
      </c>
      <c r="O2905" s="76" t="b">
        <v>0</v>
      </c>
      <c r="P2905" s="76" t="b">
        <v>0</v>
      </c>
      <c r="Q2905" s="76" t="b">
        <v>0</v>
      </c>
      <c r="R2905" s="14"/>
      <c r="S2905" s="14"/>
      <c r="T2905" s="14"/>
      <c r="U2905" s="14"/>
      <c r="V2905" s="14"/>
      <c r="W2905" s="14"/>
    </row>
    <row r="2906" ht="31.5" customHeight="1">
      <c r="A2906" s="158"/>
      <c r="B2906" s="159"/>
      <c r="C2906" s="160"/>
      <c r="D2906" s="130"/>
      <c r="E2906" s="130"/>
      <c r="F2906" s="161"/>
      <c r="G2906" s="164"/>
      <c r="H2906" s="76" t="b">
        <v>1</v>
      </c>
      <c r="I2906" s="76" t="b">
        <v>0</v>
      </c>
      <c r="J2906" s="76" t="b">
        <v>0</v>
      </c>
      <c r="K2906" s="76" t="b">
        <v>0</v>
      </c>
      <c r="L2906" s="76" t="b">
        <v>0</v>
      </c>
      <c r="M2906" s="76" t="b">
        <v>0</v>
      </c>
      <c r="N2906" s="76" t="b">
        <v>0</v>
      </c>
      <c r="O2906" s="76" t="b">
        <v>0</v>
      </c>
      <c r="P2906" s="76" t="b">
        <v>0</v>
      </c>
      <c r="Q2906" s="76" t="b">
        <v>0</v>
      </c>
      <c r="R2906" s="14"/>
      <c r="S2906" s="14"/>
      <c r="T2906" s="14"/>
      <c r="U2906" s="14"/>
      <c r="V2906" s="14"/>
      <c r="W2906" s="14"/>
    </row>
    <row r="2907" ht="31.5" customHeight="1">
      <c r="A2907" s="158"/>
      <c r="B2907" s="159"/>
      <c r="C2907" s="160"/>
      <c r="D2907" s="130"/>
      <c r="E2907" s="130"/>
      <c r="F2907" s="161"/>
      <c r="G2907" s="164"/>
      <c r="H2907" s="76" t="b">
        <v>1</v>
      </c>
      <c r="I2907" s="76" t="b">
        <v>0</v>
      </c>
      <c r="J2907" s="76" t="b">
        <v>0</v>
      </c>
      <c r="K2907" s="76" t="b">
        <v>0</v>
      </c>
      <c r="L2907" s="76" t="b">
        <v>0</v>
      </c>
      <c r="M2907" s="76" t="b">
        <v>0</v>
      </c>
      <c r="N2907" s="76" t="b">
        <v>0</v>
      </c>
      <c r="O2907" s="76" t="b">
        <v>0</v>
      </c>
      <c r="P2907" s="76" t="b">
        <v>0</v>
      </c>
      <c r="Q2907" s="76" t="b">
        <v>0</v>
      </c>
      <c r="R2907" s="14"/>
      <c r="S2907" s="14"/>
      <c r="T2907" s="14"/>
      <c r="U2907" s="14"/>
      <c r="V2907" s="14"/>
      <c r="W2907" s="14"/>
    </row>
    <row r="2908" ht="31.5" customHeight="1">
      <c r="A2908" s="158"/>
      <c r="B2908" s="159"/>
      <c r="C2908" s="160"/>
      <c r="D2908" s="130"/>
      <c r="E2908" s="130"/>
      <c r="F2908" s="161"/>
      <c r="G2908" s="164"/>
      <c r="H2908" s="76" t="b">
        <v>1</v>
      </c>
      <c r="I2908" s="76" t="b">
        <v>0</v>
      </c>
      <c r="J2908" s="76" t="b">
        <v>0</v>
      </c>
      <c r="K2908" s="76" t="b">
        <v>0</v>
      </c>
      <c r="L2908" s="76" t="b">
        <v>0</v>
      </c>
      <c r="M2908" s="76" t="b">
        <v>0</v>
      </c>
      <c r="N2908" s="76" t="b">
        <v>0</v>
      </c>
      <c r="O2908" s="76" t="b">
        <v>0</v>
      </c>
      <c r="P2908" s="76" t="b">
        <v>0</v>
      </c>
      <c r="Q2908" s="76" t="b">
        <v>0</v>
      </c>
      <c r="R2908" s="14"/>
      <c r="S2908" s="14"/>
      <c r="T2908" s="14"/>
      <c r="U2908" s="14"/>
      <c r="V2908" s="14"/>
      <c r="W2908" s="14"/>
    </row>
    <row r="2909" ht="31.5" customHeight="1">
      <c r="A2909" s="158"/>
      <c r="B2909" s="159"/>
      <c r="C2909" s="160"/>
      <c r="D2909" s="130"/>
      <c r="E2909" s="130"/>
      <c r="F2909" s="161"/>
      <c r="G2909" s="164"/>
      <c r="H2909" s="76" t="b">
        <v>1</v>
      </c>
      <c r="I2909" s="76" t="b">
        <v>0</v>
      </c>
      <c r="J2909" s="76" t="b">
        <v>0</v>
      </c>
      <c r="K2909" s="76" t="b">
        <v>0</v>
      </c>
      <c r="L2909" s="76" t="b">
        <v>0</v>
      </c>
      <c r="M2909" s="76" t="b">
        <v>0</v>
      </c>
      <c r="N2909" s="76" t="b">
        <v>0</v>
      </c>
      <c r="O2909" s="76" t="b">
        <v>0</v>
      </c>
      <c r="P2909" s="76" t="b">
        <v>0</v>
      </c>
      <c r="Q2909" s="76" t="b">
        <v>0</v>
      </c>
      <c r="R2909" s="14"/>
      <c r="S2909" s="14"/>
      <c r="T2909" s="14"/>
      <c r="U2909" s="14"/>
      <c r="V2909" s="14"/>
      <c r="W2909" s="14"/>
    </row>
    <row r="2910" ht="31.5" customHeight="1">
      <c r="A2910" s="158"/>
      <c r="B2910" s="159"/>
      <c r="C2910" s="160"/>
      <c r="D2910" s="130"/>
      <c r="E2910" s="130"/>
      <c r="F2910" s="161"/>
      <c r="G2910" s="164"/>
      <c r="H2910" s="76" t="b">
        <v>1</v>
      </c>
      <c r="I2910" s="76" t="b">
        <v>0</v>
      </c>
      <c r="J2910" s="76" t="b">
        <v>0</v>
      </c>
      <c r="K2910" s="76" t="b">
        <v>0</v>
      </c>
      <c r="L2910" s="76" t="b">
        <v>0</v>
      </c>
      <c r="M2910" s="76" t="b">
        <v>0</v>
      </c>
      <c r="N2910" s="76" t="b">
        <v>0</v>
      </c>
      <c r="O2910" s="76" t="b">
        <v>0</v>
      </c>
      <c r="P2910" s="76" t="b">
        <v>0</v>
      </c>
      <c r="Q2910" s="76" t="b">
        <v>0</v>
      </c>
      <c r="R2910" s="14"/>
      <c r="S2910" s="14"/>
      <c r="T2910" s="14"/>
      <c r="U2910" s="14"/>
      <c r="V2910" s="14"/>
      <c r="W2910" s="14"/>
    </row>
    <row r="2911" ht="31.5" customHeight="1">
      <c r="A2911" s="158"/>
      <c r="B2911" s="159"/>
      <c r="C2911" s="160"/>
      <c r="D2911" s="130"/>
      <c r="E2911" s="130"/>
      <c r="F2911" s="161"/>
      <c r="G2911" s="164"/>
      <c r="H2911" s="76" t="b">
        <v>1</v>
      </c>
      <c r="I2911" s="76" t="b">
        <v>0</v>
      </c>
      <c r="J2911" s="76" t="b">
        <v>0</v>
      </c>
      <c r="K2911" s="76" t="b">
        <v>0</v>
      </c>
      <c r="L2911" s="76" t="b">
        <v>0</v>
      </c>
      <c r="M2911" s="76" t="b">
        <v>0</v>
      </c>
      <c r="N2911" s="76" t="b">
        <v>0</v>
      </c>
      <c r="O2911" s="76" t="b">
        <v>0</v>
      </c>
      <c r="P2911" s="76" t="b">
        <v>0</v>
      </c>
      <c r="Q2911" s="76" t="b">
        <v>0</v>
      </c>
      <c r="R2911" s="14"/>
      <c r="S2911" s="14"/>
      <c r="T2911" s="14"/>
      <c r="U2911" s="14"/>
      <c r="V2911" s="14"/>
      <c r="W2911" s="14"/>
    </row>
    <row r="2912" ht="31.5" customHeight="1">
      <c r="A2912" s="158"/>
      <c r="B2912" s="159"/>
      <c r="C2912" s="160"/>
      <c r="D2912" s="130"/>
      <c r="E2912" s="130"/>
      <c r="F2912" s="161"/>
      <c r="G2912" s="164"/>
      <c r="H2912" s="76" t="b">
        <v>1</v>
      </c>
      <c r="I2912" s="76" t="b">
        <v>0</v>
      </c>
      <c r="J2912" s="76" t="b">
        <v>0</v>
      </c>
      <c r="K2912" s="76" t="b">
        <v>0</v>
      </c>
      <c r="L2912" s="76" t="b">
        <v>0</v>
      </c>
      <c r="M2912" s="76" t="b">
        <v>0</v>
      </c>
      <c r="N2912" s="76" t="b">
        <v>0</v>
      </c>
      <c r="O2912" s="76" t="b">
        <v>0</v>
      </c>
      <c r="P2912" s="76" t="b">
        <v>0</v>
      </c>
      <c r="Q2912" s="76" t="b">
        <v>0</v>
      </c>
      <c r="R2912" s="14"/>
      <c r="S2912" s="14"/>
      <c r="T2912" s="14"/>
      <c r="U2912" s="14"/>
      <c r="V2912" s="14"/>
      <c r="W2912" s="14"/>
    </row>
    <row r="2913" ht="31.5" customHeight="1">
      <c r="A2913" s="158"/>
      <c r="B2913" s="159"/>
      <c r="C2913" s="160"/>
      <c r="D2913" s="130"/>
      <c r="E2913" s="130"/>
      <c r="F2913" s="161"/>
      <c r="G2913" s="164"/>
      <c r="H2913" s="76" t="b">
        <v>1</v>
      </c>
      <c r="I2913" s="76" t="b">
        <v>0</v>
      </c>
      <c r="J2913" s="76" t="b">
        <v>0</v>
      </c>
      <c r="K2913" s="76" t="b">
        <v>0</v>
      </c>
      <c r="L2913" s="76" t="b">
        <v>0</v>
      </c>
      <c r="M2913" s="76" t="b">
        <v>0</v>
      </c>
      <c r="N2913" s="76" t="b">
        <v>0</v>
      </c>
      <c r="O2913" s="76" t="b">
        <v>0</v>
      </c>
      <c r="P2913" s="76" t="b">
        <v>0</v>
      </c>
      <c r="Q2913" s="76" t="b">
        <v>0</v>
      </c>
      <c r="R2913" s="14"/>
      <c r="S2913" s="14"/>
      <c r="T2913" s="14"/>
      <c r="U2913" s="14"/>
      <c r="V2913" s="14"/>
      <c r="W2913" s="14"/>
    </row>
    <row r="2914" ht="31.5" customHeight="1">
      <c r="A2914" s="158"/>
      <c r="B2914" s="159"/>
      <c r="C2914" s="160"/>
      <c r="D2914" s="130"/>
      <c r="E2914" s="130"/>
      <c r="F2914" s="161"/>
      <c r="G2914" s="164"/>
      <c r="H2914" s="76" t="b">
        <v>1</v>
      </c>
      <c r="I2914" s="76" t="b">
        <v>0</v>
      </c>
      <c r="J2914" s="76" t="b">
        <v>0</v>
      </c>
      <c r="K2914" s="76" t="b">
        <v>0</v>
      </c>
      <c r="L2914" s="76" t="b">
        <v>0</v>
      </c>
      <c r="M2914" s="76" t="b">
        <v>0</v>
      </c>
      <c r="N2914" s="76" t="b">
        <v>0</v>
      </c>
      <c r="O2914" s="76" t="b">
        <v>0</v>
      </c>
      <c r="P2914" s="76" t="b">
        <v>0</v>
      </c>
      <c r="Q2914" s="76" t="b">
        <v>0</v>
      </c>
      <c r="R2914" s="14"/>
      <c r="S2914" s="14"/>
      <c r="T2914" s="14"/>
      <c r="U2914" s="14"/>
      <c r="V2914" s="14"/>
      <c r="W2914" s="14"/>
    </row>
    <row r="2915" ht="31.5" customHeight="1">
      <c r="A2915" s="158"/>
      <c r="B2915" s="159"/>
      <c r="C2915" s="160"/>
      <c r="D2915" s="130"/>
      <c r="E2915" s="130"/>
      <c r="F2915" s="161"/>
      <c r="G2915" s="164"/>
      <c r="H2915" s="76" t="b">
        <v>1</v>
      </c>
      <c r="I2915" s="76" t="b">
        <v>0</v>
      </c>
      <c r="J2915" s="76" t="b">
        <v>0</v>
      </c>
      <c r="K2915" s="76" t="b">
        <v>0</v>
      </c>
      <c r="L2915" s="76" t="b">
        <v>0</v>
      </c>
      <c r="M2915" s="76" t="b">
        <v>0</v>
      </c>
      <c r="N2915" s="76" t="b">
        <v>0</v>
      </c>
      <c r="O2915" s="76" t="b">
        <v>0</v>
      </c>
      <c r="P2915" s="76" t="b">
        <v>0</v>
      </c>
      <c r="Q2915" s="76" t="b">
        <v>0</v>
      </c>
      <c r="R2915" s="14"/>
      <c r="S2915" s="14"/>
      <c r="T2915" s="14"/>
      <c r="U2915" s="14"/>
      <c r="V2915" s="14"/>
      <c r="W2915" s="14"/>
    </row>
    <row r="2916" ht="31.5" customHeight="1">
      <c r="A2916" s="158"/>
      <c r="B2916" s="159"/>
      <c r="C2916" s="160"/>
      <c r="D2916" s="130"/>
      <c r="E2916" s="130"/>
      <c r="F2916" s="161"/>
      <c r="G2916" s="164"/>
      <c r="H2916" s="76" t="b">
        <v>1</v>
      </c>
      <c r="I2916" s="76" t="b">
        <v>0</v>
      </c>
      <c r="J2916" s="76" t="b">
        <v>0</v>
      </c>
      <c r="K2916" s="76" t="b">
        <v>0</v>
      </c>
      <c r="L2916" s="76" t="b">
        <v>0</v>
      </c>
      <c r="M2916" s="76" t="b">
        <v>0</v>
      </c>
      <c r="N2916" s="76" t="b">
        <v>0</v>
      </c>
      <c r="O2916" s="76" t="b">
        <v>0</v>
      </c>
      <c r="P2916" s="76" t="b">
        <v>0</v>
      </c>
      <c r="Q2916" s="76" t="b">
        <v>0</v>
      </c>
      <c r="R2916" s="14"/>
      <c r="S2916" s="14"/>
      <c r="T2916" s="14"/>
      <c r="U2916" s="14"/>
      <c r="V2916" s="14"/>
      <c r="W2916" s="14"/>
    </row>
    <row r="2917" ht="31.5" customHeight="1">
      <c r="A2917" s="158"/>
      <c r="B2917" s="159"/>
      <c r="C2917" s="160"/>
      <c r="D2917" s="130"/>
      <c r="E2917" s="130"/>
      <c r="F2917" s="161"/>
      <c r="G2917" s="164"/>
      <c r="H2917" s="76" t="b">
        <v>1</v>
      </c>
      <c r="I2917" s="76" t="b">
        <v>0</v>
      </c>
      <c r="J2917" s="76" t="b">
        <v>0</v>
      </c>
      <c r="K2917" s="76" t="b">
        <v>0</v>
      </c>
      <c r="L2917" s="76" t="b">
        <v>0</v>
      </c>
      <c r="M2917" s="76" t="b">
        <v>0</v>
      </c>
      <c r="N2917" s="76" t="b">
        <v>0</v>
      </c>
      <c r="O2917" s="76" t="b">
        <v>0</v>
      </c>
      <c r="P2917" s="76" t="b">
        <v>0</v>
      </c>
      <c r="Q2917" s="76" t="b">
        <v>0</v>
      </c>
      <c r="R2917" s="14"/>
      <c r="S2917" s="14"/>
      <c r="T2917" s="14"/>
      <c r="U2917" s="14"/>
      <c r="V2917" s="14"/>
      <c r="W2917" s="14"/>
    </row>
    <row r="2918" ht="31.5" customHeight="1">
      <c r="A2918" s="158"/>
      <c r="B2918" s="159"/>
      <c r="C2918" s="160"/>
      <c r="D2918" s="130"/>
      <c r="E2918" s="130"/>
      <c r="F2918" s="161"/>
      <c r="G2918" s="164"/>
      <c r="H2918" s="76" t="b">
        <v>1</v>
      </c>
      <c r="I2918" s="76" t="b">
        <v>0</v>
      </c>
      <c r="J2918" s="76" t="b">
        <v>0</v>
      </c>
      <c r="K2918" s="76" t="b">
        <v>0</v>
      </c>
      <c r="L2918" s="76" t="b">
        <v>0</v>
      </c>
      <c r="M2918" s="76" t="b">
        <v>0</v>
      </c>
      <c r="N2918" s="76" t="b">
        <v>0</v>
      </c>
      <c r="O2918" s="76" t="b">
        <v>0</v>
      </c>
      <c r="P2918" s="76" t="b">
        <v>0</v>
      </c>
      <c r="Q2918" s="76" t="b">
        <v>0</v>
      </c>
      <c r="R2918" s="14"/>
      <c r="S2918" s="14"/>
      <c r="T2918" s="14"/>
      <c r="U2918" s="14"/>
      <c r="V2918" s="14"/>
      <c r="W2918" s="14"/>
    </row>
    <row r="2919" ht="31.5" customHeight="1">
      <c r="A2919" s="158"/>
      <c r="B2919" s="159"/>
      <c r="C2919" s="160"/>
      <c r="D2919" s="130"/>
      <c r="E2919" s="130"/>
      <c r="F2919" s="161"/>
      <c r="G2919" s="164"/>
      <c r="H2919" s="76" t="b">
        <v>1</v>
      </c>
      <c r="I2919" s="76" t="b">
        <v>0</v>
      </c>
      <c r="J2919" s="76" t="b">
        <v>0</v>
      </c>
      <c r="K2919" s="76" t="b">
        <v>0</v>
      </c>
      <c r="L2919" s="76" t="b">
        <v>0</v>
      </c>
      <c r="M2919" s="76" t="b">
        <v>0</v>
      </c>
      <c r="N2919" s="76" t="b">
        <v>0</v>
      </c>
      <c r="O2919" s="76" t="b">
        <v>0</v>
      </c>
      <c r="P2919" s="76" t="b">
        <v>0</v>
      </c>
      <c r="Q2919" s="76" t="b">
        <v>0</v>
      </c>
      <c r="R2919" s="14"/>
      <c r="S2919" s="14"/>
      <c r="T2919" s="14"/>
      <c r="U2919" s="14"/>
      <c r="V2919" s="14"/>
      <c r="W2919" s="14"/>
    </row>
    <row r="2920" ht="31.5" customHeight="1">
      <c r="A2920" s="158"/>
      <c r="B2920" s="159"/>
      <c r="C2920" s="160"/>
      <c r="D2920" s="130"/>
      <c r="E2920" s="130"/>
      <c r="F2920" s="161"/>
      <c r="G2920" s="164"/>
      <c r="H2920" s="76" t="b">
        <v>1</v>
      </c>
      <c r="I2920" s="76" t="b">
        <v>0</v>
      </c>
      <c r="J2920" s="76" t="b">
        <v>0</v>
      </c>
      <c r="K2920" s="76" t="b">
        <v>0</v>
      </c>
      <c r="L2920" s="76" t="b">
        <v>0</v>
      </c>
      <c r="M2920" s="76" t="b">
        <v>0</v>
      </c>
      <c r="N2920" s="76" t="b">
        <v>0</v>
      </c>
      <c r="O2920" s="76" t="b">
        <v>0</v>
      </c>
      <c r="P2920" s="76" t="b">
        <v>0</v>
      </c>
      <c r="Q2920" s="76" t="b">
        <v>0</v>
      </c>
      <c r="R2920" s="14"/>
      <c r="S2920" s="14"/>
      <c r="T2920" s="14"/>
      <c r="U2920" s="14"/>
      <c r="V2920" s="14"/>
      <c r="W2920" s="14"/>
    </row>
    <row r="2921" ht="31.5" customHeight="1">
      <c r="A2921" s="158"/>
      <c r="B2921" s="159"/>
      <c r="C2921" s="160"/>
      <c r="D2921" s="130"/>
      <c r="E2921" s="130"/>
      <c r="F2921" s="161"/>
      <c r="G2921" s="164"/>
      <c r="H2921" s="76" t="b">
        <v>1</v>
      </c>
      <c r="I2921" s="76" t="b">
        <v>0</v>
      </c>
      <c r="J2921" s="76" t="b">
        <v>0</v>
      </c>
      <c r="K2921" s="76" t="b">
        <v>0</v>
      </c>
      <c r="L2921" s="76" t="b">
        <v>0</v>
      </c>
      <c r="M2921" s="76" t="b">
        <v>0</v>
      </c>
      <c r="N2921" s="76" t="b">
        <v>0</v>
      </c>
      <c r="O2921" s="76" t="b">
        <v>0</v>
      </c>
      <c r="P2921" s="76" t="b">
        <v>0</v>
      </c>
      <c r="Q2921" s="76" t="b">
        <v>0</v>
      </c>
      <c r="R2921" s="14"/>
      <c r="S2921" s="14"/>
      <c r="T2921" s="14"/>
      <c r="U2921" s="14"/>
      <c r="V2921" s="14"/>
      <c r="W2921" s="14"/>
    </row>
    <row r="2922" ht="31.5" customHeight="1">
      <c r="A2922" s="158"/>
      <c r="B2922" s="159"/>
      <c r="C2922" s="160"/>
      <c r="D2922" s="130"/>
      <c r="E2922" s="130"/>
      <c r="F2922" s="161"/>
      <c r="G2922" s="164"/>
      <c r="H2922" s="76" t="b">
        <v>1</v>
      </c>
      <c r="I2922" s="76" t="b">
        <v>0</v>
      </c>
      <c r="J2922" s="76" t="b">
        <v>0</v>
      </c>
      <c r="K2922" s="76" t="b">
        <v>0</v>
      </c>
      <c r="L2922" s="76" t="b">
        <v>0</v>
      </c>
      <c r="M2922" s="76" t="b">
        <v>0</v>
      </c>
      <c r="N2922" s="76" t="b">
        <v>0</v>
      </c>
      <c r="O2922" s="76" t="b">
        <v>0</v>
      </c>
      <c r="P2922" s="76" t="b">
        <v>0</v>
      </c>
      <c r="Q2922" s="76" t="b">
        <v>0</v>
      </c>
      <c r="R2922" s="14"/>
      <c r="S2922" s="14"/>
      <c r="T2922" s="14"/>
      <c r="U2922" s="14"/>
      <c r="V2922" s="14"/>
      <c r="W2922" s="14"/>
    </row>
    <row r="2923" ht="31.5" customHeight="1">
      <c r="A2923" s="158"/>
      <c r="B2923" s="159"/>
      <c r="C2923" s="160"/>
      <c r="D2923" s="130"/>
      <c r="E2923" s="130"/>
      <c r="F2923" s="161"/>
      <c r="G2923" s="164"/>
      <c r="H2923" s="76" t="b">
        <v>1</v>
      </c>
      <c r="I2923" s="76" t="b">
        <v>0</v>
      </c>
      <c r="J2923" s="76" t="b">
        <v>0</v>
      </c>
      <c r="K2923" s="76" t="b">
        <v>0</v>
      </c>
      <c r="L2923" s="76" t="b">
        <v>0</v>
      </c>
      <c r="M2923" s="76" t="b">
        <v>0</v>
      </c>
      <c r="N2923" s="76" t="b">
        <v>0</v>
      </c>
      <c r="O2923" s="76" t="b">
        <v>0</v>
      </c>
      <c r="P2923" s="76" t="b">
        <v>0</v>
      </c>
      <c r="Q2923" s="76" t="b">
        <v>0</v>
      </c>
      <c r="R2923" s="14"/>
      <c r="S2923" s="14"/>
      <c r="T2923" s="14"/>
      <c r="U2923" s="14"/>
      <c r="V2923" s="14"/>
      <c r="W2923" s="14"/>
    </row>
    <row r="2924" ht="31.5" customHeight="1">
      <c r="A2924" s="158"/>
      <c r="B2924" s="159"/>
      <c r="C2924" s="160"/>
      <c r="D2924" s="130"/>
      <c r="E2924" s="130"/>
      <c r="F2924" s="161"/>
      <c r="G2924" s="164"/>
      <c r="H2924" s="76" t="b">
        <v>1</v>
      </c>
      <c r="I2924" s="76" t="b">
        <v>0</v>
      </c>
      <c r="J2924" s="76" t="b">
        <v>0</v>
      </c>
      <c r="K2924" s="76" t="b">
        <v>0</v>
      </c>
      <c r="L2924" s="76" t="b">
        <v>0</v>
      </c>
      <c r="M2924" s="76" t="b">
        <v>0</v>
      </c>
      <c r="N2924" s="76" t="b">
        <v>0</v>
      </c>
      <c r="O2924" s="76" t="b">
        <v>0</v>
      </c>
      <c r="P2924" s="76" t="b">
        <v>0</v>
      </c>
      <c r="Q2924" s="76" t="b">
        <v>0</v>
      </c>
      <c r="R2924" s="14"/>
      <c r="S2924" s="14"/>
      <c r="T2924" s="14"/>
      <c r="U2924" s="14"/>
      <c r="V2924" s="14"/>
      <c r="W2924" s="14"/>
    </row>
    <row r="2925" ht="31.5" customHeight="1">
      <c r="A2925" s="158"/>
      <c r="B2925" s="159"/>
      <c r="C2925" s="160"/>
      <c r="D2925" s="130"/>
      <c r="E2925" s="130"/>
      <c r="F2925" s="161"/>
      <c r="G2925" s="164"/>
      <c r="H2925" s="76" t="b">
        <v>1</v>
      </c>
      <c r="I2925" s="76" t="b">
        <v>0</v>
      </c>
      <c r="J2925" s="76" t="b">
        <v>0</v>
      </c>
      <c r="K2925" s="76" t="b">
        <v>0</v>
      </c>
      <c r="L2925" s="76" t="b">
        <v>0</v>
      </c>
      <c r="M2925" s="76" t="b">
        <v>0</v>
      </c>
      <c r="N2925" s="76" t="b">
        <v>0</v>
      </c>
      <c r="O2925" s="76" t="b">
        <v>0</v>
      </c>
      <c r="P2925" s="76" t="b">
        <v>0</v>
      </c>
      <c r="Q2925" s="76" t="b">
        <v>0</v>
      </c>
      <c r="R2925" s="14"/>
      <c r="S2925" s="14"/>
      <c r="T2925" s="14"/>
      <c r="U2925" s="14"/>
      <c r="V2925" s="14"/>
      <c r="W2925" s="14"/>
    </row>
    <row r="2926" ht="31.5" customHeight="1">
      <c r="A2926" s="158"/>
      <c r="B2926" s="159"/>
      <c r="C2926" s="160"/>
      <c r="D2926" s="130"/>
      <c r="E2926" s="130"/>
      <c r="F2926" s="161"/>
      <c r="G2926" s="164"/>
      <c r="H2926" s="76" t="b">
        <v>1</v>
      </c>
      <c r="I2926" s="76" t="b">
        <v>0</v>
      </c>
      <c r="J2926" s="76" t="b">
        <v>0</v>
      </c>
      <c r="K2926" s="76" t="b">
        <v>0</v>
      </c>
      <c r="L2926" s="76" t="b">
        <v>0</v>
      </c>
      <c r="M2926" s="76" t="b">
        <v>0</v>
      </c>
      <c r="N2926" s="76" t="b">
        <v>0</v>
      </c>
      <c r="O2926" s="76" t="b">
        <v>0</v>
      </c>
      <c r="P2926" s="76" t="b">
        <v>0</v>
      </c>
      <c r="Q2926" s="76" t="b">
        <v>0</v>
      </c>
      <c r="R2926" s="14"/>
      <c r="S2926" s="14"/>
      <c r="T2926" s="14"/>
      <c r="U2926" s="14"/>
      <c r="V2926" s="14"/>
      <c r="W2926" s="14"/>
    </row>
    <row r="2927" ht="31.5" customHeight="1">
      <c r="A2927" s="158"/>
      <c r="B2927" s="159"/>
      <c r="C2927" s="160"/>
      <c r="D2927" s="130"/>
      <c r="E2927" s="130"/>
      <c r="F2927" s="161"/>
      <c r="G2927" s="164"/>
      <c r="H2927" s="76" t="b">
        <v>1</v>
      </c>
      <c r="I2927" s="76" t="b">
        <v>0</v>
      </c>
      <c r="J2927" s="76" t="b">
        <v>0</v>
      </c>
      <c r="K2927" s="76" t="b">
        <v>0</v>
      </c>
      <c r="L2927" s="76" t="b">
        <v>0</v>
      </c>
      <c r="M2927" s="76" t="b">
        <v>0</v>
      </c>
      <c r="N2927" s="76" t="b">
        <v>0</v>
      </c>
      <c r="O2927" s="76" t="b">
        <v>0</v>
      </c>
      <c r="P2927" s="76" t="b">
        <v>0</v>
      </c>
      <c r="Q2927" s="76" t="b">
        <v>0</v>
      </c>
      <c r="R2927" s="14"/>
      <c r="S2927" s="14"/>
      <c r="T2927" s="14"/>
      <c r="U2927" s="14"/>
      <c r="V2927" s="14"/>
      <c r="W2927" s="14"/>
    </row>
    <row r="2928" ht="31.5" customHeight="1">
      <c r="A2928" s="158"/>
      <c r="B2928" s="159"/>
      <c r="C2928" s="160"/>
      <c r="D2928" s="130"/>
      <c r="E2928" s="130"/>
      <c r="F2928" s="161"/>
      <c r="G2928" s="164"/>
      <c r="H2928" s="76" t="b">
        <v>1</v>
      </c>
      <c r="I2928" s="76" t="b">
        <v>0</v>
      </c>
      <c r="J2928" s="76" t="b">
        <v>0</v>
      </c>
      <c r="K2928" s="76" t="b">
        <v>0</v>
      </c>
      <c r="L2928" s="76" t="b">
        <v>0</v>
      </c>
      <c r="M2928" s="76" t="b">
        <v>0</v>
      </c>
      <c r="N2928" s="76" t="b">
        <v>0</v>
      </c>
      <c r="O2928" s="76" t="b">
        <v>0</v>
      </c>
      <c r="P2928" s="76" t="b">
        <v>0</v>
      </c>
      <c r="Q2928" s="76" t="b">
        <v>0</v>
      </c>
      <c r="R2928" s="14"/>
      <c r="S2928" s="14"/>
      <c r="T2928" s="14"/>
      <c r="U2928" s="14"/>
      <c r="V2928" s="14"/>
      <c r="W2928" s="14"/>
    </row>
    <row r="2929" ht="31.5" customHeight="1">
      <c r="A2929" s="158"/>
      <c r="B2929" s="159"/>
      <c r="C2929" s="160"/>
      <c r="D2929" s="130"/>
      <c r="E2929" s="130"/>
      <c r="F2929" s="161"/>
      <c r="G2929" s="164"/>
      <c r="H2929" s="76" t="b">
        <v>1</v>
      </c>
      <c r="I2929" s="76" t="b">
        <v>0</v>
      </c>
      <c r="J2929" s="76" t="b">
        <v>0</v>
      </c>
      <c r="K2929" s="76" t="b">
        <v>0</v>
      </c>
      <c r="L2929" s="76" t="b">
        <v>0</v>
      </c>
      <c r="M2929" s="76" t="b">
        <v>0</v>
      </c>
      <c r="N2929" s="76" t="b">
        <v>0</v>
      </c>
      <c r="O2929" s="76" t="b">
        <v>0</v>
      </c>
      <c r="P2929" s="76" t="b">
        <v>0</v>
      </c>
      <c r="Q2929" s="76" t="b">
        <v>0</v>
      </c>
      <c r="R2929" s="14"/>
      <c r="S2929" s="14"/>
      <c r="T2929" s="14"/>
      <c r="U2929" s="14"/>
      <c r="V2929" s="14"/>
      <c r="W2929" s="14"/>
    </row>
    <row r="2930" ht="31.5" customHeight="1">
      <c r="A2930" s="158"/>
      <c r="B2930" s="159"/>
      <c r="C2930" s="160"/>
      <c r="D2930" s="130"/>
      <c r="E2930" s="130"/>
      <c r="F2930" s="161"/>
      <c r="G2930" s="164"/>
      <c r="H2930" s="76" t="b">
        <v>1</v>
      </c>
      <c r="I2930" s="76" t="b">
        <v>0</v>
      </c>
      <c r="J2930" s="76" t="b">
        <v>0</v>
      </c>
      <c r="K2930" s="76" t="b">
        <v>0</v>
      </c>
      <c r="L2930" s="76" t="b">
        <v>0</v>
      </c>
      <c r="M2930" s="76" t="b">
        <v>0</v>
      </c>
      <c r="N2930" s="76" t="b">
        <v>0</v>
      </c>
      <c r="O2930" s="76" t="b">
        <v>0</v>
      </c>
      <c r="P2930" s="76" t="b">
        <v>0</v>
      </c>
      <c r="Q2930" s="76" t="b">
        <v>0</v>
      </c>
      <c r="R2930" s="14"/>
      <c r="S2930" s="14"/>
      <c r="T2930" s="14"/>
      <c r="U2930" s="14"/>
      <c r="V2930" s="14"/>
      <c r="W2930" s="14"/>
    </row>
    <row r="2931" ht="31.5" customHeight="1">
      <c r="A2931" s="158"/>
      <c r="B2931" s="159"/>
      <c r="C2931" s="160"/>
      <c r="D2931" s="130"/>
      <c r="E2931" s="130"/>
      <c r="F2931" s="161"/>
      <c r="G2931" s="164"/>
      <c r="H2931" s="76" t="b">
        <v>1</v>
      </c>
      <c r="I2931" s="76" t="b">
        <v>0</v>
      </c>
      <c r="J2931" s="76" t="b">
        <v>0</v>
      </c>
      <c r="K2931" s="76" t="b">
        <v>0</v>
      </c>
      <c r="L2931" s="76" t="b">
        <v>0</v>
      </c>
      <c r="M2931" s="76" t="b">
        <v>0</v>
      </c>
      <c r="N2931" s="76" t="b">
        <v>0</v>
      </c>
      <c r="O2931" s="76" t="b">
        <v>0</v>
      </c>
      <c r="P2931" s="76" t="b">
        <v>0</v>
      </c>
      <c r="Q2931" s="76" t="b">
        <v>0</v>
      </c>
      <c r="R2931" s="14"/>
      <c r="S2931" s="14"/>
      <c r="T2931" s="14"/>
      <c r="U2931" s="14"/>
      <c r="V2931" s="14"/>
      <c r="W2931" s="14"/>
    </row>
    <row r="2932" ht="31.5" customHeight="1">
      <c r="A2932" s="158"/>
      <c r="B2932" s="159"/>
      <c r="C2932" s="160"/>
      <c r="D2932" s="130"/>
      <c r="E2932" s="130"/>
      <c r="F2932" s="161"/>
      <c r="G2932" s="164"/>
      <c r="H2932" s="76" t="b">
        <v>1</v>
      </c>
      <c r="I2932" s="76" t="b">
        <v>0</v>
      </c>
      <c r="J2932" s="76" t="b">
        <v>0</v>
      </c>
      <c r="K2932" s="76" t="b">
        <v>0</v>
      </c>
      <c r="L2932" s="76" t="b">
        <v>0</v>
      </c>
      <c r="M2932" s="76" t="b">
        <v>0</v>
      </c>
      <c r="N2932" s="76" t="b">
        <v>0</v>
      </c>
      <c r="O2932" s="76" t="b">
        <v>0</v>
      </c>
      <c r="P2932" s="76" t="b">
        <v>0</v>
      </c>
      <c r="Q2932" s="76" t="b">
        <v>0</v>
      </c>
      <c r="R2932" s="14"/>
      <c r="S2932" s="14"/>
      <c r="T2932" s="14"/>
      <c r="U2932" s="14"/>
      <c r="V2932" s="14"/>
      <c r="W2932" s="14"/>
    </row>
    <row r="2933" ht="31.5" customHeight="1">
      <c r="A2933" s="158"/>
      <c r="B2933" s="159"/>
      <c r="C2933" s="160"/>
      <c r="D2933" s="130"/>
      <c r="E2933" s="130"/>
      <c r="F2933" s="161"/>
      <c r="G2933" s="164"/>
      <c r="H2933" s="76" t="b">
        <v>1</v>
      </c>
      <c r="I2933" s="76" t="b">
        <v>0</v>
      </c>
      <c r="J2933" s="76" t="b">
        <v>0</v>
      </c>
      <c r="K2933" s="76" t="b">
        <v>0</v>
      </c>
      <c r="L2933" s="76" t="b">
        <v>0</v>
      </c>
      <c r="M2933" s="76" t="b">
        <v>0</v>
      </c>
      <c r="N2933" s="76" t="b">
        <v>0</v>
      </c>
      <c r="O2933" s="76" t="b">
        <v>0</v>
      </c>
      <c r="P2933" s="76" t="b">
        <v>0</v>
      </c>
      <c r="Q2933" s="76" t="b">
        <v>0</v>
      </c>
      <c r="R2933" s="14"/>
      <c r="S2933" s="14"/>
      <c r="T2933" s="14"/>
      <c r="U2933" s="14"/>
      <c r="V2933" s="14"/>
      <c r="W2933" s="14"/>
    </row>
    <row r="2934" ht="31.5" customHeight="1">
      <c r="A2934" s="158"/>
      <c r="B2934" s="159"/>
      <c r="C2934" s="160"/>
      <c r="D2934" s="130"/>
      <c r="E2934" s="130"/>
      <c r="F2934" s="161"/>
      <c r="G2934" s="164"/>
      <c r="H2934" s="76" t="b">
        <v>1</v>
      </c>
      <c r="I2934" s="76" t="b">
        <v>0</v>
      </c>
      <c r="J2934" s="76" t="b">
        <v>0</v>
      </c>
      <c r="K2934" s="76" t="b">
        <v>0</v>
      </c>
      <c r="L2934" s="76" t="b">
        <v>0</v>
      </c>
      <c r="M2934" s="76" t="b">
        <v>0</v>
      </c>
      <c r="N2934" s="76" t="b">
        <v>0</v>
      </c>
      <c r="O2934" s="76" t="b">
        <v>0</v>
      </c>
      <c r="P2934" s="76" t="b">
        <v>0</v>
      </c>
      <c r="Q2934" s="76" t="b">
        <v>0</v>
      </c>
      <c r="R2934" s="14"/>
      <c r="S2934" s="14"/>
      <c r="T2934" s="14"/>
      <c r="U2934" s="14"/>
      <c r="V2934" s="14"/>
      <c r="W2934" s="14"/>
    </row>
    <row r="2935" ht="31.5" customHeight="1">
      <c r="A2935" s="158"/>
      <c r="B2935" s="159"/>
      <c r="C2935" s="160"/>
      <c r="D2935" s="130"/>
      <c r="E2935" s="130"/>
      <c r="F2935" s="161"/>
      <c r="G2935" s="164"/>
      <c r="H2935" s="76" t="b">
        <v>1</v>
      </c>
      <c r="I2935" s="76" t="b">
        <v>0</v>
      </c>
      <c r="J2935" s="76" t="b">
        <v>0</v>
      </c>
      <c r="K2935" s="76" t="b">
        <v>0</v>
      </c>
      <c r="L2935" s="76" t="b">
        <v>0</v>
      </c>
      <c r="M2935" s="76" t="b">
        <v>0</v>
      </c>
      <c r="N2935" s="76" t="b">
        <v>0</v>
      </c>
      <c r="O2935" s="76" t="b">
        <v>0</v>
      </c>
      <c r="P2935" s="76" t="b">
        <v>0</v>
      </c>
      <c r="Q2935" s="76" t="b">
        <v>0</v>
      </c>
      <c r="R2935" s="14"/>
      <c r="S2935" s="14"/>
      <c r="T2935" s="14"/>
      <c r="U2935" s="14"/>
      <c r="V2935" s="14"/>
      <c r="W2935" s="14"/>
    </row>
    <row r="2936" ht="31.5" customHeight="1">
      <c r="A2936" s="158"/>
      <c r="B2936" s="159"/>
      <c r="C2936" s="160"/>
      <c r="D2936" s="130"/>
      <c r="E2936" s="130"/>
      <c r="F2936" s="161"/>
      <c r="G2936" s="164"/>
      <c r="H2936" s="76" t="b">
        <v>1</v>
      </c>
      <c r="I2936" s="76" t="b">
        <v>0</v>
      </c>
      <c r="J2936" s="76" t="b">
        <v>0</v>
      </c>
      <c r="K2936" s="76" t="b">
        <v>0</v>
      </c>
      <c r="L2936" s="76" t="b">
        <v>0</v>
      </c>
      <c r="M2936" s="76" t="b">
        <v>0</v>
      </c>
      <c r="N2936" s="76" t="b">
        <v>0</v>
      </c>
      <c r="O2936" s="76" t="b">
        <v>0</v>
      </c>
      <c r="P2936" s="76" t="b">
        <v>0</v>
      </c>
      <c r="Q2936" s="76" t="b">
        <v>0</v>
      </c>
      <c r="R2936" s="14"/>
      <c r="S2936" s="14"/>
      <c r="T2936" s="14"/>
      <c r="U2936" s="14"/>
      <c r="V2936" s="14"/>
      <c r="W2936" s="14"/>
    </row>
    <row r="2937" ht="31.5" customHeight="1">
      <c r="A2937" s="158"/>
      <c r="B2937" s="159"/>
      <c r="C2937" s="160"/>
      <c r="D2937" s="130"/>
      <c r="E2937" s="130"/>
      <c r="F2937" s="161"/>
      <c r="G2937" s="164"/>
      <c r="H2937" s="76" t="b">
        <v>1</v>
      </c>
      <c r="I2937" s="76" t="b">
        <v>0</v>
      </c>
      <c r="J2937" s="76" t="b">
        <v>0</v>
      </c>
      <c r="K2937" s="76" t="b">
        <v>0</v>
      </c>
      <c r="L2937" s="76" t="b">
        <v>0</v>
      </c>
      <c r="M2937" s="76" t="b">
        <v>0</v>
      </c>
      <c r="N2937" s="76" t="b">
        <v>0</v>
      </c>
      <c r="O2937" s="76" t="b">
        <v>0</v>
      </c>
      <c r="P2937" s="76" t="b">
        <v>0</v>
      </c>
      <c r="Q2937" s="76" t="b">
        <v>0</v>
      </c>
      <c r="R2937" s="14"/>
      <c r="S2937" s="14"/>
      <c r="T2937" s="14"/>
      <c r="U2937" s="14"/>
      <c r="V2937" s="14"/>
      <c r="W2937" s="14"/>
    </row>
    <row r="2938" ht="31.5" customHeight="1">
      <c r="A2938" s="158"/>
      <c r="B2938" s="159"/>
      <c r="C2938" s="160"/>
      <c r="D2938" s="130"/>
      <c r="E2938" s="130"/>
      <c r="F2938" s="161"/>
      <c r="G2938" s="164"/>
      <c r="H2938" s="76" t="b">
        <v>1</v>
      </c>
      <c r="I2938" s="76" t="b">
        <v>0</v>
      </c>
      <c r="J2938" s="76" t="b">
        <v>0</v>
      </c>
      <c r="K2938" s="76" t="b">
        <v>0</v>
      </c>
      <c r="L2938" s="76" t="b">
        <v>0</v>
      </c>
      <c r="M2938" s="76" t="b">
        <v>0</v>
      </c>
      <c r="N2938" s="76" t="b">
        <v>0</v>
      </c>
      <c r="O2938" s="76" t="b">
        <v>0</v>
      </c>
      <c r="P2938" s="76" t="b">
        <v>0</v>
      </c>
      <c r="Q2938" s="76" t="b">
        <v>0</v>
      </c>
      <c r="R2938" s="14"/>
      <c r="S2938" s="14"/>
      <c r="T2938" s="14"/>
      <c r="U2938" s="14"/>
      <c r="V2938" s="14"/>
      <c r="W2938" s="14"/>
    </row>
    <row r="2939" ht="31.5" customHeight="1">
      <c r="A2939" s="158"/>
      <c r="B2939" s="159"/>
      <c r="C2939" s="160"/>
      <c r="D2939" s="130"/>
      <c r="E2939" s="130"/>
      <c r="F2939" s="161"/>
      <c r="G2939" s="164"/>
      <c r="H2939" s="76" t="b">
        <v>1</v>
      </c>
      <c r="I2939" s="76" t="b">
        <v>0</v>
      </c>
      <c r="J2939" s="76" t="b">
        <v>0</v>
      </c>
      <c r="K2939" s="76" t="b">
        <v>0</v>
      </c>
      <c r="L2939" s="76" t="b">
        <v>0</v>
      </c>
      <c r="M2939" s="76" t="b">
        <v>0</v>
      </c>
      <c r="N2939" s="76" t="b">
        <v>0</v>
      </c>
      <c r="O2939" s="76" t="b">
        <v>0</v>
      </c>
      <c r="P2939" s="76" t="b">
        <v>0</v>
      </c>
      <c r="Q2939" s="76" t="b">
        <v>0</v>
      </c>
      <c r="R2939" s="14"/>
      <c r="S2939" s="14"/>
      <c r="T2939" s="14"/>
      <c r="U2939" s="14"/>
      <c r="V2939" s="14"/>
      <c r="W2939" s="14"/>
    </row>
    <row r="2940" ht="31.5" customHeight="1">
      <c r="A2940" s="158"/>
      <c r="B2940" s="159"/>
      <c r="C2940" s="160"/>
      <c r="D2940" s="130"/>
      <c r="E2940" s="130"/>
      <c r="F2940" s="161"/>
      <c r="G2940" s="164"/>
      <c r="H2940" s="76" t="b">
        <v>1</v>
      </c>
      <c r="I2940" s="76" t="b">
        <v>0</v>
      </c>
      <c r="J2940" s="76" t="b">
        <v>0</v>
      </c>
      <c r="K2940" s="76" t="b">
        <v>0</v>
      </c>
      <c r="L2940" s="76" t="b">
        <v>0</v>
      </c>
      <c r="M2940" s="76" t="b">
        <v>0</v>
      </c>
      <c r="N2940" s="76" t="b">
        <v>0</v>
      </c>
      <c r="O2940" s="76" t="b">
        <v>0</v>
      </c>
      <c r="P2940" s="76" t="b">
        <v>0</v>
      </c>
      <c r="Q2940" s="76" t="b">
        <v>0</v>
      </c>
      <c r="R2940" s="14"/>
      <c r="S2940" s="14"/>
      <c r="T2940" s="14"/>
      <c r="U2940" s="14"/>
      <c r="V2940" s="14"/>
      <c r="W2940" s="14"/>
    </row>
    <row r="2941" ht="31.5" customHeight="1">
      <c r="A2941" s="158"/>
      <c r="B2941" s="159"/>
      <c r="C2941" s="160"/>
      <c r="D2941" s="130"/>
      <c r="E2941" s="130"/>
      <c r="F2941" s="161"/>
      <c r="G2941" s="164"/>
      <c r="H2941" s="76" t="b">
        <v>1</v>
      </c>
      <c r="I2941" s="76" t="b">
        <v>0</v>
      </c>
      <c r="J2941" s="76" t="b">
        <v>0</v>
      </c>
      <c r="K2941" s="76" t="b">
        <v>0</v>
      </c>
      <c r="L2941" s="76" t="b">
        <v>0</v>
      </c>
      <c r="M2941" s="76" t="b">
        <v>0</v>
      </c>
      <c r="N2941" s="76" t="b">
        <v>0</v>
      </c>
      <c r="O2941" s="76" t="b">
        <v>0</v>
      </c>
      <c r="P2941" s="76" t="b">
        <v>0</v>
      </c>
      <c r="Q2941" s="76" t="b">
        <v>0</v>
      </c>
      <c r="R2941" s="14"/>
      <c r="S2941" s="14"/>
      <c r="T2941" s="14"/>
      <c r="U2941" s="14"/>
      <c r="V2941" s="14"/>
      <c r="W2941" s="14"/>
    </row>
    <row r="2942" ht="31.5" customHeight="1">
      <c r="A2942" s="158"/>
      <c r="B2942" s="159"/>
      <c r="C2942" s="160"/>
      <c r="D2942" s="130"/>
      <c r="E2942" s="130"/>
      <c r="F2942" s="161"/>
      <c r="G2942" s="164"/>
      <c r="H2942" s="76" t="b">
        <v>1</v>
      </c>
      <c r="I2942" s="76" t="b">
        <v>0</v>
      </c>
      <c r="J2942" s="76" t="b">
        <v>0</v>
      </c>
      <c r="K2942" s="76" t="b">
        <v>0</v>
      </c>
      <c r="L2942" s="76" t="b">
        <v>0</v>
      </c>
      <c r="M2942" s="76" t="b">
        <v>0</v>
      </c>
      <c r="N2942" s="76" t="b">
        <v>0</v>
      </c>
      <c r="O2942" s="76" t="b">
        <v>0</v>
      </c>
      <c r="P2942" s="76" t="b">
        <v>0</v>
      </c>
      <c r="Q2942" s="76" t="b">
        <v>0</v>
      </c>
      <c r="R2942" s="14"/>
      <c r="S2942" s="14"/>
      <c r="T2942" s="14"/>
      <c r="U2942" s="14"/>
      <c r="V2942" s="14"/>
      <c r="W2942" s="14"/>
    </row>
    <row r="2943" ht="31.5" customHeight="1">
      <c r="A2943" s="158"/>
      <c r="B2943" s="159"/>
      <c r="C2943" s="160"/>
      <c r="D2943" s="130"/>
      <c r="E2943" s="130"/>
      <c r="F2943" s="161"/>
      <c r="G2943" s="164"/>
      <c r="H2943" s="76" t="b">
        <v>1</v>
      </c>
      <c r="I2943" s="76" t="b">
        <v>0</v>
      </c>
      <c r="J2943" s="76" t="b">
        <v>0</v>
      </c>
      <c r="K2943" s="76" t="b">
        <v>0</v>
      </c>
      <c r="L2943" s="76" t="b">
        <v>0</v>
      </c>
      <c r="M2943" s="76" t="b">
        <v>0</v>
      </c>
      <c r="N2943" s="76" t="b">
        <v>0</v>
      </c>
      <c r="O2943" s="76" t="b">
        <v>0</v>
      </c>
      <c r="P2943" s="76" t="b">
        <v>0</v>
      </c>
      <c r="Q2943" s="76" t="b">
        <v>0</v>
      </c>
      <c r="R2943" s="14"/>
      <c r="S2943" s="14"/>
      <c r="T2943" s="14"/>
      <c r="U2943" s="14"/>
      <c r="V2943" s="14"/>
      <c r="W2943" s="14"/>
    </row>
    <row r="2944" ht="31.5" customHeight="1">
      <c r="A2944" s="158"/>
      <c r="B2944" s="159"/>
      <c r="C2944" s="160"/>
      <c r="D2944" s="130"/>
      <c r="E2944" s="130"/>
      <c r="F2944" s="161"/>
      <c r="G2944" s="164"/>
      <c r="H2944" s="76" t="b">
        <v>1</v>
      </c>
      <c r="I2944" s="76" t="b">
        <v>0</v>
      </c>
      <c r="J2944" s="76" t="b">
        <v>0</v>
      </c>
      <c r="K2944" s="76" t="b">
        <v>0</v>
      </c>
      <c r="L2944" s="76" t="b">
        <v>0</v>
      </c>
      <c r="M2944" s="76" t="b">
        <v>0</v>
      </c>
      <c r="N2944" s="76" t="b">
        <v>0</v>
      </c>
      <c r="O2944" s="76" t="b">
        <v>0</v>
      </c>
      <c r="P2944" s="76" t="b">
        <v>0</v>
      </c>
      <c r="Q2944" s="76" t="b">
        <v>0</v>
      </c>
      <c r="R2944" s="14"/>
      <c r="S2944" s="14"/>
      <c r="T2944" s="14"/>
      <c r="U2944" s="14"/>
      <c r="V2944" s="14"/>
      <c r="W2944" s="14"/>
    </row>
    <row r="2945" ht="31.5" customHeight="1">
      <c r="A2945" s="158"/>
      <c r="B2945" s="159"/>
      <c r="C2945" s="160"/>
      <c r="D2945" s="130"/>
      <c r="E2945" s="130"/>
      <c r="F2945" s="161"/>
      <c r="G2945" s="164"/>
      <c r="H2945" s="76" t="b">
        <v>1</v>
      </c>
      <c r="I2945" s="76" t="b">
        <v>0</v>
      </c>
      <c r="J2945" s="76" t="b">
        <v>0</v>
      </c>
      <c r="K2945" s="76" t="b">
        <v>0</v>
      </c>
      <c r="L2945" s="76" t="b">
        <v>0</v>
      </c>
      <c r="M2945" s="76" t="b">
        <v>0</v>
      </c>
      <c r="N2945" s="76" t="b">
        <v>0</v>
      </c>
      <c r="O2945" s="76" t="b">
        <v>0</v>
      </c>
      <c r="P2945" s="76" t="b">
        <v>0</v>
      </c>
      <c r="Q2945" s="76" t="b">
        <v>0</v>
      </c>
      <c r="R2945" s="14"/>
      <c r="S2945" s="14"/>
      <c r="T2945" s="14"/>
      <c r="U2945" s="14"/>
      <c r="V2945" s="14"/>
      <c r="W2945" s="14"/>
    </row>
    <row r="2946" ht="31.5" customHeight="1">
      <c r="A2946" s="158"/>
      <c r="B2946" s="159"/>
      <c r="C2946" s="160"/>
      <c r="D2946" s="130"/>
      <c r="E2946" s="130"/>
      <c r="F2946" s="161"/>
      <c r="G2946" s="164"/>
      <c r="H2946" s="76" t="b">
        <v>1</v>
      </c>
      <c r="I2946" s="76" t="b">
        <v>0</v>
      </c>
      <c r="J2946" s="76" t="b">
        <v>0</v>
      </c>
      <c r="K2946" s="76" t="b">
        <v>0</v>
      </c>
      <c r="L2946" s="76" t="b">
        <v>0</v>
      </c>
      <c r="M2946" s="76" t="b">
        <v>0</v>
      </c>
      <c r="N2946" s="76" t="b">
        <v>0</v>
      </c>
      <c r="O2946" s="76" t="b">
        <v>0</v>
      </c>
      <c r="P2946" s="76" t="b">
        <v>0</v>
      </c>
      <c r="Q2946" s="76" t="b">
        <v>0</v>
      </c>
      <c r="R2946" s="14"/>
      <c r="S2946" s="14"/>
      <c r="T2946" s="14"/>
      <c r="U2946" s="14"/>
      <c r="V2946" s="14"/>
      <c r="W2946" s="14"/>
    </row>
    <row r="2947" ht="31.5" customHeight="1">
      <c r="A2947" s="158"/>
      <c r="B2947" s="159"/>
      <c r="C2947" s="160"/>
      <c r="D2947" s="130"/>
      <c r="E2947" s="130"/>
      <c r="F2947" s="161"/>
      <c r="G2947" s="164"/>
      <c r="H2947" s="76" t="b">
        <v>1</v>
      </c>
      <c r="I2947" s="76" t="b">
        <v>0</v>
      </c>
      <c r="J2947" s="76" t="b">
        <v>0</v>
      </c>
      <c r="K2947" s="76" t="b">
        <v>0</v>
      </c>
      <c r="L2947" s="76" t="b">
        <v>0</v>
      </c>
      <c r="M2947" s="76" t="b">
        <v>0</v>
      </c>
      <c r="N2947" s="76" t="b">
        <v>0</v>
      </c>
      <c r="O2947" s="76" t="b">
        <v>0</v>
      </c>
      <c r="P2947" s="76" t="b">
        <v>0</v>
      </c>
      <c r="Q2947" s="76" t="b">
        <v>0</v>
      </c>
      <c r="R2947" s="14"/>
      <c r="S2947" s="14"/>
      <c r="T2947" s="14"/>
      <c r="U2947" s="14"/>
      <c r="V2947" s="14"/>
      <c r="W2947" s="14"/>
    </row>
    <row r="2948" ht="31.5" customHeight="1">
      <c r="A2948" s="158"/>
      <c r="B2948" s="159"/>
      <c r="C2948" s="160"/>
      <c r="D2948" s="130"/>
      <c r="E2948" s="130"/>
      <c r="F2948" s="161"/>
      <c r="G2948" s="164"/>
      <c r="H2948" s="76" t="b">
        <v>1</v>
      </c>
      <c r="I2948" s="76" t="b">
        <v>0</v>
      </c>
      <c r="J2948" s="76" t="b">
        <v>0</v>
      </c>
      <c r="K2948" s="76" t="b">
        <v>0</v>
      </c>
      <c r="L2948" s="76" t="b">
        <v>0</v>
      </c>
      <c r="M2948" s="76" t="b">
        <v>0</v>
      </c>
      <c r="N2948" s="76" t="b">
        <v>0</v>
      </c>
      <c r="O2948" s="76" t="b">
        <v>0</v>
      </c>
      <c r="P2948" s="76" t="b">
        <v>0</v>
      </c>
      <c r="Q2948" s="76" t="b">
        <v>0</v>
      </c>
      <c r="R2948" s="14"/>
      <c r="S2948" s="14"/>
      <c r="T2948" s="14"/>
      <c r="U2948" s="14"/>
      <c r="V2948" s="14"/>
      <c r="W2948" s="14"/>
    </row>
    <row r="2949" ht="31.5" customHeight="1">
      <c r="A2949" s="158"/>
      <c r="B2949" s="159"/>
      <c r="C2949" s="160"/>
      <c r="D2949" s="130"/>
      <c r="E2949" s="130"/>
      <c r="F2949" s="161"/>
      <c r="G2949" s="164"/>
      <c r="H2949" s="76" t="b">
        <v>1</v>
      </c>
      <c r="I2949" s="76" t="b">
        <v>0</v>
      </c>
      <c r="J2949" s="76" t="b">
        <v>0</v>
      </c>
      <c r="K2949" s="76" t="b">
        <v>0</v>
      </c>
      <c r="L2949" s="76" t="b">
        <v>0</v>
      </c>
      <c r="M2949" s="76" t="b">
        <v>0</v>
      </c>
      <c r="N2949" s="76" t="b">
        <v>0</v>
      </c>
      <c r="O2949" s="76" t="b">
        <v>0</v>
      </c>
      <c r="P2949" s="76" t="b">
        <v>0</v>
      </c>
      <c r="Q2949" s="76" t="b">
        <v>0</v>
      </c>
      <c r="R2949" s="14"/>
      <c r="S2949" s="14"/>
      <c r="T2949" s="14"/>
      <c r="U2949" s="14"/>
      <c r="V2949" s="14"/>
      <c r="W2949" s="14"/>
    </row>
    <row r="2950" ht="31.5" customHeight="1">
      <c r="A2950" s="158"/>
      <c r="B2950" s="159"/>
      <c r="C2950" s="160"/>
      <c r="D2950" s="130"/>
      <c r="E2950" s="130"/>
      <c r="F2950" s="161"/>
      <c r="G2950" s="164"/>
      <c r="H2950" s="76" t="b">
        <v>1</v>
      </c>
      <c r="I2950" s="76" t="b">
        <v>0</v>
      </c>
      <c r="J2950" s="76" t="b">
        <v>0</v>
      </c>
      <c r="K2950" s="76" t="b">
        <v>0</v>
      </c>
      <c r="L2950" s="76" t="b">
        <v>0</v>
      </c>
      <c r="M2950" s="76" t="b">
        <v>0</v>
      </c>
      <c r="N2950" s="76" t="b">
        <v>0</v>
      </c>
      <c r="O2950" s="76" t="b">
        <v>0</v>
      </c>
      <c r="P2950" s="76" t="b">
        <v>0</v>
      </c>
      <c r="Q2950" s="76" t="b">
        <v>0</v>
      </c>
      <c r="R2950" s="14"/>
      <c r="S2950" s="14"/>
      <c r="T2950" s="14"/>
      <c r="U2950" s="14"/>
      <c r="V2950" s="14"/>
      <c r="W2950" s="14"/>
    </row>
    <row r="2951" ht="31.5" customHeight="1">
      <c r="A2951" s="158"/>
      <c r="B2951" s="159"/>
      <c r="C2951" s="160"/>
      <c r="D2951" s="130"/>
      <c r="E2951" s="130"/>
      <c r="F2951" s="161"/>
      <c r="G2951" s="164"/>
      <c r="H2951" s="76" t="b">
        <v>1</v>
      </c>
      <c r="I2951" s="76" t="b">
        <v>0</v>
      </c>
      <c r="J2951" s="76" t="b">
        <v>0</v>
      </c>
      <c r="K2951" s="76" t="b">
        <v>0</v>
      </c>
      <c r="L2951" s="76" t="b">
        <v>0</v>
      </c>
      <c r="M2951" s="76" t="b">
        <v>0</v>
      </c>
      <c r="N2951" s="76" t="b">
        <v>0</v>
      </c>
      <c r="O2951" s="76" t="b">
        <v>0</v>
      </c>
      <c r="P2951" s="76" t="b">
        <v>0</v>
      </c>
      <c r="Q2951" s="76" t="b">
        <v>0</v>
      </c>
      <c r="R2951" s="14"/>
      <c r="S2951" s="14"/>
      <c r="T2951" s="14"/>
      <c r="U2951" s="14"/>
      <c r="V2951" s="14"/>
      <c r="W2951" s="14"/>
    </row>
    <row r="2952" ht="31.5" customHeight="1">
      <c r="A2952" s="158"/>
      <c r="B2952" s="159"/>
      <c r="C2952" s="160"/>
      <c r="D2952" s="130"/>
      <c r="E2952" s="130"/>
      <c r="F2952" s="161"/>
      <c r="G2952" s="164"/>
      <c r="H2952" s="76" t="b">
        <v>1</v>
      </c>
      <c r="I2952" s="76" t="b">
        <v>0</v>
      </c>
      <c r="J2952" s="76" t="b">
        <v>0</v>
      </c>
      <c r="K2952" s="76" t="b">
        <v>0</v>
      </c>
      <c r="L2952" s="76" t="b">
        <v>0</v>
      </c>
      <c r="M2952" s="76" t="b">
        <v>0</v>
      </c>
      <c r="N2952" s="76" t="b">
        <v>0</v>
      </c>
      <c r="O2952" s="76" t="b">
        <v>0</v>
      </c>
      <c r="P2952" s="76" t="b">
        <v>0</v>
      </c>
      <c r="Q2952" s="76" t="b">
        <v>0</v>
      </c>
      <c r="R2952" s="14"/>
      <c r="S2952" s="14"/>
      <c r="T2952" s="14"/>
      <c r="U2952" s="14"/>
      <c r="V2952" s="14"/>
      <c r="W2952" s="14"/>
    </row>
    <row r="2953" ht="31.5" customHeight="1">
      <c r="A2953" s="158"/>
      <c r="B2953" s="159"/>
      <c r="C2953" s="160"/>
      <c r="D2953" s="130"/>
      <c r="E2953" s="130"/>
      <c r="F2953" s="161"/>
      <c r="G2953" s="164"/>
      <c r="H2953" s="76" t="b">
        <v>1</v>
      </c>
      <c r="I2953" s="76" t="b">
        <v>0</v>
      </c>
      <c r="J2953" s="76" t="b">
        <v>0</v>
      </c>
      <c r="K2953" s="76" t="b">
        <v>0</v>
      </c>
      <c r="L2953" s="76" t="b">
        <v>0</v>
      </c>
      <c r="M2953" s="76" t="b">
        <v>0</v>
      </c>
      <c r="N2953" s="76" t="b">
        <v>0</v>
      </c>
      <c r="O2953" s="76" t="b">
        <v>0</v>
      </c>
      <c r="P2953" s="76" t="b">
        <v>0</v>
      </c>
      <c r="Q2953" s="76" t="b">
        <v>0</v>
      </c>
      <c r="R2953" s="14"/>
      <c r="S2953" s="14"/>
      <c r="T2953" s="14"/>
      <c r="U2953" s="14"/>
      <c r="V2953" s="14"/>
      <c r="W2953" s="14"/>
    </row>
    <row r="2954" ht="31.5" customHeight="1">
      <c r="A2954" s="158"/>
      <c r="B2954" s="159"/>
      <c r="C2954" s="160"/>
      <c r="D2954" s="130"/>
      <c r="E2954" s="130"/>
      <c r="F2954" s="161"/>
      <c r="G2954" s="164"/>
      <c r="H2954" s="76" t="b">
        <v>1</v>
      </c>
      <c r="I2954" s="76" t="b">
        <v>0</v>
      </c>
      <c r="J2954" s="76" t="b">
        <v>0</v>
      </c>
      <c r="K2954" s="76" t="b">
        <v>0</v>
      </c>
      <c r="L2954" s="76" t="b">
        <v>0</v>
      </c>
      <c r="M2954" s="76" t="b">
        <v>0</v>
      </c>
      <c r="N2954" s="76" t="b">
        <v>0</v>
      </c>
      <c r="O2954" s="76" t="b">
        <v>0</v>
      </c>
      <c r="P2954" s="76" t="b">
        <v>0</v>
      </c>
      <c r="Q2954" s="76" t="b">
        <v>0</v>
      </c>
      <c r="R2954" s="14"/>
      <c r="S2954" s="14"/>
      <c r="T2954" s="14"/>
      <c r="U2954" s="14"/>
      <c r="V2954" s="14"/>
      <c r="W2954" s="14"/>
    </row>
    <row r="2955" ht="31.5" customHeight="1">
      <c r="A2955" s="158"/>
      <c r="B2955" s="159"/>
      <c r="C2955" s="160"/>
      <c r="D2955" s="130"/>
      <c r="E2955" s="130"/>
      <c r="F2955" s="161"/>
      <c r="G2955" s="164"/>
      <c r="H2955" s="76" t="b">
        <v>1</v>
      </c>
      <c r="I2955" s="76" t="b">
        <v>0</v>
      </c>
      <c r="J2955" s="76" t="b">
        <v>0</v>
      </c>
      <c r="K2955" s="76" t="b">
        <v>0</v>
      </c>
      <c r="L2955" s="76" t="b">
        <v>0</v>
      </c>
      <c r="M2955" s="76" t="b">
        <v>0</v>
      </c>
      <c r="N2955" s="76" t="b">
        <v>0</v>
      </c>
      <c r="O2955" s="76" t="b">
        <v>0</v>
      </c>
      <c r="P2955" s="76" t="b">
        <v>0</v>
      </c>
      <c r="Q2955" s="76" t="b">
        <v>0</v>
      </c>
      <c r="R2955" s="14"/>
      <c r="S2955" s="14"/>
      <c r="T2955" s="14"/>
      <c r="U2955" s="14"/>
      <c r="V2955" s="14"/>
      <c r="W2955" s="14"/>
    </row>
    <row r="2956" ht="31.5" customHeight="1">
      <c r="A2956" s="158"/>
      <c r="B2956" s="159"/>
      <c r="C2956" s="160"/>
      <c r="D2956" s="130"/>
      <c r="E2956" s="130"/>
      <c r="F2956" s="161"/>
      <c r="G2956" s="164"/>
      <c r="H2956" s="76" t="b">
        <v>1</v>
      </c>
      <c r="I2956" s="76" t="b">
        <v>0</v>
      </c>
      <c r="J2956" s="76" t="b">
        <v>0</v>
      </c>
      <c r="K2956" s="76" t="b">
        <v>0</v>
      </c>
      <c r="L2956" s="76" t="b">
        <v>0</v>
      </c>
      <c r="M2956" s="76" t="b">
        <v>0</v>
      </c>
      <c r="N2956" s="76" t="b">
        <v>0</v>
      </c>
      <c r="O2956" s="76" t="b">
        <v>0</v>
      </c>
      <c r="P2956" s="76" t="b">
        <v>0</v>
      </c>
      <c r="Q2956" s="76" t="b">
        <v>0</v>
      </c>
      <c r="R2956" s="14"/>
      <c r="S2956" s="14"/>
      <c r="T2956" s="14"/>
      <c r="U2956" s="14"/>
      <c r="V2956" s="14"/>
      <c r="W2956" s="14"/>
    </row>
    <row r="2957" ht="31.5" customHeight="1">
      <c r="A2957" s="158"/>
      <c r="B2957" s="159"/>
      <c r="C2957" s="160"/>
      <c r="D2957" s="130"/>
      <c r="E2957" s="130"/>
      <c r="F2957" s="161"/>
      <c r="G2957" s="164"/>
      <c r="H2957" s="76" t="b">
        <v>1</v>
      </c>
      <c r="I2957" s="76" t="b">
        <v>0</v>
      </c>
      <c r="J2957" s="76" t="b">
        <v>0</v>
      </c>
      <c r="K2957" s="76" t="b">
        <v>0</v>
      </c>
      <c r="L2957" s="76" t="b">
        <v>0</v>
      </c>
      <c r="M2957" s="76" t="b">
        <v>0</v>
      </c>
      <c r="N2957" s="76" t="b">
        <v>0</v>
      </c>
      <c r="O2957" s="76" t="b">
        <v>0</v>
      </c>
      <c r="P2957" s="76" t="b">
        <v>0</v>
      </c>
      <c r="Q2957" s="76" t="b">
        <v>0</v>
      </c>
      <c r="R2957" s="14"/>
      <c r="S2957" s="14"/>
      <c r="T2957" s="14"/>
      <c r="U2957" s="14"/>
      <c r="V2957" s="14"/>
      <c r="W2957" s="14"/>
    </row>
    <row r="2958" ht="31.5" customHeight="1">
      <c r="A2958" s="158"/>
      <c r="B2958" s="159"/>
      <c r="C2958" s="160"/>
      <c r="D2958" s="130"/>
      <c r="E2958" s="130"/>
      <c r="F2958" s="161"/>
      <c r="G2958" s="164"/>
      <c r="H2958" s="76" t="b">
        <v>1</v>
      </c>
      <c r="I2958" s="76" t="b">
        <v>0</v>
      </c>
      <c r="J2958" s="76" t="b">
        <v>0</v>
      </c>
      <c r="K2958" s="76" t="b">
        <v>0</v>
      </c>
      <c r="L2958" s="76" t="b">
        <v>0</v>
      </c>
      <c r="M2958" s="76" t="b">
        <v>0</v>
      </c>
      <c r="N2958" s="76" t="b">
        <v>0</v>
      </c>
      <c r="O2958" s="76" t="b">
        <v>0</v>
      </c>
      <c r="P2958" s="76" t="b">
        <v>0</v>
      </c>
      <c r="Q2958" s="76" t="b">
        <v>0</v>
      </c>
      <c r="R2958" s="14"/>
      <c r="S2958" s="14"/>
      <c r="T2958" s="14"/>
      <c r="U2958" s="14"/>
      <c r="V2958" s="14"/>
      <c r="W2958" s="14"/>
    </row>
    <row r="2959" ht="31.5" customHeight="1">
      <c r="A2959" s="158"/>
      <c r="B2959" s="159"/>
      <c r="C2959" s="160"/>
      <c r="D2959" s="130"/>
      <c r="E2959" s="130"/>
      <c r="F2959" s="161"/>
      <c r="G2959" s="164"/>
      <c r="H2959" s="76" t="b">
        <v>1</v>
      </c>
      <c r="I2959" s="76" t="b">
        <v>0</v>
      </c>
      <c r="J2959" s="76" t="b">
        <v>0</v>
      </c>
      <c r="K2959" s="76" t="b">
        <v>0</v>
      </c>
      <c r="L2959" s="76" t="b">
        <v>0</v>
      </c>
      <c r="M2959" s="76" t="b">
        <v>0</v>
      </c>
      <c r="N2959" s="76" t="b">
        <v>0</v>
      </c>
      <c r="O2959" s="76" t="b">
        <v>0</v>
      </c>
      <c r="P2959" s="76" t="b">
        <v>0</v>
      </c>
      <c r="Q2959" s="76" t="b">
        <v>0</v>
      </c>
      <c r="R2959" s="14"/>
      <c r="S2959" s="14"/>
      <c r="T2959" s="14"/>
      <c r="U2959" s="14"/>
      <c r="V2959" s="14"/>
      <c r="W2959" s="14"/>
    </row>
    <row r="2960" ht="31.5" customHeight="1">
      <c r="A2960" s="158"/>
      <c r="B2960" s="159"/>
      <c r="C2960" s="160"/>
      <c r="D2960" s="130"/>
      <c r="E2960" s="130"/>
      <c r="F2960" s="161"/>
      <c r="G2960" s="164"/>
      <c r="H2960" s="76" t="b">
        <v>1</v>
      </c>
      <c r="I2960" s="76" t="b">
        <v>0</v>
      </c>
      <c r="J2960" s="76" t="b">
        <v>0</v>
      </c>
      <c r="K2960" s="76" t="b">
        <v>0</v>
      </c>
      <c r="L2960" s="76" t="b">
        <v>0</v>
      </c>
      <c r="M2960" s="76" t="b">
        <v>0</v>
      </c>
      <c r="N2960" s="76" t="b">
        <v>0</v>
      </c>
      <c r="O2960" s="76" t="b">
        <v>0</v>
      </c>
      <c r="P2960" s="76" t="b">
        <v>0</v>
      </c>
      <c r="Q2960" s="76" t="b">
        <v>0</v>
      </c>
      <c r="R2960" s="14"/>
      <c r="S2960" s="14"/>
      <c r="T2960" s="14"/>
      <c r="U2960" s="14"/>
      <c r="V2960" s="14"/>
      <c r="W2960" s="14"/>
    </row>
    <row r="2961" ht="31.5" customHeight="1">
      <c r="A2961" s="158"/>
      <c r="B2961" s="159"/>
      <c r="C2961" s="160"/>
      <c r="D2961" s="130"/>
      <c r="E2961" s="130"/>
      <c r="F2961" s="161"/>
      <c r="G2961" s="164"/>
      <c r="H2961" s="76" t="b">
        <v>1</v>
      </c>
      <c r="I2961" s="76" t="b">
        <v>0</v>
      </c>
      <c r="J2961" s="76" t="b">
        <v>0</v>
      </c>
      <c r="K2961" s="76" t="b">
        <v>0</v>
      </c>
      <c r="L2961" s="76" t="b">
        <v>0</v>
      </c>
      <c r="M2961" s="76" t="b">
        <v>0</v>
      </c>
      <c r="N2961" s="76" t="b">
        <v>0</v>
      </c>
      <c r="O2961" s="76" t="b">
        <v>0</v>
      </c>
      <c r="P2961" s="76" t="b">
        <v>0</v>
      </c>
      <c r="Q2961" s="76" t="b">
        <v>0</v>
      </c>
      <c r="R2961" s="14"/>
      <c r="S2961" s="14"/>
      <c r="T2961" s="14"/>
      <c r="U2961" s="14"/>
      <c r="V2961" s="14"/>
      <c r="W2961" s="14"/>
    </row>
    <row r="2962" ht="31.5" customHeight="1">
      <c r="A2962" s="158"/>
      <c r="B2962" s="159"/>
      <c r="C2962" s="160"/>
      <c r="D2962" s="130"/>
      <c r="E2962" s="130"/>
      <c r="F2962" s="161"/>
      <c r="G2962" s="164"/>
      <c r="H2962" s="76" t="b">
        <v>1</v>
      </c>
      <c r="I2962" s="76" t="b">
        <v>0</v>
      </c>
      <c r="J2962" s="76" t="b">
        <v>0</v>
      </c>
      <c r="K2962" s="76" t="b">
        <v>0</v>
      </c>
      <c r="L2962" s="76" t="b">
        <v>0</v>
      </c>
      <c r="M2962" s="76" t="b">
        <v>0</v>
      </c>
      <c r="N2962" s="76" t="b">
        <v>0</v>
      </c>
      <c r="O2962" s="76" t="b">
        <v>0</v>
      </c>
      <c r="P2962" s="76" t="b">
        <v>0</v>
      </c>
      <c r="Q2962" s="76" t="b">
        <v>0</v>
      </c>
      <c r="R2962" s="14"/>
      <c r="S2962" s="14"/>
      <c r="T2962" s="14"/>
      <c r="U2962" s="14"/>
      <c r="V2962" s="14"/>
      <c r="W2962" s="14"/>
    </row>
    <row r="2963" ht="31.5" customHeight="1">
      <c r="A2963" s="158"/>
      <c r="B2963" s="159"/>
      <c r="C2963" s="160"/>
      <c r="D2963" s="130"/>
      <c r="E2963" s="130"/>
      <c r="F2963" s="161"/>
      <c r="G2963" s="164"/>
      <c r="H2963" s="76" t="b">
        <v>1</v>
      </c>
      <c r="I2963" s="76" t="b">
        <v>0</v>
      </c>
      <c r="J2963" s="76" t="b">
        <v>0</v>
      </c>
      <c r="K2963" s="76" t="b">
        <v>0</v>
      </c>
      <c r="L2963" s="76" t="b">
        <v>0</v>
      </c>
      <c r="M2963" s="76" t="b">
        <v>0</v>
      </c>
      <c r="N2963" s="76" t="b">
        <v>0</v>
      </c>
      <c r="O2963" s="76" t="b">
        <v>0</v>
      </c>
      <c r="P2963" s="76" t="b">
        <v>0</v>
      </c>
      <c r="Q2963" s="76" t="b">
        <v>0</v>
      </c>
      <c r="R2963" s="14"/>
      <c r="S2963" s="14"/>
      <c r="T2963" s="14"/>
      <c r="U2963" s="14"/>
      <c r="V2963" s="14"/>
      <c r="W2963" s="14"/>
    </row>
    <row r="2964" ht="31.5" customHeight="1">
      <c r="A2964" s="158"/>
      <c r="B2964" s="159"/>
      <c r="C2964" s="160"/>
      <c r="D2964" s="130"/>
      <c r="E2964" s="130"/>
      <c r="F2964" s="161"/>
      <c r="G2964" s="164"/>
      <c r="H2964" s="76" t="b">
        <v>1</v>
      </c>
      <c r="I2964" s="76" t="b">
        <v>0</v>
      </c>
      <c r="J2964" s="76" t="b">
        <v>0</v>
      </c>
      <c r="K2964" s="76" t="b">
        <v>0</v>
      </c>
      <c r="L2964" s="76" t="b">
        <v>0</v>
      </c>
      <c r="M2964" s="76" t="b">
        <v>0</v>
      </c>
      <c r="N2964" s="76" t="b">
        <v>0</v>
      </c>
      <c r="O2964" s="76" t="b">
        <v>0</v>
      </c>
      <c r="P2964" s="76" t="b">
        <v>0</v>
      </c>
      <c r="Q2964" s="76" t="b">
        <v>0</v>
      </c>
      <c r="R2964" s="14"/>
      <c r="S2964" s="14"/>
      <c r="T2964" s="14"/>
      <c r="U2964" s="14"/>
      <c r="V2964" s="14"/>
      <c r="W2964" s="14"/>
    </row>
    <row r="2965" ht="31.5" customHeight="1">
      <c r="A2965" s="158"/>
      <c r="B2965" s="159"/>
      <c r="C2965" s="160"/>
      <c r="D2965" s="130"/>
      <c r="E2965" s="130"/>
      <c r="F2965" s="161"/>
      <c r="G2965" s="164"/>
      <c r="H2965" s="76" t="b">
        <v>1</v>
      </c>
      <c r="I2965" s="76" t="b">
        <v>0</v>
      </c>
      <c r="J2965" s="76" t="b">
        <v>0</v>
      </c>
      <c r="K2965" s="76" t="b">
        <v>0</v>
      </c>
      <c r="L2965" s="76" t="b">
        <v>0</v>
      </c>
      <c r="M2965" s="76" t="b">
        <v>0</v>
      </c>
      <c r="N2965" s="76" t="b">
        <v>0</v>
      </c>
      <c r="O2965" s="76" t="b">
        <v>0</v>
      </c>
      <c r="P2965" s="76" t="b">
        <v>0</v>
      </c>
      <c r="Q2965" s="76" t="b">
        <v>0</v>
      </c>
      <c r="R2965" s="14"/>
      <c r="S2965" s="14"/>
      <c r="T2965" s="14"/>
      <c r="U2965" s="14"/>
      <c r="V2965" s="14"/>
      <c r="W2965" s="14"/>
    </row>
    <row r="2966" ht="31.5" customHeight="1">
      <c r="A2966" s="158"/>
      <c r="B2966" s="159"/>
      <c r="C2966" s="160"/>
      <c r="D2966" s="130"/>
      <c r="E2966" s="130"/>
      <c r="F2966" s="161"/>
      <c r="G2966" s="164"/>
      <c r="H2966" s="76" t="b">
        <v>1</v>
      </c>
      <c r="I2966" s="76" t="b">
        <v>0</v>
      </c>
      <c r="J2966" s="76" t="b">
        <v>0</v>
      </c>
      <c r="K2966" s="76" t="b">
        <v>0</v>
      </c>
      <c r="L2966" s="76" t="b">
        <v>0</v>
      </c>
      <c r="M2966" s="76" t="b">
        <v>0</v>
      </c>
      <c r="N2966" s="76" t="b">
        <v>0</v>
      </c>
      <c r="O2966" s="76" t="b">
        <v>0</v>
      </c>
      <c r="P2966" s="76" t="b">
        <v>0</v>
      </c>
      <c r="Q2966" s="76" t="b">
        <v>0</v>
      </c>
      <c r="R2966" s="14"/>
      <c r="S2966" s="14"/>
      <c r="T2966" s="14"/>
      <c r="U2966" s="14"/>
      <c r="V2966" s="14"/>
      <c r="W2966" s="14"/>
    </row>
    <row r="2967" ht="31.5" customHeight="1">
      <c r="A2967" s="158"/>
      <c r="B2967" s="159"/>
      <c r="C2967" s="160"/>
      <c r="D2967" s="130"/>
      <c r="E2967" s="130"/>
      <c r="F2967" s="161"/>
      <c r="G2967" s="164"/>
      <c r="H2967" s="76" t="b">
        <v>1</v>
      </c>
      <c r="I2967" s="76" t="b">
        <v>0</v>
      </c>
      <c r="J2967" s="76" t="b">
        <v>0</v>
      </c>
      <c r="K2967" s="76" t="b">
        <v>0</v>
      </c>
      <c r="L2967" s="76" t="b">
        <v>0</v>
      </c>
      <c r="M2967" s="76" t="b">
        <v>0</v>
      </c>
      <c r="N2967" s="76" t="b">
        <v>0</v>
      </c>
      <c r="O2967" s="76" t="b">
        <v>0</v>
      </c>
      <c r="P2967" s="76" t="b">
        <v>0</v>
      </c>
      <c r="Q2967" s="76" t="b">
        <v>0</v>
      </c>
      <c r="R2967" s="14"/>
      <c r="S2967" s="14"/>
      <c r="T2967" s="14"/>
      <c r="U2967" s="14"/>
      <c r="V2967" s="14"/>
      <c r="W2967" s="14"/>
    </row>
    <row r="2968" ht="31.5" customHeight="1">
      <c r="A2968" s="158"/>
      <c r="B2968" s="159"/>
      <c r="C2968" s="160"/>
      <c r="D2968" s="130"/>
      <c r="E2968" s="130"/>
      <c r="F2968" s="161"/>
      <c r="G2968" s="164"/>
      <c r="H2968" s="76" t="b">
        <v>1</v>
      </c>
      <c r="I2968" s="76" t="b">
        <v>0</v>
      </c>
      <c r="J2968" s="76" t="b">
        <v>0</v>
      </c>
      <c r="K2968" s="76" t="b">
        <v>0</v>
      </c>
      <c r="L2968" s="76" t="b">
        <v>0</v>
      </c>
      <c r="M2968" s="76" t="b">
        <v>0</v>
      </c>
      <c r="N2968" s="76" t="b">
        <v>0</v>
      </c>
      <c r="O2968" s="76" t="b">
        <v>0</v>
      </c>
      <c r="P2968" s="76" t="b">
        <v>0</v>
      </c>
      <c r="Q2968" s="76" t="b">
        <v>0</v>
      </c>
      <c r="R2968" s="14"/>
      <c r="S2968" s="14"/>
      <c r="T2968" s="14"/>
      <c r="U2968" s="14"/>
      <c r="V2968" s="14"/>
      <c r="W2968" s="14"/>
    </row>
    <row r="2969" ht="31.5" customHeight="1">
      <c r="A2969" s="158"/>
      <c r="B2969" s="159"/>
      <c r="C2969" s="160"/>
      <c r="D2969" s="130"/>
      <c r="E2969" s="130"/>
      <c r="F2969" s="161"/>
      <c r="G2969" s="164"/>
      <c r="H2969" s="76" t="b">
        <v>1</v>
      </c>
      <c r="I2969" s="76" t="b">
        <v>0</v>
      </c>
      <c r="J2969" s="76" t="b">
        <v>0</v>
      </c>
      <c r="K2969" s="76" t="b">
        <v>0</v>
      </c>
      <c r="L2969" s="76" t="b">
        <v>0</v>
      </c>
      <c r="M2969" s="76" t="b">
        <v>0</v>
      </c>
      <c r="N2969" s="76" t="b">
        <v>0</v>
      </c>
      <c r="O2969" s="76" t="b">
        <v>0</v>
      </c>
      <c r="P2969" s="76" t="b">
        <v>0</v>
      </c>
      <c r="Q2969" s="76" t="b">
        <v>0</v>
      </c>
      <c r="R2969" s="14"/>
      <c r="S2969" s="14"/>
      <c r="T2969" s="14"/>
      <c r="U2969" s="14"/>
      <c r="V2969" s="14"/>
      <c r="W2969" s="14"/>
    </row>
    <row r="2970" ht="31.5" customHeight="1">
      <c r="A2970" s="158"/>
      <c r="B2970" s="159"/>
      <c r="C2970" s="160"/>
      <c r="D2970" s="130"/>
      <c r="E2970" s="130"/>
      <c r="F2970" s="161"/>
      <c r="G2970" s="164"/>
      <c r="H2970" s="76" t="b">
        <v>1</v>
      </c>
      <c r="I2970" s="76" t="b">
        <v>0</v>
      </c>
      <c r="J2970" s="76" t="b">
        <v>0</v>
      </c>
      <c r="K2970" s="76" t="b">
        <v>0</v>
      </c>
      <c r="L2970" s="76" t="b">
        <v>0</v>
      </c>
      <c r="M2970" s="76" t="b">
        <v>0</v>
      </c>
      <c r="N2970" s="76" t="b">
        <v>0</v>
      </c>
      <c r="O2970" s="76" t="b">
        <v>0</v>
      </c>
      <c r="P2970" s="76" t="b">
        <v>0</v>
      </c>
      <c r="Q2970" s="76" t="b">
        <v>0</v>
      </c>
      <c r="R2970" s="14"/>
      <c r="S2970" s="14"/>
      <c r="T2970" s="14"/>
      <c r="U2970" s="14"/>
      <c r="V2970" s="14"/>
      <c r="W2970" s="14"/>
    </row>
    <row r="2971" ht="31.5" customHeight="1">
      <c r="A2971" s="158"/>
      <c r="B2971" s="159"/>
      <c r="C2971" s="160"/>
      <c r="D2971" s="130"/>
      <c r="E2971" s="130"/>
      <c r="F2971" s="161"/>
      <c r="G2971" s="164"/>
      <c r="H2971" s="76" t="b">
        <v>1</v>
      </c>
      <c r="I2971" s="76" t="b">
        <v>0</v>
      </c>
      <c r="J2971" s="76" t="b">
        <v>0</v>
      </c>
      <c r="K2971" s="76" t="b">
        <v>0</v>
      </c>
      <c r="L2971" s="76" t="b">
        <v>0</v>
      </c>
      <c r="M2971" s="76" t="b">
        <v>0</v>
      </c>
      <c r="N2971" s="76" t="b">
        <v>0</v>
      </c>
      <c r="O2971" s="76" t="b">
        <v>0</v>
      </c>
      <c r="P2971" s="76" t="b">
        <v>0</v>
      </c>
      <c r="Q2971" s="76" t="b">
        <v>0</v>
      </c>
      <c r="R2971" s="14"/>
      <c r="S2971" s="14"/>
      <c r="T2971" s="14"/>
      <c r="U2971" s="14"/>
      <c r="V2971" s="14"/>
      <c r="W2971" s="14"/>
    </row>
    <row r="2972" ht="31.5" customHeight="1">
      <c r="A2972" s="158"/>
      <c r="B2972" s="159"/>
      <c r="C2972" s="160"/>
      <c r="D2972" s="130"/>
      <c r="E2972" s="130"/>
      <c r="F2972" s="161"/>
      <c r="G2972" s="164"/>
      <c r="H2972" s="76" t="b">
        <v>1</v>
      </c>
      <c r="I2972" s="76" t="b">
        <v>0</v>
      </c>
      <c r="J2972" s="76" t="b">
        <v>0</v>
      </c>
      <c r="K2972" s="76" t="b">
        <v>0</v>
      </c>
      <c r="L2972" s="76" t="b">
        <v>0</v>
      </c>
      <c r="M2972" s="76" t="b">
        <v>0</v>
      </c>
      <c r="N2972" s="76" t="b">
        <v>0</v>
      </c>
      <c r="O2972" s="76" t="b">
        <v>0</v>
      </c>
      <c r="P2972" s="76" t="b">
        <v>0</v>
      </c>
      <c r="Q2972" s="76" t="b">
        <v>0</v>
      </c>
      <c r="R2972" s="14"/>
      <c r="S2972" s="14"/>
      <c r="T2972" s="14"/>
      <c r="U2972" s="14"/>
      <c r="V2972" s="14"/>
      <c r="W2972" s="14"/>
    </row>
    <row r="2973" ht="31.5" customHeight="1">
      <c r="A2973" s="158"/>
      <c r="B2973" s="159"/>
      <c r="C2973" s="160"/>
      <c r="D2973" s="130"/>
      <c r="E2973" s="130"/>
      <c r="F2973" s="161"/>
      <c r="G2973" s="164"/>
      <c r="H2973" s="76" t="b">
        <v>1</v>
      </c>
      <c r="I2973" s="76" t="b">
        <v>0</v>
      </c>
      <c r="J2973" s="76" t="b">
        <v>0</v>
      </c>
      <c r="K2973" s="76" t="b">
        <v>0</v>
      </c>
      <c r="L2973" s="76" t="b">
        <v>0</v>
      </c>
      <c r="M2973" s="76" t="b">
        <v>0</v>
      </c>
      <c r="N2973" s="76" t="b">
        <v>0</v>
      </c>
      <c r="O2973" s="76" t="b">
        <v>0</v>
      </c>
      <c r="P2973" s="76" t="b">
        <v>0</v>
      </c>
      <c r="Q2973" s="76" t="b">
        <v>0</v>
      </c>
      <c r="R2973" s="14"/>
      <c r="S2973" s="14"/>
      <c r="T2973" s="14"/>
      <c r="U2973" s="14"/>
      <c r="V2973" s="14"/>
      <c r="W2973" s="14"/>
    </row>
    <row r="2974" ht="31.5" customHeight="1">
      <c r="A2974" s="158"/>
      <c r="B2974" s="159"/>
      <c r="C2974" s="160"/>
      <c r="D2974" s="130"/>
      <c r="E2974" s="130"/>
      <c r="F2974" s="161"/>
      <c r="G2974" s="164"/>
      <c r="H2974" s="76" t="b">
        <v>1</v>
      </c>
      <c r="I2974" s="76" t="b">
        <v>0</v>
      </c>
      <c r="J2974" s="76" t="b">
        <v>0</v>
      </c>
      <c r="K2974" s="76" t="b">
        <v>0</v>
      </c>
      <c r="L2974" s="76" t="b">
        <v>0</v>
      </c>
      <c r="M2974" s="76" t="b">
        <v>0</v>
      </c>
      <c r="N2974" s="76" t="b">
        <v>0</v>
      </c>
      <c r="O2974" s="76" t="b">
        <v>0</v>
      </c>
      <c r="P2974" s="76" t="b">
        <v>0</v>
      </c>
      <c r="Q2974" s="76" t="b">
        <v>0</v>
      </c>
      <c r="R2974" s="14"/>
      <c r="S2974" s="14"/>
      <c r="T2974" s="14"/>
      <c r="U2974" s="14"/>
      <c r="V2974" s="14"/>
      <c r="W2974" s="14"/>
    </row>
    <row r="2975" ht="31.5" customHeight="1">
      <c r="A2975" s="158"/>
      <c r="B2975" s="159"/>
      <c r="C2975" s="160"/>
      <c r="D2975" s="130"/>
      <c r="E2975" s="130"/>
      <c r="F2975" s="161"/>
      <c r="G2975" s="164"/>
      <c r="H2975" s="76" t="b">
        <v>1</v>
      </c>
      <c r="I2975" s="76" t="b">
        <v>0</v>
      </c>
      <c r="J2975" s="76" t="b">
        <v>0</v>
      </c>
      <c r="K2975" s="76" t="b">
        <v>0</v>
      </c>
      <c r="L2975" s="76" t="b">
        <v>0</v>
      </c>
      <c r="M2975" s="76" t="b">
        <v>0</v>
      </c>
      <c r="N2975" s="76" t="b">
        <v>0</v>
      </c>
      <c r="O2975" s="76" t="b">
        <v>0</v>
      </c>
      <c r="P2975" s="76" t="b">
        <v>0</v>
      </c>
      <c r="Q2975" s="76" t="b">
        <v>0</v>
      </c>
      <c r="R2975" s="14"/>
      <c r="S2975" s="14"/>
      <c r="T2975" s="14"/>
      <c r="U2975" s="14"/>
      <c r="V2975" s="14"/>
      <c r="W2975" s="14"/>
    </row>
    <row r="2976" ht="31.5" customHeight="1">
      <c r="A2976" s="158"/>
      <c r="B2976" s="159"/>
      <c r="C2976" s="160"/>
      <c r="D2976" s="130"/>
      <c r="E2976" s="130"/>
      <c r="F2976" s="161"/>
      <c r="G2976" s="164"/>
      <c r="H2976" s="76" t="b">
        <v>1</v>
      </c>
      <c r="I2976" s="76" t="b">
        <v>0</v>
      </c>
      <c r="J2976" s="76" t="b">
        <v>0</v>
      </c>
      <c r="K2976" s="76" t="b">
        <v>0</v>
      </c>
      <c r="L2976" s="76" t="b">
        <v>0</v>
      </c>
      <c r="M2976" s="76" t="b">
        <v>0</v>
      </c>
      <c r="N2976" s="76" t="b">
        <v>0</v>
      </c>
      <c r="O2976" s="76" t="b">
        <v>0</v>
      </c>
      <c r="P2976" s="76" t="b">
        <v>0</v>
      </c>
      <c r="Q2976" s="76" t="b">
        <v>0</v>
      </c>
      <c r="R2976" s="14"/>
      <c r="S2976" s="14"/>
      <c r="T2976" s="14"/>
      <c r="U2976" s="14"/>
      <c r="V2976" s="14"/>
      <c r="W2976" s="14"/>
    </row>
    <row r="2977" ht="31.5" customHeight="1">
      <c r="A2977" s="158"/>
      <c r="B2977" s="159"/>
      <c r="C2977" s="160"/>
      <c r="D2977" s="130"/>
      <c r="E2977" s="130"/>
      <c r="F2977" s="161"/>
      <c r="G2977" s="164"/>
      <c r="H2977" s="76" t="b">
        <v>1</v>
      </c>
      <c r="I2977" s="76" t="b">
        <v>0</v>
      </c>
      <c r="J2977" s="76" t="b">
        <v>0</v>
      </c>
      <c r="K2977" s="76" t="b">
        <v>0</v>
      </c>
      <c r="L2977" s="76" t="b">
        <v>0</v>
      </c>
      <c r="M2977" s="76" t="b">
        <v>0</v>
      </c>
      <c r="N2977" s="76" t="b">
        <v>0</v>
      </c>
      <c r="O2977" s="76" t="b">
        <v>0</v>
      </c>
      <c r="P2977" s="76" t="b">
        <v>0</v>
      </c>
      <c r="Q2977" s="76" t="b">
        <v>0</v>
      </c>
      <c r="R2977" s="14"/>
      <c r="S2977" s="14"/>
      <c r="T2977" s="14"/>
      <c r="U2977" s="14"/>
      <c r="V2977" s="14"/>
      <c r="W2977" s="14"/>
    </row>
    <row r="2978" ht="31.5" customHeight="1">
      <c r="A2978" s="158"/>
      <c r="B2978" s="159"/>
      <c r="C2978" s="160"/>
      <c r="D2978" s="130"/>
      <c r="E2978" s="130"/>
      <c r="F2978" s="161"/>
      <c r="G2978" s="164"/>
      <c r="H2978" s="76" t="b">
        <v>1</v>
      </c>
      <c r="I2978" s="76" t="b">
        <v>0</v>
      </c>
      <c r="J2978" s="76" t="b">
        <v>0</v>
      </c>
      <c r="K2978" s="76" t="b">
        <v>0</v>
      </c>
      <c r="L2978" s="76" t="b">
        <v>0</v>
      </c>
      <c r="M2978" s="76" t="b">
        <v>0</v>
      </c>
      <c r="N2978" s="76" t="b">
        <v>0</v>
      </c>
      <c r="O2978" s="76" t="b">
        <v>0</v>
      </c>
      <c r="P2978" s="76" t="b">
        <v>0</v>
      </c>
      <c r="Q2978" s="76" t="b">
        <v>0</v>
      </c>
      <c r="R2978" s="14"/>
      <c r="S2978" s="14"/>
      <c r="T2978" s="14"/>
      <c r="U2978" s="14"/>
      <c r="V2978" s="14"/>
      <c r="W2978" s="14"/>
    </row>
    <row r="2979" ht="31.5" customHeight="1">
      <c r="A2979" s="158"/>
      <c r="B2979" s="159"/>
      <c r="C2979" s="160"/>
      <c r="D2979" s="130"/>
      <c r="E2979" s="130"/>
      <c r="F2979" s="161"/>
      <c r="G2979" s="164"/>
      <c r="H2979" s="76" t="b">
        <v>1</v>
      </c>
      <c r="I2979" s="76" t="b">
        <v>0</v>
      </c>
      <c r="J2979" s="76" t="b">
        <v>0</v>
      </c>
      <c r="K2979" s="76" t="b">
        <v>0</v>
      </c>
      <c r="L2979" s="76" t="b">
        <v>0</v>
      </c>
      <c r="M2979" s="76" t="b">
        <v>0</v>
      </c>
      <c r="N2979" s="76" t="b">
        <v>0</v>
      </c>
      <c r="O2979" s="76" t="b">
        <v>0</v>
      </c>
      <c r="P2979" s="76" t="b">
        <v>0</v>
      </c>
      <c r="Q2979" s="76" t="b">
        <v>0</v>
      </c>
      <c r="R2979" s="14"/>
      <c r="S2979" s="14"/>
      <c r="T2979" s="14"/>
      <c r="U2979" s="14"/>
      <c r="V2979" s="14"/>
      <c r="W2979" s="14"/>
    </row>
    <row r="2980" ht="31.5" customHeight="1">
      <c r="A2980" s="158"/>
      <c r="B2980" s="159"/>
      <c r="C2980" s="160"/>
      <c r="D2980" s="130"/>
      <c r="E2980" s="130"/>
      <c r="F2980" s="161"/>
      <c r="G2980" s="164"/>
      <c r="H2980" s="76" t="b">
        <v>1</v>
      </c>
      <c r="I2980" s="76" t="b">
        <v>0</v>
      </c>
      <c r="J2980" s="76" t="b">
        <v>0</v>
      </c>
      <c r="K2980" s="76" t="b">
        <v>0</v>
      </c>
      <c r="L2980" s="76" t="b">
        <v>0</v>
      </c>
      <c r="M2980" s="76" t="b">
        <v>0</v>
      </c>
      <c r="N2980" s="76" t="b">
        <v>0</v>
      </c>
      <c r="O2980" s="76" t="b">
        <v>0</v>
      </c>
      <c r="P2980" s="76" t="b">
        <v>0</v>
      </c>
      <c r="Q2980" s="76" t="b">
        <v>0</v>
      </c>
      <c r="R2980" s="14"/>
      <c r="S2980" s="14"/>
      <c r="T2980" s="14"/>
      <c r="U2980" s="14"/>
      <c r="V2980" s="14"/>
      <c r="W2980" s="14"/>
    </row>
    <row r="2981" ht="31.5" customHeight="1">
      <c r="A2981" s="158"/>
      <c r="B2981" s="159"/>
      <c r="C2981" s="160"/>
      <c r="D2981" s="130"/>
      <c r="E2981" s="130"/>
      <c r="F2981" s="161"/>
      <c r="G2981" s="164"/>
      <c r="H2981" s="76" t="b">
        <v>1</v>
      </c>
      <c r="I2981" s="76" t="b">
        <v>0</v>
      </c>
      <c r="J2981" s="76" t="b">
        <v>0</v>
      </c>
      <c r="K2981" s="76" t="b">
        <v>0</v>
      </c>
      <c r="L2981" s="76" t="b">
        <v>0</v>
      </c>
      <c r="M2981" s="76" t="b">
        <v>0</v>
      </c>
      <c r="N2981" s="76" t="b">
        <v>0</v>
      </c>
      <c r="O2981" s="76" t="b">
        <v>0</v>
      </c>
      <c r="P2981" s="76" t="b">
        <v>0</v>
      </c>
      <c r="Q2981" s="76" t="b">
        <v>0</v>
      </c>
      <c r="R2981" s="14"/>
      <c r="S2981" s="14"/>
      <c r="T2981" s="14"/>
      <c r="U2981" s="14"/>
      <c r="V2981" s="14"/>
      <c r="W2981" s="14"/>
    </row>
    <row r="2982" ht="31.5" customHeight="1">
      <c r="A2982" s="158"/>
      <c r="B2982" s="159"/>
      <c r="C2982" s="160"/>
      <c r="D2982" s="130"/>
      <c r="E2982" s="130"/>
      <c r="F2982" s="161"/>
      <c r="G2982" s="164"/>
      <c r="H2982" s="76" t="b">
        <v>1</v>
      </c>
      <c r="I2982" s="76" t="b">
        <v>0</v>
      </c>
      <c r="J2982" s="76" t="b">
        <v>0</v>
      </c>
      <c r="K2982" s="76" t="b">
        <v>0</v>
      </c>
      <c r="L2982" s="76" t="b">
        <v>0</v>
      </c>
      <c r="M2982" s="76" t="b">
        <v>0</v>
      </c>
      <c r="N2982" s="76" t="b">
        <v>0</v>
      </c>
      <c r="O2982" s="76" t="b">
        <v>0</v>
      </c>
      <c r="P2982" s="76" t="b">
        <v>0</v>
      </c>
      <c r="Q2982" s="76" t="b">
        <v>0</v>
      </c>
      <c r="R2982" s="14"/>
      <c r="S2982" s="14"/>
      <c r="T2982" s="14"/>
      <c r="U2982" s="14"/>
      <c r="V2982" s="14"/>
      <c r="W2982" s="14"/>
    </row>
    <row r="2983" ht="31.5" customHeight="1">
      <c r="A2983" s="158"/>
      <c r="B2983" s="159"/>
      <c r="C2983" s="160"/>
      <c r="D2983" s="130"/>
      <c r="E2983" s="130"/>
      <c r="F2983" s="161"/>
      <c r="G2983" s="164"/>
      <c r="H2983" s="76" t="b">
        <v>1</v>
      </c>
      <c r="I2983" s="76" t="b">
        <v>0</v>
      </c>
      <c r="J2983" s="76" t="b">
        <v>0</v>
      </c>
      <c r="K2983" s="76" t="b">
        <v>0</v>
      </c>
      <c r="L2983" s="76" t="b">
        <v>0</v>
      </c>
      <c r="M2983" s="76" t="b">
        <v>0</v>
      </c>
      <c r="N2983" s="76" t="b">
        <v>0</v>
      </c>
      <c r="O2983" s="76" t="b">
        <v>0</v>
      </c>
      <c r="P2983" s="76" t="b">
        <v>0</v>
      </c>
      <c r="Q2983" s="76" t="b">
        <v>0</v>
      </c>
      <c r="R2983" s="14"/>
      <c r="S2983" s="14"/>
      <c r="T2983" s="14"/>
      <c r="U2983" s="14"/>
      <c r="V2983" s="14"/>
      <c r="W2983" s="14"/>
    </row>
    <row r="2984" ht="31.5" customHeight="1">
      <c r="A2984" s="158"/>
      <c r="B2984" s="159"/>
      <c r="C2984" s="160"/>
      <c r="D2984" s="130"/>
      <c r="E2984" s="130"/>
      <c r="F2984" s="161"/>
      <c r="G2984" s="164"/>
      <c r="H2984" s="76" t="b">
        <v>1</v>
      </c>
      <c r="I2984" s="76" t="b">
        <v>0</v>
      </c>
      <c r="J2984" s="76" t="b">
        <v>0</v>
      </c>
      <c r="K2984" s="76" t="b">
        <v>0</v>
      </c>
      <c r="L2984" s="76" t="b">
        <v>0</v>
      </c>
      <c r="M2984" s="76" t="b">
        <v>0</v>
      </c>
      <c r="N2984" s="76" t="b">
        <v>0</v>
      </c>
      <c r="O2984" s="76" t="b">
        <v>0</v>
      </c>
      <c r="P2984" s="76" t="b">
        <v>0</v>
      </c>
      <c r="Q2984" s="76" t="b">
        <v>0</v>
      </c>
      <c r="R2984" s="14"/>
      <c r="S2984" s="14"/>
      <c r="T2984" s="14"/>
      <c r="U2984" s="14"/>
      <c r="V2984" s="14"/>
      <c r="W2984" s="14"/>
    </row>
    <row r="2985" ht="31.5" customHeight="1">
      <c r="A2985" s="158"/>
      <c r="B2985" s="159"/>
      <c r="C2985" s="160"/>
      <c r="D2985" s="130"/>
      <c r="E2985" s="130"/>
      <c r="F2985" s="161"/>
      <c r="G2985" s="164"/>
      <c r="H2985" s="76" t="b">
        <v>1</v>
      </c>
      <c r="I2985" s="76" t="b">
        <v>0</v>
      </c>
      <c r="J2985" s="76" t="b">
        <v>0</v>
      </c>
      <c r="K2985" s="76" t="b">
        <v>0</v>
      </c>
      <c r="L2985" s="76" t="b">
        <v>0</v>
      </c>
      <c r="M2985" s="76" t="b">
        <v>0</v>
      </c>
      <c r="N2985" s="76" t="b">
        <v>0</v>
      </c>
      <c r="O2985" s="76" t="b">
        <v>0</v>
      </c>
      <c r="P2985" s="76" t="b">
        <v>0</v>
      </c>
      <c r="Q2985" s="76" t="b">
        <v>0</v>
      </c>
      <c r="R2985" s="14"/>
      <c r="S2985" s="14"/>
      <c r="T2985" s="14"/>
      <c r="U2985" s="14"/>
      <c r="V2985" s="14"/>
      <c r="W2985" s="14"/>
    </row>
    <row r="2986" ht="31.5" customHeight="1">
      <c r="A2986" s="158"/>
      <c r="B2986" s="159"/>
      <c r="C2986" s="160"/>
      <c r="D2986" s="130"/>
      <c r="E2986" s="130"/>
      <c r="F2986" s="161"/>
      <c r="G2986" s="164"/>
      <c r="H2986" s="76" t="b">
        <v>1</v>
      </c>
      <c r="I2986" s="76" t="b">
        <v>0</v>
      </c>
      <c r="J2986" s="76" t="b">
        <v>0</v>
      </c>
      <c r="K2986" s="76" t="b">
        <v>0</v>
      </c>
      <c r="L2986" s="76" t="b">
        <v>0</v>
      </c>
      <c r="M2986" s="76" t="b">
        <v>0</v>
      </c>
      <c r="N2986" s="76" t="b">
        <v>0</v>
      </c>
      <c r="O2986" s="76" t="b">
        <v>0</v>
      </c>
      <c r="P2986" s="76" t="b">
        <v>0</v>
      </c>
      <c r="Q2986" s="76" t="b">
        <v>0</v>
      </c>
      <c r="R2986" s="14"/>
      <c r="S2986" s="14"/>
      <c r="T2986" s="14"/>
      <c r="U2986" s="14"/>
      <c r="V2986" s="14"/>
      <c r="W2986" s="14"/>
    </row>
    <row r="2987" ht="31.5" customHeight="1">
      <c r="A2987" s="158"/>
      <c r="B2987" s="159"/>
      <c r="C2987" s="160"/>
      <c r="D2987" s="130"/>
      <c r="E2987" s="130"/>
      <c r="F2987" s="161"/>
      <c r="G2987" s="164"/>
      <c r="H2987" s="76" t="b">
        <v>1</v>
      </c>
      <c r="I2987" s="76" t="b">
        <v>0</v>
      </c>
      <c r="J2987" s="76" t="b">
        <v>0</v>
      </c>
      <c r="K2987" s="76" t="b">
        <v>0</v>
      </c>
      <c r="L2987" s="76" t="b">
        <v>0</v>
      </c>
      <c r="M2987" s="76" t="b">
        <v>0</v>
      </c>
      <c r="N2987" s="76" t="b">
        <v>0</v>
      </c>
      <c r="O2987" s="76" t="b">
        <v>0</v>
      </c>
      <c r="P2987" s="76" t="b">
        <v>0</v>
      </c>
      <c r="Q2987" s="76" t="b">
        <v>0</v>
      </c>
      <c r="R2987" s="14"/>
      <c r="S2987" s="14"/>
      <c r="T2987" s="14"/>
      <c r="U2987" s="14"/>
      <c r="V2987" s="14"/>
      <c r="W2987" s="14"/>
    </row>
    <row r="2988" ht="31.5" customHeight="1">
      <c r="A2988" s="158"/>
      <c r="B2988" s="159"/>
      <c r="C2988" s="160"/>
      <c r="D2988" s="130"/>
      <c r="E2988" s="130"/>
      <c r="F2988" s="161"/>
      <c r="G2988" s="164"/>
      <c r="H2988" s="76" t="b">
        <v>1</v>
      </c>
      <c r="I2988" s="76" t="b">
        <v>0</v>
      </c>
      <c r="J2988" s="76" t="b">
        <v>0</v>
      </c>
      <c r="K2988" s="76" t="b">
        <v>0</v>
      </c>
      <c r="L2988" s="76" t="b">
        <v>0</v>
      </c>
      <c r="M2988" s="76" t="b">
        <v>0</v>
      </c>
      <c r="N2988" s="76" t="b">
        <v>0</v>
      </c>
      <c r="O2988" s="76" t="b">
        <v>0</v>
      </c>
      <c r="P2988" s="76" t="b">
        <v>0</v>
      </c>
      <c r="Q2988" s="76" t="b">
        <v>0</v>
      </c>
      <c r="R2988" s="14"/>
      <c r="S2988" s="14"/>
      <c r="T2988" s="14"/>
      <c r="U2988" s="14"/>
      <c r="V2988" s="14"/>
      <c r="W2988" s="14"/>
    </row>
    <row r="2989" ht="31.5" customHeight="1">
      <c r="A2989" s="158"/>
      <c r="B2989" s="159"/>
      <c r="C2989" s="160"/>
      <c r="D2989" s="130"/>
      <c r="E2989" s="130"/>
      <c r="F2989" s="161"/>
      <c r="G2989" s="164"/>
      <c r="H2989" s="76" t="b">
        <v>1</v>
      </c>
      <c r="I2989" s="76" t="b">
        <v>0</v>
      </c>
      <c r="J2989" s="76" t="b">
        <v>0</v>
      </c>
      <c r="K2989" s="76" t="b">
        <v>0</v>
      </c>
      <c r="L2989" s="76" t="b">
        <v>0</v>
      </c>
      <c r="M2989" s="76" t="b">
        <v>0</v>
      </c>
      <c r="N2989" s="76" t="b">
        <v>0</v>
      </c>
      <c r="O2989" s="76" t="b">
        <v>0</v>
      </c>
      <c r="P2989" s="76" t="b">
        <v>0</v>
      </c>
      <c r="Q2989" s="76" t="b">
        <v>0</v>
      </c>
      <c r="R2989" s="14"/>
      <c r="S2989" s="14"/>
      <c r="T2989" s="14"/>
      <c r="U2989" s="14"/>
      <c r="V2989" s="14"/>
      <c r="W2989" s="14"/>
    </row>
    <row r="2990" ht="31.5" customHeight="1">
      <c r="A2990" s="158"/>
      <c r="B2990" s="159"/>
      <c r="C2990" s="160"/>
      <c r="D2990" s="130"/>
      <c r="E2990" s="130"/>
      <c r="F2990" s="161"/>
      <c r="G2990" s="164"/>
      <c r="H2990" s="76" t="b">
        <v>1</v>
      </c>
      <c r="I2990" s="76" t="b">
        <v>0</v>
      </c>
      <c r="J2990" s="76" t="b">
        <v>0</v>
      </c>
      <c r="K2990" s="76" t="b">
        <v>0</v>
      </c>
      <c r="L2990" s="76" t="b">
        <v>0</v>
      </c>
      <c r="M2990" s="76" t="b">
        <v>0</v>
      </c>
      <c r="N2990" s="76" t="b">
        <v>0</v>
      </c>
      <c r="O2990" s="76" t="b">
        <v>0</v>
      </c>
      <c r="P2990" s="76" t="b">
        <v>0</v>
      </c>
      <c r="Q2990" s="76" t="b">
        <v>0</v>
      </c>
      <c r="R2990" s="14"/>
      <c r="S2990" s="14"/>
      <c r="T2990" s="14"/>
      <c r="U2990" s="14"/>
      <c r="V2990" s="14"/>
      <c r="W2990" s="14"/>
    </row>
    <row r="2991" ht="31.5" customHeight="1">
      <c r="A2991" s="158"/>
      <c r="B2991" s="159"/>
      <c r="C2991" s="160"/>
      <c r="D2991" s="130"/>
      <c r="E2991" s="130"/>
      <c r="F2991" s="161"/>
      <c r="G2991" s="164"/>
      <c r="H2991" s="76" t="b">
        <v>1</v>
      </c>
      <c r="I2991" s="76" t="b">
        <v>0</v>
      </c>
      <c r="J2991" s="76" t="b">
        <v>0</v>
      </c>
      <c r="K2991" s="76" t="b">
        <v>0</v>
      </c>
      <c r="L2991" s="76" t="b">
        <v>0</v>
      </c>
      <c r="M2991" s="76" t="b">
        <v>0</v>
      </c>
      <c r="N2991" s="76" t="b">
        <v>0</v>
      </c>
      <c r="O2991" s="76" t="b">
        <v>0</v>
      </c>
      <c r="P2991" s="76" t="b">
        <v>0</v>
      </c>
      <c r="Q2991" s="76" t="b">
        <v>0</v>
      </c>
      <c r="R2991" s="14"/>
      <c r="S2991" s="14"/>
      <c r="T2991" s="14"/>
      <c r="U2991" s="14"/>
      <c r="V2991" s="14"/>
      <c r="W2991" s="14"/>
    </row>
    <row r="2992" ht="31.5" customHeight="1">
      <c r="A2992" s="158"/>
      <c r="B2992" s="159"/>
      <c r="C2992" s="160"/>
      <c r="D2992" s="130"/>
      <c r="E2992" s="130"/>
      <c r="F2992" s="161"/>
      <c r="G2992" s="164"/>
      <c r="H2992" s="76" t="b">
        <v>1</v>
      </c>
      <c r="I2992" s="76" t="b">
        <v>0</v>
      </c>
      <c r="J2992" s="76" t="b">
        <v>0</v>
      </c>
      <c r="K2992" s="76" t="b">
        <v>0</v>
      </c>
      <c r="L2992" s="76" t="b">
        <v>0</v>
      </c>
      <c r="M2992" s="76" t="b">
        <v>0</v>
      </c>
      <c r="N2992" s="76" t="b">
        <v>0</v>
      </c>
      <c r="O2992" s="76" t="b">
        <v>0</v>
      </c>
      <c r="P2992" s="76" t="b">
        <v>0</v>
      </c>
      <c r="Q2992" s="76" t="b">
        <v>0</v>
      </c>
      <c r="R2992" s="14"/>
      <c r="S2992" s="14"/>
      <c r="T2992" s="14"/>
      <c r="U2992" s="14"/>
      <c r="V2992" s="14"/>
      <c r="W2992" s="14"/>
    </row>
    <row r="2993" ht="31.5" customHeight="1">
      <c r="A2993" s="158"/>
      <c r="B2993" s="159"/>
      <c r="C2993" s="160"/>
      <c r="D2993" s="130"/>
      <c r="E2993" s="130"/>
      <c r="F2993" s="161"/>
      <c r="G2993" s="164"/>
      <c r="H2993" s="76" t="b">
        <v>1</v>
      </c>
      <c r="I2993" s="76" t="b">
        <v>0</v>
      </c>
      <c r="J2993" s="76" t="b">
        <v>0</v>
      </c>
      <c r="K2993" s="76" t="b">
        <v>0</v>
      </c>
      <c r="L2993" s="76" t="b">
        <v>0</v>
      </c>
      <c r="M2993" s="76" t="b">
        <v>0</v>
      </c>
      <c r="N2993" s="76" t="b">
        <v>0</v>
      </c>
      <c r="O2993" s="76" t="b">
        <v>0</v>
      </c>
      <c r="P2993" s="76" t="b">
        <v>0</v>
      </c>
      <c r="Q2993" s="76" t="b">
        <v>0</v>
      </c>
      <c r="R2993" s="14"/>
      <c r="S2993" s="14"/>
      <c r="T2993" s="14"/>
      <c r="U2993" s="14"/>
      <c r="V2993" s="14"/>
      <c r="W2993" s="14"/>
    </row>
    <row r="2994" ht="31.5" customHeight="1">
      <c r="A2994" s="158"/>
      <c r="B2994" s="159"/>
      <c r="C2994" s="160"/>
      <c r="D2994" s="130"/>
      <c r="E2994" s="130"/>
      <c r="F2994" s="161"/>
      <c r="G2994" s="164"/>
      <c r="H2994" s="76" t="b">
        <v>1</v>
      </c>
      <c r="I2994" s="76" t="b">
        <v>0</v>
      </c>
      <c r="J2994" s="76" t="b">
        <v>0</v>
      </c>
      <c r="K2994" s="76" t="b">
        <v>0</v>
      </c>
      <c r="L2994" s="76" t="b">
        <v>0</v>
      </c>
      <c r="M2994" s="76" t="b">
        <v>0</v>
      </c>
      <c r="N2994" s="76" t="b">
        <v>0</v>
      </c>
      <c r="O2994" s="76" t="b">
        <v>0</v>
      </c>
      <c r="P2994" s="76" t="b">
        <v>0</v>
      </c>
      <c r="Q2994" s="76" t="b">
        <v>0</v>
      </c>
      <c r="R2994" s="14"/>
      <c r="S2994" s="14"/>
      <c r="T2994" s="14"/>
      <c r="U2994" s="14"/>
      <c r="V2994" s="14"/>
      <c r="W2994" s="14"/>
    </row>
    <row r="2995" ht="31.5" customHeight="1">
      <c r="A2995" s="158"/>
      <c r="B2995" s="159"/>
      <c r="C2995" s="160"/>
      <c r="D2995" s="130"/>
      <c r="E2995" s="130"/>
      <c r="F2995" s="161"/>
      <c r="G2995" s="164"/>
      <c r="H2995" s="76" t="b">
        <v>1</v>
      </c>
      <c r="I2995" s="76" t="b">
        <v>0</v>
      </c>
      <c r="J2995" s="76" t="b">
        <v>0</v>
      </c>
      <c r="K2995" s="76" t="b">
        <v>0</v>
      </c>
      <c r="L2995" s="76" t="b">
        <v>0</v>
      </c>
      <c r="M2995" s="76" t="b">
        <v>0</v>
      </c>
      <c r="N2995" s="76" t="b">
        <v>0</v>
      </c>
      <c r="O2995" s="76" t="b">
        <v>0</v>
      </c>
      <c r="P2995" s="76" t="b">
        <v>0</v>
      </c>
      <c r="Q2995" s="76" t="b">
        <v>0</v>
      </c>
      <c r="R2995" s="14"/>
      <c r="S2995" s="14"/>
      <c r="T2995" s="14"/>
      <c r="U2995" s="14"/>
      <c r="V2995" s="14"/>
      <c r="W2995" s="14"/>
    </row>
    <row r="2996" ht="31.5" customHeight="1">
      <c r="A2996" s="158"/>
      <c r="B2996" s="159"/>
      <c r="C2996" s="160"/>
      <c r="D2996" s="130"/>
      <c r="E2996" s="130"/>
      <c r="F2996" s="161"/>
      <c r="G2996" s="164"/>
      <c r="H2996" s="76" t="b">
        <v>1</v>
      </c>
      <c r="I2996" s="76" t="b">
        <v>0</v>
      </c>
      <c r="J2996" s="76" t="b">
        <v>0</v>
      </c>
      <c r="K2996" s="76" t="b">
        <v>0</v>
      </c>
      <c r="L2996" s="76" t="b">
        <v>0</v>
      </c>
      <c r="M2996" s="76" t="b">
        <v>0</v>
      </c>
      <c r="N2996" s="76" t="b">
        <v>0</v>
      </c>
      <c r="O2996" s="76" t="b">
        <v>0</v>
      </c>
      <c r="P2996" s="76" t="b">
        <v>0</v>
      </c>
      <c r="Q2996" s="76" t="b">
        <v>0</v>
      </c>
      <c r="R2996" s="14"/>
      <c r="S2996" s="14"/>
      <c r="T2996" s="14"/>
      <c r="U2996" s="14"/>
      <c r="V2996" s="14"/>
      <c r="W2996" s="14"/>
    </row>
    <row r="2997" ht="31.5" customHeight="1">
      <c r="A2997" s="158"/>
      <c r="B2997" s="159"/>
      <c r="C2997" s="160"/>
      <c r="D2997" s="130"/>
      <c r="E2997" s="130"/>
      <c r="F2997" s="161"/>
      <c r="G2997" s="164"/>
      <c r="H2997" s="76" t="b">
        <v>1</v>
      </c>
      <c r="I2997" s="76" t="b">
        <v>0</v>
      </c>
      <c r="J2997" s="76" t="b">
        <v>0</v>
      </c>
      <c r="K2997" s="76" t="b">
        <v>0</v>
      </c>
      <c r="L2997" s="76" t="b">
        <v>0</v>
      </c>
      <c r="M2997" s="76" t="b">
        <v>0</v>
      </c>
      <c r="N2997" s="76" t="b">
        <v>0</v>
      </c>
      <c r="O2997" s="76" t="b">
        <v>0</v>
      </c>
      <c r="P2997" s="76" t="b">
        <v>0</v>
      </c>
      <c r="Q2997" s="76" t="b">
        <v>0</v>
      </c>
      <c r="R2997" s="14"/>
      <c r="S2997" s="14"/>
      <c r="T2997" s="14"/>
      <c r="U2997" s="14"/>
      <c r="V2997" s="14"/>
      <c r="W2997" s="14"/>
    </row>
    <row r="2998" ht="31.5" customHeight="1">
      <c r="A2998" s="158"/>
      <c r="B2998" s="159"/>
      <c r="C2998" s="160"/>
      <c r="D2998" s="130"/>
      <c r="E2998" s="130"/>
      <c r="F2998" s="161"/>
      <c r="G2998" s="164"/>
      <c r="H2998" s="76" t="b">
        <v>1</v>
      </c>
      <c r="I2998" s="76" t="b">
        <v>0</v>
      </c>
      <c r="J2998" s="76" t="b">
        <v>0</v>
      </c>
      <c r="K2998" s="76" t="b">
        <v>0</v>
      </c>
      <c r="L2998" s="76" t="b">
        <v>0</v>
      </c>
      <c r="M2998" s="76" t="b">
        <v>0</v>
      </c>
      <c r="N2998" s="76" t="b">
        <v>0</v>
      </c>
      <c r="O2998" s="76" t="b">
        <v>0</v>
      </c>
      <c r="P2998" s="76" t="b">
        <v>0</v>
      </c>
      <c r="Q2998" s="76" t="b">
        <v>0</v>
      </c>
      <c r="R2998" s="14"/>
      <c r="S2998" s="14"/>
      <c r="T2998" s="14"/>
      <c r="U2998" s="14"/>
      <c r="V2998" s="14"/>
      <c r="W2998" s="14"/>
    </row>
    <row r="2999" ht="31.5" customHeight="1">
      <c r="A2999" s="158"/>
      <c r="B2999" s="159"/>
      <c r="C2999" s="160"/>
      <c r="D2999" s="130"/>
      <c r="E2999" s="130"/>
      <c r="F2999" s="161"/>
      <c r="G2999" s="164"/>
      <c r="H2999" s="76" t="b">
        <v>1</v>
      </c>
      <c r="I2999" s="76" t="b">
        <v>0</v>
      </c>
      <c r="J2999" s="76" t="b">
        <v>0</v>
      </c>
      <c r="K2999" s="76" t="b">
        <v>0</v>
      </c>
      <c r="L2999" s="76" t="b">
        <v>0</v>
      </c>
      <c r="M2999" s="76" t="b">
        <v>0</v>
      </c>
      <c r="N2999" s="76" t="b">
        <v>0</v>
      </c>
      <c r="O2999" s="76" t="b">
        <v>0</v>
      </c>
      <c r="P2999" s="76" t="b">
        <v>0</v>
      </c>
      <c r="Q2999" s="76" t="b">
        <v>0</v>
      </c>
      <c r="R2999" s="14"/>
      <c r="S2999" s="14"/>
      <c r="T2999" s="14"/>
      <c r="U2999" s="14"/>
      <c r="V2999" s="14"/>
      <c r="W2999" s="14"/>
    </row>
    <row r="3000" ht="31.5" customHeight="1">
      <c r="A3000" s="158"/>
      <c r="B3000" s="159"/>
      <c r="C3000" s="160"/>
      <c r="D3000" s="130"/>
      <c r="E3000" s="130"/>
      <c r="F3000" s="161"/>
      <c r="G3000" s="164"/>
      <c r="H3000" s="76" t="b">
        <v>1</v>
      </c>
      <c r="I3000" s="76" t="b">
        <v>0</v>
      </c>
      <c r="J3000" s="76" t="b">
        <v>0</v>
      </c>
      <c r="K3000" s="76" t="b">
        <v>0</v>
      </c>
      <c r="L3000" s="76" t="b">
        <v>0</v>
      </c>
      <c r="M3000" s="76" t="b">
        <v>0</v>
      </c>
      <c r="N3000" s="76" t="b">
        <v>0</v>
      </c>
      <c r="O3000" s="76" t="b">
        <v>0</v>
      </c>
      <c r="P3000" s="76" t="b">
        <v>0</v>
      </c>
      <c r="Q3000" s="76" t="b">
        <v>0</v>
      </c>
      <c r="R3000" s="14"/>
      <c r="S3000" s="14"/>
      <c r="T3000" s="14"/>
      <c r="U3000" s="14"/>
      <c r="V3000" s="14"/>
      <c r="W3000" s="14"/>
    </row>
    <row r="3001" ht="31.5" customHeight="1">
      <c r="A3001" s="158"/>
      <c r="B3001" s="159"/>
      <c r="C3001" s="160"/>
      <c r="D3001" s="130"/>
      <c r="E3001" s="130"/>
      <c r="F3001" s="161"/>
      <c r="G3001" s="164"/>
      <c r="H3001" s="76" t="b">
        <v>1</v>
      </c>
      <c r="I3001" s="76" t="b">
        <v>0</v>
      </c>
      <c r="J3001" s="76" t="b">
        <v>0</v>
      </c>
      <c r="K3001" s="76" t="b">
        <v>0</v>
      </c>
      <c r="L3001" s="76" t="b">
        <v>0</v>
      </c>
      <c r="M3001" s="76" t="b">
        <v>0</v>
      </c>
      <c r="N3001" s="76" t="b">
        <v>0</v>
      </c>
      <c r="O3001" s="76" t="b">
        <v>0</v>
      </c>
      <c r="P3001" s="76" t="b">
        <v>0</v>
      </c>
      <c r="Q3001" s="76" t="b">
        <v>0</v>
      </c>
      <c r="R3001" s="14"/>
      <c r="S3001" s="14"/>
      <c r="T3001" s="14"/>
      <c r="U3001" s="14"/>
      <c r="V3001" s="14"/>
      <c r="W3001" s="14"/>
    </row>
    <row r="3002" ht="31.5" customHeight="1">
      <c r="A3002" s="158"/>
      <c r="B3002" s="159"/>
      <c r="C3002" s="160"/>
      <c r="D3002" s="130"/>
      <c r="E3002" s="130"/>
      <c r="F3002" s="161"/>
      <c r="G3002" s="164"/>
      <c r="H3002" s="76" t="b">
        <v>1</v>
      </c>
      <c r="I3002" s="76" t="b">
        <v>0</v>
      </c>
      <c r="J3002" s="76" t="b">
        <v>0</v>
      </c>
      <c r="K3002" s="76" t="b">
        <v>0</v>
      </c>
      <c r="L3002" s="76" t="b">
        <v>0</v>
      </c>
      <c r="M3002" s="76" t="b">
        <v>0</v>
      </c>
      <c r="N3002" s="76" t="b">
        <v>0</v>
      </c>
      <c r="O3002" s="76" t="b">
        <v>0</v>
      </c>
      <c r="P3002" s="76" t="b">
        <v>0</v>
      </c>
      <c r="Q3002" s="76" t="b">
        <v>0</v>
      </c>
      <c r="R3002" s="14"/>
      <c r="S3002" s="14"/>
      <c r="T3002" s="14"/>
      <c r="U3002" s="14"/>
      <c r="V3002" s="14"/>
      <c r="W3002" s="14"/>
    </row>
    <row r="3003" ht="31.5" customHeight="1">
      <c r="A3003" s="158"/>
      <c r="B3003" s="159"/>
      <c r="C3003" s="160"/>
      <c r="D3003" s="130"/>
      <c r="E3003" s="130"/>
      <c r="F3003" s="161"/>
      <c r="G3003" s="164"/>
      <c r="H3003" s="76" t="b">
        <v>1</v>
      </c>
      <c r="I3003" s="76" t="b">
        <v>0</v>
      </c>
      <c r="J3003" s="76" t="b">
        <v>0</v>
      </c>
      <c r="K3003" s="76" t="b">
        <v>0</v>
      </c>
      <c r="L3003" s="76" t="b">
        <v>0</v>
      </c>
      <c r="M3003" s="76" t="b">
        <v>0</v>
      </c>
      <c r="N3003" s="76" t="b">
        <v>0</v>
      </c>
      <c r="O3003" s="76" t="b">
        <v>0</v>
      </c>
      <c r="P3003" s="76" t="b">
        <v>0</v>
      </c>
      <c r="Q3003" s="76" t="b">
        <v>0</v>
      </c>
      <c r="R3003" s="14"/>
      <c r="S3003" s="14"/>
      <c r="T3003" s="14"/>
      <c r="U3003" s="14"/>
      <c r="V3003" s="14"/>
      <c r="W3003" s="14"/>
    </row>
    <row r="3004" ht="31.5" customHeight="1">
      <c r="A3004" s="158"/>
      <c r="B3004" s="159"/>
      <c r="C3004" s="160"/>
      <c r="D3004" s="130"/>
      <c r="E3004" s="130"/>
      <c r="F3004" s="161"/>
      <c r="G3004" s="164"/>
      <c r="H3004" s="76" t="b">
        <v>1</v>
      </c>
      <c r="I3004" s="76" t="b">
        <v>0</v>
      </c>
      <c r="J3004" s="76" t="b">
        <v>0</v>
      </c>
      <c r="K3004" s="76" t="b">
        <v>0</v>
      </c>
      <c r="L3004" s="76" t="b">
        <v>0</v>
      </c>
      <c r="M3004" s="76" t="b">
        <v>0</v>
      </c>
      <c r="N3004" s="76" t="b">
        <v>0</v>
      </c>
      <c r="O3004" s="76" t="b">
        <v>0</v>
      </c>
      <c r="P3004" s="76" t="b">
        <v>0</v>
      </c>
      <c r="Q3004" s="76" t="b">
        <v>0</v>
      </c>
      <c r="R3004" s="14"/>
      <c r="S3004" s="14"/>
      <c r="T3004" s="14"/>
      <c r="U3004" s="14"/>
      <c r="V3004" s="14"/>
      <c r="W3004" s="14"/>
    </row>
    <row r="3005" ht="31.5" customHeight="1">
      <c r="A3005" s="158"/>
      <c r="B3005" s="159"/>
      <c r="C3005" s="160"/>
      <c r="D3005" s="130"/>
      <c r="E3005" s="130"/>
      <c r="F3005" s="161"/>
      <c r="G3005" s="164"/>
      <c r="H3005" s="76" t="b">
        <v>1</v>
      </c>
      <c r="I3005" s="76" t="b">
        <v>0</v>
      </c>
      <c r="J3005" s="76" t="b">
        <v>0</v>
      </c>
      <c r="K3005" s="76" t="b">
        <v>0</v>
      </c>
      <c r="L3005" s="76" t="b">
        <v>0</v>
      </c>
      <c r="M3005" s="76" t="b">
        <v>0</v>
      </c>
      <c r="N3005" s="76" t="b">
        <v>0</v>
      </c>
      <c r="O3005" s="76" t="b">
        <v>0</v>
      </c>
      <c r="P3005" s="76" t="b">
        <v>0</v>
      </c>
      <c r="Q3005" s="76" t="b">
        <v>0</v>
      </c>
      <c r="R3005" s="14"/>
      <c r="S3005" s="14"/>
      <c r="T3005" s="14"/>
      <c r="U3005" s="14"/>
      <c r="V3005" s="14"/>
      <c r="W3005" s="14"/>
    </row>
    <row r="3006" ht="31.5" customHeight="1">
      <c r="A3006" s="158"/>
      <c r="B3006" s="159"/>
      <c r="C3006" s="160"/>
      <c r="D3006" s="130"/>
      <c r="E3006" s="130"/>
      <c r="F3006" s="161"/>
      <c r="G3006" s="164"/>
      <c r="H3006" s="76" t="b">
        <v>1</v>
      </c>
      <c r="I3006" s="76" t="b">
        <v>0</v>
      </c>
      <c r="J3006" s="76" t="b">
        <v>0</v>
      </c>
      <c r="K3006" s="76" t="b">
        <v>0</v>
      </c>
      <c r="L3006" s="76" t="b">
        <v>0</v>
      </c>
      <c r="M3006" s="76" t="b">
        <v>0</v>
      </c>
      <c r="N3006" s="76" t="b">
        <v>0</v>
      </c>
      <c r="O3006" s="76" t="b">
        <v>0</v>
      </c>
      <c r="P3006" s="76" t="b">
        <v>0</v>
      </c>
      <c r="Q3006" s="76" t="b">
        <v>0</v>
      </c>
      <c r="R3006" s="14"/>
      <c r="S3006" s="14"/>
      <c r="T3006" s="14"/>
      <c r="U3006" s="14"/>
      <c r="V3006" s="14"/>
      <c r="W3006" s="14"/>
    </row>
    <row r="3007" ht="31.5" customHeight="1">
      <c r="A3007" s="158"/>
      <c r="B3007" s="159"/>
      <c r="C3007" s="160"/>
      <c r="D3007" s="130"/>
      <c r="E3007" s="130"/>
      <c r="F3007" s="161"/>
      <c r="G3007" s="164"/>
      <c r="H3007" s="76" t="b">
        <v>0</v>
      </c>
      <c r="I3007" s="76" t="b">
        <v>0</v>
      </c>
      <c r="J3007" s="76" t="b">
        <v>0</v>
      </c>
      <c r="K3007" s="76" t="b">
        <v>0</v>
      </c>
      <c r="L3007" s="76" t="b">
        <v>0</v>
      </c>
      <c r="M3007" s="76" t="b">
        <v>0</v>
      </c>
      <c r="N3007" s="76" t="b">
        <v>0</v>
      </c>
      <c r="O3007" s="76" t="b">
        <v>0</v>
      </c>
      <c r="P3007" s="76" t="b">
        <v>0</v>
      </c>
      <c r="Q3007" s="76" t="b">
        <v>0</v>
      </c>
      <c r="R3007" s="14"/>
      <c r="S3007" s="14"/>
      <c r="T3007" s="14"/>
      <c r="U3007" s="14"/>
      <c r="V3007" s="14"/>
      <c r="W3007" s="14"/>
    </row>
    <row r="3008" ht="31.5" customHeight="1">
      <c r="A3008" s="158"/>
      <c r="B3008" s="159"/>
      <c r="C3008" s="160"/>
      <c r="D3008" s="130"/>
      <c r="E3008" s="130"/>
      <c r="F3008" s="161"/>
      <c r="G3008" s="164"/>
      <c r="H3008" s="76" t="b">
        <v>0</v>
      </c>
      <c r="I3008" s="76" t="b">
        <v>0</v>
      </c>
      <c r="J3008" s="76" t="b">
        <v>0</v>
      </c>
      <c r="K3008" s="76" t="b">
        <v>0</v>
      </c>
      <c r="L3008" s="76" t="b">
        <v>0</v>
      </c>
      <c r="M3008" s="76" t="b">
        <v>0</v>
      </c>
      <c r="N3008" s="76" t="b">
        <v>0</v>
      </c>
      <c r="O3008" s="76" t="b">
        <v>0</v>
      </c>
      <c r="P3008" s="76" t="b">
        <v>0</v>
      </c>
      <c r="Q3008" s="76" t="b">
        <v>0</v>
      </c>
      <c r="R3008" s="14"/>
      <c r="S3008" s="14"/>
      <c r="T3008" s="14"/>
      <c r="U3008" s="14"/>
      <c r="V3008" s="14"/>
      <c r="W3008" s="14"/>
    </row>
    <row r="3009" ht="31.5" customHeight="1">
      <c r="A3009" s="158"/>
      <c r="B3009" s="159"/>
      <c r="C3009" s="160"/>
      <c r="D3009" s="130"/>
      <c r="E3009" s="130"/>
      <c r="F3009" s="161"/>
      <c r="G3009" s="164"/>
      <c r="H3009" s="76" t="b">
        <v>0</v>
      </c>
      <c r="I3009" s="76" t="b">
        <v>0</v>
      </c>
      <c r="J3009" s="76" t="b">
        <v>0</v>
      </c>
      <c r="K3009" s="76" t="b">
        <v>0</v>
      </c>
      <c r="L3009" s="76" t="b">
        <v>0</v>
      </c>
      <c r="M3009" s="76" t="b">
        <v>0</v>
      </c>
      <c r="N3009" s="76" t="b">
        <v>0</v>
      </c>
      <c r="O3009" s="76" t="b">
        <v>0</v>
      </c>
      <c r="P3009" s="76" t="b">
        <v>0</v>
      </c>
      <c r="Q3009" s="76" t="b">
        <v>0</v>
      </c>
      <c r="R3009" s="14"/>
      <c r="S3009" s="14"/>
      <c r="T3009" s="14"/>
      <c r="U3009" s="14"/>
      <c r="V3009" s="14"/>
      <c r="W3009" s="14"/>
    </row>
    <row r="3010" ht="31.5" customHeight="1">
      <c r="A3010" s="158"/>
      <c r="B3010" s="159"/>
      <c r="C3010" s="160"/>
      <c r="D3010" s="130"/>
      <c r="E3010" s="130"/>
      <c r="F3010" s="161"/>
      <c r="G3010" s="164"/>
      <c r="H3010" s="76" t="b">
        <v>0</v>
      </c>
      <c r="I3010" s="76" t="b">
        <v>0</v>
      </c>
      <c r="J3010" s="76" t="b">
        <v>0</v>
      </c>
      <c r="K3010" s="76" t="b">
        <v>0</v>
      </c>
      <c r="L3010" s="76" t="b">
        <v>0</v>
      </c>
      <c r="M3010" s="76" t="b">
        <v>0</v>
      </c>
      <c r="N3010" s="76" t="b">
        <v>0</v>
      </c>
      <c r="O3010" s="76" t="b">
        <v>0</v>
      </c>
      <c r="P3010" s="76" t="b">
        <v>0</v>
      </c>
      <c r="Q3010" s="76" t="b">
        <v>0</v>
      </c>
      <c r="R3010" s="14"/>
      <c r="S3010" s="14"/>
      <c r="T3010" s="14"/>
      <c r="U3010" s="14"/>
      <c r="V3010" s="14"/>
      <c r="W3010" s="14"/>
    </row>
    <row r="3011" ht="31.5" customHeight="1">
      <c r="A3011" s="158"/>
      <c r="B3011" s="159"/>
      <c r="C3011" s="160"/>
      <c r="D3011" s="130"/>
      <c r="E3011" s="130"/>
      <c r="F3011" s="161"/>
      <c r="G3011" s="164"/>
      <c r="H3011" s="76" t="b">
        <v>0</v>
      </c>
      <c r="I3011" s="76" t="b">
        <v>0</v>
      </c>
      <c r="J3011" s="76" t="b">
        <v>0</v>
      </c>
      <c r="K3011" s="76" t="b">
        <v>0</v>
      </c>
      <c r="L3011" s="76" t="b">
        <v>0</v>
      </c>
      <c r="M3011" s="76" t="b">
        <v>0</v>
      </c>
      <c r="N3011" s="76" t="b">
        <v>0</v>
      </c>
      <c r="O3011" s="76" t="b">
        <v>0</v>
      </c>
      <c r="P3011" s="76" t="b">
        <v>0</v>
      </c>
      <c r="Q3011" s="76" t="b">
        <v>0</v>
      </c>
      <c r="R3011" s="14"/>
      <c r="S3011" s="14"/>
      <c r="T3011" s="14"/>
      <c r="U3011" s="14"/>
      <c r="V3011" s="14"/>
      <c r="W3011" s="14"/>
    </row>
    <row r="3012" ht="31.5" customHeight="1">
      <c r="A3012" s="158"/>
      <c r="B3012" s="159"/>
      <c r="C3012" s="160"/>
      <c r="D3012" s="130"/>
      <c r="E3012" s="130"/>
      <c r="F3012" s="161"/>
      <c r="G3012" s="164"/>
      <c r="H3012" s="76" t="b">
        <v>0</v>
      </c>
      <c r="I3012" s="76" t="b">
        <v>0</v>
      </c>
      <c r="J3012" s="76" t="b">
        <v>0</v>
      </c>
      <c r="K3012" s="76" t="b">
        <v>0</v>
      </c>
      <c r="L3012" s="76" t="b">
        <v>0</v>
      </c>
      <c r="M3012" s="76" t="b">
        <v>0</v>
      </c>
      <c r="N3012" s="76" t="b">
        <v>0</v>
      </c>
      <c r="O3012" s="76" t="b">
        <v>0</v>
      </c>
      <c r="P3012" s="76" t="b">
        <v>0</v>
      </c>
      <c r="Q3012" s="76" t="b">
        <v>0</v>
      </c>
      <c r="R3012" s="14"/>
      <c r="S3012" s="14"/>
      <c r="T3012" s="14"/>
      <c r="U3012" s="14"/>
      <c r="V3012" s="14"/>
      <c r="W3012" s="14"/>
    </row>
    <row r="3013" ht="31.5" customHeight="1">
      <c r="A3013" s="158"/>
      <c r="B3013" s="159"/>
      <c r="C3013" s="160"/>
      <c r="D3013" s="130"/>
      <c r="E3013" s="130"/>
      <c r="F3013" s="161"/>
      <c r="G3013" s="164"/>
      <c r="H3013" s="76" t="b">
        <v>0</v>
      </c>
      <c r="I3013" s="76" t="b">
        <v>0</v>
      </c>
      <c r="J3013" s="76" t="b">
        <v>0</v>
      </c>
      <c r="K3013" s="76" t="b">
        <v>0</v>
      </c>
      <c r="L3013" s="76" t="b">
        <v>0</v>
      </c>
      <c r="M3013" s="76" t="b">
        <v>0</v>
      </c>
      <c r="N3013" s="76" t="b">
        <v>0</v>
      </c>
      <c r="O3013" s="76" t="b">
        <v>0</v>
      </c>
      <c r="P3013" s="76" t="b">
        <v>0</v>
      </c>
      <c r="Q3013" s="76" t="b">
        <v>0</v>
      </c>
      <c r="R3013" s="14"/>
      <c r="S3013" s="14"/>
      <c r="T3013" s="14"/>
      <c r="U3013" s="14"/>
      <c r="V3013" s="14"/>
      <c r="W3013" s="14"/>
    </row>
    <row r="3014" ht="31.5" customHeight="1">
      <c r="A3014" s="158"/>
      <c r="B3014" s="159"/>
      <c r="C3014" s="160"/>
      <c r="D3014" s="130"/>
      <c r="E3014" s="130"/>
      <c r="F3014" s="161"/>
      <c r="G3014" s="164"/>
      <c r="H3014" s="76" t="b">
        <v>0</v>
      </c>
      <c r="I3014" s="76" t="b">
        <v>0</v>
      </c>
      <c r="J3014" s="76" t="b">
        <v>0</v>
      </c>
      <c r="K3014" s="76" t="b">
        <v>0</v>
      </c>
      <c r="L3014" s="76" t="b">
        <v>0</v>
      </c>
      <c r="M3014" s="76" t="b">
        <v>0</v>
      </c>
      <c r="N3014" s="76" t="b">
        <v>0</v>
      </c>
      <c r="O3014" s="76" t="b">
        <v>0</v>
      </c>
      <c r="P3014" s="76" t="b">
        <v>0</v>
      </c>
      <c r="Q3014" s="76" t="b">
        <v>0</v>
      </c>
      <c r="R3014" s="14"/>
      <c r="S3014" s="14"/>
      <c r="T3014" s="14"/>
      <c r="U3014" s="14"/>
      <c r="V3014" s="14"/>
      <c r="W3014" s="14"/>
    </row>
    <row r="3015" ht="31.5" customHeight="1">
      <c r="A3015" s="158"/>
      <c r="B3015" s="159"/>
      <c r="C3015" s="160"/>
      <c r="D3015" s="130"/>
      <c r="E3015" s="130"/>
      <c r="F3015" s="161"/>
      <c r="G3015" s="164"/>
      <c r="H3015" s="76" t="b">
        <v>0</v>
      </c>
      <c r="I3015" s="76" t="b">
        <v>0</v>
      </c>
      <c r="J3015" s="76" t="b">
        <v>0</v>
      </c>
      <c r="K3015" s="76" t="b">
        <v>0</v>
      </c>
      <c r="L3015" s="76" t="b">
        <v>0</v>
      </c>
      <c r="M3015" s="76" t="b">
        <v>0</v>
      </c>
      <c r="N3015" s="76" t="b">
        <v>0</v>
      </c>
      <c r="O3015" s="76" t="b">
        <v>0</v>
      </c>
      <c r="P3015" s="76" t="b">
        <v>0</v>
      </c>
      <c r="Q3015" s="76" t="b">
        <v>0</v>
      </c>
      <c r="R3015" s="14"/>
      <c r="S3015" s="14"/>
      <c r="T3015" s="14"/>
      <c r="U3015" s="14"/>
      <c r="V3015" s="14"/>
      <c r="W3015" s="14"/>
    </row>
    <row r="3016" ht="31.5" customHeight="1">
      <c r="A3016" s="158"/>
      <c r="B3016" s="159"/>
      <c r="C3016" s="160"/>
      <c r="D3016" s="130"/>
      <c r="E3016" s="130"/>
      <c r="F3016" s="161"/>
      <c r="G3016" s="164"/>
      <c r="H3016" s="76" t="b">
        <v>0</v>
      </c>
      <c r="I3016" s="76" t="b">
        <v>0</v>
      </c>
      <c r="J3016" s="76" t="b">
        <v>0</v>
      </c>
      <c r="K3016" s="76" t="b">
        <v>0</v>
      </c>
      <c r="L3016" s="76" t="b">
        <v>0</v>
      </c>
      <c r="M3016" s="76" t="b">
        <v>0</v>
      </c>
      <c r="N3016" s="76" t="b">
        <v>0</v>
      </c>
      <c r="O3016" s="76" t="b">
        <v>0</v>
      </c>
      <c r="P3016" s="76" t="b">
        <v>0</v>
      </c>
      <c r="Q3016" s="76" t="b">
        <v>0</v>
      </c>
      <c r="R3016" s="14"/>
      <c r="S3016" s="14"/>
      <c r="T3016" s="14"/>
      <c r="U3016" s="14"/>
      <c r="V3016" s="14"/>
      <c r="W3016" s="14"/>
    </row>
    <row r="3017" ht="31.5" customHeight="1">
      <c r="A3017" s="158"/>
      <c r="B3017" s="159"/>
      <c r="C3017" s="160"/>
      <c r="D3017" s="130"/>
      <c r="E3017" s="130"/>
      <c r="F3017" s="161"/>
      <c r="G3017" s="164"/>
      <c r="H3017" s="76" t="b">
        <v>0</v>
      </c>
      <c r="I3017" s="76" t="b">
        <v>0</v>
      </c>
      <c r="J3017" s="76" t="b">
        <v>0</v>
      </c>
      <c r="K3017" s="76" t="b">
        <v>0</v>
      </c>
      <c r="L3017" s="76" t="b">
        <v>0</v>
      </c>
      <c r="M3017" s="76" t="b">
        <v>0</v>
      </c>
      <c r="N3017" s="76" t="b">
        <v>0</v>
      </c>
      <c r="O3017" s="76" t="b">
        <v>0</v>
      </c>
      <c r="P3017" s="76" t="b">
        <v>0</v>
      </c>
      <c r="Q3017" s="76" t="b">
        <v>0</v>
      </c>
      <c r="R3017" s="14"/>
      <c r="S3017" s="14"/>
      <c r="T3017" s="14"/>
      <c r="U3017" s="14"/>
      <c r="V3017" s="14"/>
      <c r="W3017" s="14"/>
    </row>
    <row r="3018" ht="31.5" customHeight="1">
      <c r="A3018" s="158"/>
      <c r="B3018" s="159"/>
      <c r="C3018" s="160"/>
      <c r="D3018" s="130"/>
      <c r="E3018" s="130"/>
      <c r="F3018" s="161"/>
      <c r="G3018" s="164"/>
      <c r="H3018" s="76" t="b">
        <v>0</v>
      </c>
      <c r="I3018" s="76" t="b">
        <v>0</v>
      </c>
      <c r="J3018" s="76" t="b">
        <v>0</v>
      </c>
      <c r="K3018" s="76" t="b">
        <v>0</v>
      </c>
      <c r="L3018" s="76" t="b">
        <v>0</v>
      </c>
      <c r="M3018" s="76" t="b">
        <v>0</v>
      </c>
      <c r="N3018" s="76" t="b">
        <v>0</v>
      </c>
      <c r="O3018" s="76" t="b">
        <v>0</v>
      </c>
      <c r="P3018" s="76" t="b">
        <v>0</v>
      </c>
      <c r="Q3018" s="76" t="b">
        <v>0</v>
      </c>
      <c r="R3018" s="14"/>
      <c r="S3018" s="14"/>
      <c r="T3018" s="14"/>
      <c r="U3018" s="14"/>
      <c r="V3018" s="14"/>
      <c r="W3018" s="14"/>
    </row>
    <row r="3019" ht="31.5" customHeight="1">
      <c r="A3019" s="158"/>
      <c r="B3019" s="159"/>
      <c r="C3019" s="160"/>
      <c r="D3019" s="130"/>
      <c r="E3019" s="130"/>
      <c r="F3019" s="161"/>
      <c r="G3019" s="164"/>
      <c r="H3019" s="76" t="b">
        <v>0</v>
      </c>
      <c r="I3019" s="76" t="b">
        <v>0</v>
      </c>
      <c r="J3019" s="76" t="b">
        <v>0</v>
      </c>
      <c r="K3019" s="76" t="b">
        <v>0</v>
      </c>
      <c r="L3019" s="76" t="b">
        <v>0</v>
      </c>
      <c r="M3019" s="76" t="b">
        <v>0</v>
      </c>
      <c r="N3019" s="76" t="b">
        <v>0</v>
      </c>
      <c r="O3019" s="76" t="b">
        <v>0</v>
      </c>
      <c r="P3019" s="76" t="b">
        <v>0</v>
      </c>
      <c r="Q3019" s="76" t="b">
        <v>0</v>
      </c>
      <c r="R3019" s="14"/>
      <c r="S3019" s="14"/>
      <c r="T3019" s="14"/>
      <c r="U3019" s="14"/>
      <c r="V3019" s="14"/>
      <c r="W3019" s="14"/>
    </row>
    <row r="3020" ht="31.5" customHeight="1">
      <c r="A3020" s="158"/>
      <c r="B3020" s="159"/>
      <c r="C3020" s="160"/>
      <c r="D3020" s="130"/>
      <c r="E3020" s="130"/>
      <c r="F3020" s="161"/>
      <c r="G3020" s="164"/>
      <c r="H3020" s="76" t="b">
        <v>0</v>
      </c>
      <c r="I3020" s="76" t="b">
        <v>0</v>
      </c>
      <c r="J3020" s="76" t="b">
        <v>0</v>
      </c>
      <c r="K3020" s="76" t="b">
        <v>0</v>
      </c>
      <c r="L3020" s="76" t="b">
        <v>0</v>
      </c>
      <c r="M3020" s="76" t="b">
        <v>0</v>
      </c>
      <c r="N3020" s="76" t="b">
        <v>0</v>
      </c>
      <c r="O3020" s="76" t="b">
        <v>0</v>
      </c>
      <c r="P3020" s="76" t="b">
        <v>0</v>
      </c>
      <c r="Q3020" s="76" t="b">
        <v>0</v>
      </c>
      <c r="R3020" s="14"/>
      <c r="S3020" s="14"/>
      <c r="T3020" s="14"/>
      <c r="U3020" s="14"/>
      <c r="V3020" s="14"/>
      <c r="W3020" s="14"/>
    </row>
    <row r="3021" ht="31.5" customHeight="1">
      <c r="A3021" s="158"/>
      <c r="B3021" s="159"/>
      <c r="C3021" s="160"/>
      <c r="D3021" s="130"/>
      <c r="E3021" s="130"/>
      <c r="F3021" s="161"/>
      <c r="G3021" s="164"/>
      <c r="H3021" s="76" t="b">
        <v>0</v>
      </c>
      <c r="I3021" s="76" t="b">
        <v>0</v>
      </c>
      <c r="J3021" s="76" t="b">
        <v>0</v>
      </c>
      <c r="K3021" s="76" t="b">
        <v>0</v>
      </c>
      <c r="L3021" s="76" t="b">
        <v>0</v>
      </c>
      <c r="M3021" s="76" t="b">
        <v>0</v>
      </c>
      <c r="N3021" s="76" t="b">
        <v>0</v>
      </c>
      <c r="O3021" s="76" t="b">
        <v>0</v>
      </c>
      <c r="P3021" s="76" t="b">
        <v>0</v>
      </c>
      <c r="Q3021" s="76" t="b">
        <v>0</v>
      </c>
      <c r="R3021" s="14"/>
      <c r="S3021" s="14"/>
      <c r="T3021" s="14"/>
      <c r="U3021" s="14"/>
      <c r="V3021" s="14"/>
      <c r="W3021" s="14"/>
    </row>
    <row r="3022" ht="31.5" customHeight="1">
      <c r="A3022" s="158"/>
      <c r="B3022" s="159"/>
      <c r="C3022" s="160"/>
      <c r="D3022" s="130"/>
      <c r="E3022" s="130"/>
      <c r="F3022" s="161"/>
      <c r="G3022" s="164"/>
      <c r="H3022" s="76" t="b">
        <v>0</v>
      </c>
      <c r="I3022" s="76" t="b">
        <v>0</v>
      </c>
      <c r="J3022" s="76" t="b">
        <v>0</v>
      </c>
      <c r="K3022" s="76" t="b">
        <v>0</v>
      </c>
      <c r="L3022" s="76" t="b">
        <v>0</v>
      </c>
      <c r="M3022" s="76" t="b">
        <v>0</v>
      </c>
      <c r="N3022" s="76" t="b">
        <v>0</v>
      </c>
      <c r="O3022" s="76" t="b">
        <v>0</v>
      </c>
      <c r="P3022" s="76" t="b">
        <v>0</v>
      </c>
      <c r="Q3022" s="76" t="b">
        <v>0</v>
      </c>
      <c r="R3022" s="14"/>
      <c r="S3022" s="14"/>
      <c r="T3022" s="14"/>
      <c r="U3022" s="14"/>
      <c r="V3022" s="14"/>
      <c r="W3022" s="14"/>
    </row>
    <row r="3023" ht="31.5" customHeight="1">
      <c r="A3023" s="158"/>
      <c r="B3023" s="159"/>
      <c r="C3023" s="160"/>
      <c r="D3023" s="130"/>
      <c r="E3023" s="130"/>
      <c r="F3023" s="161"/>
      <c r="G3023" s="164"/>
      <c r="H3023" s="76" t="b">
        <v>0</v>
      </c>
      <c r="I3023" s="76" t="b">
        <v>0</v>
      </c>
      <c r="J3023" s="76" t="b">
        <v>0</v>
      </c>
      <c r="K3023" s="76" t="b">
        <v>0</v>
      </c>
      <c r="L3023" s="76" t="b">
        <v>0</v>
      </c>
      <c r="M3023" s="76" t="b">
        <v>0</v>
      </c>
      <c r="N3023" s="76" t="b">
        <v>0</v>
      </c>
      <c r="O3023" s="76" t="b">
        <v>0</v>
      </c>
      <c r="P3023" s="76" t="b">
        <v>0</v>
      </c>
      <c r="Q3023" s="76" t="b">
        <v>0</v>
      </c>
      <c r="R3023" s="14"/>
      <c r="S3023" s="14"/>
      <c r="T3023" s="14"/>
      <c r="U3023" s="14"/>
      <c r="V3023" s="14"/>
      <c r="W3023" s="14"/>
    </row>
    <row r="3024" ht="31.5" customHeight="1">
      <c r="A3024" s="158"/>
      <c r="B3024" s="159"/>
      <c r="C3024" s="160"/>
      <c r="D3024" s="130"/>
      <c r="E3024" s="130"/>
      <c r="F3024" s="161"/>
      <c r="G3024" s="164"/>
      <c r="H3024" s="76" t="b">
        <v>0</v>
      </c>
      <c r="I3024" s="76" t="b">
        <v>0</v>
      </c>
      <c r="J3024" s="76" t="b">
        <v>0</v>
      </c>
      <c r="K3024" s="76" t="b">
        <v>0</v>
      </c>
      <c r="L3024" s="76" t="b">
        <v>0</v>
      </c>
      <c r="M3024" s="76" t="b">
        <v>0</v>
      </c>
      <c r="N3024" s="76" t="b">
        <v>0</v>
      </c>
      <c r="O3024" s="76" t="b">
        <v>0</v>
      </c>
      <c r="P3024" s="76" t="b">
        <v>0</v>
      </c>
      <c r="Q3024" s="76" t="b">
        <v>0</v>
      </c>
      <c r="R3024" s="14"/>
      <c r="S3024" s="14"/>
      <c r="T3024" s="14"/>
      <c r="U3024" s="14"/>
      <c r="V3024" s="14"/>
      <c r="W3024" s="14"/>
    </row>
    <row r="3025" ht="31.5" customHeight="1">
      <c r="A3025" s="158"/>
      <c r="B3025" s="159"/>
      <c r="C3025" s="160"/>
      <c r="D3025" s="130"/>
      <c r="E3025" s="130"/>
      <c r="F3025" s="161"/>
      <c r="G3025" s="164"/>
      <c r="H3025" s="76" t="b">
        <v>0</v>
      </c>
      <c r="I3025" s="76" t="b">
        <v>0</v>
      </c>
      <c r="J3025" s="76" t="b">
        <v>0</v>
      </c>
      <c r="K3025" s="76" t="b">
        <v>0</v>
      </c>
      <c r="L3025" s="76" t="b">
        <v>0</v>
      </c>
      <c r="M3025" s="76" t="b">
        <v>0</v>
      </c>
      <c r="N3025" s="76" t="b">
        <v>0</v>
      </c>
      <c r="O3025" s="76" t="b">
        <v>0</v>
      </c>
      <c r="P3025" s="76" t="b">
        <v>0</v>
      </c>
      <c r="Q3025" s="76" t="b">
        <v>0</v>
      </c>
      <c r="R3025" s="14"/>
      <c r="S3025" s="14"/>
      <c r="T3025" s="14"/>
      <c r="U3025" s="14"/>
      <c r="V3025" s="14"/>
      <c r="W3025" s="14"/>
    </row>
    <row r="3026" ht="31.5" customHeight="1">
      <c r="A3026" s="158"/>
      <c r="B3026" s="159"/>
      <c r="C3026" s="160"/>
      <c r="D3026" s="130"/>
      <c r="E3026" s="130"/>
      <c r="F3026" s="161"/>
      <c r="G3026" s="164"/>
      <c r="H3026" s="76" t="b">
        <v>0</v>
      </c>
      <c r="I3026" s="76" t="b">
        <v>0</v>
      </c>
      <c r="J3026" s="76" t="b">
        <v>0</v>
      </c>
      <c r="K3026" s="76" t="b">
        <v>0</v>
      </c>
      <c r="L3026" s="76" t="b">
        <v>0</v>
      </c>
      <c r="M3026" s="76" t="b">
        <v>0</v>
      </c>
      <c r="N3026" s="76" t="b">
        <v>0</v>
      </c>
      <c r="O3026" s="76" t="b">
        <v>0</v>
      </c>
      <c r="P3026" s="76" t="b">
        <v>0</v>
      </c>
      <c r="Q3026" s="76" t="b">
        <v>0</v>
      </c>
      <c r="R3026" s="14"/>
      <c r="S3026" s="14"/>
      <c r="T3026" s="14"/>
      <c r="U3026" s="14"/>
      <c r="V3026" s="14"/>
      <c r="W3026" s="14"/>
    </row>
    <row r="3027" ht="31.5" customHeight="1">
      <c r="A3027" s="158"/>
      <c r="B3027" s="159"/>
      <c r="C3027" s="160"/>
      <c r="D3027" s="130"/>
      <c r="E3027" s="130"/>
      <c r="F3027" s="161"/>
      <c r="G3027" s="164"/>
      <c r="H3027" s="76" t="b">
        <v>0</v>
      </c>
      <c r="I3027" s="76" t="b">
        <v>0</v>
      </c>
      <c r="J3027" s="76" t="b">
        <v>0</v>
      </c>
      <c r="K3027" s="76" t="b">
        <v>0</v>
      </c>
      <c r="L3027" s="76" t="b">
        <v>0</v>
      </c>
      <c r="M3027" s="76" t="b">
        <v>0</v>
      </c>
      <c r="N3027" s="76" t="b">
        <v>0</v>
      </c>
      <c r="O3027" s="76" t="b">
        <v>0</v>
      </c>
      <c r="P3027" s="76" t="b">
        <v>0</v>
      </c>
      <c r="Q3027" s="76" t="b">
        <v>0</v>
      </c>
      <c r="R3027" s="14"/>
      <c r="S3027" s="14"/>
      <c r="T3027" s="14"/>
      <c r="U3027" s="14"/>
      <c r="V3027" s="14"/>
      <c r="W3027" s="14"/>
    </row>
    <row r="3028" ht="31.5" customHeight="1">
      <c r="A3028" s="158"/>
      <c r="B3028" s="159"/>
      <c r="C3028" s="160"/>
      <c r="D3028" s="130"/>
      <c r="E3028" s="130"/>
      <c r="F3028" s="161"/>
      <c r="G3028" s="164"/>
      <c r="H3028" s="76" t="b">
        <v>0</v>
      </c>
      <c r="I3028" s="76" t="b">
        <v>0</v>
      </c>
      <c r="J3028" s="76" t="b">
        <v>0</v>
      </c>
      <c r="K3028" s="76" t="b">
        <v>0</v>
      </c>
      <c r="L3028" s="76" t="b">
        <v>0</v>
      </c>
      <c r="M3028" s="76" t="b">
        <v>0</v>
      </c>
      <c r="N3028" s="76" t="b">
        <v>0</v>
      </c>
      <c r="O3028" s="76" t="b">
        <v>0</v>
      </c>
      <c r="P3028" s="76" t="b">
        <v>0</v>
      </c>
      <c r="Q3028" s="76" t="b">
        <v>0</v>
      </c>
      <c r="R3028" s="14"/>
      <c r="S3028" s="14"/>
      <c r="T3028" s="14"/>
      <c r="U3028" s="14"/>
      <c r="V3028" s="14"/>
      <c r="W3028" s="14"/>
    </row>
    <row r="3029" ht="31.5" customHeight="1">
      <c r="A3029" s="158"/>
      <c r="B3029" s="159"/>
      <c r="C3029" s="160"/>
      <c r="D3029" s="130"/>
      <c r="E3029" s="130"/>
      <c r="F3029" s="161"/>
      <c r="G3029" s="164"/>
      <c r="H3029" s="76" t="b">
        <v>0</v>
      </c>
      <c r="I3029" s="76" t="b">
        <v>0</v>
      </c>
      <c r="J3029" s="76" t="b">
        <v>0</v>
      </c>
      <c r="K3029" s="76" t="b">
        <v>0</v>
      </c>
      <c r="L3029" s="76" t="b">
        <v>0</v>
      </c>
      <c r="M3029" s="76" t="b">
        <v>0</v>
      </c>
      <c r="N3029" s="76" t="b">
        <v>0</v>
      </c>
      <c r="O3029" s="76" t="b">
        <v>0</v>
      </c>
      <c r="P3029" s="76" t="b">
        <v>0</v>
      </c>
      <c r="Q3029" s="76" t="b">
        <v>0</v>
      </c>
      <c r="R3029" s="14"/>
      <c r="S3029" s="14"/>
      <c r="T3029" s="14"/>
      <c r="U3029" s="14"/>
      <c r="V3029" s="14"/>
      <c r="W3029" s="14"/>
    </row>
    <row r="3030" ht="31.5" customHeight="1">
      <c r="A3030" s="158"/>
      <c r="B3030" s="159"/>
      <c r="C3030" s="160"/>
      <c r="D3030" s="130"/>
      <c r="E3030" s="130"/>
      <c r="F3030" s="161"/>
      <c r="G3030" s="164"/>
      <c r="H3030" s="76" t="b">
        <v>0</v>
      </c>
      <c r="I3030" s="76" t="b">
        <v>0</v>
      </c>
      <c r="J3030" s="76" t="b">
        <v>0</v>
      </c>
      <c r="K3030" s="76" t="b">
        <v>0</v>
      </c>
      <c r="L3030" s="76" t="b">
        <v>0</v>
      </c>
      <c r="M3030" s="76" t="b">
        <v>0</v>
      </c>
      <c r="N3030" s="76" t="b">
        <v>0</v>
      </c>
      <c r="O3030" s="76" t="b">
        <v>0</v>
      </c>
      <c r="P3030" s="76" t="b">
        <v>0</v>
      </c>
      <c r="Q3030" s="76" t="b">
        <v>0</v>
      </c>
      <c r="R3030" s="14"/>
      <c r="S3030" s="14"/>
      <c r="T3030" s="14"/>
      <c r="U3030" s="14"/>
      <c r="V3030" s="14"/>
      <c r="W3030" s="14"/>
    </row>
    <row r="3031" ht="31.5" customHeight="1">
      <c r="A3031" s="158"/>
      <c r="B3031" s="159"/>
      <c r="C3031" s="160"/>
      <c r="D3031" s="130"/>
      <c r="E3031" s="130"/>
      <c r="F3031" s="161"/>
      <c r="G3031" s="164"/>
      <c r="H3031" s="76" t="b">
        <v>0</v>
      </c>
      <c r="I3031" s="76" t="b">
        <v>0</v>
      </c>
      <c r="J3031" s="76" t="b">
        <v>0</v>
      </c>
      <c r="K3031" s="76" t="b">
        <v>0</v>
      </c>
      <c r="L3031" s="76" t="b">
        <v>0</v>
      </c>
      <c r="M3031" s="76" t="b">
        <v>0</v>
      </c>
      <c r="N3031" s="76" t="b">
        <v>0</v>
      </c>
      <c r="O3031" s="76" t="b">
        <v>0</v>
      </c>
      <c r="P3031" s="76" t="b">
        <v>0</v>
      </c>
      <c r="Q3031" s="76" t="b">
        <v>0</v>
      </c>
      <c r="R3031" s="14"/>
      <c r="S3031" s="14"/>
      <c r="T3031" s="14"/>
      <c r="U3031" s="14"/>
      <c r="V3031" s="14"/>
      <c r="W3031" s="14"/>
    </row>
    <row r="3032" ht="31.5" customHeight="1">
      <c r="A3032" s="158"/>
      <c r="B3032" s="159"/>
      <c r="C3032" s="160"/>
      <c r="D3032" s="130"/>
      <c r="E3032" s="130"/>
      <c r="F3032" s="161"/>
      <c r="G3032" s="164"/>
      <c r="H3032" s="76" t="b">
        <v>0</v>
      </c>
      <c r="I3032" s="76" t="b">
        <v>0</v>
      </c>
      <c r="J3032" s="76" t="b">
        <v>0</v>
      </c>
      <c r="K3032" s="76" t="b">
        <v>0</v>
      </c>
      <c r="L3032" s="76" t="b">
        <v>0</v>
      </c>
      <c r="M3032" s="76" t="b">
        <v>0</v>
      </c>
      <c r="N3032" s="76" t="b">
        <v>0</v>
      </c>
      <c r="O3032" s="76" t="b">
        <v>0</v>
      </c>
      <c r="P3032" s="76" t="b">
        <v>0</v>
      </c>
      <c r="Q3032" s="76" t="b">
        <v>0</v>
      </c>
      <c r="R3032" s="14"/>
      <c r="S3032" s="14"/>
      <c r="T3032" s="14"/>
      <c r="U3032" s="14"/>
      <c r="V3032" s="14"/>
      <c r="W3032" s="14"/>
    </row>
    <row r="3033" ht="31.5" customHeight="1">
      <c r="A3033" s="158"/>
      <c r="B3033" s="159"/>
      <c r="C3033" s="160"/>
      <c r="D3033" s="130"/>
      <c r="E3033" s="130"/>
      <c r="F3033" s="161"/>
      <c r="G3033" s="164"/>
      <c r="H3033" s="76" t="b">
        <v>0</v>
      </c>
      <c r="I3033" s="76" t="b">
        <v>0</v>
      </c>
      <c r="J3033" s="76" t="b">
        <v>0</v>
      </c>
      <c r="K3033" s="76" t="b">
        <v>0</v>
      </c>
      <c r="L3033" s="76" t="b">
        <v>0</v>
      </c>
      <c r="M3033" s="76" t="b">
        <v>0</v>
      </c>
      <c r="N3033" s="76" t="b">
        <v>0</v>
      </c>
      <c r="O3033" s="76" t="b">
        <v>0</v>
      </c>
      <c r="P3033" s="76" t="b">
        <v>0</v>
      </c>
      <c r="Q3033" s="76" t="b">
        <v>0</v>
      </c>
      <c r="R3033" s="14"/>
      <c r="S3033" s="14"/>
      <c r="T3033" s="14"/>
      <c r="U3033" s="14"/>
      <c r="V3033" s="14"/>
      <c r="W3033" s="14"/>
    </row>
    <row r="3034" ht="31.5" customHeight="1">
      <c r="A3034" s="158"/>
      <c r="B3034" s="159"/>
      <c r="C3034" s="160"/>
      <c r="D3034" s="130"/>
      <c r="E3034" s="130"/>
      <c r="F3034" s="161"/>
      <c r="G3034" s="164"/>
      <c r="H3034" s="76" t="b">
        <v>0</v>
      </c>
      <c r="I3034" s="76" t="b">
        <v>0</v>
      </c>
      <c r="J3034" s="76" t="b">
        <v>0</v>
      </c>
      <c r="K3034" s="76" t="b">
        <v>0</v>
      </c>
      <c r="L3034" s="76" t="b">
        <v>0</v>
      </c>
      <c r="M3034" s="76" t="b">
        <v>0</v>
      </c>
      <c r="N3034" s="76" t="b">
        <v>0</v>
      </c>
      <c r="O3034" s="76" t="b">
        <v>0</v>
      </c>
      <c r="P3034" s="76" t="b">
        <v>0</v>
      </c>
      <c r="Q3034" s="76" t="b">
        <v>0</v>
      </c>
      <c r="R3034" s="14"/>
      <c r="S3034" s="14"/>
      <c r="T3034" s="14"/>
      <c r="U3034" s="14"/>
      <c r="V3034" s="14"/>
      <c r="W3034" s="14"/>
    </row>
    <row r="3035" ht="31.5" customHeight="1">
      <c r="A3035" s="158"/>
      <c r="B3035" s="159"/>
      <c r="C3035" s="160"/>
      <c r="D3035" s="130"/>
      <c r="E3035" s="130"/>
      <c r="F3035" s="161"/>
      <c r="G3035" s="164"/>
      <c r="H3035" s="76" t="b">
        <v>0</v>
      </c>
      <c r="I3035" s="76" t="b">
        <v>0</v>
      </c>
      <c r="J3035" s="76" t="b">
        <v>0</v>
      </c>
      <c r="K3035" s="76" t="b">
        <v>0</v>
      </c>
      <c r="L3035" s="76" t="b">
        <v>0</v>
      </c>
      <c r="M3035" s="76" t="b">
        <v>0</v>
      </c>
      <c r="N3035" s="76" t="b">
        <v>0</v>
      </c>
      <c r="O3035" s="76" t="b">
        <v>0</v>
      </c>
      <c r="P3035" s="76" t="b">
        <v>0</v>
      </c>
      <c r="Q3035" s="76" t="b">
        <v>0</v>
      </c>
      <c r="R3035" s="14"/>
      <c r="S3035" s="14"/>
      <c r="T3035" s="14"/>
      <c r="U3035" s="14"/>
      <c r="V3035" s="14"/>
      <c r="W3035" s="14"/>
    </row>
    <row r="3036" ht="31.5" customHeight="1">
      <c r="A3036" s="158"/>
      <c r="B3036" s="159"/>
      <c r="C3036" s="160"/>
      <c r="D3036" s="130"/>
      <c r="E3036" s="130"/>
      <c r="F3036" s="161"/>
      <c r="G3036" s="164"/>
      <c r="H3036" s="76" t="b">
        <v>0</v>
      </c>
      <c r="I3036" s="76" t="b">
        <v>0</v>
      </c>
      <c r="J3036" s="76" t="b">
        <v>0</v>
      </c>
      <c r="K3036" s="76" t="b">
        <v>0</v>
      </c>
      <c r="L3036" s="76" t="b">
        <v>0</v>
      </c>
      <c r="M3036" s="76" t="b">
        <v>0</v>
      </c>
      <c r="N3036" s="76" t="b">
        <v>0</v>
      </c>
      <c r="O3036" s="76" t="b">
        <v>0</v>
      </c>
      <c r="P3036" s="76" t="b">
        <v>0</v>
      </c>
      <c r="Q3036" s="76" t="b">
        <v>0</v>
      </c>
      <c r="R3036" s="14"/>
      <c r="S3036" s="14"/>
      <c r="T3036" s="14"/>
      <c r="U3036" s="14"/>
      <c r="V3036" s="14"/>
      <c r="W3036" s="14"/>
    </row>
    <row r="3037" ht="31.5" customHeight="1">
      <c r="A3037" s="158"/>
      <c r="B3037" s="159"/>
      <c r="C3037" s="160"/>
      <c r="D3037" s="130"/>
      <c r="E3037" s="130"/>
      <c r="F3037" s="161"/>
      <c r="G3037" s="164"/>
      <c r="H3037" s="76" t="b">
        <v>0</v>
      </c>
      <c r="I3037" s="76" t="b">
        <v>0</v>
      </c>
      <c r="J3037" s="76" t="b">
        <v>0</v>
      </c>
      <c r="K3037" s="76" t="b">
        <v>0</v>
      </c>
      <c r="L3037" s="76" t="b">
        <v>0</v>
      </c>
      <c r="M3037" s="76" t="b">
        <v>0</v>
      </c>
      <c r="N3037" s="76" t="b">
        <v>0</v>
      </c>
      <c r="O3037" s="76" t="b">
        <v>0</v>
      </c>
      <c r="P3037" s="76" t="b">
        <v>0</v>
      </c>
      <c r="Q3037" s="76" t="b">
        <v>0</v>
      </c>
      <c r="R3037" s="14"/>
      <c r="S3037" s="14"/>
      <c r="T3037" s="14"/>
      <c r="U3037" s="14"/>
      <c r="V3037" s="14"/>
      <c r="W3037" s="14"/>
    </row>
    <row r="3038" ht="31.5" customHeight="1">
      <c r="A3038" s="158"/>
      <c r="B3038" s="159"/>
      <c r="C3038" s="160"/>
      <c r="D3038" s="130"/>
      <c r="E3038" s="130"/>
      <c r="F3038" s="161"/>
      <c r="G3038" s="164"/>
      <c r="H3038" s="76" t="b">
        <v>0</v>
      </c>
      <c r="I3038" s="76" t="b">
        <v>0</v>
      </c>
      <c r="J3038" s="76" t="b">
        <v>0</v>
      </c>
      <c r="K3038" s="76" t="b">
        <v>0</v>
      </c>
      <c r="L3038" s="76" t="b">
        <v>0</v>
      </c>
      <c r="M3038" s="76" t="b">
        <v>0</v>
      </c>
      <c r="N3038" s="76" t="b">
        <v>0</v>
      </c>
      <c r="O3038" s="76" t="b">
        <v>0</v>
      </c>
      <c r="P3038" s="76" t="b">
        <v>0</v>
      </c>
      <c r="Q3038" s="76" t="b">
        <v>0</v>
      </c>
      <c r="R3038" s="14"/>
      <c r="S3038" s="14"/>
      <c r="T3038" s="14"/>
      <c r="U3038" s="14"/>
      <c r="V3038" s="14"/>
      <c r="W3038" s="14"/>
    </row>
    <row r="3039" ht="31.5" customHeight="1">
      <c r="A3039" s="158"/>
      <c r="B3039" s="159"/>
      <c r="C3039" s="160"/>
      <c r="D3039" s="130"/>
      <c r="E3039" s="130"/>
      <c r="F3039" s="161"/>
      <c r="G3039" s="164"/>
      <c r="H3039" s="76" t="b">
        <v>0</v>
      </c>
      <c r="I3039" s="76" t="b">
        <v>0</v>
      </c>
      <c r="J3039" s="76" t="b">
        <v>0</v>
      </c>
      <c r="K3039" s="76" t="b">
        <v>0</v>
      </c>
      <c r="L3039" s="76" t="b">
        <v>0</v>
      </c>
      <c r="M3039" s="76" t="b">
        <v>0</v>
      </c>
      <c r="N3039" s="76" t="b">
        <v>0</v>
      </c>
      <c r="O3039" s="76" t="b">
        <v>0</v>
      </c>
      <c r="P3039" s="76" t="b">
        <v>0</v>
      </c>
      <c r="Q3039" s="76" t="b">
        <v>0</v>
      </c>
      <c r="R3039" s="14"/>
      <c r="S3039" s="14"/>
      <c r="T3039" s="14"/>
      <c r="U3039" s="14"/>
      <c r="V3039" s="14"/>
      <c r="W3039" s="14"/>
    </row>
    <row r="3040" ht="31.5" customHeight="1">
      <c r="A3040" s="158"/>
      <c r="B3040" s="159"/>
      <c r="C3040" s="160"/>
      <c r="D3040" s="130"/>
      <c r="E3040" s="130"/>
      <c r="F3040" s="161"/>
      <c r="G3040" s="164"/>
      <c r="H3040" s="76" t="b">
        <v>0</v>
      </c>
      <c r="I3040" s="76" t="b">
        <v>0</v>
      </c>
      <c r="J3040" s="76" t="b">
        <v>0</v>
      </c>
      <c r="K3040" s="76" t="b">
        <v>0</v>
      </c>
      <c r="L3040" s="76" t="b">
        <v>0</v>
      </c>
      <c r="M3040" s="76" t="b">
        <v>0</v>
      </c>
      <c r="N3040" s="76" t="b">
        <v>0</v>
      </c>
      <c r="O3040" s="76" t="b">
        <v>0</v>
      </c>
      <c r="P3040" s="76" t="b">
        <v>0</v>
      </c>
      <c r="Q3040" s="76" t="b">
        <v>0</v>
      </c>
      <c r="R3040" s="14"/>
      <c r="S3040" s="14"/>
      <c r="T3040" s="14"/>
      <c r="U3040" s="14"/>
      <c r="V3040" s="14"/>
      <c r="W3040" s="14"/>
    </row>
    <row r="3041" ht="31.5" customHeight="1">
      <c r="A3041" s="158"/>
      <c r="B3041" s="159"/>
      <c r="C3041" s="160"/>
      <c r="D3041" s="130"/>
      <c r="E3041" s="130"/>
      <c r="F3041" s="161"/>
      <c r="G3041" s="164"/>
      <c r="H3041" s="76" t="b">
        <v>0</v>
      </c>
      <c r="I3041" s="76" t="b">
        <v>0</v>
      </c>
      <c r="J3041" s="76" t="b">
        <v>0</v>
      </c>
      <c r="K3041" s="76" t="b">
        <v>0</v>
      </c>
      <c r="L3041" s="76" t="b">
        <v>0</v>
      </c>
      <c r="M3041" s="76" t="b">
        <v>0</v>
      </c>
      <c r="N3041" s="76" t="b">
        <v>0</v>
      </c>
      <c r="O3041" s="76" t="b">
        <v>0</v>
      </c>
      <c r="P3041" s="76" t="b">
        <v>0</v>
      </c>
      <c r="Q3041" s="76" t="b">
        <v>0</v>
      </c>
      <c r="R3041" s="14"/>
      <c r="S3041" s="14"/>
      <c r="T3041" s="14"/>
      <c r="U3041" s="14"/>
      <c r="V3041" s="14"/>
      <c r="W3041" s="14"/>
    </row>
    <row r="3042" ht="31.5" customHeight="1">
      <c r="A3042" s="158"/>
      <c r="B3042" s="159"/>
      <c r="C3042" s="160"/>
      <c r="D3042" s="130"/>
      <c r="E3042" s="130"/>
      <c r="F3042" s="161"/>
      <c r="G3042" s="164"/>
      <c r="H3042" s="76" t="b">
        <v>0</v>
      </c>
      <c r="I3042" s="76" t="b">
        <v>0</v>
      </c>
      <c r="J3042" s="76" t="b">
        <v>0</v>
      </c>
      <c r="K3042" s="76" t="b">
        <v>0</v>
      </c>
      <c r="L3042" s="76" t="b">
        <v>0</v>
      </c>
      <c r="M3042" s="76" t="b">
        <v>0</v>
      </c>
      <c r="N3042" s="76" t="b">
        <v>0</v>
      </c>
      <c r="O3042" s="76" t="b">
        <v>0</v>
      </c>
      <c r="P3042" s="76" t="b">
        <v>0</v>
      </c>
      <c r="Q3042" s="76" t="b">
        <v>0</v>
      </c>
      <c r="R3042" s="14"/>
      <c r="S3042" s="14"/>
      <c r="T3042" s="14"/>
      <c r="U3042" s="14"/>
      <c r="V3042" s="14"/>
      <c r="W3042" s="14"/>
    </row>
    <row r="3043" ht="31.5" customHeight="1">
      <c r="A3043" s="158"/>
      <c r="B3043" s="159"/>
      <c r="C3043" s="160"/>
      <c r="D3043" s="130"/>
      <c r="E3043" s="130"/>
      <c r="F3043" s="161"/>
      <c r="G3043" s="164"/>
      <c r="H3043" s="76" t="b">
        <v>0</v>
      </c>
      <c r="I3043" s="76" t="b">
        <v>0</v>
      </c>
      <c r="J3043" s="76" t="b">
        <v>0</v>
      </c>
      <c r="K3043" s="76" t="b">
        <v>0</v>
      </c>
      <c r="L3043" s="76" t="b">
        <v>0</v>
      </c>
      <c r="M3043" s="76" t="b">
        <v>0</v>
      </c>
      <c r="N3043" s="76" t="b">
        <v>0</v>
      </c>
      <c r="O3043" s="76" t="b">
        <v>0</v>
      </c>
      <c r="P3043" s="76" t="b">
        <v>0</v>
      </c>
      <c r="Q3043" s="76" t="b">
        <v>0</v>
      </c>
      <c r="R3043" s="14"/>
      <c r="S3043" s="14"/>
      <c r="T3043" s="14"/>
      <c r="U3043" s="14"/>
      <c r="V3043" s="14"/>
      <c r="W3043" s="14"/>
    </row>
    <row r="3044" ht="31.5" customHeight="1">
      <c r="A3044" s="158"/>
      <c r="B3044" s="159"/>
      <c r="C3044" s="160"/>
      <c r="D3044" s="130"/>
      <c r="E3044" s="130"/>
      <c r="F3044" s="161"/>
      <c r="G3044" s="164"/>
      <c r="H3044" s="76" t="b">
        <v>0</v>
      </c>
      <c r="I3044" s="76" t="b">
        <v>0</v>
      </c>
      <c r="J3044" s="76" t="b">
        <v>0</v>
      </c>
      <c r="K3044" s="76" t="b">
        <v>0</v>
      </c>
      <c r="L3044" s="76" t="b">
        <v>0</v>
      </c>
      <c r="M3044" s="76" t="b">
        <v>0</v>
      </c>
      <c r="N3044" s="76" t="b">
        <v>0</v>
      </c>
      <c r="O3044" s="76" t="b">
        <v>0</v>
      </c>
      <c r="P3044" s="76" t="b">
        <v>0</v>
      </c>
      <c r="Q3044" s="76" t="b">
        <v>0</v>
      </c>
      <c r="R3044" s="14"/>
      <c r="S3044" s="14"/>
      <c r="T3044" s="14"/>
      <c r="U3044" s="14"/>
      <c r="V3044" s="14"/>
      <c r="W3044" s="14"/>
    </row>
    <row r="3045" ht="31.5" customHeight="1">
      <c r="A3045" s="158"/>
      <c r="B3045" s="159"/>
      <c r="C3045" s="160"/>
      <c r="D3045" s="130"/>
      <c r="E3045" s="130"/>
      <c r="F3045" s="161"/>
      <c r="G3045" s="164"/>
      <c r="H3045" s="76" t="b">
        <v>0</v>
      </c>
      <c r="I3045" s="76" t="b">
        <v>0</v>
      </c>
      <c r="J3045" s="76" t="b">
        <v>0</v>
      </c>
      <c r="K3045" s="76" t="b">
        <v>0</v>
      </c>
      <c r="L3045" s="76" t="b">
        <v>0</v>
      </c>
      <c r="M3045" s="76" t="b">
        <v>0</v>
      </c>
      <c r="N3045" s="76" t="b">
        <v>0</v>
      </c>
      <c r="O3045" s="76" t="b">
        <v>0</v>
      </c>
      <c r="P3045" s="76" t="b">
        <v>0</v>
      </c>
      <c r="Q3045" s="76" t="b">
        <v>0</v>
      </c>
      <c r="R3045" s="14"/>
      <c r="S3045" s="14"/>
      <c r="T3045" s="14"/>
      <c r="U3045" s="14"/>
      <c r="V3045" s="14"/>
      <c r="W3045" s="14"/>
    </row>
    <row r="3046" ht="31.5" customHeight="1">
      <c r="A3046" s="158"/>
      <c r="B3046" s="159"/>
      <c r="C3046" s="160"/>
      <c r="D3046" s="130"/>
      <c r="E3046" s="130"/>
      <c r="F3046" s="161"/>
      <c r="G3046" s="164"/>
      <c r="H3046" s="76" t="b">
        <v>0</v>
      </c>
      <c r="I3046" s="76" t="b">
        <v>0</v>
      </c>
      <c r="J3046" s="76" t="b">
        <v>0</v>
      </c>
      <c r="K3046" s="76" t="b">
        <v>0</v>
      </c>
      <c r="L3046" s="76" t="b">
        <v>0</v>
      </c>
      <c r="M3046" s="76" t="b">
        <v>0</v>
      </c>
      <c r="N3046" s="76" t="b">
        <v>0</v>
      </c>
      <c r="O3046" s="76" t="b">
        <v>0</v>
      </c>
      <c r="P3046" s="76" t="b">
        <v>0</v>
      </c>
      <c r="Q3046" s="76" t="b">
        <v>0</v>
      </c>
      <c r="R3046" s="14"/>
      <c r="S3046" s="14"/>
      <c r="T3046" s="14"/>
      <c r="U3046" s="14"/>
      <c r="V3046" s="14"/>
      <c r="W3046" s="14"/>
    </row>
    <row r="3047" ht="31.5" customHeight="1">
      <c r="A3047" s="158"/>
      <c r="B3047" s="159"/>
      <c r="C3047" s="160"/>
      <c r="D3047" s="130"/>
      <c r="E3047" s="130"/>
      <c r="F3047" s="161"/>
      <c r="G3047" s="164"/>
      <c r="H3047" s="76" t="b">
        <v>0</v>
      </c>
      <c r="I3047" s="76" t="b">
        <v>0</v>
      </c>
      <c r="J3047" s="76" t="b">
        <v>0</v>
      </c>
      <c r="K3047" s="76" t="b">
        <v>0</v>
      </c>
      <c r="L3047" s="76" t="b">
        <v>0</v>
      </c>
      <c r="M3047" s="76" t="b">
        <v>0</v>
      </c>
      <c r="N3047" s="76" t="b">
        <v>0</v>
      </c>
      <c r="O3047" s="76" t="b">
        <v>0</v>
      </c>
      <c r="P3047" s="76" t="b">
        <v>0</v>
      </c>
      <c r="Q3047" s="76" t="b">
        <v>0</v>
      </c>
      <c r="R3047" s="14"/>
      <c r="S3047" s="14"/>
      <c r="T3047" s="14"/>
      <c r="U3047" s="14"/>
      <c r="V3047" s="14"/>
      <c r="W3047" s="14"/>
    </row>
    <row r="3048" ht="31.5" customHeight="1">
      <c r="A3048" s="158"/>
      <c r="B3048" s="159"/>
      <c r="C3048" s="160"/>
      <c r="D3048" s="130"/>
      <c r="E3048" s="130"/>
      <c r="F3048" s="161"/>
      <c r="G3048" s="164"/>
      <c r="H3048" s="76" t="b">
        <v>0</v>
      </c>
      <c r="I3048" s="76" t="b">
        <v>0</v>
      </c>
      <c r="J3048" s="76" t="b">
        <v>0</v>
      </c>
      <c r="K3048" s="76" t="b">
        <v>0</v>
      </c>
      <c r="L3048" s="76" t="b">
        <v>0</v>
      </c>
      <c r="M3048" s="76" t="b">
        <v>0</v>
      </c>
      <c r="N3048" s="76" t="b">
        <v>0</v>
      </c>
      <c r="O3048" s="76" t="b">
        <v>0</v>
      </c>
      <c r="P3048" s="76" t="b">
        <v>0</v>
      </c>
      <c r="Q3048" s="76" t="b">
        <v>0</v>
      </c>
      <c r="R3048" s="14"/>
      <c r="S3048" s="14"/>
      <c r="T3048" s="14"/>
      <c r="U3048" s="14"/>
      <c r="V3048" s="14"/>
      <c r="W3048" s="14"/>
    </row>
    <row r="3049" ht="31.5" customHeight="1">
      <c r="A3049" s="158"/>
      <c r="B3049" s="159"/>
      <c r="C3049" s="160"/>
      <c r="D3049" s="130"/>
      <c r="E3049" s="130"/>
      <c r="F3049" s="161"/>
      <c r="G3049" s="164"/>
      <c r="H3049" s="76" t="b">
        <v>0</v>
      </c>
      <c r="I3049" s="76" t="b">
        <v>0</v>
      </c>
      <c r="J3049" s="76" t="b">
        <v>0</v>
      </c>
      <c r="K3049" s="76" t="b">
        <v>0</v>
      </c>
      <c r="L3049" s="76" t="b">
        <v>0</v>
      </c>
      <c r="M3049" s="76" t="b">
        <v>0</v>
      </c>
      <c r="N3049" s="76" t="b">
        <v>0</v>
      </c>
      <c r="O3049" s="76" t="b">
        <v>0</v>
      </c>
      <c r="P3049" s="76" t="b">
        <v>0</v>
      </c>
      <c r="Q3049" s="76" t="b">
        <v>0</v>
      </c>
      <c r="R3049" s="14"/>
      <c r="S3049" s="14"/>
      <c r="T3049" s="14"/>
      <c r="U3049" s="14"/>
      <c r="V3049" s="14"/>
      <c r="W3049" s="14"/>
    </row>
    <row r="3050" ht="31.5" customHeight="1">
      <c r="A3050" s="158"/>
      <c r="B3050" s="159"/>
      <c r="C3050" s="160"/>
      <c r="D3050" s="130"/>
      <c r="E3050" s="130"/>
      <c r="F3050" s="161"/>
      <c r="G3050" s="164"/>
      <c r="H3050" s="76" t="b">
        <v>0</v>
      </c>
      <c r="I3050" s="76" t="b">
        <v>0</v>
      </c>
      <c r="J3050" s="76" t="b">
        <v>0</v>
      </c>
      <c r="K3050" s="76" t="b">
        <v>0</v>
      </c>
      <c r="L3050" s="76" t="b">
        <v>0</v>
      </c>
      <c r="M3050" s="76" t="b">
        <v>0</v>
      </c>
      <c r="N3050" s="76" t="b">
        <v>0</v>
      </c>
      <c r="O3050" s="76" t="b">
        <v>0</v>
      </c>
      <c r="P3050" s="76" t="b">
        <v>0</v>
      </c>
      <c r="Q3050" s="76" t="b">
        <v>0</v>
      </c>
      <c r="R3050" s="14"/>
      <c r="S3050" s="14"/>
      <c r="T3050" s="14"/>
      <c r="U3050" s="14"/>
      <c r="V3050" s="14"/>
      <c r="W3050" s="14"/>
    </row>
    <row r="3051" ht="31.5" customHeight="1">
      <c r="A3051" s="158"/>
      <c r="B3051" s="159"/>
      <c r="C3051" s="160"/>
      <c r="D3051" s="130"/>
      <c r="E3051" s="130"/>
      <c r="F3051" s="161"/>
      <c r="G3051" s="164"/>
      <c r="H3051" s="76" t="b">
        <v>1</v>
      </c>
      <c r="I3051" s="76" t="b">
        <v>0</v>
      </c>
      <c r="J3051" s="76" t="b">
        <v>0</v>
      </c>
      <c r="K3051" s="76" t="b">
        <v>0</v>
      </c>
      <c r="L3051" s="76" t="b">
        <v>0</v>
      </c>
      <c r="M3051" s="76" t="b">
        <v>0</v>
      </c>
      <c r="N3051" s="76" t="b">
        <v>0</v>
      </c>
      <c r="O3051" s="76" t="b">
        <v>0</v>
      </c>
      <c r="P3051" s="76" t="b">
        <v>0</v>
      </c>
      <c r="Q3051" s="76" t="b">
        <v>0</v>
      </c>
      <c r="R3051" s="14"/>
      <c r="S3051" s="14"/>
      <c r="T3051" s="14"/>
      <c r="U3051" s="14"/>
      <c r="V3051" s="14"/>
      <c r="W3051" s="14"/>
    </row>
    <row r="3052" ht="31.5" customHeight="1">
      <c r="A3052" s="158"/>
      <c r="B3052" s="159"/>
      <c r="C3052" s="160"/>
      <c r="D3052" s="130"/>
      <c r="E3052" s="130"/>
      <c r="F3052" s="161"/>
      <c r="G3052" s="164"/>
      <c r="H3052" s="76" t="b">
        <v>1</v>
      </c>
      <c r="I3052" s="76" t="b">
        <v>0</v>
      </c>
      <c r="J3052" s="76" t="b">
        <v>0</v>
      </c>
      <c r="K3052" s="76" t="b">
        <v>0</v>
      </c>
      <c r="L3052" s="76" t="b">
        <v>0</v>
      </c>
      <c r="M3052" s="76" t="b">
        <v>0</v>
      </c>
      <c r="N3052" s="76" t="b">
        <v>0</v>
      </c>
      <c r="O3052" s="76" t="b">
        <v>0</v>
      </c>
      <c r="P3052" s="76" t="b">
        <v>0</v>
      </c>
      <c r="Q3052" s="76" t="b">
        <v>0</v>
      </c>
      <c r="R3052" s="14"/>
      <c r="S3052" s="14"/>
      <c r="T3052" s="14"/>
      <c r="U3052" s="14"/>
      <c r="V3052" s="14"/>
      <c r="W3052" s="14"/>
    </row>
    <row r="3053" ht="31.5" customHeight="1">
      <c r="A3053" s="158"/>
      <c r="B3053" s="159"/>
      <c r="C3053" s="160"/>
      <c r="D3053" s="130"/>
      <c r="E3053" s="130"/>
      <c r="F3053" s="161"/>
      <c r="G3053" s="164"/>
      <c r="H3053" s="76" t="b">
        <v>1</v>
      </c>
      <c r="I3053" s="76" t="b">
        <v>0</v>
      </c>
      <c r="J3053" s="76" t="b">
        <v>0</v>
      </c>
      <c r="K3053" s="76" t="b">
        <v>0</v>
      </c>
      <c r="L3053" s="76" t="b">
        <v>0</v>
      </c>
      <c r="M3053" s="76" t="b">
        <v>0</v>
      </c>
      <c r="N3053" s="76" t="b">
        <v>0</v>
      </c>
      <c r="O3053" s="76" t="b">
        <v>0</v>
      </c>
      <c r="P3053" s="76" t="b">
        <v>0</v>
      </c>
      <c r="Q3053" s="76" t="b">
        <v>0</v>
      </c>
      <c r="R3053" s="14"/>
      <c r="S3053" s="14"/>
      <c r="T3053" s="14"/>
      <c r="U3053" s="14"/>
      <c r="V3053" s="14"/>
      <c r="W3053" s="14"/>
    </row>
    <row r="3054" ht="31.5" customHeight="1">
      <c r="A3054" s="158"/>
      <c r="B3054" s="159"/>
      <c r="C3054" s="160"/>
      <c r="D3054" s="130"/>
      <c r="E3054" s="130"/>
      <c r="F3054" s="161"/>
      <c r="G3054" s="164"/>
      <c r="H3054" s="76" t="b">
        <v>1</v>
      </c>
      <c r="I3054" s="76" t="b">
        <v>0</v>
      </c>
      <c r="J3054" s="76" t="b">
        <v>0</v>
      </c>
      <c r="K3054" s="76" t="b">
        <v>0</v>
      </c>
      <c r="L3054" s="76" t="b">
        <v>0</v>
      </c>
      <c r="M3054" s="76" t="b">
        <v>0</v>
      </c>
      <c r="N3054" s="76" t="b">
        <v>0</v>
      </c>
      <c r="O3054" s="76" t="b">
        <v>0</v>
      </c>
      <c r="P3054" s="76" t="b">
        <v>0</v>
      </c>
      <c r="Q3054" s="76" t="b">
        <v>0</v>
      </c>
      <c r="R3054" s="14"/>
      <c r="S3054" s="14"/>
      <c r="T3054" s="14"/>
      <c r="U3054" s="14"/>
      <c r="V3054" s="14"/>
      <c r="W3054" s="14"/>
    </row>
    <row r="3055" ht="31.5" customHeight="1">
      <c r="A3055" s="158"/>
      <c r="B3055" s="159"/>
      <c r="C3055" s="160"/>
      <c r="D3055" s="130"/>
      <c r="E3055" s="130"/>
      <c r="F3055" s="161"/>
      <c r="G3055" s="164"/>
      <c r="H3055" s="76" t="b">
        <v>1</v>
      </c>
      <c r="I3055" s="76" t="b">
        <v>0</v>
      </c>
      <c r="J3055" s="76" t="b">
        <v>0</v>
      </c>
      <c r="K3055" s="76" t="b">
        <v>0</v>
      </c>
      <c r="L3055" s="76" t="b">
        <v>0</v>
      </c>
      <c r="M3055" s="76" t="b">
        <v>0</v>
      </c>
      <c r="N3055" s="76" t="b">
        <v>0</v>
      </c>
      <c r="O3055" s="76" t="b">
        <v>0</v>
      </c>
      <c r="P3055" s="76" t="b">
        <v>0</v>
      </c>
      <c r="Q3055" s="76" t="b">
        <v>0</v>
      </c>
      <c r="R3055" s="14"/>
      <c r="S3055" s="14"/>
      <c r="T3055" s="14"/>
      <c r="U3055" s="14"/>
      <c r="V3055" s="14"/>
      <c r="W3055" s="14"/>
    </row>
    <row r="3056" ht="31.5" customHeight="1">
      <c r="A3056" s="158"/>
      <c r="B3056" s="159"/>
      <c r="C3056" s="160"/>
      <c r="D3056" s="130"/>
      <c r="E3056" s="130"/>
      <c r="F3056" s="161"/>
      <c r="G3056" s="164"/>
      <c r="H3056" s="76" t="b">
        <v>1</v>
      </c>
      <c r="I3056" s="76" t="b">
        <v>0</v>
      </c>
      <c r="J3056" s="76" t="b">
        <v>0</v>
      </c>
      <c r="K3056" s="76" t="b">
        <v>0</v>
      </c>
      <c r="L3056" s="76" t="b">
        <v>0</v>
      </c>
      <c r="M3056" s="76" t="b">
        <v>0</v>
      </c>
      <c r="N3056" s="76" t="b">
        <v>0</v>
      </c>
      <c r="O3056" s="76" t="b">
        <v>0</v>
      </c>
      <c r="P3056" s="76" t="b">
        <v>0</v>
      </c>
      <c r="Q3056" s="76" t="b">
        <v>0</v>
      </c>
      <c r="R3056" s="14"/>
      <c r="S3056" s="14"/>
      <c r="T3056" s="14"/>
      <c r="U3056" s="14"/>
      <c r="V3056" s="14"/>
      <c r="W3056" s="14"/>
    </row>
    <row r="3057" ht="31.5" customHeight="1">
      <c r="A3057" s="158"/>
      <c r="B3057" s="159"/>
      <c r="C3057" s="160"/>
      <c r="D3057" s="130"/>
      <c r="E3057" s="130"/>
      <c r="F3057" s="161"/>
      <c r="G3057" s="164"/>
      <c r="H3057" s="76" t="b">
        <v>1</v>
      </c>
      <c r="I3057" s="76" t="b">
        <v>0</v>
      </c>
      <c r="J3057" s="76" t="b">
        <v>0</v>
      </c>
      <c r="K3057" s="76" t="b">
        <v>0</v>
      </c>
      <c r="L3057" s="76" t="b">
        <v>0</v>
      </c>
      <c r="M3057" s="76" t="b">
        <v>0</v>
      </c>
      <c r="N3057" s="76" t="b">
        <v>0</v>
      </c>
      <c r="O3057" s="76" t="b">
        <v>0</v>
      </c>
      <c r="P3057" s="76" t="b">
        <v>0</v>
      </c>
      <c r="Q3057" s="76" t="b">
        <v>0</v>
      </c>
      <c r="R3057" s="14"/>
      <c r="S3057" s="14"/>
      <c r="T3057" s="14"/>
      <c r="U3057" s="14"/>
      <c r="V3057" s="14"/>
      <c r="W3057" s="14"/>
    </row>
    <row r="3058" ht="31.5" customHeight="1">
      <c r="A3058" s="158"/>
      <c r="B3058" s="159"/>
      <c r="C3058" s="160"/>
      <c r="D3058" s="130"/>
      <c r="E3058" s="130"/>
      <c r="F3058" s="161"/>
      <c r="G3058" s="164"/>
      <c r="H3058" s="76" t="b">
        <v>1</v>
      </c>
      <c r="I3058" s="76" t="b">
        <v>0</v>
      </c>
      <c r="J3058" s="76" t="b">
        <v>0</v>
      </c>
      <c r="K3058" s="76" t="b">
        <v>0</v>
      </c>
      <c r="L3058" s="76" t="b">
        <v>0</v>
      </c>
      <c r="M3058" s="76" t="b">
        <v>0</v>
      </c>
      <c r="N3058" s="76" t="b">
        <v>0</v>
      </c>
      <c r="O3058" s="76" t="b">
        <v>0</v>
      </c>
      <c r="P3058" s="76" t="b">
        <v>0</v>
      </c>
      <c r="Q3058" s="76" t="b">
        <v>0</v>
      </c>
      <c r="R3058" s="14"/>
      <c r="S3058" s="14"/>
      <c r="T3058" s="14"/>
      <c r="U3058" s="14"/>
      <c r="V3058" s="14"/>
      <c r="W3058" s="14"/>
    </row>
    <row r="3059" ht="31.5" customHeight="1">
      <c r="A3059" s="158"/>
      <c r="B3059" s="159"/>
      <c r="C3059" s="160"/>
      <c r="D3059" s="130"/>
      <c r="E3059" s="130"/>
      <c r="F3059" s="161"/>
      <c r="G3059" s="164"/>
      <c r="H3059" s="76" t="b">
        <v>1</v>
      </c>
      <c r="I3059" s="76" t="b">
        <v>0</v>
      </c>
      <c r="J3059" s="76" t="b">
        <v>0</v>
      </c>
      <c r="K3059" s="76" t="b">
        <v>0</v>
      </c>
      <c r="L3059" s="76" t="b">
        <v>0</v>
      </c>
      <c r="M3059" s="76" t="b">
        <v>0</v>
      </c>
      <c r="N3059" s="76" t="b">
        <v>0</v>
      </c>
      <c r="O3059" s="76" t="b">
        <v>0</v>
      </c>
      <c r="P3059" s="76" t="b">
        <v>0</v>
      </c>
      <c r="Q3059" s="76" t="b">
        <v>0</v>
      </c>
      <c r="R3059" s="14"/>
      <c r="S3059" s="14"/>
      <c r="T3059" s="14"/>
      <c r="U3059" s="14"/>
      <c r="V3059" s="14"/>
      <c r="W3059" s="14"/>
    </row>
    <row r="3060" ht="31.5" customHeight="1">
      <c r="A3060" s="158"/>
      <c r="B3060" s="159"/>
      <c r="C3060" s="160"/>
      <c r="D3060" s="130"/>
      <c r="E3060" s="130"/>
      <c r="F3060" s="161"/>
      <c r="G3060" s="164"/>
      <c r="H3060" s="76" t="b">
        <v>1</v>
      </c>
      <c r="I3060" s="76" t="b">
        <v>0</v>
      </c>
      <c r="J3060" s="76" t="b">
        <v>0</v>
      </c>
      <c r="K3060" s="76" t="b">
        <v>0</v>
      </c>
      <c r="L3060" s="76" t="b">
        <v>0</v>
      </c>
      <c r="M3060" s="76" t="b">
        <v>0</v>
      </c>
      <c r="N3060" s="76" t="b">
        <v>0</v>
      </c>
      <c r="O3060" s="76" t="b">
        <v>0</v>
      </c>
      <c r="P3060" s="76" t="b">
        <v>0</v>
      </c>
      <c r="Q3060" s="76" t="b">
        <v>0</v>
      </c>
      <c r="R3060" s="14"/>
      <c r="S3060" s="14"/>
      <c r="T3060" s="14"/>
      <c r="U3060" s="14"/>
      <c r="V3060" s="14"/>
      <c r="W3060" s="14"/>
    </row>
    <row r="3061" ht="31.5" customHeight="1">
      <c r="A3061" s="158"/>
      <c r="B3061" s="159"/>
      <c r="C3061" s="160"/>
      <c r="D3061" s="130"/>
      <c r="E3061" s="130"/>
      <c r="F3061" s="161"/>
      <c r="G3061" s="164"/>
      <c r="H3061" s="76" t="b">
        <v>1</v>
      </c>
      <c r="I3061" s="76" t="b">
        <v>0</v>
      </c>
      <c r="J3061" s="76" t="b">
        <v>0</v>
      </c>
      <c r="K3061" s="76" t="b">
        <v>0</v>
      </c>
      <c r="L3061" s="76" t="b">
        <v>0</v>
      </c>
      <c r="M3061" s="76" t="b">
        <v>0</v>
      </c>
      <c r="N3061" s="76" t="b">
        <v>0</v>
      </c>
      <c r="O3061" s="76" t="b">
        <v>0</v>
      </c>
      <c r="P3061" s="76" t="b">
        <v>0</v>
      </c>
      <c r="Q3061" s="76" t="b">
        <v>0</v>
      </c>
      <c r="R3061" s="14"/>
      <c r="S3061" s="14"/>
      <c r="T3061" s="14"/>
      <c r="U3061" s="14"/>
      <c r="V3061" s="14"/>
      <c r="W3061" s="14"/>
    </row>
    <row r="3062" ht="31.5" customHeight="1">
      <c r="A3062" s="158"/>
      <c r="B3062" s="159"/>
      <c r="C3062" s="160"/>
      <c r="D3062" s="130"/>
      <c r="E3062" s="130"/>
      <c r="F3062" s="161"/>
      <c r="G3062" s="164"/>
      <c r="H3062" s="76" t="b">
        <v>1</v>
      </c>
      <c r="I3062" s="76" t="b">
        <v>0</v>
      </c>
      <c r="J3062" s="76" t="b">
        <v>0</v>
      </c>
      <c r="K3062" s="76" t="b">
        <v>0</v>
      </c>
      <c r="L3062" s="76" t="b">
        <v>0</v>
      </c>
      <c r="M3062" s="76" t="b">
        <v>0</v>
      </c>
      <c r="N3062" s="76" t="b">
        <v>0</v>
      </c>
      <c r="O3062" s="76" t="b">
        <v>0</v>
      </c>
      <c r="P3062" s="76" t="b">
        <v>0</v>
      </c>
      <c r="Q3062" s="76" t="b">
        <v>0</v>
      </c>
      <c r="R3062" s="14"/>
      <c r="S3062" s="14"/>
      <c r="T3062" s="14"/>
      <c r="U3062" s="14"/>
      <c r="V3062" s="14"/>
      <c r="W3062" s="14"/>
    </row>
    <row r="3063" ht="31.5" customHeight="1">
      <c r="A3063" s="158"/>
      <c r="B3063" s="159"/>
      <c r="C3063" s="160"/>
      <c r="D3063" s="130"/>
      <c r="E3063" s="130"/>
      <c r="F3063" s="161"/>
      <c r="G3063" s="164"/>
      <c r="H3063" s="76" t="b">
        <v>1</v>
      </c>
      <c r="I3063" s="76" t="b">
        <v>0</v>
      </c>
      <c r="J3063" s="76" t="b">
        <v>0</v>
      </c>
      <c r="K3063" s="76" t="b">
        <v>0</v>
      </c>
      <c r="L3063" s="76" t="b">
        <v>0</v>
      </c>
      <c r="M3063" s="76" t="b">
        <v>0</v>
      </c>
      <c r="N3063" s="76" t="b">
        <v>0</v>
      </c>
      <c r="O3063" s="76" t="b">
        <v>0</v>
      </c>
      <c r="P3063" s="76" t="b">
        <v>0</v>
      </c>
      <c r="Q3063" s="76" t="b">
        <v>0</v>
      </c>
      <c r="R3063" s="14"/>
      <c r="S3063" s="14"/>
      <c r="T3063" s="14"/>
      <c r="U3063" s="14"/>
      <c r="V3063" s="14"/>
      <c r="W3063" s="14"/>
    </row>
    <row r="3064" ht="31.5" customHeight="1">
      <c r="A3064" s="158"/>
      <c r="B3064" s="159"/>
      <c r="C3064" s="160"/>
      <c r="D3064" s="130"/>
      <c r="E3064" s="130"/>
      <c r="F3064" s="161"/>
      <c r="G3064" s="164"/>
      <c r="H3064" s="76" t="b">
        <v>1</v>
      </c>
      <c r="I3064" s="76" t="b">
        <v>0</v>
      </c>
      <c r="J3064" s="76" t="b">
        <v>0</v>
      </c>
      <c r="K3064" s="76" t="b">
        <v>0</v>
      </c>
      <c r="L3064" s="76" t="b">
        <v>0</v>
      </c>
      <c r="M3064" s="76" t="b">
        <v>0</v>
      </c>
      <c r="N3064" s="76" t="b">
        <v>0</v>
      </c>
      <c r="O3064" s="76" t="b">
        <v>0</v>
      </c>
      <c r="P3064" s="76" t="b">
        <v>0</v>
      </c>
      <c r="Q3064" s="76" t="b">
        <v>0</v>
      </c>
      <c r="R3064" s="14"/>
      <c r="S3064" s="14"/>
      <c r="T3064" s="14"/>
      <c r="U3064" s="14"/>
      <c r="V3064" s="14"/>
      <c r="W3064" s="14"/>
    </row>
    <row r="3065" ht="31.5" customHeight="1">
      <c r="A3065" s="158"/>
      <c r="B3065" s="159"/>
      <c r="C3065" s="160"/>
      <c r="D3065" s="130"/>
      <c r="E3065" s="130"/>
      <c r="F3065" s="161"/>
      <c r="G3065" s="164"/>
      <c r="H3065" s="76" t="b">
        <v>1</v>
      </c>
      <c r="I3065" s="76" t="b">
        <v>0</v>
      </c>
      <c r="J3065" s="76" t="b">
        <v>0</v>
      </c>
      <c r="K3065" s="76" t="b">
        <v>0</v>
      </c>
      <c r="L3065" s="76" t="b">
        <v>0</v>
      </c>
      <c r="M3065" s="76" t="b">
        <v>0</v>
      </c>
      <c r="N3065" s="76" t="b">
        <v>0</v>
      </c>
      <c r="O3065" s="76" t="b">
        <v>0</v>
      </c>
      <c r="P3065" s="76" t="b">
        <v>0</v>
      </c>
      <c r="Q3065" s="76" t="b">
        <v>0</v>
      </c>
      <c r="R3065" s="14"/>
      <c r="S3065" s="14"/>
      <c r="T3065" s="14"/>
      <c r="U3065" s="14"/>
      <c r="V3065" s="14"/>
      <c r="W3065" s="14"/>
    </row>
    <row r="3066" ht="31.5" customHeight="1">
      <c r="A3066" s="158"/>
      <c r="B3066" s="159"/>
      <c r="C3066" s="160"/>
      <c r="D3066" s="130"/>
      <c r="E3066" s="130"/>
      <c r="F3066" s="161"/>
      <c r="G3066" s="164"/>
      <c r="H3066" s="76" t="b">
        <v>1</v>
      </c>
      <c r="I3066" s="76" t="b">
        <v>0</v>
      </c>
      <c r="J3066" s="76" t="b">
        <v>0</v>
      </c>
      <c r="K3066" s="76" t="b">
        <v>0</v>
      </c>
      <c r="L3066" s="76" t="b">
        <v>0</v>
      </c>
      <c r="M3066" s="76" t="b">
        <v>0</v>
      </c>
      <c r="N3066" s="76" t="b">
        <v>0</v>
      </c>
      <c r="O3066" s="76" t="b">
        <v>0</v>
      </c>
      <c r="P3066" s="76" t="b">
        <v>0</v>
      </c>
      <c r="Q3066" s="76" t="b">
        <v>0</v>
      </c>
      <c r="R3066" s="14"/>
      <c r="S3066" s="14"/>
      <c r="T3066" s="14"/>
      <c r="U3066" s="14"/>
      <c r="V3066" s="14"/>
      <c r="W3066" s="14"/>
    </row>
    <row r="3067" ht="31.5" customHeight="1">
      <c r="A3067" s="158"/>
      <c r="B3067" s="159"/>
      <c r="C3067" s="160"/>
      <c r="D3067" s="130"/>
      <c r="E3067" s="130"/>
      <c r="F3067" s="161"/>
      <c r="G3067" s="164"/>
      <c r="H3067" s="76" t="b">
        <v>1</v>
      </c>
      <c r="I3067" s="76" t="b">
        <v>0</v>
      </c>
      <c r="J3067" s="76" t="b">
        <v>0</v>
      </c>
      <c r="K3067" s="76" t="b">
        <v>0</v>
      </c>
      <c r="L3067" s="76" t="b">
        <v>0</v>
      </c>
      <c r="M3067" s="76" t="b">
        <v>0</v>
      </c>
      <c r="N3067" s="76" t="b">
        <v>0</v>
      </c>
      <c r="O3067" s="76" t="b">
        <v>0</v>
      </c>
      <c r="P3067" s="76" t="b">
        <v>0</v>
      </c>
      <c r="Q3067" s="76" t="b">
        <v>0</v>
      </c>
      <c r="R3067" s="14"/>
      <c r="S3067" s="14"/>
      <c r="T3067" s="14"/>
      <c r="U3067" s="14"/>
      <c r="V3067" s="14"/>
      <c r="W3067" s="14"/>
    </row>
    <row r="3068" ht="31.5" customHeight="1">
      <c r="A3068" s="158"/>
      <c r="B3068" s="159"/>
      <c r="C3068" s="160"/>
      <c r="D3068" s="130"/>
      <c r="E3068" s="130"/>
      <c r="F3068" s="161"/>
      <c r="G3068" s="164"/>
      <c r="H3068" s="76" t="b">
        <v>1</v>
      </c>
      <c r="I3068" s="76" t="b">
        <v>0</v>
      </c>
      <c r="J3068" s="76" t="b">
        <v>0</v>
      </c>
      <c r="K3068" s="76" t="b">
        <v>0</v>
      </c>
      <c r="L3068" s="76" t="b">
        <v>0</v>
      </c>
      <c r="M3068" s="76" t="b">
        <v>0</v>
      </c>
      <c r="N3068" s="76" t="b">
        <v>0</v>
      </c>
      <c r="O3068" s="76" t="b">
        <v>0</v>
      </c>
      <c r="P3068" s="76" t="b">
        <v>0</v>
      </c>
      <c r="Q3068" s="76" t="b">
        <v>0</v>
      </c>
      <c r="R3068" s="14"/>
      <c r="S3068" s="14"/>
      <c r="T3068" s="14"/>
      <c r="U3068" s="14"/>
      <c r="V3068" s="14"/>
      <c r="W3068" s="14"/>
    </row>
    <row r="3069" ht="31.5" customHeight="1">
      <c r="A3069" s="158"/>
      <c r="B3069" s="159"/>
      <c r="C3069" s="160"/>
      <c r="D3069" s="130"/>
      <c r="E3069" s="130"/>
      <c r="F3069" s="161"/>
      <c r="G3069" s="164"/>
      <c r="H3069" s="76" t="b">
        <v>1</v>
      </c>
      <c r="I3069" s="76" t="b">
        <v>0</v>
      </c>
      <c r="J3069" s="76" t="b">
        <v>0</v>
      </c>
      <c r="K3069" s="76" t="b">
        <v>0</v>
      </c>
      <c r="L3069" s="76" t="b">
        <v>0</v>
      </c>
      <c r="M3069" s="76" t="b">
        <v>0</v>
      </c>
      <c r="N3069" s="76" t="b">
        <v>0</v>
      </c>
      <c r="O3069" s="76" t="b">
        <v>0</v>
      </c>
      <c r="P3069" s="76" t="b">
        <v>0</v>
      </c>
      <c r="Q3069" s="76" t="b">
        <v>0</v>
      </c>
      <c r="R3069" s="14"/>
      <c r="S3069" s="14"/>
      <c r="T3069" s="14"/>
      <c r="U3069" s="14"/>
      <c r="V3069" s="14"/>
      <c r="W3069" s="14"/>
    </row>
    <row r="3070" ht="31.5" customHeight="1">
      <c r="A3070" s="158"/>
      <c r="B3070" s="159"/>
      <c r="C3070" s="160"/>
      <c r="D3070" s="130"/>
      <c r="E3070" s="130"/>
      <c r="F3070" s="161"/>
      <c r="G3070" s="164"/>
      <c r="H3070" s="76" t="b">
        <v>1</v>
      </c>
      <c r="I3070" s="76" t="b">
        <v>0</v>
      </c>
      <c r="J3070" s="76" t="b">
        <v>0</v>
      </c>
      <c r="K3070" s="76" t="b">
        <v>0</v>
      </c>
      <c r="L3070" s="76" t="b">
        <v>0</v>
      </c>
      <c r="M3070" s="76" t="b">
        <v>0</v>
      </c>
      <c r="N3070" s="76" t="b">
        <v>0</v>
      </c>
      <c r="O3070" s="76" t="b">
        <v>0</v>
      </c>
      <c r="P3070" s="76" t="b">
        <v>0</v>
      </c>
      <c r="Q3070" s="76" t="b">
        <v>0</v>
      </c>
      <c r="R3070" s="14"/>
      <c r="S3070" s="14"/>
      <c r="T3070" s="14"/>
      <c r="U3070" s="14"/>
      <c r="V3070" s="14"/>
      <c r="W3070" s="14"/>
    </row>
    <row r="3071" ht="31.5" customHeight="1">
      <c r="A3071" s="158"/>
      <c r="B3071" s="159"/>
      <c r="C3071" s="160"/>
      <c r="D3071" s="130"/>
      <c r="E3071" s="130"/>
      <c r="F3071" s="161"/>
      <c r="G3071" s="164"/>
      <c r="H3071" s="76" t="b">
        <v>1</v>
      </c>
      <c r="I3071" s="76" t="b">
        <v>0</v>
      </c>
      <c r="J3071" s="76" t="b">
        <v>0</v>
      </c>
      <c r="K3071" s="76" t="b">
        <v>0</v>
      </c>
      <c r="L3071" s="76" t="b">
        <v>0</v>
      </c>
      <c r="M3071" s="76" t="b">
        <v>0</v>
      </c>
      <c r="N3071" s="76" t="b">
        <v>0</v>
      </c>
      <c r="O3071" s="76" t="b">
        <v>0</v>
      </c>
      <c r="P3071" s="76" t="b">
        <v>0</v>
      </c>
      <c r="Q3071" s="76" t="b">
        <v>0</v>
      </c>
      <c r="R3071" s="14"/>
      <c r="S3071" s="14"/>
      <c r="T3071" s="14"/>
      <c r="U3071" s="14"/>
      <c r="V3071" s="14"/>
      <c r="W3071" s="14"/>
    </row>
    <row r="3072" ht="31.5" customHeight="1">
      <c r="A3072" s="158"/>
      <c r="B3072" s="159"/>
      <c r="C3072" s="160"/>
      <c r="D3072" s="130"/>
      <c r="E3072" s="130"/>
      <c r="F3072" s="161"/>
      <c r="G3072" s="164"/>
      <c r="H3072" s="76" t="b">
        <v>1</v>
      </c>
      <c r="I3072" s="76" t="b">
        <v>0</v>
      </c>
      <c r="J3072" s="76" t="b">
        <v>0</v>
      </c>
      <c r="K3072" s="76" t="b">
        <v>0</v>
      </c>
      <c r="L3072" s="76" t="b">
        <v>0</v>
      </c>
      <c r="M3072" s="76" t="b">
        <v>0</v>
      </c>
      <c r="N3072" s="76" t="b">
        <v>0</v>
      </c>
      <c r="O3072" s="76" t="b">
        <v>0</v>
      </c>
      <c r="P3072" s="76" t="b">
        <v>0</v>
      </c>
      <c r="Q3072" s="76" t="b">
        <v>0</v>
      </c>
      <c r="R3072" s="14"/>
      <c r="S3072" s="14"/>
      <c r="T3072" s="14"/>
      <c r="U3072" s="14"/>
      <c r="V3072" s="14"/>
      <c r="W3072" s="14"/>
    </row>
    <row r="3073" ht="31.5" customHeight="1">
      <c r="A3073" s="158"/>
      <c r="B3073" s="159"/>
      <c r="C3073" s="160"/>
      <c r="D3073" s="130"/>
      <c r="E3073" s="130"/>
      <c r="F3073" s="161"/>
      <c r="G3073" s="164"/>
      <c r="H3073" s="76" t="b">
        <v>1</v>
      </c>
      <c r="I3073" s="76" t="b">
        <v>0</v>
      </c>
      <c r="J3073" s="76" t="b">
        <v>0</v>
      </c>
      <c r="K3073" s="76" t="b">
        <v>0</v>
      </c>
      <c r="L3073" s="76" t="b">
        <v>0</v>
      </c>
      <c r="M3073" s="76" t="b">
        <v>0</v>
      </c>
      <c r="N3073" s="76" t="b">
        <v>0</v>
      </c>
      <c r="O3073" s="76" t="b">
        <v>0</v>
      </c>
      <c r="P3073" s="76" t="b">
        <v>0</v>
      </c>
      <c r="Q3073" s="76" t="b">
        <v>0</v>
      </c>
      <c r="R3073" s="14"/>
      <c r="S3073" s="14"/>
      <c r="T3073" s="14"/>
      <c r="U3073" s="14"/>
      <c r="V3073" s="14"/>
      <c r="W3073" s="14"/>
    </row>
    <row r="3074" ht="31.5" customHeight="1">
      <c r="A3074" s="158"/>
      <c r="B3074" s="159"/>
      <c r="C3074" s="160"/>
      <c r="D3074" s="130"/>
      <c r="E3074" s="130"/>
      <c r="F3074" s="161"/>
      <c r="G3074" s="164"/>
      <c r="H3074" s="76" t="b">
        <v>1</v>
      </c>
      <c r="I3074" s="76" t="b">
        <v>0</v>
      </c>
      <c r="J3074" s="76" t="b">
        <v>0</v>
      </c>
      <c r="K3074" s="76" t="b">
        <v>0</v>
      </c>
      <c r="L3074" s="76" t="b">
        <v>0</v>
      </c>
      <c r="M3074" s="76" t="b">
        <v>0</v>
      </c>
      <c r="N3074" s="76" t="b">
        <v>0</v>
      </c>
      <c r="O3074" s="76" t="b">
        <v>0</v>
      </c>
      <c r="P3074" s="76" t="b">
        <v>0</v>
      </c>
      <c r="Q3074" s="76" t="b">
        <v>0</v>
      </c>
      <c r="R3074" s="14"/>
      <c r="S3074" s="14"/>
      <c r="T3074" s="14"/>
      <c r="U3074" s="14"/>
      <c r="V3074" s="14"/>
      <c r="W3074" s="14"/>
    </row>
    <row r="3075" ht="31.5" customHeight="1">
      <c r="A3075" s="158"/>
      <c r="B3075" s="159"/>
      <c r="C3075" s="160"/>
      <c r="D3075" s="130"/>
      <c r="E3075" s="130"/>
      <c r="F3075" s="161"/>
      <c r="G3075" s="164"/>
      <c r="H3075" s="76" t="b">
        <v>1</v>
      </c>
      <c r="I3075" s="76" t="b">
        <v>0</v>
      </c>
      <c r="J3075" s="76" t="b">
        <v>0</v>
      </c>
      <c r="K3075" s="76" t="b">
        <v>0</v>
      </c>
      <c r="L3075" s="76" t="b">
        <v>0</v>
      </c>
      <c r="M3075" s="76" t="b">
        <v>0</v>
      </c>
      <c r="N3075" s="76" t="b">
        <v>0</v>
      </c>
      <c r="O3075" s="76" t="b">
        <v>0</v>
      </c>
      <c r="P3075" s="76" t="b">
        <v>0</v>
      </c>
      <c r="Q3075" s="76" t="b">
        <v>0</v>
      </c>
      <c r="R3075" s="14"/>
      <c r="S3075" s="14"/>
      <c r="T3075" s="14"/>
      <c r="U3075" s="14"/>
      <c r="V3075" s="14"/>
      <c r="W3075" s="14"/>
    </row>
    <row r="3076" ht="31.5" customHeight="1">
      <c r="A3076" s="158"/>
      <c r="B3076" s="159"/>
      <c r="C3076" s="160"/>
      <c r="D3076" s="130"/>
      <c r="E3076" s="130"/>
      <c r="F3076" s="161"/>
      <c r="G3076" s="164"/>
      <c r="H3076" s="76" t="b">
        <v>1</v>
      </c>
      <c r="I3076" s="76" t="b">
        <v>0</v>
      </c>
      <c r="J3076" s="76" t="b">
        <v>0</v>
      </c>
      <c r="K3076" s="76" t="b">
        <v>0</v>
      </c>
      <c r="L3076" s="76" t="b">
        <v>0</v>
      </c>
      <c r="M3076" s="76" t="b">
        <v>0</v>
      </c>
      <c r="N3076" s="76" t="b">
        <v>0</v>
      </c>
      <c r="O3076" s="76" t="b">
        <v>0</v>
      </c>
      <c r="P3076" s="76" t="b">
        <v>0</v>
      </c>
      <c r="Q3076" s="76" t="b">
        <v>0</v>
      </c>
      <c r="R3076" s="14"/>
      <c r="S3076" s="14"/>
      <c r="T3076" s="14"/>
      <c r="U3076" s="14"/>
      <c r="V3076" s="14"/>
      <c r="W3076" s="14"/>
    </row>
    <row r="3077" ht="31.5" customHeight="1">
      <c r="A3077" s="158"/>
      <c r="B3077" s="159"/>
      <c r="C3077" s="160"/>
      <c r="D3077" s="130"/>
      <c r="E3077" s="130"/>
      <c r="F3077" s="161"/>
      <c r="G3077" s="164"/>
      <c r="H3077" s="76" t="b">
        <v>1</v>
      </c>
      <c r="I3077" s="76" t="b">
        <v>0</v>
      </c>
      <c r="J3077" s="76" t="b">
        <v>0</v>
      </c>
      <c r="K3077" s="76" t="b">
        <v>0</v>
      </c>
      <c r="L3077" s="76" t="b">
        <v>0</v>
      </c>
      <c r="M3077" s="76" t="b">
        <v>0</v>
      </c>
      <c r="N3077" s="76" t="b">
        <v>0</v>
      </c>
      <c r="O3077" s="76" t="b">
        <v>0</v>
      </c>
      <c r="P3077" s="76" t="b">
        <v>0</v>
      </c>
      <c r="Q3077" s="76" t="b">
        <v>0</v>
      </c>
      <c r="R3077" s="14"/>
      <c r="S3077" s="14"/>
      <c r="T3077" s="14"/>
      <c r="U3077" s="14"/>
      <c r="V3077" s="14"/>
      <c r="W3077" s="14"/>
    </row>
    <row r="3078" ht="31.5" customHeight="1">
      <c r="A3078" s="158"/>
      <c r="B3078" s="159"/>
      <c r="C3078" s="160"/>
      <c r="D3078" s="130"/>
      <c r="E3078" s="130"/>
      <c r="F3078" s="161"/>
      <c r="G3078" s="164"/>
      <c r="H3078" s="76" t="b">
        <v>1</v>
      </c>
      <c r="I3078" s="76" t="b">
        <v>0</v>
      </c>
      <c r="J3078" s="76" t="b">
        <v>0</v>
      </c>
      <c r="K3078" s="76" t="b">
        <v>0</v>
      </c>
      <c r="L3078" s="76" t="b">
        <v>0</v>
      </c>
      <c r="M3078" s="76" t="b">
        <v>0</v>
      </c>
      <c r="N3078" s="76" t="b">
        <v>0</v>
      </c>
      <c r="O3078" s="76" t="b">
        <v>0</v>
      </c>
      <c r="P3078" s="76" t="b">
        <v>0</v>
      </c>
      <c r="Q3078" s="76" t="b">
        <v>0</v>
      </c>
      <c r="R3078" s="14"/>
      <c r="S3078" s="14"/>
      <c r="T3078" s="14"/>
      <c r="U3078" s="14"/>
      <c r="V3078" s="14"/>
      <c r="W3078" s="14"/>
    </row>
    <row r="3079" ht="31.5" customHeight="1">
      <c r="A3079" s="158"/>
      <c r="B3079" s="159"/>
      <c r="C3079" s="160"/>
      <c r="D3079" s="130"/>
      <c r="E3079" s="130"/>
      <c r="F3079" s="161"/>
      <c r="G3079" s="164"/>
      <c r="H3079" s="76" t="b">
        <v>1</v>
      </c>
      <c r="I3079" s="76" t="b">
        <v>0</v>
      </c>
      <c r="J3079" s="76" t="b">
        <v>0</v>
      </c>
      <c r="K3079" s="76" t="b">
        <v>0</v>
      </c>
      <c r="L3079" s="76" t="b">
        <v>0</v>
      </c>
      <c r="M3079" s="76" t="b">
        <v>0</v>
      </c>
      <c r="N3079" s="76" t="b">
        <v>0</v>
      </c>
      <c r="O3079" s="76" t="b">
        <v>0</v>
      </c>
      <c r="P3079" s="76" t="b">
        <v>0</v>
      </c>
      <c r="Q3079" s="76" t="b">
        <v>0</v>
      </c>
      <c r="R3079" s="14"/>
      <c r="S3079" s="14"/>
      <c r="T3079" s="14"/>
      <c r="U3079" s="14"/>
      <c r="V3079" s="14"/>
      <c r="W3079" s="14"/>
    </row>
    <row r="3080" ht="31.5" customHeight="1">
      <c r="A3080" s="158"/>
      <c r="B3080" s="159"/>
      <c r="C3080" s="160"/>
      <c r="D3080" s="130"/>
      <c r="E3080" s="130"/>
      <c r="F3080" s="161"/>
      <c r="G3080" s="164"/>
      <c r="H3080" s="76" t="b">
        <v>1</v>
      </c>
      <c r="I3080" s="76" t="b">
        <v>0</v>
      </c>
      <c r="J3080" s="76" t="b">
        <v>0</v>
      </c>
      <c r="K3080" s="76" t="b">
        <v>0</v>
      </c>
      <c r="L3080" s="76" t="b">
        <v>0</v>
      </c>
      <c r="M3080" s="76" t="b">
        <v>0</v>
      </c>
      <c r="N3080" s="76" t="b">
        <v>0</v>
      </c>
      <c r="O3080" s="76" t="b">
        <v>0</v>
      </c>
      <c r="P3080" s="76" t="b">
        <v>0</v>
      </c>
      <c r="Q3080" s="76" t="b">
        <v>0</v>
      </c>
      <c r="R3080" s="14"/>
      <c r="S3080" s="14"/>
      <c r="T3080" s="14"/>
      <c r="U3080" s="14"/>
      <c r="V3080" s="14"/>
      <c r="W3080" s="14"/>
    </row>
    <row r="3081" ht="31.5" customHeight="1">
      <c r="A3081" s="158"/>
      <c r="B3081" s="159"/>
      <c r="C3081" s="160"/>
      <c r="D3081" s="130"/>
      <c r="E3081" s="130"/>
      <c r="F3081" s="161"/>
      <c r="G3081" s="164"/>
      <c r="H3081" s="76" t="b">
        <v>1</v>
      </c>
      <c r="I3081" s="76" t="b">
        <v>0</v>
      </c>
      <c r="J3081" s="76" t="b">
        <v>0</v>
      </c>
      <c r="K3081" s="76" t="b">
        <v>0</v>
      </c>
      <c r="L3081" s="76" t="b">
        <v>0</v>
      </c>
      <c r="M3081" s="76" t="b">
        <v>0</v>
      </c>
      <c r="N3081" s="76" t="b">
        <v>0</v>
      </c>
      <c r="O3081" s="76" t="b">
        <v>0</v>
      </c>
      <c r="P3081" s="76" t="b">
        <v>0</v>
      </c>
      <c r="Q3081" s="76" t="b">
        <v>0</v>
      </c>
      <c r="R3081" s="14"/>
      <c r="S3081" s="14"/>
      <c r="T3081" s="14"/>
      <c r="U3081" s="14"/>
      <c r="V3081" s="14"/>
      <c r="W3081" s="14"/>
    </row>
    <row r="3082" ht="31.5" customHeight="1">
      <c r="A3082" s="158"/>
      <c r="B3082" s="159"/>
      <c r="C3082" s="160"/>
      <c r="D3082" s="130"/>
      <c r="E3082" s="130"/>
      <c r="F3082" s="161"/>
      <c r="G3082" s="164"/>
      <c r="H3082" s="76" t="b">
        <v>1</v>
      </c>
      <c r="I3082" s="76" t="b">
        <v>0</v>
      </c>
      <c r="J3082" s="76" t="b">
        <v>0</v>
      </c>
      <c r="K3082" s="76" t="b">
        <v>0</v>
      </c>
      <c r="L3082" s="76" t="b">
        <v>0</v>
      </c>
      <c r="M3082" s="76" t="b">
        <v>0</v>
      </c>
      <c r="N3082" s="76" t="b">
        <v>0</v>
      </c>
      <c r="O3082" s="76" t="b">
        <v>0</v>
      </c>
      <c r="P3082" s="76" t="b">
        <v>0</v>
      </c>
      <c r="Q3082" s="76" t="b">
        <v>0</v>
      </c>
      <c r="R3082" s="14"/>
      <c r="S3082" s="14"/>
      <c r="T3082" s="14"/>
      <c r="U3082" s="14"/>
      <c r="V3082" s="14"/>
      <c r="W3082" s="14"/>
    </row>
    <row r="3083" ht="31.5" customHeight="1">
      <c r="A3083" s="158"/>
      <c r="B3083" s="159"/>
      <c r="C3083" s="160"/>
      <c r="D3083" s="130"/>
      <c r="E3083" s="130"/>
      <c r="F3083" s="161"/>
      <c r="G3083" s="164"/>
      <c r="H3083" s="76" t="b">
        <v>1</v>
      </c>
      <c r="I3083" s="76" t="b">
        <v>0</v>
      </c>
      <c r="J3083" s="76" t="b">
        <v>0</v>
      </c>
      <c r="K3083" s="76" t="b">
        <v>0</v>
      </c>
      <c r="L3083" s="76" t="b">
        <v>0</v>
      </c>
      <c r="M3083" s="76" t="b">
        <v>0</v>
      </c>
      <c r="N3083" s="76" t="b">
        <v>0</v>
      </c>
      <c r="O3083" s="76" t="b">
        <v>0</v>
      </c>
      <c r="P3083" s="76" t="b">
        <v>0</v>
      </c>
      <c r="Q3083" s="76" t="b">
        <v>0</v>
      </c>
      <c r="R3083" s="14"/>
      <c r="S3083" s="14"/>
      <c r="T3083" s="14"/>
      <c r="U3083" s="14"/>
      <c r="V3083" s="14"/>
      <c r="W3083" s="14"/>
    </row>
    <row r="3084" ht="31.5" customHeight="1">
      <c r="A3084" s="158"/>
      <c r="B3084" s="159"/>
      <c r="C3084" s="160"/>
      <c r="D3084" s="130"/>
      <c r="E3084" s="130"/>
      <c r="F3084" s="161"/>
      <c r="G3084" s="164"/>
      <c r="H3084" s="76" t="b">
        <v>1</v>
      </c>
      <c r="I3084" s="76" t="b">
        <v>0</v>
      </c>
      <c r="J3084" s="76" t="b">
        <v>0</v>
      </c>
      <c r="K3084" s="76" t="b">
        <v>0</v>
      </c>
      <c r="L3084" s="76" t="b">
        <v>0</v>
      </c>
      <c r="M3084" s="76" t="b">
        <v>0</v>
      </c>
      <c r="N3084" s="76" t="b">
        <v>0</v>
      </c>
      <c r="O3084" s="76" t="b">
        <v>0</v>
      </c>
      <c r="P3084" s="76" t="b">
        <v>0</v>
      </c>
      <c r="Q3084" s="76" t="b">
        <v>0</v>
      </c>
      <c r="R3084" s="14"/>
      <c r="S3084" s="14"/>
      <c r="T3084" s="14"/>
      <c r="U3084" s="14"/>
      <c r="V3084" s="14"/>
      <c r="W3084" s="14"/>
    </row>
    <row r="3085" ht="31.5" customHeight="1">
      <c r="A3085" s="158"/>
      <c r="B3085" s="159"/>
      <c r="C3085" s="160"/>
      <c r="D3085" s="130"/>
      <c r="E3085" s="130"/>
      <c r="F3085" s="161"/>
      <c r="G3085" s="164"/>
      <c r="H3085" s="76" t="b">
        <v>1</v>
      </c>
      <c r="I3085" s="76" t="b">
        <v>0</v>
      </c>
      <c r="J3085" s="76" t="b">
        <v>0</v>
      </c>
      <c r="K3085" s="76" t="b">
        <v>0</v>
      </c>
      <c r="L3085" s="76" t="b">
        <v>0</v>
      </c>
      <c r="M3085" s="76" t="b">
        <v>0</v>
      </c>
      <c r="N3085" s="76" t="b">
        <v>0</v>
      </c>
      <c r="O3085" s="76" t="b">
        <v>0</v>
      </c>
      <c r="P3085" s="76" t="b">
        <v>0</v>
      </c>
      <c r="Q3085" s="76" t="b">
        <v>0</v>
      </c>
      <c r="R3085" s="14"/>
      <c r="S3085" s="14"/>
      <c r="T3085" s="14"/>
      <c r="U3085" s="14"/>
      <c r="V3085" s="14"/>
      <c r="W3085" s="14"/>
    </row>
    <row r="3086" ht="31.5" customHeight="1">
      <c r="A3086" s="158"/>
      <c r="B3086" s="159"/>
      <c r="C3086" s="160"/>
      <c r="D3086" s="130"/>
      <c r="E3086" s="130"/>
      <c r="F3086" s="161"/>
      <c r="G3086" s="164"/>
      <c r="H3086" s="76" t="b">
        <v>1</v>
      </c>
      <c r="I3086" s="76" t="b">
        <v>0</v>
      </c>
      <c r="J3086" s="76" t="b">
        <v>0</v>
      </c>
      <c r="K3086" s="76" t="b">
        <v>0</v>
      </c>
      <c r="L3086" s="76" t="b">
        <v>0</v>
      </c>
      <c r="M3086" s="76" t="b">
        <v>0</v>
      </c>
      <c r="N3086" s="76" t="b">
        <v>0</v>
      </c>
      <c r="O3086" s="76" t="b">
        <v>0</v>
      </c>
      <c r="P3086" s="76" t="b">
        <v>0</v>
      </c>
      <c r="Q3086" s="76" t="b">
        <v>0</v>
      </c>
      <c r="R3086" s="14"/>
      <c r="S3086" s="14"/>
      <c r="T3086" s="14"/>
      <c r="U3086" s="14"/>
      <c r="V3086" s="14"/>
      <c r="W3086" s="14"/>
    </row>
    <row r="3087" ht="31.5" customHeight="1">
      <c r="A3087" s="158"/>
      <c r="B3087" s="159"/>
      <c r="C3087" s="160"/>
      <c r="D3087" s="130"/>
      <c r="E3087" s="130"/>
      <c r="F3087" s="161"/>
      <c r="G3087" s="164"/>
      <c r="H3087" s="76" t="b">
        <v>1</v>
      </c>
      <c r="I3087" s="76" t="b">
        <v>0</v>
      </c>
      <c r="J3087" s="76" t="b">
        <v>0</v>
      </c>
      <c r="K3087" s="76" t="b">
        <v>0</v>
      </c>
      <c r="L3087" s="76" t="b">
        <v>0</v>
      </c>
      <c r="M3087" s="76" t="b">
        <v>0</v>
      </c>
      <c r="N3087" s="76" t="b">
        <v>0</v>
      </c>
      <c r="O3087" s="76" t="b">
        <v>0</v>
      </c>
      <c r="P3087" s="76" t="b">
        <v>0</v>
      </c>
      <c r="Q3087" s="76" t="b">
        <v>0</v>
      </c>
      <c r="R3087" s="14"/>
      <c r="S3087" s="14"/>
      <c r="T3087" s="14"/>
      <c r="U3087" s="14"/>
      <c r="V3087" s="14"/>
      <c r="W3087" s="14"/>
    </row>
    <row r="3088" ht="31.5" customHeight="1">
      <c r="A3088" s="158"/>
      <c r="B3088" s="159"/>
      <c r="C3088" s="160"/>
      <c r="D3088" s="130"/>
      <c r="E3088" s="130"/>
      <c r="F3088" s="161"/>
      <c r="G3088" s="164"/>
      <c r="H3088" s="76" t="b">
        <v>1</v>
      </c>
      <c r="I3088" s="76" t="b">
        <v>0</v>
      </c>
      <c r="J3088" s="76" t="b">
        <v>0</v>
      </c>
      <c r="K3088" s="76" t="b">
        <v>0</v>
      </c>
      <c r="L3088" s="76" t="b">
        <v>0</v>
      </c>
      <c r="M3088" s="76" t="b">
        <v>0</v>
      </c>
      <c r="N3088" s="76" t="b">
        <v>0</v>
      </c>
      <c r="O3088" s="76" t="b">
        <v>0</v>
      </c>
      <c r="P3088" s="76" t="b">
        <v>0</v>
      </c>
      <c r="Q3088" s="76" t="b">
        <v>0</v>
      </c>
      <c r="R3088" s="14"/>
      <c r="S3088" s="14"/>
      <c r="T3088" s="14"/>
      <c r="U3088" s="14"/>
      <c r="V3088" s="14"/>
      <c r="W3088" s="14"/>
    </row>
    <row r="3089" ht="31.5" customHeight="1">
      <c r="A3089" s="158"/>
      <c r="B3089" s="159"/>
      <c r="C3089" s="160"/>
      <c r="D3089" s="130"/>
      <c r="E3089" s="130"/>
      <c r="F3089" s="161"/>
      <c r="G3089" s="164"/>
      <c r="H3089" s="76" t="b">
        <v>1</v>
      </c>
      <c r="I3089" s="76" t="b">
        <v>0</v>
      </c>
      <c r="J3089" s="76" t="b">
        <v>0</v>
      </c>
      <c r="K3089" s="76" t="b">
        <v>0</v>
      </c>
      <c r="L3089" s="76" t="b">
        <v>0</v>
      </c>
      <c r="M3089" s="76" t="b">
        <v>0</v>
      </c>
      <c r="N3089" s="76" t="b">
        <v>0</v>
      </c>
      <c r="O3089" s="76" t="b">
        <v>0</v>
      </c>
      <c r="P3089" s="76" t="b">
        <v>0</v>
      </c>
      <c r="Q3089" s="76" t="b">
        <v>0</v>
      </c>
      <c r="R3089" s="14"/>
      <c r="S3089" s="14"/>
      <c r="T3089" s="14"/>
      <c r="U3089" s="14"/>
      <c r="V3089" s="14"/>
      <c r="W3089" s="14"/>
    </row>
    <row r="3090" ht="31.5" customHeight="1">
      <c r="A3090" s="158"/>
      <c r="B3090" s="159"/>
      <c r="C3090" s="160"/>
      <c r="D3090" s="130"/>
      <c r="E3090" s="130"/>
      <c r="F3090" s="161"/>
      <c r="G3090" s="164"/>
      <c r="H3090" s="76" t="b">
        <v>1</v>
      </c>
      <c r="I3090" s="76" t="b">
        <v>0</v>
      </c>
      <c r="J3090" s="76" t="b">
        <v>0</v>
      </c>
      <c r="K3090" s="76" t="b">
        <v>0</v>
      </c>
      <c r="L3090" s="76" t="b">
        <v>0</v>
      </c>
      <c r="M3090" s="76" t="b">
        <v>0</v>
      </c>
      <c r="N3090" s="76" t="b">
        <v>0</v>
      </c>
      <c r="O3090" s="76" t="b">
        <v>0</v>
      </c>
      <c r="P3090" s="76" t="b">
        <v>0</v>
      </c>
      <c r="Q3090" s="76" t="b">
        <v>0</v>
      </c>
      <c r="R3090" s="14"/>
      <c r="S3090" s="14"/>
      <c r="T3090" s="14"/>
      <c r="U3090" s="14"/>
      <c r="V3090" s="14"/>
      <c r="W3090" s="14"/>
    </row>
    <row r="3091" ht="31.5" customHeight="1">
      <c r="A3091" s="158"/>
      <c r="B3091" s="159"/>
      <c r="C3091" s="160"/>
      <c r="D3091" s="130"/>
      <c r="E3091" s="130"/>
      <c r="F3091" s="161"/>
      <c r="G3091" s="164"/>
      <c r="H3091" s="76" t="b">
        <v>1</v>
      </c>
      <c r="I3091" s="76" t="b">
        <v>0</v>
      </c>
      <c r="J3091" s="76" t="b">
        <v>0</v>
      </c>
      <c r="K3091" s="76" t="b">
        <v>0</v>
      </c>
      <c r="L3091" s="76" t="b">
        <v>0</v>
      </c>
      <c r="M3091" s="76" t="b">
        <v>0</v>
      </c>
      <c r="N3091" s="76" t="b">
        <v>0</v>
      </c>
      <c r="O3091" s="76" t="b">
        <v>0</v>
      </c>
      <c r="P3091" s="76" t="b">
        <v>0</v>
      </c>
      <c r="Q3091" s="76" t="b">
        <v>0</v>
      </c>
      <c r="R3091" s="14"/>
      <c r="S3091" s="14"/>
      <c r="T3091" s="14"/>
      <c r="U3091" s="14"/>
      <c r="V3091" s="14"/>
      <c r="W3091" s="14"/>
    </row>
    <row r="3092" ht="31.5" customHeight="1">
      <c r="A3092" s="158"/>
      <c r="B3092" s="159"/>
      <c r="C3092" s="160"/>
      <c r="D3092" s="130"/>
      <c r="E3092" s="130"/>
      <c r="F3092" s="161"/>
      <c r="G3092" s="164"/>
      <c r="H3092" s="76" t="b">
        <v>1</v>
      </c>
      <c r="I3092" s="76" t="b">
        <v>0</v>
      </c>
      <c r="J3092" s="76" t="b">
        <v>0</v>
      </c>
      <c r="K3092" s="76" t="b">
        <v>0</v>
      </c>
      <c r="L3092" s="76" t="b">
        <v>0</v>
      </c>
      <c r="M3092" s="76" t="b">
        <v>0</v>
      </c>
      <c r="N3092" s="76" t="b">
        <v>0</v>
      </c>
      <c r="O3092" s="76" t="b">
        <v>0</v>
      </c>
      <c r="P3092" s="76" t="b">
        <v>0</v>
      </c>
      <c r="Q3092" s="76" t="b">
        <v>0</v>
      </c>
      <c r="R3092" s="14"/>
      <c r="S3092" s="14"/>
      <c r="T3092" s="14"/>
      <c r="U3092" s="14"/>
      <c r="V3092" s="14"/>
      <c r="W3092" s="14"/>
    </row>
    <row r="3093" ht="31.5" customHeight="1">
      <c r="A3093" s="158"/>
      <c r="B3093" s="159"/>
      <c r="C3093" s="160"/>
      <c r="D3093" s="130"/>
      <c r="E3093" s="130"/>
      <c r="F3093" s="161"/>
      <c r="G3093" s="164"/>
      <c r="H3093" s="76" t="b">
        <v>1</v>
      </c>
      <c r="I3093" s="76" t="b">
        <v>0</v>
      </c>
      <c r="J3093" s="76" t="b">
        <v>0</v>
      </c>
      <c r="K3093" s="76" t="b">
        <v>0</v>
      </c>
      <c r="L3093" s="76" t="b">
        <v>0</v>
      </c>
      <c r="M3093" s="76" t="b">
        <v>0</v>
      </c>
      <c r="N3093" s="76" t="b">
        <v>0</v>
      </c>
      <c r="O3093" s="76" t="b">
        <v>0</v>
      </c>
      <c r="P3093" s="76" t="b">
        <v>0</v>
      </c>
      <c r="Q3093" s="76" t="b">
        <v>0</v>
      </c>
      <c r="R3093" s="14"/>
      <c r="S3093" s="14"/>
      <c r="T3093" s="14"/>
      <c r="U3093" s="14"/>
      <c r="V3093" s="14"/>
      <c r="W3093" s="14"/>
    </row>
    <row r="3094" ht="31.5" customHeight="1">
      <c r="A3094" s="158"/>
      <c r="B3094" s="159"/>
      <c r="C3094" s="160"/>
      <c r="D3094" s="130"/>
      <c r="E3094" s="130"/>
      <c r="F3094" s="161"/>
      <c r="G3094" s="164"/>
      <c r="H3094" s="76" t="b">
        <v>1</v>
      </c>
      <c r="I3094" s="76" t="b">
        <v>0</v>
      </c>
      <c r="J3094" s="76" t="b">
        <v>0</v>
      </c>
      <c r="K3094" s="76" t="b">
        <v>0</v>
      </c>
      <c r="L3094" s="76" t="b">
        <v>0</v>
      </c>
      <c r="M3094" s="76" t="b">
        <v>0</v>
      </c>
      <c r="N3094" s="76" t="b">
        <v>0</v>
      </c>
      <c r="O3094" s="76" t="b">
        <v>0</v>
      </c>
      <c r="P3094" s="76" t="b">
        <v>0</v>
      </c>
      <c r="Q3094" s="76" t="b">
        <v>0</v>
      </c>
      <c r="R3094" s="14"/>
      <c r="S3094" s="14"/>
      <c r="T3094" s="14"/>
      <c r="U3094" s="14"/>
      <c r="V3094" s="14"/>
      <c r="W3094" s="14"/>
    </row>
    <row r="3095" ht="31.5" customHeight="1">
      <c r="A3095" s="158"/>
      <c r="B3095" s="159"/>
      <c r="C3095" s="160"/>
      <c r="D3095" s="130"/>
      <c r="E3095" s="130"/>
      <c r="F3095" s="161"/>
      <c r="G3095" s="164"/>
      <c r="H3095" s="76" t="b">
        <v>1</v>
      </c>
      <c r="I3095" s="76" t="b">
        <v>0</v>
      </c>
      <c r="J3095" s="76" t="b">
        <v>0</v>
      </c>
      <c r="K3095" s="76" t="b">
        <v>0</v>
      </c>
      <c r="L3095" s="76" t="b">
        <v>0</v>
      </c>
      <c r="M3095" s="76" t="b">
        <v>0</v>
      </c>
      <c r="N3095" s="76" t="b">
        <v>0</v>
      </c>
      <c r="O3095" s="76" t="b">
        <v>0</v>
      </c>
      <c r="P3095" s="76" t="b">
        <v>0</v>
      </c>
      <c r="Q3095" s="76" t="b">
        <v>0</v>
      </c>
      <c r="R3095" s="14"/>
      <c r="S3095" s="14"/>
      <c r="T3095" s="14"/>
      <c r="U3095" s="14"/>
      <c r="V3095" s="14"/>
      <c r="W3095" s="14"/>
    </row>
    <row r="3096" ht="31.5" customHeight="1">
      <c r="A3096" s="158"/>
      <c r="B3096" s="159"/>
      <c r="C3096" s="160"/>
      <c r="D3096" s="130"/>
      <c r="E3096" s="130"/>
      <c r="F3096" s="161"/>
      <c r="G3096" s="164"/>
      <c r="H3096" s="76" t="b">
        <v>1</v>
      </c>
      <c r="I3096" s="76" t="b">
        <v>0</v>
      </c>
      <c r="J3096" s="76" t="b">
        <v>0</v>
      </c>
      <c r="K3096" s="76" t="b">
        <v>0</v>
      </c>
      <c r="L3096" s="76" t="b">
        <v>0</v>
      </c>
      <c r="M3096" s="76" t="b">
        <v>0</v>
      </c>
      <c r="N3096" s="76" t="b">
        <v>0</v>
      </c>
      <c r="O3096" s="76" t="b">
        <v>0</v>
      </c>
      <c r="P3096" s="76" t="b">
        <v>0</v>
      </c>
      <c r="Q3096" s="76" t="b">
        <v>0</v>
      </c>
      <c r="R3096" s="14"/>
      <c r="S3096" s="14"/>
      <c r="T3096" s="14"/>
      <c r="U3096" s="14"/>
      <c r="V3096" s="14"/>
      <c r="W3096" s="14"/>
    </row>
    <row r="3097" ht="31.5" customHeight="1">
      <c r="A3097" s="158"/>
      <c r="B3097" s="159"/>
      <c r="C3097" s="160"/>
      <c r="D3097" s="130"/>
      <c r="E3097" s="130"/>
      <c r="F3097" s="161"/>
      <c r="G3097" s="164"/>
      <c r="H3097" s="76" t="b">
        <v>1</v>
      </c>
      <c r="I3097" s="76" t="b">
        <v>0</v>
      </c>
      <c r="J3097" s="76" t="b">
        <v>0</v>
      </c>
      <c r="K3097" s="76" t="b">
        <v>0</v>
      </c>
      <c r="L3097" s="76" t="b">
        <v>0</v>
      </c>
      <c r="M3097" s="76" t="b">
        <v>0</v>
      </c>
      <c r="N3097" s="76" t="b">
        <v>0</v>
      </c>
      <c r="O3097" s="76" t="b">
        <v>0</v>
      </c>
      <c r="P3097" s="76" t="b">
        <v>0</v>
      </c>
      <c r="Q3097" s="76" t="b">
        <v>0</v>
      </c>
      <c r="R3097" s="14"/>
      <c r="S3097" s="14"/>
      <c r="T3097" s="14"/>
      <c r="U3097" s="14"/>
      <c r="V3097" s="14"/>
      <c r="W3097" s="14"/>
    </row>
    <row r="3098" ht="31.5" customHeight="1">
      <c r="A3098" s="158"/>
      <c r="B3098" s="159"/>
      <c r="C3098" s="160"/>
      <c r="D3098" s="130"/>
      <c r="E3098" s="130"/>
      <c r="F3098" s="161"/>
      <c r="G3098" s="164"/>
      <c r="H3098" s="76" t="b">
        <v>1</v>
      </c>
      <c r="I3098" s="76" t="b">
        <v>0</v>
      </c>
      <c r="J3098" s="76" t="b">
        <v>0</v>
      </c>
      <c r="K3098" s="76" t="b">
        <v>0</v>
      </c>
      <c r="L3098" s="76" t="b">
        <v>0</v>
      </c>
      <c r="M3098" s="76" t="b">
        <v>0</v>
      </c>
      <c r="N3098" s="76" t="b">
        <v>0</v>
      </c>
      <c r="O3098" s="76" t="b">
        <v>0</v>
      </c>
      <c r="P3098" s="76" t="b">
        <v>0</v>
      </c>
      <c r="Q3098" s="76" t="b">
        <v>0</v>
      </c>
      <c r="R3098" s="14"/>
      <c r="S3098" s="14"/>
      <c r="T3098" s="14"/>
      <c r="U3098" s="14"/>
      <c r="V3098" s="14"/>
      <c r="W3098" s="14"/>
    </row>
    <row r="3099" ht="31.5" customHeight="1">
      <c r="A3099" s="158"/>
      <c r="B3099" s="159"/>
      <c r="C3099" s="160"/>
      <c r="D3099" s="130"/>
      <c r="E3099" s="130"/>
      <c r="F3099" s="161"/>
      <c r="G3099" s="164"/>
      <c r="H3099" s="76" t="b">
        <v>1</v>
      </c>
      <c r="I3099" s="76" t="b">
        <v>0</v>
      </c>
      <c r="J3099" s="76" t="b">
        <v>0</v>
      </c>
      <c r="K3099" s="76" t="b">
        <v>0</v>
      </c>
      <c r="L3099" s="76" t="b">
        <v>0</v>
      </c>
      <c r="M3099" s="76" t="b">
        <v>0</v>
      </c>
      <c r="N3099" s="76" t="b">
        <v>0</v>
      </c>
      <c r="O3099" s="76" t="b">
        <v>0</v>
      </c>
      <c r="P3099" s="76" t="b">
        <v>0</v>
      </c>
      <c r="Q3099" s="76" t="b">
        <v>0</v>
      </c>
      <c r="R3099" s="14"/>
      <c r="S3099" s="14"/>
      <c r="T3099" s="14"/>
      <c r="U3099" s="14"/>
      <c r="V3099" s="14"/>
      <c r="W3099" s="14"/>
    </row>
    <row r="3100" ht="31.5" customHeight="1">
      <c r="A3100" s="158"/>
      <c r="B3100" s="159"/>
      <c r="C3100" s="160"/>
      <c r="D3100" s="130"/>
      <c r="E3100" s="130"/>
      <c r="F3100" s="161"/>
      <c r="G3100" s="164"/>
      <c r="H3100" s="76" t="b">
        <v>1</v>
      </c>
      <c r="I3100" s="76" t="b">
        <v>0</v>
      </c>
      <c r="J3100" s="76" t="b">
        <v>0</v>
      </c>
      <c r="K3100" s="76" t="b">
        <v>0</v>
      </c>
      <c r="L3100" s="76" t="b">
        <v>0</v>
      </c>
      <c r="M3100" s="76" t="b">
        <v>0</v>
      </c>
      <c r="N3100" s="76" t="b">
        <v>0</v>
      </c>
      <c r="O3100" s="76" t="b">
        <v>0</v>
      </c>
      <c r="P3100" s="76" t="b">
        <v>0</v>
      </c>
      <c r="Q3100" s="76" t="b">
        <v>0</v>
      </c>
      <c r="R3100" s="14"/>
      <c r="S3100" s="14"/>
      <c r="T3100" s="14"/>
      <c r="U3100" s="14"/>
      <c r="V3100" s="14"/>
      <c r="W3100" s="14"/>
    </row>
    <row r="3101" ht="31.5" customHeight="1">
      <c r="A3101" s="158"/>
      <c r="B3101" s="159"/>
      <c r="C3101" s="160"/>
      <c r="D3101" s="130"/>
      <c r="E3101" s="130"/>
      <c r="F3101" s="161"/>
      <c r="G3101" s="164"/>
      <c r="H3101" s="76" t="b">
        <v>1</v>
      </c>
      <c r="I3101" s="76" t="b">
        <v>0</v>
      </c>
      <c r="J3101" s="76" t="b">
        <v>0</v>
      </c>
      <c r="K3101" s="76" t="b">
        <v>0</v>
      </c>
      <c r="L3101" s="76" t="b">
        <v>0</v>
      </c>
      <c r="M3101" s="76" t="b">
        <v>0</v>
      </c>
      <c r="N3101" s="76" t="b">
        <v>0</v>
      </c>
      <c r="O3101" s="76" t="b">
        <v>0</v>
      </c>
      <c r="P3101" s="76" t="b">
        <v>0</v>
      </c>
      <c r="Q3101" s="76" t="b">
        <v>0</v>
      </c>
      <c r="R3101" s="14"/>
      <c r="S3101" s="14"/>
      <c r="T3101" s="14"/>
      <c r="U3101" s="14"/>
      <c r="V3101" s="14"/>
      <c r="W3101" s="14"/>
    </row>
    <row r="3102" ht="31.5" customHeight="1">
      <c r="A3102" s="158"/>
      <c r="B3102" s="159"/>
      <c r="C3102" s="160"/>
      <c r="D3102" s="130"/>
      <c r="E3102" s="130"/>
      <c r="F3102" s="161"/>
      <c r="G3102" s="164"/>
      <c r="H3102" s="76" t="b">
        <v>1</v>
      </c>
      <c r="I3102" s="76" t="b">
        <v>0</v>
      </c>
      <c r="J3102" s="76" t="b">
        <v>0</v>
      </c>
      <c r="K3102" s="76" t="b">
        <v>0</v>
      </c>
      <c r="L3102" s="76" t="b">
        <v>0</v>
      </c>
      <c r="M3102" s="76" t="b">
        <v>0</v>
      </c>
      <c r="N3102" s="76" t="b">
        <v>0</v>
      </c>
      <c r="O3102" s="76" t="b">
        <v>0</v>
      </c>
      <c r="P3102" s="76" t="b">
        <v>0</v>
      </c>
      <c r="Q3102" s="76" t="b">
        <v>0</v>
      </c>
      <c r="R3102" s="14"/>
      <c r="S3102" s="14"/>
      <c r="T3102" s="14"/>
      <c r="U3102" s="14"/>
      <c r="V3102" s="14"/>
      <c r="W3102" s="14"/>
    </row>
    <row r="3103" ht="31.5" customHeight="1">
      <c r="A3103" s="158"/>
      <c r="B3103" s="159"/>
      <c r="C3103" s="160"/>
      <c r="D3103" s="130"/>
      <c r="E3103" s="130"/>
      <c r="F3103" s="161"/>
      <c r="G3103" s="164"/>
      <c r="H3103" s="76" t="b">
        <v>1</v>
      </c>
      <c r="I3103" s="76" t="b">
        <v>0</v>
      </c>
      <c r="J3103" s="76" t="b">
        <v>0</v>
      </c>
      <c r="K3103" s="76" t="b">
        <v>0</v>
      </c>
      <c r="L3103" s="76" t="b">
        <v>0</v>
      </c>
      <c r="M3103" s="76" t="b">
        <v>0</v>
      </c>
      <c r="N3103" s="76" t="b">
        <v>0</v>
      </c>
      <c r="O3103" s="76" t="b">
        <v>0</v>
      </c>
      <c r="P3103" s="76" t="b">
        <v>0</v>
      </c>
      <c r="Q3103" s="76" t="b">
        <v>0</v>
      </c>
      <c r="R3103" s="14"/>
      <c r="S3103" s="14"/>
      <c r="T3103" s="14"/>
      <c r="U3103" s="14"/>
      <c r="V3103" s="14"/>
      <c r="W3103" s="14"/>
    </row>
    <row r="3104" ht="31.5" customHeight="1">
      <c r="A3104" s="158"/>
      <c r="B3104" s="159"/>
      <c r="C3104" s="160"/>
      <c r="D3104" s="130"/>
      <c r="E3104" s="130"/>
      <c r="F3104" s="161"/>
      <c r="G3104" s="164"/>
      <c r="H3104" s="76" t="b">
        <v>1</v>
      </c>
      <c r="I3104" s="76" t="b">
        <v>0</v>
      </c>
      <c r="J3104" s="76" t="b">
        <v>0</v>
      </c>
      <c r="K3104" s="76" t="b">
        <v>0</v>
      </c>
      <c r="L3104" s="76" t="b">
        <v>0</v>
      </c>
      <c r="M3104" s="76" t="b">
        <v>0</v>
      </c>
      <c r="N3104" s="76" t="b">
        <v>0</v>
      </c>
      <c r="O3104" s="76" t="b">
        <v>0</v>
      </c>
      <c r="P3104" s="76" t="b">
        <v>0</v>
      </c>
      <c r="Q3104" s="76" t="b">
        <v>0</v>
      </c>
      <c r="R3104" s="14"/>
      <c r="S3104" s="14"/>
      <c r="T3104" s="14"/>
      <c r="U3104" s="14"/>
      <c r="V3104" s="14"/>
      <c r="W3104" s="14"/>
    </row>
    <row r="3105" ht="31.5" customHeight="1">
      <c r="A3105" s="158"/>
      <c r="B3105" s="159"/>
      <c r="C3105" s="160"/>
      <c r="D3105" s="130"/>
      <c r="E3105" s="130"/>
      <c r="F3105" s="161"/>
      <c r="G3105" s="164"/>
      <c r="H3105" s="76" t="b">
        <v>1</v>
      </c>
      <c r="I3105" s="76" t="b">
        <v>0</v>
      </c>
      <c r="J3105" s="76" t="b">
        <v>0</v>
      </c>
      <c r="K3105" s="76" t="b">
        <v>0</v>
      </c>
      <c r="L3105" s="76" t="b">
        <v>0</v>
      </c>
      <c r="M3105" s="76" t="b">
        <v>0</v>
      </c>
      <c r="N3105" s="76" t="b">
        <v>0</v>
      </c>
      <c r="O3105" s="76" t="b">
        <v>0</v>
      </c>
      <c r="P3105" s="76" t="b">
        <v>0</v>
      </c>
      <c r="Q3105" s="76" t="b">
        <v>0</v>
      </c>
      <c r="R3105" s="14"/>
      <c r="S3105" s="14"/>
      <c r="T3105" s="14"/>
      <c r="U3105" s="14"/>
      <c r="V3105" s="14"/>
      <c r="W3105" s="14"/>
    </row>
    <row r="3106" ht="31.5" customHeight="1">
      <c r="A3106" s="158"/>
      <c r="B3106" s="159"/>
      <c r="C3106" s="160"/>
      <c r="D3106" s="130"/>
      <c r="E3106" s="130"/>
      <c r="F3106" s="161"/>
      <c r="G3106" s="164"/>
      <c r="H3106" s="76" t="b">
        <v>1</v>
      </c>
      <c r="I3106" s="76" t="b">
        <v>0</v>
      </c>
      <c r="J3106" s="76" t="b">
        <v>0</v>
      </c>
      <c r="K3106" s="76" t="b">
        <v>0</v>
      </c>
      <c r="L3106" s="76" t="b">
        <v>0</v>
      </c>
      <c r="M3106" s="76" t="b">
        <v>0</v>
      </c>
      <c r="N3106" s="76" t="b">
        <v>0</v>
      </c>
      <c r="O3106" s="76" t="b">
        <v>0</v>
      </c>
      <c r="P3106" s="76" t="b">
        <v>0</v>
      </c>
      <c r="Q3106" s="76" t="b">
        <v>0</v>
      </c>
      <c r="R3106" s="14"/>
      <c r="S3106" s="14"/>
      <c r="T3106" s="14"/>
      <c r="U3106" s="14"/>
      <c r="V3106" s="14"/>
      <c r="W3106" s="14"/>
    </row>
    <row r="3107" ht="31.5" customHeight="1">
      <c r="A3107" s="158"/>
      <c r="B3107" s="159"/>
      <c r="C3107" s="160"/>
      <c r="D3107" s="130"/>
      <c r="E3107" s="130"/>
      <c r="F3107" s="161"/>
      <c r="G3107" s="164"/>
      <c r="H3107" s="76" t="b">
        <v>1</v>
      </c>
      <c r="I3107" s="76" t="b">
        <v>0</v>
      </c>
      <c r="J3107" s="76" t="b">
        <v>0</v>
      </c>
      <c r="K3107" s="76" t="b">
        <v>0</v>
      </c>
      <c r="L3107" s="76" t="b">
        <v>0</v>
      </c>
      <c r="M3107" s="76" t="b">
        <v>0</v>
      </c>
      <c r="N3107" s="76" t="b">
        <v>0</v>
      </c>
      <c r="O3107" s="76" t="b">
        <v>0</v>
      </c>
      <c r="P3107" s="76" t="b">
        <v>0</v>
      </c>
      <c r="Q3107" s="76" t="b">
        <v>0</v>
      </c>
      <c r="R3107" s="14"/>
      <c r="S3107" s="14"/>
      <c r="T3107" s="14"/>
      <c r="U3107" s="14"/>
      <c r="V3107" s="14"/>
      <c r="W3107" s="14"/>
    </row>
    <row r="3108" ht="31.5" customHeight="1">
      <c r="A3108" s="158"/>
      <c r="B3108" s="159"/>
      <c r="C3108" s="160"/>
      <c r="D3108" s="130"/>
      <c r="E3108" s="130"/>
      <c r="F3108" s="161"/>
      <c r="G3108" s="164"/>
      <c r="H3108" s="76" t="b">
        <v>1</v>
      </c>
      <c r="I3108" s="76" t="b">
        <v>0</v>
      </c>
      <c r="J3108" s="76" t="b">
        <v>0</v>
      </c>
      <c r="K3108" s="76" t="b">
        <v>0</v>
      </c>
      <c r="L3108" s="76" t="b">
        <v>0</v>
      </c>
      <c r="M3108" s="76" t="b">
        <v>0</v>
      </c>
      <c r="N3108" s="76" t="b">
        <v>0</v>
      </c>
      <c r="O3108" s="76" t="b">
        <v>0</v>
      </c>
      <c r="P3108" s="76" t="b">
        <v>0</v>
      </c>
      <c r="Q3108" s="76" t="b">
        <v>0</v>
      </c>
      <c r="R3108" s="14"/>
      <c r="S3108" s="14"/>
      <c r="T3108" s="14"/>
      <c r="U3108" s="14"/>
      <c r="V3108" s="14"/>
      <c r="W3108" s="14"/>
    </row>
    <row r="3109" ht="31.5" customHeight="1">
      <c r="A3109" s="158"/>
      <c r="B3109" s="159"/>
      <c r="C3109" s="160"/>
      <c r="D3109" s="130"/>
      <c r="E3109" s="130"/>
      <c r="F3109" s="161"/>
      <c r="G3109" s="164"/>
      <c r="H3109" s="76" t="b">
        <v>1</v>
      </c>
      <c r="I3109" s="76" t="b">
        <v>0</v>
      </c>
      <c r="J3109" s="76" t="b">
        <v>0</v>
      </c>
      <c r="K3109" s="76" t="b">
        <v>0</v>
      </c>
      <c r="L3109" s="76" t="b">
        <v>0</v>
      </c>
      <c r="M3109" s="76" t="b">
        <v>0</v>
      </c>
      <c r="N3109" s="76" t="b">
        <v>0</v>
      </c>
      <c r="O3109" s="76" t="b">
        <v>0</v>
      </c>
      <c r="P3109" s="76" t="b">
        <v>0</v>
      </c>
      <c r="Q3109" s="76" t="b">
        <v>0</v>
      </c>
      <c r="R3109" s="14"/>
      <c r="S3109" s="14"/>
      <c r="T3109" s="14"/>
      <c r="U3109" s="14"/>
      <c r="V3109" s="14"/>
      <c r="W3109" s="14"/>
    </row>
    <row r="3110" ht="31.5" customHeight="1">
      <c r="A3110" s="158"/>
      <c r="B3110" s="159"/>
      <c r="C3110" s="160"/>
      <c r="D3110" s="130"/>
      <c r="E3110" s="130"/>
      <c r="F3110" s="161"/>
      <c r="G3110" s="164"/>
      <c r="H3110" s="76" t="b">
        <v>1</v>
      </c>
      <c r="I3110" s="76" t="b">
        <v>0</v>
      </c>
      <c r="J3110" s="76" t="b">
        <v>0</v>
      </c>
      <c r="K3110" s="76" t="b">
        <v>0</v>
      </c>
      <c r="L3110" s="76" t="b">
        <v>0</v>
      </c>
      <c r="M3110" s="76" t="b">
        <v>0</v>
      </c>
      <c r="N3110" s="76" t="b">
        <v>0</v>
      </c>
      <c r="O3110" s="76" t="b">
        <v>0</v>
      </c>
      <c r="P3110" s="76" t="b">
        <v>0</v>
      </c>
      <c r="Q3110" s="76" t="b">
        <v>0</v>
      </c>
      <c r="R3110" s="14"/>
      <c r="S3110" s="14"/>
      <c r="T3110" s="14"/>
      <c r="U3110" s="14"/>
      <c r="V3110" s="14"/>
      <c r="W3110" s="14"/>
    </row>
    <row r="3111" ht="31.5" customHeight="1">
      <c r="A3111" s="158"/>
      <c r="B3111" s="159"/>
      <c r="C3111" s="160"/>
      <c r="D3111" s="130"/>
      <c r="E3111" s="130"/>
      <c r="F3111" s="161"/>
      <c r="G3111" s="164"/>
      <c r="H3111" s="76" t="b">
        <v>1</v>
      </c>
      <c r="I3111" s="76" t="b">
        <v>0</v>
      </c>
      <c r="J3111" s="76" t="b">
        <v>0</v>
      </c>
      <c r="K3111" s="76" t="b">
        <v>0</v>
      </c>
      <c r="L3111" s="76" t="b">
        <v>0</v>
      </c>
      <c r="M3111" s="76" t="b">
        <v>0</v>
      </c>
      <c r="N3111" s="76" t="b">
        <v>0</v>
      </c>
      <c r="O3111" s="76" t="b">
        <v>0</v>
      </c>
      <c r="P3111" s="76" t="b">
        <v>0</v>
      </c>
      <c r="Q3111" s="76" t="b">
        <v>0</v>
      </c>
      <c r="R3111" s="14"/>
      <c r="S3111" s="14"/>
      <c r="T3111" s="14"/>
      <c r="U3111" s="14"/>
      <c r="V3111" s="14"/>
      <c r="W3111" s="14"/>
    </row>
    <row r="3112" ht="31.5" customHeight="1">
      <c r="A3112" s="158"/>
      <c r="B3112" s="159"/>
      <c r="C3112" s="160"/>
      <c r="D3112" s="130"/>
      <c r="E3112" s="130"/>
      <c r="F3112" s="161"/>
      <c r="G3112" s="164"/>
      <c r="H3112" s="76" t="b">
        <v>1</v>
      </c>
      <c r="I3112" s="76" t="b">
        <v>0</v>
      </c>
      <c r="J3112" s="76" t="b">
        <v>0</v>
      </c>
      <c r="K3112" s="76" t="b">
        <v>0</v>
      </c>
      <c r="L3112" s="76" t="b">
        <v>0</v>
      </c>
      <c r="M3112" s="76" t="b">
        <v>0</v>
      </c>
      <c r="N3112" s="76" t="b">
        <v>0</v>
      </c>
      <c r="O3112" s="76" t="b">
        <v>0</v>
      </c>
      <c r="P3112" s="76" t="b">
        <v>0</v>
      </c>
      <c r="Q3112" s="76" t="b">
        <v>0</v>
      </c>
      <c r="R3112" s="14"/>
      <c r="S3112" s="14"/>
      <c r="T3112" s="14"/>
      <c r="U3112" s="14"/>
      <c r="V3112" s="14"/>
      <c r="W3112" s="14"/>
    </row>
    <row r="3113" ht="31.5" customHeight="1">
      <c r="A3113" s="158"/>
      <c r="B3113" s="159"/>
      <c r="C3113" s="160"/>
      <c r="D3113" s="130"/>
      <c r="E3113" s="130"/>
      <c r="F3113" s="161"/>
      <c r="G3113" s="164"/>
      <c r="H3113" s="76" t="b">
        <v>1</v>
      </c>
      <c r="I3113" s="76" t="b">
        <v>0</v>
      </c>
      <c r="J3113" s="76" t="b">
        <v>0</v>
      </c>
      <c r="K3113" s="76" t="b">
        <v>0</v>
      </c>
      <c r="L3113" s="76" t="b">
        <v>0</v>
      </c>
      <c r="M3113" s="76" t="b">
        <v>0</v>
      </c>
      <c r="N3113" s="76" t="b">
        <v>0</v>
      </c>
      <c r="O3113" s="76" t="b">
        <v>0</v>
      </c>
      <c r="P3113" s="76" t="b">
        <v>0</v>
      </c>
      <c r="Q3113" s="76" t="b">
        <v>0</v>
      </c>
      <c r="R3113" s="14"/>
      <c r="S3113" s="14"/>
      <c r="T3113" s="14"/>
      <c r="U3113" s="14"/>
      <c r="V3113" s="14"/>
      <c r="W3113" s="14"/>
    </row>
    <row r="3114" ht="31.5" customHeight="1">
      <c r="A3114" s="158"/>
      <c r="B3114" s="159"/>
      <c r="C3114" s="160"/>
      <c r="D3114" s="130"/>
      <c r="E3114" s="130"/>
      <c r="F3114" s="161"/>
      <c r="G3114" s="164"/>
      <c r="H3114" s="76" t="b">
        <v>1</v>
      </c>
      <c r="I3114" s="76" t="b">
        <v>0</v>
      </c>
      <c r="J3114" s="76" t="b">
        <v>0</v>
      </c>
      <c r="K3114" s="76" t="b">
        <v>0</v>
      </c>
      <c r="L3114" s="76" t="b">
        <v>0</v>
      </c>
      <c r="M3114" s="76" t="b">
        <v>0</v>
      </c>
      <c r="N3114" s="76" t="b">
        <v>0</v>
      </c>
      <c r="O3114" s="76" t="b">
        <v>0</v>
      </c>
      <c r="P3114" s="76" t="b">
        <v>0</v>
      </c>
      <c r="Q3114" s="76" t="b">
        <v>0</v>
      </c>
      <c r="R3114" s="14"/>
      <c r="S3114" s="14"/>
      <c r="T3114" s="14"/>
      <c r="U3114" s="14"/>
      <c r="V3114" s="14"/>
      <c r="W3114" s="14"/>
    </row>
    <row r="3115" ht="31.5" customHeight="1">
      <c r="A3115" s="158"/>
      <c r="B3115" s="159"/>
      <c r="C3115" s="160"/>
      <c r="D3115" s="130"/>
      <c r="E3115" s="130"/>
      <c r="F3115" s="161"/>
      <c r="G3115" s="164"/>
      <c r="H3115" s="76" t="b">
        <v>1</v>
      </c>
      <c r="I3115" s="76" t="b">
        <v>0</v>
      </c>
      <c r="J3115" s="76" t="b">
        <v>0</v>
      </c>
      <c r="K3115" s="76" t="b">
        <v>0</v>
      </c>
      <c r="L3115" s="76" t="b">
        <v>0</v>
      </c>
      <c r="M3115" s="76" t="b">
        <v>0</v>
      </c>
      <c r="N3115" s="76" t="b">
        <v>0</v>
      </c>
      <c r="O3115" s="76" t="b">
        <v>0</v>
      </c>
      <c r="P3115" s="76" t="b">
        <v>0</v>
      </c>
      <c r="Q3115" s="76" t="b">
        <v>0</v>
      </c>
      <c r="R3115" s="14"/>
      <c r="S3115" s="14"/>
      <c r="T3115" s="14"/>
      <c r="U3115" s="14"/>
      <c r="V3115" s="14"/>
      <c r="W3115" s="14"/>
    </row>
    <row r="3116" ht="31.5" customHeight="1">
      <c r="A3116" s="158"/>
      <c r="B3116" s="159"/>
      <c r="C3116" s="160"/>
      <c r="D3116" s="130"/>
      <c r="E3116" s="130"/>
      <c r="F3116" s="161"/>
      <c r="G3116" s="164"/>
      <c r="H3116" s="76" t="b">
        <v>1</v>
      </c>
      <c r="I3116" s="76" t="b">
        <v>0</v>
      </c>
      <c r="J3116" s="76" t="b">
        <v>0</v>
      </c>
      <c r="K3116" s="76" t="b">
        <v>0</v>
      </c>
      <c r="L3116" s="76" t="b">
        <v>0</v>
      </c>
      <c r="M3116" s="76" t="b">
        <v>0</v>
      </c>
      <c r="N3116" s="76" t="b">
        <v>0</v>
      </c>
      <c r="O3116" s="76" t="b">
        <v>0</v>
      </c>
      <c r="P3116" s="76" t="b">
        <v>0</v>
      </c>
      <c r="Q3116" s="76" t="b">
        <v>0</v>
      </c>
      <c r="R3116" s="14"/>
      <c r="S3116" s="14"/>
      <c r="T3116" s="14"/>
      <c r="U3116" s="14"/>
      <c r="V3116" s="14"/>
      <c r="W3116" s="14"/>
    </row>
    <row r="3117" ht="31.5" customHeight="1">
      <c r="A3117" s="158"/>
      <c r="B3117" s="159"/>
      <c r="C3117" s="160"/>
      <c r="D3117" s="130"/>
      <c r="E3117" s="130"/>
      <c r="F3117" s="161"/>
      <c r="G3117" s="164"/>
      <c r="H3117" s="76" t="b">
        <v>1</v>
      </c>
      <c r="I3117" s="76" t="b">
        <v>0</v>
      </c>
      <c r="J3117" s="76" t="b">
        <v>0</v>
      </c>
      <c r="K3117" s="76" t="b">
        <v>0</v>
      </c>
      <c r="L3117" s="76" t="b">
        <v>0</v>
      </c>
      <c r="M3117" s="76" t="b">
        <v>0</v>
      </c>
      <c r="N3117" s="76" t="b">
        <v>0</v>
      </c>
      <c r="O3117" s="76" t="b">
        <v>0</v>
      </c>
      <c r="P3117" s="76" t="b">
        <v>0</v>
      </c>
      <c r="Q3117" s="76" t="b">
        <v>0</v>
      </c>
      <c r="R3117" s="14"/>
      <c r="S3117" s="14"/>
      <c r="T3117" s="14"/>
      <c r="U3117" s="14"/>
      <c r="V3117" s="14"/>
      <c r="W3117" s="14"/>
    </row>
    <row r="3118" ht="31.5" customHeight="1">
      <c r="A3118" s="158"/>
      <c r="B3118" s="159"/>
      <c r="C3118" s="160"/>
      <c r="D3118" s="130"/>
      <c r="E3118" s="130"/>
      <c r="F3118" s="161"/>
      <c r="G3118" s="164"/>
      <c r="H3118" s="76" t="b">
        <v>1</v>
      </c>
      <c r="I3118" s="76" t="b">
        <v>0</v>
      </c>
      <c r="J3118" s="76" t="b">
        <v>0</v>
      </c>
      <c r="K3118" s="76" t="b">
        <v>0</v>
      </c>
      <c r="L3118" s="76" t="b">
        <v>0</v>
      </c>
      <c r="M3118" s="76" t="b">
        <v>0</v>
      </c>
      <c r="N3118" s="76" t="b">
        <v>0</v>
      </c>
      <c r="O3118" s="76" t="b">
        <v>0</v>
      </c>
      <c r="P3118" s="76" t="b">
        <v>0</v>
      </c>
      <c r="Q3118" s="76" t="b">
        <v>0</v>
      </c>
      <c r="R3118" s="14"/>
      <c r="S3118" s="14"/>
      <c r="T3118" s="14"/>
      <c r="U3118" s="14"/>
      <c r="V3118" s="14"/>
      <c r="W3118" s="14"/>
    </row>
    <row r="3119" ht="31.5" customHeight="1">
      <c r="A3119" s="158"/>
      <c r="B3119" s="159"/>
      <c r="C3119" s="160"/>
      <c r="D3119" s="130"/>
      <c r="E3119" s="130"/>
      <c r="F3119" s="161"/>
      <c r="G3119" s="164"/>
      <c r="H3119" s="76" t="b">
        <v>1</v>
      </c>
      <c r="I3119" s="76" t="b">
        <v>0</v>
      </c>
      <c r="J3119" s="76" t="b">
        <v>0</v>
      </c>
      <c r="K3119" s="76" t="b">
        <v>0</v>
      </c>
      <c r="L3119" s="76" t="b">
        <v>0</v>
      </c>
      <c r="M3119" s="76" t="b">
        <v>0</v>
      </c>
      <c r="N3119" s="76" t="b">
        <v>0</v>
      </c>
      <c r="O3119" s="76" t="b">
        <v>0</v>
      </c>
      <c r="P3119" s="76" t="b">
        <v>0</v>
      </c>
      <c r="Q3119" s="76" t="b">
        <v>0</v>
      </c>
      <c r="R3119" s="14"/>
      <c r="S3119" s="14"/>
      <c r="T3119" s="14"/>
      <c r="U3119" s="14"/>
      <c r="V3119" s="14"/>
      <c r="W3119" s="14"/>
    </row>
    <row r="3120" ht="31.5" customHeight="1">
      <c r="A3120" s="158"/>
      <c r="B3120" s="159"/>
      <c r="C3120" s="160"/>
      <c r="D3120" s="130"/>
      <c r="E3120" s="130"/>
      <c r="F3120" s="161"/>
      <c r="G3120" s="164"/>
      <c r="H3120" s="76" t="b">
        <v>1</v>
      </c>
      <c r="I3120" s="76" t="b">
        <v>0</v>
      </c>
      <c r="J3120" s="76" t="b">
        <v>0</v>
      </c>
      <c r="K3120" s="76" t="b">
        <v>0</v>
      </c>
      <c r="L3120" s="76" t="b">
        <v>0</v>
      </c>
      <c r="M3120" s="76" t="b">
        <v>0</v>
      </c>
      <c r="N3120" s="76" t="b">
        <v>0</v>
      </c>
      <c r="O3120" s="76" t="b">
        <v>0</v>
      </c>
      <c r="P3120" s="76" t="b">
        <v>0</v>
      </c>
      <c r="Q3120" s="76" t="b">
        <v>0</v>
      </c>
      <c r="R3120" s="14"/>
      <c r="S3120" s="14"/>
      <c r="T3120" s="14"/>
      <c r="U3120" s="14"/>
      <c r="V3120" s="14"/>
      <c r="W3120" s="14"/>
    </row>
    <row r="3121" ht="31.5" customHeight="1">
      <c r="A3121" s="158"/>
      <c r="B3121" s="159"/>
      <c r="C3121" s="160"/>
      <c r="D3121" s="130"/>
      <c r="E3121" s="130"/>
      <c r="F3121" s="161"/>
      <c r="G3121" s="164"/>
      <c r="H3121" s="76" t="b">
        <v>1</v>
      </c>
      <c r="I3121" s="76" t="b">
        <v>0</v>
      </c>
      <c r="J3121" s="76" t="b">
        <v>0</v>
      </c>
      <c r="K3121" s="76" t="b">
        <v>0</v>
      </c>
      <c r="L3121" s="76" t="b">
        <v>0</v>
      </c>
      <c r="M3121" s="76" t="b">
        <v>0</v>
      </c>
      <c r="N3121" s="76" t="b">
        <v>0</v>
      </c>
      <c r="O3121" s="76" t="b">
        <v>0</v>
      </c>
      <c r="P3121" s="76" t="b">
        <v>0</v>
      </c>
      <c r="Q3121" s="76" t="b">
        <v>0</v>
      </c>
      <c r="R3121" s="14"/>
      <c r="S3121" s="14"/>
      <c r="T3121" s="14"/>
      <c r="U3121" s="14"/>
      <c r="V3121" s="14"/>
      <c r="W3121" s="14"/>
    </row>
    <row r="3122" ht="31.5" customHeight="1">
      <c r="A3122" s="158"/>
      <c r="B3122" s="159"/>
      <c r="C3122" s="160"/>
      <c r="D3122" s="130"/>
      <c r="E3122" s="130"/>
      <c r="F3122" s="161"/>
      <c r="G3122" s="164"/>
      <c r="H3122" s="76" t="b">
        <v>1</v>
      </c>
      <c r="I3122" s="76" t="b">
        <v>0</v>
      </c>
      <c r="J3122" s="76" t="b">
        <v>0</v>
      </c>
      <c r="K3122" s="76" t="b">
        <v>0</v>
      </c>
      <c r="L3122" s="76" t="b">
        <v>0</v>
      </c>
      <c r="M3122" s="76" t="b">
        <v>0</v>
      </c>
      <c r="N3122" s="76" t="b">
        <v>0</v>
      </c>
      <c r="O3122" s="76" t="b">
        <v>0</v>
      </c>
      <c r="P3122" s="76" t="b">
        <v>0</v>
      </c>
      <c r="Q3122" s="76" t="b">
        <v>0</v>
      </c>
      <c r="R3122" s="14"/>
      <c r="S3122" s="14"/>
      <c r="T3122" s="14"/>
      <c r="U3122" s="14"/>
      <c r="V3122" s="14"/>
      <c r="W3122" s="14"/>
    </row>
    <row r="3123" ht="31.5" customHeight="1">
      <c r="A3123" s="158"/>
      <c r="B3123" s="159"/>
      <c r="C3123" s="160"/>
      <c r="D3123" s="130"/>
      <c r="E3123" s="130"/>
      <c r="F3123" s="161"/>
      <c r="G3123" s="164"/>
      <c r="H3123" s="76" t="b">
        <v>1</v>
      </c>
      <c r="I3123" s="76" t="b">
        <v>0</v>
      </c>
      <c r="J3123" s="76" t="b">
        <v>0</v>
      </c>
      <c r="K3123" s="76" t="b">
        <v>0</v>
      </c>
      <c r="L3123" s="76" t="b">
        <v>0</v>
      </c>
      <c r="M3123" s="76" t="b">
        <v>0</v>
      </c>
      <c r="N3123" s="76" t="b">
        <v>0</v>
      </c>
      <c r="O3123" s="76" t="b">
        <v>0</v>
      </c>
      <c r="P3123" s="76" t="b">
        <v>0</v>
      </c>
      <c r="Q3123" s="76" t="b">
        <v>0</v>
      </c>
      <c r="R3123" s="14"/>
      <c r="S3123" s="14"/>
      <c r="T3123" s="14"/>
      <c r="U3123" s="14"/>
      <c r="V3123" s="14"/>
      <c r="W3123" s="14"/>
    </row>
    <row r="3124" ht="31.5" customHeight="1">
      <c r="A3124" s="158"/>
      <c r="B3124" s="159"/>
      <c r="C3124" s="160"/>
      <c r="D3124" s="130"/>
      <c r="E3124" s="130"/>
      <c r="F3124" s="161"/>
      <c r="G3124" s="164"/>
      <c r="H3124" s="76" t="b">
        <v>1</v>
      </c>
      <c r="I3124" s="76" t="b">
        <v>0</v>
      </c>
      <c r="J3124" s="76" t="b">
        <v>0</v>
      </c>
      <c r="K3124" s="76" t="b">
        <v>0</v>
      </c>
      <c r="L3124" s="76" t="b">
        <v>0</v>
      </c>
      <c r="M3124" s="76" t="b">
        <v>0</v>
      </c>
      <c r="N3124" s="76" t="b">
        <v>0</v>
      </c>
      <c r="O3124" s="76" t="b">
        <v>0</v>
      </c>
      <c r="P3124" s="76" t="b">
        <v>0</v>
      </c>
      <c r="Q3124" s="76" t="b">
        <v>0</v>
      </c>
      <c r="R3124" s="14"/>
      <c r="S3124" s="14"/>
      <c r="T3124" s="14"/>
      <c r="U3124" s="14"/>
      <c r="V3124" s="14"/>
      <c r="W3124" s="14"/>
    </row>
    <row r="3125" ht="31.5" customHeight="1">
      <c r="A3125" s="158"/>
      <c r="B3125" s="159"/>
      <c r="C3125" s="160"/>
      <c r="D3125" s="130"/>
      <c r="E3125" s="130"/>
      <c r="F3125" s="161"/>
      <c r="G3125" s="164"/>
      <c r="H3125" s="76" t="b">
        <v>1</v>
      </c>
      <c r="I3125" s="76" t="b">
        <v>0</v>
      </c>
      <c r="J3125" s="76" t="b">
        <v>0</v>
      </c>
      <c r="K3125" s="76" t="b">
        <v>0</v>
      </c>
      <c r="L3125" s="76" t="b">
        <v>0</v>
      </c>
      <c r="M3125" s="76" t="b">
        <v>0</v>
      </c>
      <c r="N3125" s="76" t="b">
        <v>0</v>
      </c>
      <c r="O3125" s="76" t="b">
        <v>0</v>
      </c>
      <c r="P3125" s="76" t="b">
        <v>0</v>
      </c>
      <c r="Q3125" s="76" t="b">
        <v>0</v>
      </c>
      <c r="R3125" s="14"/>
      <c r="S3125" s="14"/>
      <c r="T3125" s="14"/>
      <c r="U3125" s="14"/>
      <c r="V3125" s="14"/>
      <c r="W3125" s="14"/>
    </row>
    <row r="3126" ht="31.5" customHeight="1">
      <c r="A3126" s="158"/>
      <c r="B3126" s="159"/>
      <c r="C3126" s="160"/>
      <c r="D3126" s="130"/>
      <c r="E3126" s="130"/>
      <c r="F3126" s="161"/>
      <c r="G3126" s="164"/>
      <c r="H3126" s="76" t="b">
        <v>1</v>
      </c>
      <c r="I3126" s="76" t="b">
        <v>0</v>
      </c>
      <c r="J3126" s="76" t="b">
        <v>0</v>
      </c>
      <c r="K3126" s="76" t="b">
        <v>0</v>
      </c>
      <c r="L3126" s="76" t="b">
        <v>0</v>
      </c>
      <c r="M3126" s="76" t="b">
        <v>0</v>
      </c>
      <c r="N3126" s="76" t="b">
        <v>0</v>
      </c>
      <c r="O3126" s="76" t="b">
        <v>0</v>
      </c>
      <c r="P3126" s="76" t="b">
        <v>0</v>
      </c>
      <c r="Q3126" s="76" t="b">
        <v>0</v>
      </c>
      <c r="R3126" s="14"/>
      <c r="S3126" s="14"/>
      <c r="T3126" s="14"/>
      <c r="U3126" s="14"/>
      <c r="V3126" s="14"/>
      <c r="W3126" s="14"/>
    </row>
    <row r="3127" ht="31.5" customHeight="1">
      <c r="A3127" s="158"/>
      <c r="B3127" s="159"/>
      <c r="C3127" s="160"/>
      <c r="D3127" s="130"/>
      <c r="E3127" s="130"/>
      <c r="F3127" s="161"/>
      <c r="G3127" s="164"/>
      <c r="H3127" s="76" t="b">
        <v>1</v>
      </c>
      <c r="I3127" s="76" t="b">
        <v>0</v>
      </c>
      <c r="J3127" s="76" t="b">
        <v>0</v>
      </c>
      <c r="K3127" s="76" t="b">
        <v>0</v>
      </c>
      <c r="L3127" s="76" t="b">
        <v>0</v>
      </c>
      <c r="M3127" s="76" t="b">
        <v>0</v>
      </c>
      <c r="N3127" s="76" t="b">
        <v>0</v>
      </c>
      <c r="O3127" s="76" t="b">
        <v>0</v>
      </c>
      <c r="P3127" s="76" t="b">
        <v>0</v>
      </c>
      <c r="Q3127" s="76" t="b">
        <v>0</v>
      </c>
      <c r="R3127" s="14"/>
      <c r="S3127" s="14"/>
      <c r="T3127" s="14"/>
      <c r="U3127" s="14"/>
      <c r="V3127" s="14"/>
      <c r="W3127" s="14"/>
    </row>
    <row r="3128" ht="31.5" customHeight="1">
      <c r="A3128" s="158"/>
      <c r="B3128" s="159"/>
      <c r="C3128" s="160"/>
      <c r="D3128" s="130"/>
      <c r="E3128" s="130"/>
      <c r="F3128" s="161"/>
      <c r="G3128" s="164"/>
      <c r="H3128" s="76" t="b">
        <v>1</v>
      </c>
      <c r="I3128" s="76" t="b">
        <v>0</v>
      </c>
      <c r="J3128" s="76" t="b">
        <v>0</v>
      </c>
      <c r="K3128" s="76" t="b">
        <v>0</v>
      </c>
      <c r="L3128" s="76" t="b">
        <v>0</v>
      </c>
      <c r="M3128" s="76" t="b">
        <v>0</v>
      </c>
      <c r="N3128" s="76" t="b">
        <v>0</v>
      </c>
      <c r="O3128" s="76" t="b">
        <v>0</v>
      </c>
      <c r="P3128" s="76" t="b">
        <v>0</v>
      </c>
      <c r="Q3128" s="76" t="b">
        <v>0</v>
      </c>
      <c r="R3128" s="14"/>
      <c r="S3128" s="14"/>
      <c r="T3128" s="14"/>
      <c r="U3128" s="14"/>
      <c r="V3128" s="14"/>
      <c r="W3128" s="14"/>
    </row>
    <row r="3129" ht="31.5" customHeight="1">
      <c r="A3129" s="158"/>
      <c r="B3129" s="159"/>
      <c r="C3129" s="160"/>
      <c r="D3129" s="130"/>
      <c r="E3129" s="130"/>
      <c r="F3129" s="161"/>
      <c r="G3129" s="164"/>
      <c r="H3129" s="76" t="b">
        <v>1</v>
      </c>
      <c r="I3129" s="76" t="b">
        <v>0</v>
      </c>
      <c r="J3129" s="76" t="b">
        <v>0</v>
      </c>
      <c r="K3129" s="76" t="b">
        <v>0</v>
      </c>
      <c r="L3129" s="76" t="b">
        <v>0</v>
      </c>
      <c r="M3129" s="76" t="b">
        <v>0</v>
      </c>
      <c r="N3129" s="76" t="b">
        <v>0</v>
      </c>
      <c r="O3129" s="76" t="b">
        <v>0</v>
      </c>
      <c r="P3129" s="76" t="b">
        <v>0</v>
      </c>
      <c r="Q3129" s="76" t="b">
        <v>0</v>
      </c>
      <c r="R3129" s="14"/>
      <c r="S3129" s="14"/>
      <c r="T3129" s="14"/>
      <c r="U3129" s="14"/>
      <c r="V3129" s="14"/>
      <c r="W3129" s="14"/>
    </row>
    <row r="3130" ht="31.5" customHeight="1">
      <c r="A3130" s="158"/>
      <c r="B3130" s="159"/>
      <c r="C3130" s="160"/>
      <c r="D3130" s="130"/>
      <c r="E3130" s="130"/>
      <c r="F3130" s="161"/>
      <c r="G3130" s="164"/>
      <c r="H3130" s="76" t="b">
        <v>1</v>
      </c>
      <c r="I3130" s="76" t="b">
        <v>0</v>
      </c>
      <c r="J3130" s="76" t="b">
        <v>0</v>
      </c>
      <c r="K3130" s="76" t="b">
        <v>0</v>
      </c>
      <c r="L3130" s="76" t="b">
        <v>0</v>
      </c>
      <c r="M3130" s="76" t="b">
        <v>0</v>
      </c>
      <c r="N3130" s="76" t="b">
        <v>0</v>
      </c>
      <c r="O3130" s="76" t="b">
        <v>0</v>
      </c>
      <c r="P3130" s="76" t="b">
        <v>0</v>
      </c>
      <c r="Q3130" s="76" t="b">
        <v>0</v>
      </c>
      <c r="R3130" s="14"/>
      <c r="S3130" s="14"/>
      <c r="T3130" s="14"/>
      <c r="U3130" s="14"/>
      <c r="V3130" s="14"/>
      <c r="W3130" s="14"/>
    </row>
    <row r="3131" ht="31.5" customHeight="1">
      <c r="A3131" s="158"/>
      <c r="B3131" s="159"/>
      <c r="C3131" s="160"/>
      <c r="D3131" s="130"/>
      <c r="E3131" s="130"/>
      <c r="F3131" s="161"/>
      <c r="G3131" s="164"/>
      <c r="H3131" s="76" t="b">
        <v>1</v>
      </c>
      <c r="I3131" s="76" t="b">
        <v>0</v>
      </c>
      <c r="J3131" s="76" t="b">
        <v>0</v>
      </c>
      <c r="K3131" s="76" t="b">
        <v>0</v>
      </c>
      <c r="L3131" s="76" t="b">
        <v>0</v>
      </c>
      <c r="M3131" s="76" t="b">
        <v>0</v>
      </c>
      <c r="N3131" s="76" t="b">
        <v>0</v>
      </c>
      <c r="O3131" s="76" t="b">
        <v>0</v>
      </c>
      <c r="P3131" s="76" t="b">
        <v>0</v>
      </c>
      <c r="Q3131" s="76" t="b">
        <v>0</v>
      </c>
      <c r="R3131" s="14"/>
      <c r="S3131" s="14"/>
      <c r="T3131" s="14"/>
      <c r="U3131" s="14"/>
      <c r="V3131" s="14"/>
      <c r="W3131" s="14"/>
    </row>
    <row r="3132" ht="31.5" customHeight="1">
      <c r="A3132" s="158"/>
      <c r="B3132" s="159"/>
      <c r="C3132" s="160"/>
      <c r="D3132" s="130"/>
      <c r="E3132" s="130"/>
      <c r="F3132" s="161"/>
      <c r="G3132" s="164"/>
      <c r="H3132" s="76" t="b">
        <v>1</v>
      </c>
      <c r="I3132" s="76" t="b">
        <v>0</v>
      </c>
      <c r="J3132" s="76" t="b">
        <v>0</v>
      </c>
      <c r="K3132" s="76" t="b">
        <v>0</v>
      </c>
      <c r="L3132" s="76" t="b">
        <v>0</v>
      </c>
      <c r="M3132" s="76" t="b">
        <v>0</v>
      </c>
      <c r="N3132" s="76" t="b">
        <v>0</v>
      </c>
      <c r="O3132" s="76" t="b">
        <v>0</v>
      </c>
      <c r="P3132" s="76" t="b">
        <v>0</v>
      </c>
      <c r="Q3132" s="76" t="b">
        <v>0</v>
      </c>
      <c r="R3132" s="14"/>
      <c r="S3132" s="14"/>
      <c r="T3132" s="14"/>
      <c r="U3132" s="14"/>
      <c r="V3132" s="14"/>
      <c r="W3132" s="14"/>
    </row>
    <row r="3133" ht="31.5" customHeight="1">
      <c r="A3133" s="158"/>
      <c r="B3133" s="159"/>
      <c r="C3133" s="160"/>
      <c r="D3133" s="130"/>
      <c r="E3133" s="130"/>
      <c r="F3133" s="161"/>
      <c r="G3133" s="164"/>
      <c r="H3133" s="76" t="b">
        <v>1</v>
      </c>
      <c r="I3133" s="76" t="b">
        <v>0</v>
      </c>
      <c r="J3133" s="76" t="b">
        <v>0</v>
      </c>
      <c r="K3133" s="76" t="b">
        <v>0</v>
      </c>
      <c r="L3133" s="76" t="b">
        <v>0</v>
      </c>
      <c r="M3133" s="76" t="b">
        <v>0</v>
      </c>
      <c r="N3133" s="76" t="b">
        <v>0</v>
      </c>
      <c r="O3133" s="76" t="b">
        <v>0</v>
      </c>
      <c r="P3133" s="76" t="b">
        <v>0</v>
      </c>
      <c r="Q3133" s="76" t="b">
        <v>0</v>
      </c>
      <c r="R3133" s="14"/>
      <c r="S3133" s="14"/>
      <c r="T3133" s="14"/>
      <c r="U3133" s="14"/>
      <c r="V3133" s="14"/>
      <c r="W3133" s="14"/>
    </row>
    <row r="3134" ht="31.5" customHeight="1">
      <c r="A3134" s="158"/>
      <c r="B3134" s="159"/>
      <c r="C3134" s="160"/>
      <c r="D3134" s="130"/>
      <c r="E3134" s="130"/>
      <c r="F3134" s="161"/>
      <c r="G3134" s="164"/>
      <c r="H3134" s="76" t="b">
        <v>1</v>
      </c>
      <c r="I3134" s="76" t="b">
        <v>0</v>
      </c>
      <c r="J3134" s="76" t="b">
        <v>0</v>
      </c>
      <c r="K3134" s="76" t="b">
        <v>0</v>
      </c>
      <c r="L3134" s="76" t="b">
        <v>0</v>
      </c>
      <c r="M3134" s="76" t="b">
        <v>0</v>
      </c>
      <c r="N3134" s="76" t="b">
        <v>0</v>
      </c>
      <c r="O3134" s="76" t="b">
        <v>0</v>
      </c>
      <c r="P3134" s="76" t="b">
        <v>0</v>
      </c>
      <c r="Q3134" s="76" t="b">
        <v>0</v>
      </c>
      <c r="R3134" s="14"/>
      <c r="S3134" s="14"/>
      <c r="T3134" s="14"/>
      <c r="U3134" s="14"/>
      <c r="V3134" s="14"/>
      <c r="W3134" s="14"/>
    </row>
    <row r="3135" ht="31.5" customHeight="1">
      <c r="A3135" s="158"/>
      <c r="B3135" s="159"/>
      <c r="C3135" s="160"/>
      <c r="D3135" s="130"/>
      <c r="E3135" s="130"/>
      <c r="F3135" s="161"/>
      <c r="G3135" s="164"/>
      <c r="H3135" s="76" t="b">
        <v>1</v>
      </c>
      <c r="I3135" s="76" t="b">
        <v>0</v>
      </c>
      <c r="J3135" s="76" t="b">
        <v>0</v>
      </c>
      <c r="K3135" s="76" t="b">
        <v>0</v>
      </c>
      <c r="L3135" s="76" t="b">
        <v>0</v>
      </c>
      <c r="M3135" s="76" t="b">
        <v>0</v>
      </c>
      <c r="N3135" s="76" t="b">
        <v>0</v>
      </c>
      <c r="O3135" s="76" t="b">
        <v>0</v>
      </c>
      <c r="P3135" s="76" t="b">
        <v>0</v>
      </c>
      <c r="Q3135" s="76" t="b">
        <v>0</v>
      </c>
      <c r="R3135" s="14"/>
      <c r="S3135" s="14"/>
      <c r="T3135" s="14"/>
      <c r="U3135" s="14"/>
      <c r="V3135" s="14"/>
      <c r="W3135" s="14"/>
    </row>
    <row r="3136" ht="31.5" customHeight="1">
      <c r="A3136" s="158"/>
      <c r="B3136" s="159"/>
      <c r="C3136" s="160"/>
      <c r="D3136" s="130"/>
      <c r="E3136" s="130"/>
      <c r="F3136" s="161"/>
      <c r="G3136" s="164"/>
      <c r="H3136" s="76" t="b">
        <v>1</v>
      </c>
      <c r="I3136" s="76" t="b">
        <v>0</v>
      </c>
      <c r="J3136" s="76" t="b">
        <v>0</v>
      </c>
      <c r="K3136" s="76" t="b">
        <v>0</v>
      </c>
      <c r="L3136" s="76" t="b">
        <v>0</v>
      </c>
      <c r="M3136" s="76" t="b">
        <v>0</v>
      </c>
      <c r="N3136" s="76" t="b">
        <v>0</v>
      </c>
      <c r="O3136" s="76" t="b">
        <v>0</v>
      </c>
      <c r="P3136" s="76" t="b">
        <v>0</v>
      </c>
      <c r="Q3136" s="76" t="b">
        <v>0</v>
      </c>
      <c r="R3136" s="14"/>
      <c r="S3136" s="14"/>
      <c r="T3136" s="14"/>
      <c r="U3136" s="14"/>
      <c r="V3136" s="14"/>
      <c r="W3136" s="14"/>
    </row>
    <row r="3137" ht="31.5" customHeight="1">
      <c r="A3137" s="158"/>
      <c r="B3137" s="159"/>
      <c r="C3137" s="160"/>
      <c r="D3137" s="130"/>
      <c r="E3137" s="130"/>
      <c r="F3137" s="161"/>
      <c r="G3137" s="164"/>
      <c r="H3137" s="76" t="b">
        <v>1</v>
      </c>
      <c r="I3137" s="76" t="b">
        <v>0</v>
      </c>
      <c r="J3137" s="76" t="b">
        <v>0</v>
      </c>
      <c r="K3137" s="76" t="b">
        <v>0</v>
      </c>
      <c r="L3137" s="76" t="b">
        <v>0</v>
      </c>
      <c r="M3137" s="76" t="b">
        <v>0</v>
      </c>
      <c r="N3137" s="76" t="b">
        <v>0</v>
      </c>
      <c r="O3137" s="76" t="b">
        <v>0</v>
      </c>
      <c r="P3137" s="76" t="b">
        <v>0</v>
      </c>
      <c r="Q3137" s="76" t="b">
        <v>0</v>
      </c>
      <c r="R3137" s="14"/>
      <c r="S3137" s="14"/>
      <c r="T3137" s="14"/>
      <c r="U3137" s="14"/>
      <c r="V3137" s="14"/>
      <c r="W3137" s="14"/>
    </row>
    <row r="3138" ht="31.5" customHeight="1">
      <c r="A3138" s="158"/>
      <c r="B3138" s="159"/>
      <c r="C3138" s="160"/>
      <c r="D3138" s="130"/>
      <c r="E3138" s="130"/>
      <c r="F3138" s="161"/>
      <c r="G3138" s="164"/>
      <c r="H3138" s="76" t="b">
        <v>1</v>
      </c>
      <c r="I3138" s="76" t="b">
        <v>0</v>
      </c>
      <c r="J3138" s="76" t="b">
        <v>0</v>
      </c>
      <c r="K3138" s="76" t="b">
        <v>0</v>
      </c>
      <c r="L3138" s="76" t="b">
        <v>0</v>
      </c>
      <c r="M3138" s="76" t="b">
        <v>0</v>
      </c>
      <c r="N3138" s="76" t="b">
        <v>0</v>
      </c>
      <c r="O3138" s="76" t="b">
        <v>0</v>
      </c>
      <c r="P3138" s="76" t="b">
        <v>0</v>
      </c>
      <c r="Q3138" s="76" t="b">
        <v>0</v>
      </c>
      <c r="R3138" s="14"/>
      <c r="S3138" s="14"/>
      <c r="T3138" s="14"/>
      <c r="U3138" s="14"/>
      <c r="V3138" s="14"/>
      <c r="W3138" s="14"/>
    </row>
    <row r="3139" ht="31.5" customHeight="1">
      <c r="A3139" s="158"/>
      <c r="B3139" s="159"/>
      <c r="C3139" s="160"/>
      <c r="D3139" s="130"/>
      <c r="E3139" s="130"/>
      <c r="F3139" s="161"/>
      <c r="G3139" s="164"/>
      <c r="H3139" s="76" t="b">
        <v>1</v>
      </c>
      <c r="I3139" s="76" t="b">
        <v>0</v>
      </c>
      <c r="J3139" s="76" t="b">
        <v>0</v>
      </c>
      <c r="K3139" s="76" t="b">
        <v>0</v>
      </c>
      <c r="L3139" s="76" t="b">
        <v>0</v>
      </c>
      <c r="M3139" s="76" t="b">
        <v>0</v>
      </c>
      <c r="N3139" s="76" t="b">
        <v>0</v>
      </c>
      <c r="O3139" s="76" t="b">
        <v>0</v>
      </c>
      <c r="P3139" s="76" t="b">
        <v>0</v>
      </c>
      <c r="Q3139" s="76" t="b">
        <v>0</v>
      </c>
      <c r="R3139" s="14"/>
      <c r="S3139" s="14"/>
      <c r="T3139" s="14"/>
      <c r="U3139" s="14"/>
      <c r="V3139" s="14"/>
      <c r="W3139" s="14"/>
    </row>
    <row r="3140" ht="31.5" customHeight="1">
      <c r="A3140" s="158"/>
      <c r="B3140" s="159"/>
      <c r="C3140" s="160"/>
      <c r="D3140" s="130"/>
      <c r="E3140" s="130"/>
      <c r="F3140" s="161"/>
      <c r="G3140" s="164"/>
      <c r="H3140" s="76" t="b">
        <v>1</v>
      </c>
      <c r="I3140" s="76" t="b">
        <v>0</v>
      </c>
      <c r="J3140" s="76" t="b">
        <v>0</v>
      </c>
      <c r="K3140" s="76" t="b">
        <v>0</v>
      </c>
      <c r="L3140" s="76" t="b">
        <v>0</v>
      </c>
      <c r="M3140" s="76" t="b">
        <v>0</v>
      </c>
      <c r="N3140" s="76" t="b">
        <v>0</v>
      </c>
      <c r="O3140" s="76" t="b">
        <v>0</v>
      </c>
      <c r="P3140" s="76" t="b">
        <v>0</v>
      </c>
      <c r="Q3140" s="76" t="b">
        <v>0</v>
      </c>
      <c r="R3140" s="14"/>
      <c r="S3140" s="14"/>
      <c r="T3140" s="14"/>
      <c r="U3140" s="14"/>
      <c r="V3140" s="14"/>
      <c r="W3140" s="14"/>
    </row>
    <row r="3141" ht="31.5" customHeight="1">
      <c r="A3141" s="158"/>
      <c r="B3141" s="159"/>
      <c r="C3141" s="160"/>
      <c r="D3141" s="130"/>
      <c r="E3141" s="130"/>
      <c r="F3141" s="161"/>
      <c r="G3141" s="164"/>
      <c r="H3141" s="76" t="b">
        <v>1</v>
      </c>
      <c r="I3141" s="76" t="b">
        <v>0</v>
      </c>
      <c r="J3141" s="76" t="b">
        <v>0</v>
      </c>
      <c r="K3141" s="76" t="b">
        <v>0</v>
      </c>
      <c r="L3141" s="76" t="b">
        <v>0</v>
      </c>
      <c r="M3141" s="76" t="b">
        <v>0</v>
      </c>
      <c r="N3141" s="76" t="b">
        <v>0</v>
      </c>
      <c r="O3141" s="76" t="b">
        <v>0</v>
      </c>
      <c r="P3141" s="76" t="b">
        <v>0</v>
      </c>
      <c r="Q3141" s="76" t="b">
        <v>0</v>
      </c>
      <c r="R3141" s="14"/>
      <c r="S3141" s="14"/>
      <c r="T3141" s="14"/>
      <c r="U3141" s="14"/>
      <c r="V3141" s="14"/>
      <c r="W3141" s="14"/>
    </row>
    <row r="3142" ht="31.5" customHeight="1">
      <c r="A3142" s="158"/>
      <c r="B3142" s="159"/>
      <c r="C3142" s="160"/>
      <c r="D3142" s="130"/>
      <c r="E3142" s="130"/>
      <c r="F3142" s="161"/>
      <c r="G3142" s="164"/>
      <c r="H3142" s="76" t="b">
        <v>1</v>
      </c>
      <c r="I3142" s="76" t="b">
        <v>0</v>
      </c>
      <c r="J3142" s="76" t="b">
        <v>0</v>
      </c>
      <c r="K3142" s="76" t="b">
        <v>0</v>
      </c>
      <c r="L3142" s="76" t="b">
        <v>0</v>
      </c>
      <c r="M3142" s="76" t="b">
        <v>0</v>
      </c>
      <c r="N3142" s="76" t="b">
        <v>0</v>
      </c>
      <c r="O3142" s="76" t="b">
        <v>0</v>
      </c>
      <c r="P3142" s="76" t="b">
        <v>0</v>
      </c>
      <c r="Q3142" s="76" t="b">
        <v>0</v>
      </c>
      <c r="R3142" s="14"/>
      <c r="S3142" s="14"/>
      <c r="T3142" s="14"/>
      <c r="U3142" s="14"/>
      <c r="V3142" s="14"/>
      <c r="W3142" s="14"/>
    </row>
    <row r="3143" ht="31.5" customHeight="1">
      <c r="A3143" s="158"/>
      <c r="B3143" s="159"/>
      <c r="C3143" s="160"/>
      <c r="D3143" s="130"/>
      <c r="E3143" s="130"/>
      <c r="F3143" s="161"/>
      <c r="G3143" s="164"/>
      <c r="H3143" s="76" t="b">
        <v>1</v>
      </c>
      <c r="I3143" s="76" t="b">
        <v>0</v>
      </c>
      <c r="J3143" s="76" t="b">
        <v>0</v>
      </c>
      <c r="K3143" s="76" t="b">
        <v>0</v>
      </c>
      <c r="L3143" s="76" t="b">
        <v>0</v>
      </c>
      <c r="M3143" s="76" t="b">
        <v>0</v>
      </c>
      <c r="N3143" s="76" t="b">
        <v>0</v>
      </c>
      <c r="O3143" s="76" t="b">
        <v>0</v>
      </c>
      <c r="P3143" s="76" t="b">
        <v>0</v>
      </c>
      <c r="Q3143" s="76" t="b">
        <v>0</v>
      </c>
      <c r="R3143" s="14"/>
      <c r="S3143" s="14"/>
      <c r="T3143" s="14"/>
      <c r="U3143" s="14"/>
      <c r="V3143" s="14"/>
      <c r="W3143" s="14"/>
    </row>
    <row r="3144" ht="31.5" customHeight="1">
      <c r="A3144" s="158"/>
      <c r="B3144" s="159"/>
      <c r="C3144" s="160"/>
      <c r="D3144" s="130"/>
      <c r="E3144" s="130"/>
      <c r="F3144" s="161"/>
      <c r="G3144" s="164"/>
      <c r="H3144" s="76" t="b">
        <v>1</v>
      </c>
      <c r="I3144" s="76" t="b">
        <v>0</v>
      </c>
      <c r="J3144" s="76" t="b">
        <v>0</v>
      </c>
      <c r="K3144" s="76" t="b">
        <v>0</v>
      </c>
      <c r="L3144" s="76" t="b">
        <v>0</v>
      </c>
      <c r="M3144" s="76" t="b">
        <v>0</v>
      </c>
      <c r="N3144" s="76" t="b">
        <v>0</v>
      </c>
      <c r="O3144" s="76" t="b">
        <v>0</v>
      </c>
      <c r="P3144" s="76" t="b">
        <v>0</v>
      </c>
      <c r="Q3144" s="76" t="b">
        <v>0</v>
      </c>
      <c r="R3144" s="14"/>
      <c r="S3144" s="14"/>
      <c r="T3144" s="14"/>
      <c r="U3144" s="14"/>
      <c r="V3144" s="14"/>
      <c r="W3144" s="14"/>
    </row>
    <row r="3145" ht="31.5" customHeight="1">
      <c r="A3145" s="158"/>
      <c r="B3145" s="159"/>
      <c r="C3145" s="160"/>
      <c r="D3145" s="130"/>
      <c r="E3145" s="130"/>
      <c r="F3145" s="161"/>
      <c r="G3145" s="164"/>
      <c r="H3145" s="76" t="b">
        <v>1</v>
      </c>
      <c r="I3145" s="76" t="b">
        <v>0</v>
      </c>
      <c r="J3145" s="76" t="b">
        <v>0</v>
      </c>
      <c r="K3145" s="76" t="b">
        <v>0</v>
      </c>
      <c r="L3145" s="76" t="b">
        <v>0</v>
      </c>
      <c r="M3145" s="76" t="b">
        <v>0</v>
      </c>
      <c r="N3145" s="76" t="b">
        <v>0</v>
      </c>
      <c r="O3145" s="76" t="b">
        <v>0</v>
      </c>
      <c r="P3145" s="76" t="b">
        <v>0</v>
      </c>
      <c r="Q3145" s="76" t="b">
        <v>0</v>
      </c>
      <c r="R3145" s="14"/>
      <c r="S3145" s="14"/>
      <c r="T3145" s="14"/>
      <c r="U3145" s="14"/>
      <c r="V3145" s="14"/>
      <c r="W3145" s="14"/>
    </row>
    <row r="3146" ht="31.5" customHeight="1">
      <c r="A3146" s="158"/>
      <c r="B3146" s="159"/>
      <c r="C3146" s="160"/>
      <c r="D3146" s="130"/>
      <c r="E3146" s="130"/>
      <c r="F3146" s="161"/>
      <c r="G3146" s="164"/>
      <c r="H3146" s="76" t="b">
        <v>1</v>
      </c>
      <c r="I3146" s="76" t="b">
        <v>0</v>
      </c>
      <c r="J3146" s="76" t="b">
        <v>0</v>
      </c>
      <c r="K3146" s="76" t="b">
        <v>0</v>
      </c>
      <c r="L3146" s="76" t="b">
        <v>0</v>
      </c>
      <c r="M3146" s="76" t="b">
        <v>0</v>
      </c>
      <c r="N3146" s="76" t="b">
        <v>0</v>
      </c>
      <c r="O3146" s="76" t="b">
        <v>0</v>
      </c>
      <c r="P3146" s="76" t="b">
        <v>0</v>
      </c>
      <c r="Q3146" s="76" t="b">
        <v>0</v>
      </c>
      <c r="R3146" s="14"/>
      <c r="S3146" s="14"/>
      <c r="T3146" s="14"/>
      <c r="U3146" s="14"/>
      <c r="V3146" s="14"/>
      <c r="W3146" s="14"/>
    </row>
    <row r="3147" ht="31.5" customHeight="1">
      <c r="A3147" s="158"/>
      <c r="B3147" s="159"/>
      <c r="C3147" s="160"/>
      <c r="D3147" s="130"/>
      <c r="E3147" s="130"/>
      <c r="F3147" s="161"/>
      <c r="G3147" s="164"/>
      <c r="H3147" s="76" t="b">
        <v>1</v>
      </c>
      <c r="I3147" s="76" t="b">
        <v>0</v>
      </c>
      <c r="J3147" s="76" t="b">
        <v>0</v>
      </c>
      <c r="K3147" s="76" t="b">
        <v>0</v>
      </c>
      <c r="L3147" s="76" t="b">
        <v>0</v>
      </c>
      <c r="M3147" s="76" t="b">
        <v>0</v>
      </c>
      <c r="N3147" s="76" t="b">
        <v>0</v>
      </c>
      <c r="O3147" s="76" t="b">
        <v>0</v>
      </c>
      <c r="P3147" s="76" t="b">
        <v>0</v>
      </c>
      <c r="Q3147" s="76" t="b">
        <v>0</v>
      </c>
      <c r="R3147" s="14"/>
      <c r="S3147" s="14"/>
      <c r="T3147" s="14"/>
      <c r="U3147" s="14"/>
      <c r="V3147" s="14"/>
      <c r="W3147" s="14"/>
    </row>
    <row r="3148" ht="31.5" customHeight="1">
      <c r="A3148" s="158"/>
      <c r="B3148" s="159"/>
      <c r="C3148" s="160"/>
      <c r="D3148" s="130"/>
      <c r="E3148" s="130"/>
      <c r="F3148" s="161"/>
      <c r="G3148" s="164"/>
      <c r="H3148" s="76" t="b">
        <v>1</v>
      </c>
      <c r="I3148" s="76" t="b">
        <v>0</v>
      </c>
      <c r="J3148" s="76" t="b">
        <v>0</v>
      </c>
      <c r="K3148" s="76" t="b">
        <v>0</v>
      </c>
      <c r="L3148" s="76" t="b">
        <v>0</v>
      </c>
      <c r="M3148" s="76" t="b">
        <v>0</v>
      </c>
      <c r="N3148" s="76" t="b">
        <v>0</v>
      </c>
      <c r="O3148" s="76" t="b">
        <v>0</v>
      </c>
      <c r="P3148" s="76" t="b">
        <v>0</v>
      </c>
      <c r="Q3148" s="76" t="b">
        <v>0</v>
      </c>
      <c r="R3148" s="14"/>
      <c r="S3148" s="14"/>
      <c r="T3148" s="14"/>
      <c r="U3148" s="14"/>
      <c r="V3148" s="14"/>
      <c r="W3148" s="14"/>
    </row>
    <row r="3149" ht="31.5" customHeight="1">
      <c r="A3149" s="158"/>
      <c r="B3149" s="159"/>
      <c r="C3149" s="160"/>
      <c r="D3149" s="130"/>
      <c r="E3149" s="130"/>
      <c r="F3149" s="161"/>
      <c r="G3149" s="164"/>
      <c r="H3149" s="76" t="b">
        <v>1</v>
      </c>
      <c r="I3149" s="76" t="b">
        <v>0</v>
      </c>
      <c r="J3149" s="76" t="b">
        <v>0</v>
      </c>
      <c r="K3149" s="76" t="b">
        <v>0</v>
      </c>
      <c r="L3149" s="76" t="b">
        <v>0</v>
      </c>
      <c r="M3149" s="76" t="b">
        <v>0</v>
      </c>
      <c r="N3149" s="76" t="b">
        <v>0</v>
      </c>
      <c r="O3149" s="76" t="b">
        <v>0</v>
      </c>
      <c r="P3149" s="76" t="b">
        <v>0</v>
      </c>
      <c r="Q3149" s="76" t="b">
        <v>0</v>
      </c>
      <c r="R3149" s="14"/>
      <c r="S3149" s="14"/>
      <c r="T3149" s="14"/>
      <c r="U3149" s="14"/>
      <c r="V3149" s="14"/>
      <c r="W3149" s="14"/>
    </row>
    <row r="3150" ht="31.5" customHeight="1">
      <c r="A3150" s="158"/>
      <c r="B3150" s="159"/>
      <c r="C3150" s="160"/>
      <c r="D3150" s="130"/>
      <c r="E3150" s="130"/>
      <c r="F3150" s="161"/>
      <c r="G3150" s="164"/>
      <c r="H3150" s="76" t="b">
        <v>1</v>
      </c>
      <c r="I3150" s="76" t="b">
        <v>0</v>
      </c>
      <c r="J3150" s="76" t="b">
        <v>0</v>
      </c>
      <c r="K3150" s="76" t="b">
        <v>0</v>
      </c>
      <c r="L3150" s="76" t="b">
        <v>0</v>
      </c>
      <c r="M3150" s="76" t="b">
        <v>0</v>
      </c>
      <c r="N3150" s="76" t="b">
        <v>0</v>
      </c>
      <c r="O3150" s="76" t="b">
        <v>0</v>
      </c>
      <c r="P3150" s="76" t="b">
        <v>0</v>
      </c>
      <c r="Q3150" s="76" t="b">
        <v>0</v>
      </c>
      <c r="R3150" s="14"/>
      <c r="S3150" s="14"/>
      <c r="T3150" s="14"/>
      <c r="U3150" s="14"/>
      <c r="V3150" s="14"/>
      <c r="W3150" s="14"/>
    </row>
    <row r="3151" ht="31.5" customHeight="1">
      <c r="A3151" s="158"/>
      <c r="B3151" s="159"/>
      <c r="C3151" s="160"/>
      <c r="D3151" s="130"/>
      <c r="E3151" s="130"/>
      <c r="F3151" s="161"/>
      <c r="G3151" s="164"/>
      <c r="H3151" s="76" t="b">
        <v>1</v>
      </c>
      <c r="I3151" s="76" t="b">
        <v>0</v>
      </c>
      <c r="J3151" s="76" t="b">
        <v>0</v>
      </c>
      <c r="K3151" s="76" t="b">
        <v>0</v>
      </c>
      <c r="L3151" s="76" t="b">
        <v>0</v>
      </c>
      <c r="M3151" s="76" t="b">
        <v>0</v>
      </c>
      <c r="N3151" s="76" t="b">
        <v>0</v>
      </c>
      <c r="O3151" s="76" t="b">
        <v>0</v>
      </c>
      <c r="P3151" s="76" t="b">
        <v>0</v>
      </c>
      <c r="Q3151" s="76" t="b">
        <v>0</v>
      </c>
      <c r="R3151" s="14"/>
      <c r="S3151" s="14"/>
      <c r="T3151" s="14"/>
      <c r="U3151" s="14"/>
      <c r="V3151" s="14"/>
      <c r="W3151" s="14"/>
    </row>
    <row r="3152" ht="31.5" customHeight="1">
      <c r="A3152" s="158"/>
      <c r="B3152" s="159"/>
      <c r="C3152" s="160"/>
      <c r="D3152" s="130"/>
      <c r="E3152" s="130"/>
      <c r="F3152" s="161"/>
      <c r="G3152" s="164"/>
      <c r="H3152" s="76" t="b">
        <v>1</v>
      </c>
      <c r="I3152" s="76" t="b">
        <v>0</v>
      </c>
      <c r="J3152" s="76" t="b">
        <v>0</v>
      </c>
      <c r="K3152" s="76" t="b">
        <v>0</v>
      </c>
      <c r="L3152" s="76" t="b">
        <v>0</v>
      </c>
      <c r="M3152" s="76" t="b">
        <v>0</v>
      </c>
      <c r="N3152" s="76" t="b">
        <v>0</v>
      </c>
      <c r="O3152" s="76" t="b">
        <v>0</v>
      </c>
      <c r="P3152" s="76" t="b">
        <v>0</v>
      </c>
      <c r="Q3152" s="76" t="b">
        <v>0</v>
      </c>
      <c r="R3152" s="14"/>
      <c r="S3152" s="14"/>
      <c r="T3152" s="14"/>
      <c r="U3152" s="14"/>
      <c r="V3152" s="14"/>
      <c r="W3152" s="14"/>
    </row>
    <row r="3153" ht="31.5" customHeight="1">
      <c r="A3153" s="158"/>
      <c r="B3153" s="159"/>
      <c r="C3153" s="160"/>
      <c r="D3153" s="130"/>
      <c r="E3153" s="130"/>
      <c r="F3153" s="161"/>
      <c r="G3153" s="164"/>
      <c r="H3153" s="76" t="b">
        <v>1</v>
      </c>
      <c r="I3153" s="76" t="b">
        <v>0</v>
      </c>
      <c r="J3153" s="76" t="b">
        <v>0</v>
      </c>
      <c r="K3153" s="76" t="b">
        <v>0</v>
      </c>
      <c r="L3153" s="76" t="b">
        <v>0</v>
      </c>
      <c r="M3153" s="76" t="b">
        <v>0</v>
      </c>
      <c r="N3153" s="76" t="b">
        <v>0</v>
      </c>
      <c r="O3153" s="76" t="b">
        <v>0</v>
      </c>
      <c r="P3153" s="76" t="b">
        <v>0</v>
      </c>
      <c r="Q3153" s="76" t="b">
        <v>0</v>
      </c>
      <c r="R3153" s="14"/>
      <c r="S3153" s="14"/>
      <c r="T3153" s="14"/>
      <c r="U3153" s="14"/>
      <c r="V3153" s="14"/>
      <c r="W3153" s="14"/>
    </row>
    <row r="3154" ht="31.5" customHeight="1">
      <c r="A3154" s="158"/>
      <c r="B3154" s="159"/>
      <c r="C3154" s="160"/>
      <c r="D3154" s="130"/>
      <c r="E3154" s="130"/>
      <c r="F3154" s="161"/>
      <c r="G3154" s="164"/>
      <c r="H3154" s="76" t="b">
        <v>1</v>
      </c>
      <c r="I3154" s="76" t="b">
        <v>0</v>
      </c>
      <c r="J3154" s="76" t="b">
        <v>0</v>
      </c>
      <c r="K3154" s="76" t="b">
        <v>0</v>
      </c>
      <c r="L3154" s="76" t="b">
        <v>0</v>
      </c>
      <c r="M3154" s="76" t="b">
        <v>0</v>
      </c>
      <c r="N3154" s="76" t="b">
        <v>0</v>
      </c>
      <c r="O3154" s="76" t="b">
        <v>0</v>
      </c>
      <c r="P3154" s="76" t="b">
        <v>0</v>
      </c>
      <c r="Q3154" s="76" t="b">
        <v>0</v>
      </c>
      <c r="R3154" s="14"/>
      <c r="S3154" s="14"/>
      <c r="T3154" s="14"/>
      <c r="U3154" s="14"/>
      <c r="V3154" s="14"/>
      <c r="W3154" s="14"/>
    </row>
    <row r="3155" ht="31.5" customHeight="1">
      <c r="A3155" s="158"/>
      <c r="B3155" s="159"/>
      <c r="C3155" s="160"/>
      <c r="D3155" s="130"/>
      <c r="E3155" s="130"/>
      <c r="F3155" s="161"/>
      <c r="G3155" s="164"/>
      <c r="H3155" s="76" t="b">
        <v>1</v>
      </c>
      <c r="I3155" s="76" t="b">
        <v>0</v>
      </c>
      <c r="J3155" s="76" t="b">
        <v>0</v>
      </c>
      <c r="K3155" s="76" t="b">
        <v>0</v>
      </c>
      <c r="L3155" s="76" t="b">
        <v>0</v>
      </c>
      <c r="M3155" s="76" t="b">
        <v>0</v>
      </c>
      <c r="N3155" s="76" t="b">
        <v>0</v>
      </c>
      <c r="O3155" s="76" t="b">
        <v>0</v>
      </c>
      <c r="P3155" s="76" t="b">
        <v>0</v>
      </c>
      <c r="Q3155" s="76" t="b">
        <v>0</v>
      </c>
      <c r="R3155" s="14"/>
      <c r="S3155" s="14"/>
      <c r="T3155" s="14"/>
      <c r="U3155" s="14"/>
      <c r="V3155" s="14"/>
      <c r="W3155" s="14"/>
    </row>
    <row r="3156" ht="31.5" customHeight="1">
      <c r="A3156" s="158"/>
      <c r="B3156" s="159"/>
      <c r="C3156" s="160"/>
      <c r="D3156" s="130"/>
      <c r="E3156" s="130"/>
      <c r="F3156" s="161"/>
      <c r="G3156" s="164"/>
      <c r="H3156" s="76" t="b">
        <v>0</v>
      </c>
      <c r="I3156" s="76" t="b">
        <v>0</v>
      </c>
      <c r="J3156" s="76" t="b">
        <v>0</v>
      </c>
      <c r="K3156" s="76" t="b">
        <v>0</v>
      </c>
      <c r="L3156" s="76" t="b">
        <v>0</v>
      </c>
      <c r="M3156" s="76" t="b">
        <v>0</v>
      </c>
      <c r="N3156" s="76" t="b">
        <v>0</v>
      </c>
      <c r="O3156" s="76" t="b">
        <v>0</v>
      </c>
      <c r="P3156" s="76" t="b">
        <v>0</v>
      </c>
      <c r="Q3156" s="76" t="b">
        <v>0</v>
      </c>
      <c r="R3156" s="14"/>
      <c r="S3156" s="14"/>
      <c r="T3156" s="14"/>
      <c r="U3156" s="14"/>
      <c r="V3156" s="14"/>
      <c r="W3156" s="14"/>
    </row>
    <row r="3157" ht="31.5" customHeight="1">
      <c r="A3157" s="158"/>
      <c r="B3157" s="159"/>
      <c r="C3157" s="160"/>
      <c r="D3157" s="130"/>
      <c r="E3157" s="130"/>
      <c r="F3157" s="161"/>
      <c r="G3157" s="164"/>
      <c r="H3157" s="76" t="b">
        <v>0</v>
      </c>
      <c r="I3157" s="76" t="b">
        <v>0</v>
      </c>
      <c r="J3157" s="76" t="b">
        <v>0</v>
      </c>
      <c r="K3157" s="76" t="b">
        <v>0</v>
      </c>
      <c r="L3157" s="76" t="b">
        <v>0</v>
      </c>
      <c r="M3157" s="76" t="b">
        <v>0</v>
      </c>
      <c r="N3157" s="76" t="b">
        <v>0</v>
      </c>
      <c r="O3157" s="76" t="b">
        <v>0</v>
      </c>
      <c r="P3157" s="76" t="b">
        <v>0</v>
      </c>
      <c r="Q3157" s="76" t="b">
        <v>0</v>
      </c>
      <c r="R3157" s="14"/>
      <c r="S3157" s="14"/>
      <c r="T3157" s="14"/>
      <c r="U3157" s="14"/>
      <c r="V3157" s="14"/>
      <c r="W3157" s="14"/>
    </row>
    <row r="3158" ht="31.5" customHeight="1">
      <c r="A3158" s="158"/>
      <c r="B3158" s="159"/>
      <c r="C3158" s="160"/>
      <c r="D3158" s="130"/>
      <c r="E3158" s="130"/>
      <c r="F3158" s="161"/>
      <c r="G3158" s="164"/>
      <c r="H3158" s="76" t="b">
        <v>0</v>
      </c>
      <c r="I3158" s="76" t="b">
        <v>0</v>
      </c>
      <c r="J3158" s="76" t="b">
        <v>0</v>
      </c>
      <c r="K3158" s="76" t="b">
        <v>0</v>
      </c>
      <c r="L3158" s="76" t="b">
        <v>0</v>
      </c>
      <c r="M3158" s="76" t="b">
        <v>0</v>
      </c>
      <c r="N3158" s="76" t="b">
        <v>0</v>
      </c>
      <c r="O3158" s="76" t="b">
        <v>0</v>
      </c>
      <c r="P3158" s="76" t="b">
        <v>0</v>
      </c>
      <c r="Q3158" s="76" t="b">
        <v>0</v>
      </c>
      <c r="R3158" s="14"/>
      <c r="S3158" s="14"/>
      <c r="T3158" s="14"/>
      <c r="U3158" s="14"/>
      <c r="V3158" s="14"/>
      <c r="W3158" s="14"/>
    </row>
    <row r="3159" ht="31.5" customHeight="1">
      <c r="A3159" s="158"/>
      <c r="B3159" s="159"/>
      <c r="C3159" s="160"/>
      <c r="D3159" s="130"/>
      <c r="E3159" s="130"/>
      <c r="F3159" s="161"/>
      <c r="G3159" s="164"/>
      <c r="H3159" s="76" t="b">
        <v>0</v>
      </c>
      <c r="I3159" s="76" t="b">
        <v>0</v>
      </c>
      <c r="J3159" s="76" t="b">
        <v>0</v>
      </c>
      <c r="K3159" s="76" t="b">
        <v>0</v>
      </c>
      <c r="L3159" s="76" t="b">
        <v>0</v>
      </c>
      <c r="M3159" s="76" t="b">
        <v>0</v>
      </c>
      <c r="N3159" s="76" t="b">
        <v>0</v>
      </c>
      <c r="O3159" s="76" t="b">
        <v>0</v>
      </c>
      <c r="P3159" s="76" t="b">
        <v>0</v>
      </c>
      <c r="Q3159" s="76" t="b">
        <v>0</v>
      </c>
      <c r="R3159" s="14"/>
      <c r="S3159" s="14"/>
      <c r="T3159" s="14"/>
      <c r="U3159" s="14"/>
      <c r="V3159" s="14"/>
      <c r="W3159" s="14"/>
    </row>
    <row r="3160" ht="31.5" customHeight="1">
      <c r="A3160" s="158"/>
      <c r="B3160" s="159"/>
      <c r="C3160" s="160"/>
      <c r="D3160" s="130"/>
      <c r="E3160" s="130"/>
      <c r="F3160" s="161"/>
      <c r="G3160" s="164"/>
      <c r="H3160" s="76" t="b">
        <v>0</v>
      </c>
      <c r="I3160" s="76" t="b">
        <v>0</v>
      </c>
      <c r="J3160" s="76" t="b">
        <v>0</v>
      </c>
      <c r="K3160" s="76" t="b">
        <v>0</v>
      </c>
      <c r="L3160" s="76" t="b">
        <v>0</v>
      </c>
      <c r="M3160" s="76" t="b">
        <v>0</v>
      </c>
      <c r="N3160" s="76" t="b">
        <v>0</v>
      </c>
      <c r="O3160" s="76" t="b">
        <v>0</v>
      </c>
      <c r="P3160" s="76" t="b">
        <v>0</v>
      </c>
      <c r="Q3160" s="76" t="b">
        <v>0</v>
      </c>
      <c r="R3160" s="14"/>
      <c r="S3160" s="14"/>
      <c r="T3160" s="14"/>
      <c r="U3160" s="14"/>
      <c r="V3160" s="14"/>
      <c r="W3160" s="14"/>
    </row>
    <row r="3161" ht="31.5" customHeight="1">
      <c r="A3161" s="158"/>
      <c r="B3161" s="159"/>
      <c r="C3161" s="160"/>
      <c r="D3161" s="130"/>
      <c r="E3161" s="130"/>
      <c r="F3161" s="161"/>
      <c r="G3161" s="164"/>
      <c r="H3161" s="76" t="b">
        <v>0</v>
      </c>
      <c r="I3161" s="76" t="b">
        <v>0</v>
      </c>
      <c r="J3161" s="76" t="b">
        <v>0</v>
      </c>
      <c r="K3161" s="76" t="b">
        <v>0</v>
      </c>
      <c r="L3161" s="76" t="b">
        <v>0</v>
      </c>
      <c r="M3161" s="76" t="b">
        <v>0</v>
      </c>
      <c r="N3161" s="76" t="b">
        <v>0</v>
      </c>
      <c r="O3161" s="76" t="b">
        <v>0</v>
      </c>
      <c r="P3161" s="76" t="b">
        <v>0</v>
      </c>
      <c r="Q3161" s="76" t="b">
        <v>0</v>
      </c>
      <c r="R3161" s="14"/>
      <c r="S3161" s="14"/>
      <c r="T3161" s="14"/>
      <c r="U3161" s="14"/>
      <c r="V3161" s="14"/>
      <c r="W3161" s="14"/>
    </row>
    <row r="3162" ht="31.5" customHeight="1">
      <c r="A3162" s="158"/>
      <c r="B3162" s="159"/>
      <c r="C3162" s="160"/>
      <c r="D3162" s="130"/>
      <c r="E3162" s="130"/>
      <c r="F3162" s="161"/>
      <c r="G3162" s="164"/>
      <c r="H3162" s="76" t="b">
        <v>0</v>
      </c>
      <c r="I3162" s="76" t="b">
        <v>0</v>
      </c>
      <c r="J3162" s="76" t="b">
        <v>0</v>
      </c>
      <c r="K3162" s="76" t="b">
        <v>0</v>
      </c>
      <c r="L3162" s="76" t="b">
        <v>0</v>
      </c>
      <c r="M3162" s="76" t="b">
        <v>0</v>
      </c>
      <c r="N3162" s="76" t="b">
        <v>0</v>
      </c>
      <c r="O3162" s="76" t="b">
        <v>0</v>
      </c>
      <c r="P3162" s="76" t="b">
        <v>0</v>
      </c>
      <c r="Q3162" s="76" t="b">
        <v>0</v>
      </c>
      <c r="R3162" s="14"/>
      <c r="S3162" s="14"/>
      <c r="T3162" s="14"/>
      <c r="U3162" s="14"/>
      <c r="V3162" s="14"/>
      <c r="W3162" s="14"/>
    </row>
    <row r="3163" ht="31.5" customHeight="1">
      <c r="A3163" s="158"/>
      <c r="B3163" s="159"/>
      <c r="C3163" s="160"/>
      <c r="D3163" s="130"/>
      <c r="E3163" s="130"/>
      <c r="F3163" s="161"/>
      <c r="G3163" s="164"/>
      <c r="H3163" s="76" t="b">
        <v>0</v>
      </c>
      <c r="I3163" s="76" t="b">
        <v>0</v>
      </c>
      <c r="J3163" s="76" t="b">
        <v>0</v>
      </c>
      <c r="K3163" s="76" t="b">
        <v>0</v>
      </c>
      <c r="L3163" s="76" t="b">
        <v>0</v>
      </c>
      <c r="M3163" s="76" t="b">
        <v>0</v>
      </c>
      <c r="N3163" s="76" t="b">
        <v>0</v>
      </c>
      <c r="O3163" s="76" t="b">
        <v>0</v>
      </c>
      <c r="P3163" s="76" t="b">
        <v>0</v>
      </c>
      <c r="Q3163" s="76" t="b">
        <v>0</v>
      </c>
      <c r="R3163" s="14"/>
      <c r="S3163" s="14"/>
      <c r="T3163" s="14"/>
      <c r="U3163" s="14"/>
      <c r="V3163" s="14"/>
      <c r="W3163" s="14"/>
    </row>
    <row r="3164" ht="31.5" customHeight="1">
      <c r="A3164" s="158"/>
      <c r="B3164" s="159"/>
      <c r="C3164" s="160"/>
      <c r="D3164" s="130"/>
      <c r="E3164" s="130"/>
      <c r="F3164" s="161"/>
      <c r="G3164" s="164"/>
      <c r="H3164" s="76" t="b">
        <v>0</v>
      </c>
      <c r="I3164" s="76" t="b">
        <v>0</v>
      </c>
      <c r="J3164" s="76" t="b">
        <v>0</v>
      </c>
      <c r="K3164" s="76" t="b">
        <v>0</v>
      </c>
      <c r="L3164" s="76" t="b">
        <v>0</v>
      </c>
      <c r="M3164" s="76" t="b">
        <v>0</v>
      </c>
      <c r="N3164" s="76" t="b">
        <v>0</v>
      </c>
      <c r="O3164" s="76" t="b">
        <v>0</v>
      </c>
      <c r="P3164" s="76" t="b">
        <v>0</v>
      </c>
      <c r="Q3164" s="76" t="b">
        <v>0</v>
      </c>
      <c r="R3164" s="14"/>
      <c r="S3164" s="14"/>
      <c r="T3164" s="14"/>
      <c r="U3164" s="14"/>
      <c r="V3164" s="14"/>
      <c r="W3164" s="14"/>
    </row>
    <row r="3165" ht="31.5" customHeight="1">
      <c r="A3165" s="158"/>
      <c r="B3165" s="159"/>
      <c r="C3165" s="160"/>
      <c r="D3165" s="130"/>
      <c r="E3165" s="130"/>
      <c r="F3165" s="161"/>
      <c r="G3165" s="164"/>
      <c r="H3165" s="76" t="b">
        <v>0</v>
      </c>
      <c r="I3165" s="76" t="b">
        <v>0</v>
      </c>
      <c r="J3165" s="76" t="b">
        <v>0</v>
      </c>
      <c r="K3165" s="76" t="b">
        <v>0</v>
      </c>
      <c r="L3165" s="76" t="b">
        <v>0</v>
      </c>
      <c r="M3165" s="76" t="b">
        <v>0</v>
      </c>
      <c r="N3165" s="76" t="b">
        <v>0</v>
      </c>
      <c r="O3165" s="76" t="b">
        <v>0</v>
      </c>
      <c r="P3165" s="76" t="b">
        <v>0</v>
      </c>
      <c r="Q3165" s="76" t="b">
        <v>0</v>
      </c>
      <c r="R3165" s="14"/>
      <c r="S3165" s="14"/>
      <c r="T3165" s="14"/>
      <c r="U3165" s="14"/>
      <c r="V3165" s="14"/>
      <c r="W3165" s="14"/>
    </row>
    <row r="3166" ht="31.5" customHeight="1">
      <c r="A3166" s="158"/>
      <c r="B3166" s="159"/>
      <c r="C3166" s="160"/>
      <c r="D3166" s="130"/>
      <c r="E3166" s="130"/>
      <c r="F3166" s="161"/>
      <c r="G3166" s="164"/>
      <c r="H3166" s="76" t="b">
        <v>0</v>
      </c>
      <c r="I3166" s="76" t="b">
        <v>0</v>
      </c>
      <c r="J3166" s="76" t="b">
        <v>0</v>
      </c>
      <c r="K3166" s="76" t="b">
        <v>0</v>
      </c>
      <c r="L3166" s="76" t="b">
        <v>0</v>
      </c>
      <c r="M3166" s="76" t="b">
        <v>0</v>
      </c>
      <c r="N3166" s="76" t="b">
        <v>0</v>
      </c>
      <c r="O3166" s="76" t="b">
        <v>0</v>
      </c>
      <c r="P3166" s="76" t="b">
        <v>0</v>
      </c>
      <c r="Q3166" s="76" t="b">
        <v>0</v>
      </c>
      <c r="R3166" s="14"/>
      <c r="S3166" s="14"/>
      <c r="T3166" s="14"/>
      <c r="U3166" s="14"/>
      <c r="V3166" s="14"/>
      <c r="W3166" s="14"/>
    </row>
    <row r="3167" ht="31.5" customHeight="1">
      <c r="A3167" s="158"/>
      <c r="B3167" s="159"/>
      <c r="C3167" s="160"/>
      <c r="D3167" s="130"/>
      <c r="E3167" s="130"/>
      <c r="F3167" s="161"/>
      <c r="G3167" s="164"/>
      <c r="H3167" s="76" t="b">
        <v>0</v>
      </c>
      <c r="I3167" s="76" t="b">
        <v>0</v>
      </c>
      <c r="J3167" s="76" t="b">
        <v>0</v>
      </c>
      <c r="K3167" s="76" t="b">
        <v>0</v>
      </c>
      <c r="L3167" s="76" t="b">
        <v>0</v>
      </c>
      <c r="M3167" s="76" t="b">
        <v>0</v>
      </c>
      <c r="N3167" s="76" t="b">
        <v>0</v>
      </c>
      <c r="O3167" s="76" t="b">
        <v>0</v>
      </c>
      <c r="P3167" s="76" t="b">
        <v>0</v>
      </c>
      <c r="Q3167" s="76" t="b">
        <v>0</v>
      </c>
      <c r="R3167" s="14"/>
      <c r="S3167" s="14"/>
      <c r="T3167" s="14"/>
      <c r="U3167" s="14"/>
      <c r="V3167" s="14"/>
      <c r="W3167" s="14"/>
    </row>
    <row r="3168" ht="31.5" customHeight="1">
      <c r="A3168" s="158"/>
      <c r="B3168" s="159"/>
      <c r="C3168" s="160"/>
      <c r="D3168" s="130"/>
      <c r="E3168" s="130"/>
      <c r="F3168" s="161"/>
      <c r="G3168" s="164"/>
      <c r="H3168" s="76" t="b">
        <v>0</v>
      </c>
      <c r="I3168" s="76" t="b">
        <v>0</v>
      </c>
      <c r="J3168" s="76" t="b">
        <v>0</v>
      </c>
      <c r="K3168" s="76" t="b">
        <v>0</v>
      </c>
      <c r="L3168" s="76" t="b">
        <v>0</v>
      </c>
      <c r="M3168" s="76" t="b">
        <v>0</v>
      </c>
      <c r="N3168" s="76" t="b">
        <v>0</v>
      </c>
      <c r="O3168" s="76" t="b">
        <v>0</v>
      </c>
      <c r="P3168" s="76" t="b">
        <v>0</v>
      </c>
      <c r="Q3168" s="76" t="b">
        <v>0</v>
      </c>
      <c r="R3168" s="14"/>
      <c r="S3168" s="14"/>
      <c r="T3168" s="14"/>
      <c r="U3168" s="14"/>
      <c r="V3168" s="14"/>
      <c r="W3168" s="14"/>
    </row>
    <row r="3169" ht="31.5" customHeight="1">
      <c r="A3169" s="158"/>
      <c r="B3169" s="159"/>
      <c r="C3169" s="160"/>
      <c r="D3169" s="130"/>
      <c r="E3169" s="130"/>
      <c r="F3169" s="161"/>
      <c r="G3169" s="164"/>
      <c r="H3169" s="76" t="b">
        <v>0</v>
      </c>
      <c r="I3169" s="76" t="b">
        <v>0</v>
      </c>
      <c r="J3169" s="76" t="b">
        <v>0</v>
      </c>
      <c r="K3169" s="76" t="b">
        <v>0</v>
      </c>
      <c r="L3169" s="76" t="b">
        <v>0</v>
      </c>
      <c r="M3169" s="76" t="b">
        <v>0</v>
      </c>
      <c r="N3169" s="76" t="b">
        <v>0</v>
      </c>
      <c r="O3169" s="76" t="b">
        <v>0</v>
      </c>
      <c r="P3169" s="76" t="b">
        <v>0</v>
      </c>
      <c r="Q3169" s="76" t="b">
        <v>0</v>
      </c>
      <c r="R3169" s="14"/>
      <c r="S3169" s="14"/>
      <c r="T3169" s="14"/>
      <c r="U3169" s="14"/>
      <c r="V3169" s="14"/>
      <c r="W3169" s="14"/>
    </row>
    <row r="3170" ht="31.5" customHeight="1">
      <c r="A3170" s="158"/>
      <c r="B3170" s="159"/>
      <c r="C3170" s="160"/>
      <c r="D3170" s="130"/>
      <c r="E3170" s="130"/>
      <c r="F3170" s="161"/>
      <c r="G3170" s="164"/>
      <c r="H3170" s="76" t="b">
        <v>0</v>
      </c>
      <c r="I3170" s="76" t="b">
        <v>0</v>
      </c>
      <c r="J3170" s="76" t="b">
        <v>0</v>
      </c>
      <c r="K3170" s="76" t="b">
        <v>0</v>
      </c>
      <c r="L3170" s="76" t="b">
        <v>0</v>
      </c>
      <c r="M3170" s="76" t="b">
        <v>0</v>
      </c>
      <c r="N3170" s="76" t="b">
        <v>0</v>
      </c>
      <c r="O3170" s="76" t="b">
        <v>0</v>
      </c>
      <c r="P3170" s="76" t="b">
        <v>0</v>
      </c>
      <c r="Q3170" s="76" t="b">
        <v>0</v>
      </c>
      <c r="R3170" s="14"/>
      <c r="S3170" s="14"/>
      <c r="T3170" s="14"/>
      <c r="U3170" s="14"/>
      <c r="V3170" s="14"/>
      <c r="W3170" s="14"/>
    </row>
    <row r="3171" ht="31.5" customHeight="1">
      <c r="A3171" s="158"/>
      <c r="B3171" s="159"/>
      <c r="C3171" s="160"/>
      <c r="D3171" s="130"/>
      <c r="E3171" s="130"/>
      <c r="F3171" s="161"/>
      <c r="G3171" s="164"/>
      <c r="H3171" s="76" t="b">
        <v>0</v>
      </c>
      <c r="I3171" s="76" t="b">
        <v>0</v>
      </c>
      <c r="J3171" s="76" t="b">
        <v>0</v>
      </c>
      <c r="K3171" s="76" t="b">
        <v>0</v>
      </c>
      <c r="L3171" s="76" t="b">
        <v>0</v>
      </c>
      <c r="M3171" s="76" t="b">
        <v>0</v>
      </c>
      <c r="N3171" s="76" t="b">
        <v>0</v>
      </c>
      <c r="O3171" s="76" t="b">
        <v>0</v>
      </c>
      <c r="P3171" s="76" t="b">
        <v>0</v>
      </c>
      <c r="Q3171" s="76" t="b">
        <v>0</v>
      </c>
      <c r="R3171" s="14"/>
      <c r="S3171" s="14"/>
      <c r="T3171" s="14"/>
      <c r="U3171" s="14"/>
      <c r="V3171" s="14"/>
      <c r="W3171" s="14"/>
    </row>
    <row r="3172" ht="31.5" customHeight="1">
      <c r="A3172" s="158"/>
      <c r="B3172" s="159"/>
      <c r="C3172" s="160"/>
      <c r="D3172" s="130"/>
      <c r="E3172" s="130"/>
      <c r="F3172" s="161"/>
      <c r="G3172" s="164"/>
      <c r="H3172" s="76" t="b">
        <v>0</v>
      </c>
      <c r="I3172" s="76" t="b">
        <v>0</v>
      </c>
      <c r="J3172" s="76" t="b">
        <v>0</v>
      </c>
      <c r="K3172" s="76" t="b">
        <v>0</v>
      </c>
      <c r="L3172" s="76" t="b">
        <v>0</v>
      </c>
      <c r="M3172" s="76" t="b">
        <v>0</v>
      </c>
      <c r="N3172" s="76" t="b">
        <v>0</v>
      </c>
      <c r="O3172" s="76" t="b">
        <v>0</v>
      </c>
      <c r="P3172" s="76" t="b">
        <v>0</v>
      </c>
      <c r="Q3172" s="76" t="b">
        <v>0</v>
      </c>
      <c r="R3172" s="14"/>
      <c r="S3172" s="14"/>
      <c r="T3172" s="14"/>
      <c r="U3172" s="14"/>
      <c r="V3172" s="14"/>
      <c r="W3172" s="14"/>
    </row>
    <row r="3173" ht="31.5" customHeight="1">
      <c r="A3173" s="158"/>
      <c r="B3173" s="159"/>
      <c r="C3173" s="160"/>
      <c r="D3173" s="130"/>
      <c r="E3173" s="130"/>
      <c r="F3173" s="161"/>
      <c r="G3173" s="164"/>
      <c r="H3173" s="76" t="b">
        <v>0</v>
      </c>
      <c r="I3173" s="76" t="b">
        <v>0</v>
      </c>
      <c r="J3173" s="76" t="b">
        <v>0</v>
      </c>
      <c r="K3173" s="76" t="b">
        <v>0</v>
      </c>
      <c r="L3173" s="76" t="b">
        <v>0</v>
      </c>
      <c r="M3173" s="76" t="b">
        <v>0</v>
      </c>
      <c r="N3173" s="76" t="b">
        <v>0</v>
      </c>
      <c r="O3173" s="76" t="b">
        <v>0</v>
      </c>
      <c r="P3173" s="76" t="b">
        <v>0</v>
      </c>
      <c r="Q3173" s="76" t="b">
        <v>0</v>
      </c>
      <c r="R3173" s="14"/>
      <c r="S3173" s="14"/>
      <c r="T3173" s="14"/>
      <c r="U3173" s="14"/>
      <c r="V3173" s="14"/>
      <c r="W3173" s="14"/>
    </row>
    <row r="3174" ht="31.5" customHeight="1">
      <c r="A3174" s="158"/>
      <c r="B3174" s="159"/>
      <c r="C3174" s="160"/>
      <c r="D3174" s="130"/>
      <c r="E3174" s="130"/>
      <c r="F3174" s="161"/>
      <c r="G3174" s="164"/>
      <c r="H3174" s="76" t="b">
        <v>0</v>
      </c>
      <c r="I3174" s="76" t="b">
        <v>0</v>
      </c>
      <c r="J3174" s="76" t="b">
        <v>0</v>
      </c>
      <c r="K3174" s="76" t="b">
        <v>0</v>
      </c>
      <c r="L3174" s="76" t="b">
        <v>0</v>
      </c>
      <c r="M3174" s="76" t="b">
        <v>0</v>
      </c>
      <c r="N3174" s="76" t="b">
        <v>0</v>
      </c>
      <c r="O3174" s="76" t="b">
        <v>0</v>
      </c>
      <c r="P3174" s="76" t="b">
        <v>0</v>
      </c>
      <c r="Q3174" s="76" t="b">
        <v>0</v>
      </c>
      <c r="R3174" s="14"/>
      <c r="S3174" s="14"/>
      <c r="T3174" s="14"/>
      <c r="U3174" s="14"/>
      <c r="V3174" s="14"/>
      <c r="W3174" s="14"/>
    </row>
    <row r="3175" ht="31.5" customHeight="1">
      <c r="A3175" s="158"/>
      <c r="B3175" s="159"/>
      <c r="C3175" s="160"/>
      <c r="D3175" s="130"/>
      <c r="E3175" s="130"/>
      <c r="F3175" s="161"/>
      <c r="G3175" s="164"/>
      <c r="H3175" s="76" t="b">
        <v>0</v>
      </c>
      <c r="I3175" s="76" t="b">
        <v>0</v>
      </c>
      <c r="J3175" s="76" t="b">
        <v>0</v>
      </c>
      <c r="K3175" s="76" t="b">
        <v>0</v>
      </c>
      <c r="L3175" s="76" t="b">
        <v>0</v>
      </c>
      <c r="M3175" s="76" t="b">
        <v>0</v>
      </c>
      <c r="N3175" s="76" t="b">
        <v>0</v>
      </c>
      <c r="O3175" s="76" t="b">
        <v>0</v>
      </c>
      <c r="P3175" s="76" t="b">
        <v>0</v>
      </c>
      <c r="Q3175" s="76" t="b">
        <v>0</v>
      </c>
      <c r="R3175" s="14"/>
      <c r="S3175" s="14"/>
      <c r="T3175" s="14"/>
      <c r="U3175" s="14"/>
      <c r="V3175" s="14"/>
      <c r="W3175" s="14"/>
    </row>
    <row r="3176" ht="31.5" customHeight="1">
      <c r="A3176" s="158"/>
      <c r="B3176" s="159"/>
      <c r="C3176" s="160"/>
      <c r="D3176" s="130"/>
      <c r="E3176" s="130"/>
      <c r="F3176" s="161"/>
      <c r="G3176" s="164"/>
      <c r="H3176" s="76" t="b">
        <v>0</v>
      </c>
      <c r="I3176" s="76" t="b">
        <v>0</v>
      </c>
      <c r="J3176" s="76" t="b">
        <v>0</v>
      </c>
      <c r="K3176" s="76" t="b">
        <v>0</v>
      </c>
      <c r="L3176" s="76" t="b">
        <v>0</v>
      </c>
      <c r="M3176" s="76" t="b">
        <v>0</v>
      </c>
      <c r="N3176" s="76" t="b">
        <v>0</v>
      </c>
      <c r="O3176" s="76" t="b">
        <v>0</v>
      </c>
      <c r="P3176" s="76" t="b">
        <v>0</v>
      </c>
      <c r="Q3176" s="76" t="b">
        <v>0</v>
      </c>
      <c r="R3176" s="14"/>
      <c r="S3176" s="14"/>
      <c r="T3176" s="14"/>
      <c r="U3176" s="14"/>
      <c r="V3176" s="14"/>
      <c r="W3176" s="14"/>
    </row>
    <row r="3177" ht="31.5" customHeight="1">
      <c r="A3177" s="158"/>
      <c r="B3177" s="159"/>
      <c r="C3177" s="160"/>
      <c r="D3177" s="130"/>
      <c r="E3177" s="130"/>
      <c r="F3177" s="161"/>
      <c r="G3177" s="164"/>
      <c r="H3177" s="76" t="b">
        <v>0</v>
      </c>
      <c r="I3177" s="76" t="b">
        <v>0</v>
      </c>
      <c r="J3177" s="76" t="b">
        <v>0</v>
      </c>
      <c r="K3177" s="76" t="b">
        <v>0</v>
      </c>
      <c r="L3177" s="76" t="b">
        <v>0</v>
      </c>
      <c r="M3177" s="76" t="b">
        <v>0</v>
      </c>
      <c r="N3177" s="76" t="b">
        <v>0</v>
      </c>
      <c r="O3177" s="76" t="b">
        <v>0</v>
      </c>
      <c r="P3177" s="76" t="b">
        <v>0</v>
      </c>
      <c r="Q3177" s="76" t="b">
        <v>0</v>
      </c>
      <c r="R3177" s="14"/>
      <c r="S3177" s="14"/>
      <c r="T3177" s="14"/>
      <c r="U3177" s="14"/>
      <c r="V3177" s="14"/>
      <c r="W3177" s="14"/>
    </row>
    <row r="3178" ht="31.5" customHeight="1">
      <c r="A3178" s="158"/>
      <c r="B3178" s="159"/>
      <c r="C3178" s="160"/>
      <c r="D3178" s="130"/>
      <c r="E3178" s="130"/>
      <c r="F3178" s="161"/>
      <c r="G3178" s="164"/>
      <c r="H3178" s="76" t="b">
        <v>0</v>
      </c>
      <c r="I3178" s="76" t="b">
        <v>0</v>
      </c>
      <c r="J3178" s="76" t="b">
        <v>0</v>
      </c>
      <c r="K3178" s="76" t="b">
        <v>0</v>
      </c>
      <c r="L3178" s="76" t="b">
        <v>0</v>
      </c>
      <c r="M3178" s="76" t="b">
        <v>0</v>
      </c>
      <c r="N3178" s="76" t="b">
        <v>0</v>
      </c>
      <c r="O3178" s="76" t="b">
        <v>0</v>
      </c>
      <c r="P3178" s="76" t="b">
        <v>0</v>
      </c>
      <c r="Q3178" s="76" t="b">
        <v>0</v>
      </c>
      <c r="R3178" s="14"/>
      <c r="S3178" s="14"/>
      <c r="T3178" s="14"/>
      <c r="U3178" s="14"/>
      <c r="V3178" s="14"/>
      <c r="W3178" s="14"/>
    </row>
    <row r="3179" ht="31.5" customHeight="1">
      <c r="A3179" s="158"/>
      <c r="B3179" s="159"/>
      <c r="C3179" s="160"/>
      <c r="D3179" s="130"/>
      <c r="E3179" s="130"/>
      <c r="F3179" s="161"/>
      <c r="G3179" s="164"/>
      <c r="H3179" s="76" t="b">
        <v>0</v>
      </c>
      <c r="I3179" s="76" t="b">
        <v>0</v>
      </c>
      <c r="J3179" s="76" t="b">
        <v>0</v>
      </c>
      <c r="K3179" s="76" t="b">
        <v>0</v>
      </c>
      <c r="L3179" s="76" t="b">
        <v>0</v>
      </c>
      <c r="M3179" s="76" t="b">
        <v>0</v>
      </c>
      <c r="N3179" s="76" t="b">
        <v>0</v>
      </c>
      <c r="O3179" s="76" t="b">
        <v>0</v>
      </c>
      <c r="P3179" s="76" t="b">
        <v>0</v>
      </c>
      <c r="Q3179" s="76" t="b">
        <v>0</v>
      </c>
      <c r="R3179" s="14"/>
      <c r="S3179" s="14"/>
      <c r="T3179" s="14"/>
      <c r="U3179" s="14"/>
      <c r="V3179" s="14"/>
      <c r="W3179" s="14"/>
    </row>
    <row r="3180" ht="31.5" customHeight="1">
      <c r="A3180" s="158"/>
      <c r="B3180" s="159"/>
      <c r="C3180" s="160"/>
      <c r="D3180" s="130"/>
      <c r="E3180" s="130"/>
      <c r="F3180" s="161"/>
      <c r="G3180" s="164"/>
      <c r="H3180" s="76" t="b">
        <v>0</v>
      </c>
      <c r="I3180" s="76" t="b">
        <v>0</v>
      </c>
      <c r="J3180" s="76" t="b">
        <v>0</v>
      </c>
      <c r="K3180" s="76" t="b">
        <v>0</v>
      </c>
      <c r="L3180" s="76" t="b">
        <v>0</v>
      </c>
      <c r="M3180" s="76" t="b">
        <v>0</v>
      </c>
      <c r="N3180" s="76" t="b">
        <v>0</v>
      </c>
      <c r="O3180" s="76" t="b">
        <v>0</v>
      </c>
      <c r="P3180" s="76" t="b">
        <v>0</v>
      </c>
      <c r="Q3180" s="76" t="b">
        <v>0</v>
      </c>
      <c r="R3180" s="14"/>
      <c r="S3180" s="14"/>
      <c r="T3180" s="14"/>
      <c r="U3180" s="14"/>
      <c r="V3180" s="14"/>
      <c r="W3180" s="14"/>
    </row>
    <row r="3181" ht="31.5" customHeight="1">
      <c r="A3181" s="158"/>
      <c r="B3181" s="159"/>
      <c r="C3181" s="160"/>
      <c r="D3181" s="130"/>
      <c r="E3181" s="130"/>
      <c r="F3181" s="161"/>
      <c r="G3181" s="164"/>
      <c r="H3181" s="76" t="b">
        <v>0</v>
      </c>
      <c r="I3181" s="76" t="b">
        <v>0</v>
      </c>
      <c r="J3181" s="76" t="b">
        <v>0</v>
      </c>
      <c r="K3181" s="76" t="b">
        <v>0</v>
      </c>
      <c r="L3181" s="76" t="b">
        <v>0</v>
      </c>
      <c r="M3181" s="76" t="b">
        <v>0</v>
      </c>
      <c r="N3181" s="76" t="b">
        <v>0</v>
      </c>
      <c r="O3181" s="76" t="b">
        <v>0</v>
      </c>
      <c r="P3181" s="76" t="b">
        <v>0</v>
      </c>
      <c r="Q3181" s="76" t="b">
        <v>0</v>
      </c>
      <c r="R3181" s="14"/>
      <c r="S3181" s="14"/>
      <c r="T3181" s="14"/>
      <c r="U3181" s="14"/>
      <c r="V3181" s="14"/>
      <c r="W3181" s="14"/>
    </row>
    <row r="3182" ht="31.5" customHeight="1">
      <c r="A3182" s="158"/>
      <c r="B3182" s="159"/>
      <c r="C3182" s="160"/>
      <c r="D3182" s="130"/>
      <c r="E3182" s="130"/>
      <c r="F3182" s="161"/>
      <c r="G3182" s="164"/>
      <c r="H3182" s="76" t="b">
        <v>0</v>
      </c>
      <c r="I3182" s="76" t="b">
        <v>0</v>
      </c>
      <c r="J3182" s="76" t="b">
        <v>0</v>
      </c>
      <c r="K3182" s="76" t="b">
        <v>0</v>
      </c>
      <c r="L3182" s="76" t="b">
        <v>0</v>
      </c>
      <c r="M3182" s="76" t="b">
        <v>0</v>
      </c>
      <c r="N3182" s="76" t="b">
        <v>0</v>
      </c>
      <c r="O3182" s="76" t="b">
        <v>0</v>
      </c>
      <c r="P3182" s="76" t="b">
        <v>0</v>
      </c>
      <c r="Q3182" s="76" t="b">
        <v>0</v>
      </c>
      <c r="R3182" s="14"/>
      <c r="S3182" s="14"/>
      <c r="T3182" s="14"/>
      <c r="U3182" s="14"/>
      <c r="V3182" s="14"/>
      <c r="W3182" s="14"/>
    </row>
    <row r="3183" ht="31.5" customHeight="1">
      <c r="A3183" s="158"/>
      <c r="B3183" s="159"/>
      <c r="C3183" s="160"/>
      <c r="D3183" s="130"/>
      <c r="E3183" s="130"/>
      <c r="F3183" s="161"/>
      <c r="G3183" s="164"/>
      <c r="H3183" s="76" t="b">
        <v>0</v>
      </c>
      <c r="I3183" s="76" t="b">
        <v>0</v>
      </c>
      <c r="J3183" s="76" t="b">
        <v>0</v>
      </c>
      <c r="K3183" s="76" t="b">
        <v>0</v>
      </c>
      <c r="L3183" s="76" t="b">
        <v>0</v>
      </c>
      <c r="M3183" s="76" t="b">
        <v>0</v>
      </c>
      <c r="N3183" s="76" t="b">
        <v>0</v>
      </c>
      <c r="O3183" s="76" t="b">
        <v>0</v>
      </c>
      <c r="P3183" s="76" t="b">
        <v>0</v>
      </c>
      <c r="Q3183" s="76" t="b">
        <v>0</v>
      </c>
      <c r="R3183" s="14"/>
      <c r="S3183" s="14"/>
      <c r="T3183" s="14"/>
      <c r="U3183" s="14"/>
      <c r="V3183" s="14"/>
      <c r="W3183" s="14"/>
    </row>
    <row r="3184" ht="31.5" customHeight="1">
      <c r="A3184" s="158"/>
      <c r="B3184" s="159"/>
      <c r="C3184" s="160"/>
      <c r="D3184" s="130"/>
      <c r="E3184" s="130"/>
      <c r="F3184" s="161"/>
      <c r="G3184" s="164"/>
      <c r="H3184" s="76" t="b">
        <v>0</v>
      </c>
      <c r="I3184" s="76" t="b">
        <v>0</v>
      </c>
      <c r="J3184" s="76" t="b">
        <v>0</v>
      </c>
      <c r="K3184" s="76" t="b">
        <v>0</v>
      </c>
      <c r="L3184" s="76" t="b">
        <v>0</v>
      </c>
      <c r="M3184" s="76" t="b">
        <v>0</v>
      </c>
      <c r="N3184" s="76" t="b">
        <v>0</v>
      </c>
      <c r="O3184" s="76" t="b">
        <v>0</v>
      </c>
      <c r="P3184" s="76" t="b">
        <v>0</v>
      </c>
      <c r="Q3184" s="76" t="b">
        <v>0</v>
      </c>
      <c r="R3184" s="14"/>
      <c r="S3184" s="14"/>
      <c r="T3184" s="14"/>
      <c r="U3184" s="14"/>
      <c r="V3184" s="14"/>
      <c r="W3184" s="14"/>
    </row>
    <row r="3185" ht="31.5" customHeight="1">
      <c r="A3185" s="158"/>
      <c r="B3185" s="159"/>
      <c r="C3185" s="160"/>
      <c r="D3185" s="130"/>
      <c r="E3185" s="130"/>
      <c r="F3185" s="161"/>
      <c r="G3185" s="164"/>
      <c r="H3185" s="76" t="b">
        <v>0</v>
      </c>
      <c r="I3185" s="76" t="b">
        <v>0</v>
      </c>
      <c r="J3185" s="76" t="b">
        <v>0</v>
      </c>
      <c r="K3185" s="76" t="b">
        <v>0</v>
      </c>
      <c r="L3185" s="76" t="b">
        <v>0</v>
      </c>
      <c r="M3185" s="76" t="b">
        <v>0</v>
      </c>
      <c r="N3185" s="76" t="b">
        <v>0</v>
      </c>
      <c r="O3185" s="76" t="b">
        <v>0</v>
      </c>
      <c r="P3185" s="76" t="b">
        <v>0</v>
      </c>
      <c r="Q3185" s="76" t="b">
        <v>0</v>
      </c>
      <c r="R3185" s="14"/>
      <c r="S3185" s="14"/>
      <c r="T3185" s="14"/>
      <c r="U3185" s="14"/>
      <c r="V3185" s="14"/>
      <c r="W3185" s="14"/>
    </row>
    <row r="3186" ht="31.5" customHeight="1">
      <c r="A3186" s="158"/>
      <c r="B3186" s="159"/>
      <c r="C3186" s="160"/>
      <c r="D3186" s="130"/>
      <c r="E3186" s="130"/>
      <c r="F3186" s="161"/>
      <c r="G3186" s="164"/>
      <c r="H3186" s="76" t="b">
        <v>0</v>
      </c>
      <c r="I3186" s="76" t="b">
        <v>0</v>
      </c>
      <c r="J3186" s="76" t="b">
        <v>0</v>
      </c>
      <c r="K3186" s="76" t="b">
        <v>0</v>
      </c>
      <c r="L3186" s="76" t="b">
        <v>0</v>
      </c>
      <c r="M3186" s="76" t="b">
        <v>0</v>
      </c>
      <c r="N3186" s="76" t="b">
        <v>0</v>
      </c>
      <c r="O3186" s="76" t="b">
        <v>0</v>
      </c>
      <c r="P3186" s="76" t="b">
        <v>0</v>
      </c>
      <c r="Q3186" s="76" t="b">
        <v>0</v>
      </c>
      <c r="R3186" s="14"/>
      <c r="S3186" s="14"/>
      <c r="T3186" s="14"/>
      <c r="U3186" s="14"/>
      <c r="V3186" s="14"/>
      <c r="W3186" s="14"/>
    </row>
    <row r="3187" ht="31.5" customHeight="1">
      <c r="A3187" s="158"/>
      <c r="B3187" s="159"/>
      <c r="C3187" s="160"/>
      <c r="D3187" s="130"/>
      <c r="E3187" s="130"/>
      <c r="F3187" s="161"/>
      <c r="G3187" s="164"/>
      <c r="H3187" s="76" t="b">
        <v>0</v>
      </c>
      <c r="I3187" s="76" t="b">
        <v>0</v>
      </c>
      <c r="J3187" s="76" t="b">
        <v>0</v>
      </c>
      <c r="K3187" s="76" t="b">
        <v>0</v>
      </c>
      <c r="L3187" s="76" t="b">
        <v>0</v>
      </c>
      <c r="M3187" s="76" t="b">
        <v>0</v>
      </c>
      <c r="N3187" s="76" t="b">
        <v>0</v>
      </c>
      <c r="O3187" s="76" t="b">
        <v>0</v>
      </c>
      <c r="P3187" s="76" t="b">
        <v>0</v>
      </c>
      <c r="Q3187" s="76" t="b">
        <v>0</v>
      </c>
      <c r="R3187" s="14"/>
      <c r="S3187" s="14"/>
      <c r="T3187" s="14"/>
      <c r="U3187" s="14"/>
      <c r="V3187" s="14"/>
      <c r="W3187" s="14"/>
    </row>
    <row r="3188" ht="31.5" customHeight="1">
      <c r="A3188" s="158"/>
      <c r="B3188" s="159"/>
      <c r="C3188" s="160"/>
      <c r="D3188" s="130"/>
      <c r="E3188" s="130"/>
      <c r="F3188" s="161"/>
      <c r="G3188" s="164"/>
      <c r="H3188" s="76" t="b">
        <v>0</v>
      </c>
      <c r="I3188" s="76" t="b">
        <v>0</v>
      </c>
      <c r="J3188" s="76" t="b">
        <v>0</v>
      </c>
      <c r="K3188" s="76" t="b">
        <v>0</v>
      </c>
      <c r="L3188" s="76" t="b">
        <v>0</v>
      </c>
      <c r="M3188" s="76" t="b">
        <v>0</v>
      </c>
      <c r="N3188" s="76" t="b">
        <v>0</v>
      </c>
      <c r="O3188" s="76" t="b">
        <v>0</v>
      </c>
      <c r="P3188" s="76" t="b">
        <v>0</v>
      </c>
      <c r="Q3188" s="76" t="b">
        <v>0</v>
      </c>
      <c r="R3188" s="14"/>
      <c r="S3188" s="14"/>
      <c r="T3188" s="14"/>
      <c r="U3188" s="14"/>
      <c r="V3188" s="14"/>
      <c r="W3188" s="14"/>
    </row>
    <row r="3189" ht="31.5" customHeight="1">
      <c r="A3189" s="158"/>
      <c r="B3189" s="159"/>
      <c r="C3189" s="160"/>
      <c r="D3189" s="130"/>
      <c r="E3189" s="130"/>
      <c r="F3189" s="161"/>
      <c r="G3189" s="164"/>
      <c r="H3189" s="76" t="b">
        <v>0</v>
      </c>
      <c r="I3189" s="76" t="b">
        <v>0</v>
      </c>
      <c r="J3189" s="76" t="b">
        <v>0</v>
      </c>
      <c r="K3189" s="76" t="b">
        <v>0</v>
      </c>
      <c r="L3189" s="76" t="b">
        <v>0</v>
      </c>
      <c r="M3189" s="76" t="b">
        <v>0</v>
      </c>
      <c r="N3189" s="76" t="b">
        <v>0</v>
      </c>
      <c r="O3189" s="76" t="b">
        <v>0</v>
      </c>
      <c r="P3189" s="76" t="b">
        <v>0</v>
      </c>
      <c r="Q3189" s="76" t="b">
        <v>0</v>
      </c>
      <c r="R3189" s="14"/>
      <c r="S3189" s="14"/>
      <c r="T3189" s="14"/>
      <c r="U3189" s="14"/>
      <c r="V3189" s="14"/>
      <c r="W3189" s="14"/>
    </row>
    <row r="3190" ht="31.5" customHeight="1">
      <c r="A3190" s="158"/>
      <c r="B3190" s="159"/>
      <c r="C3190" s="160"/>
      <c r="D3190" s="130"/>
      <c r="E3190" s="130"/>
      <c r="F3190" s="161"/>
      <c r="G3190" s="164"/>
      <c r="H3190" s="76" t="b">
        <v>0</v>
      </c>
      <c r="I3190" s="76" t="b">
        <v>0</v>
      </c>
      <c r="J3190" s="76" t="b">
        <v>0</v>
      </c>
      <c r="K3190" s="76" t="b">
        <v>0</v>
      </c>
      <c r="L3190" s="76" t="b">
        <v>0</v>
      </c>
      <c r="M3190" s="76" t="b">
        <v>0</v>
      </c>
      <c r="N3190" s="76" t="b">
        <v>0</v>
      </c>
      <c r="O3190" s="76" t="b">
        <v>0</v>
      </c>
      <c r="P3190" s="76" t="b">
        <v>0</v>
      </c>
      <c r="Q3190" s="76" t="b">
        <v>0</v>
      </c>
      <c r="R3190" s="14"/>
      <c r="S3190" s="14"/>
      <c r="T3190" s="14"/>
      <c r="U3190" s="14"/>
      <c r="V3190" s="14"/>
      <c r="W3190" s="14"/>
    </row>
    <row r="3191" ht="31.5" customHeight="1">
      <c r="A3191" s="158"/>
      <c r="B3191" s="159"/>
      <c r="C3191" s="160"/>
      <c r="D3191" s="130"/>
      <c r="E3191" s="130"/>
      <c r="F3191" s="161"/>
      <c r="G3191" s="164"/>
      <c r="H3191" s="76" t="b">
        <v>0</v>
      </c>
      <c r="I3191" s="76" t="b">
        <v>0</v>
      </c>
      <c r="J3191" s="76" t="b">
        <v>0</v>
      </c>
      <c r="K3191" s="76" t="b">
        <v>0</v>
      </c>
      <c r="L3191" s="76" t="b">
        <v>0</v>
      </c>
      <c r="M3191" s="76" t="b">
        <v>0</v>
      </c>
      <c r="N3191" s="76" t="b">
        <v>0</v>
      </c>
      <c r="O3191" s="76" t="b">
        <v>0</v>
      </c>
      <c r="P3191" s="76" t="b">
        <v>0</v>
      </c>
      <c r="Q3191" s="76" t="b">
        <v>0</v>
      </c>
      <c r="R3191" s="14"/>
      <c r="S3191" s="14"/>
      <c r="T3191" s="14"/>
      <c r="U3191" s="14"/>
      <c r="V3191" s="14"/>
      <c r="W3191" s="14"/>
    </row>
    <row r="3192" ht="31.5" customHeight="1">
      <c r="A3192" s="158"/>
      <c r="B3192" s="159"/>
      <c r="C3192" s="160"/>
      <c r="D3192" s="130"/>
      <c r="E3192" s="130"/>
      <c r="F3192" s="161"/>
      <c r="G3192" s="164"/>
      <c r="H3192" s="76" t="b">
        <v>0</v>
      </c>
      <c r="I3192" s="76" t="b">
        <v>0</v>
      </c>
      <c r="J3192" s="76" t="b">
        <v>0</v>
      </c>
      <c r="K3192" s="76" t="b">
        <v>0</v>
      </c>
      <c r="L3192" s="76" t="b">
        <v>0</v>
      </c>
      <c r="M3192" s="76" t="b">
        <v>0</v>
      </c>
      <c r="N3192" s="76" t="b">
        <v>0</v>
      </c>
      <c r="O3192" s="76" t="b">
        <v>0</v>
      </c>
      <c r="P3192" s="76" t="b">
        <v>0</v>
      </c>
      <c r="Q3192" s="76" t="b">
        <v>0</v>
      </c>
      <c r="R3192" s="14"/>
      <c r="S3192" s="14"/>
      <c r="T3192" s="14"/>
      <c r="U3192" s="14"/>
      <c r="V3192" s="14"/>
      <c r="W3192" s="14"/>
    </row>
    <row r="3193" ht="31.5" customHeight="1">
      <c r="A3193" s="158"/>
      <c r="B3193" s="159"/>
      <c r="C3193" s="160"/>
      <c r="D3193" s="130"/>
      <c r="E3193" s="130"/>
      <c r="F3193" s="161"/>
      <c r="G3193" s="164"/>
      <c r="H3193" s="76" t="b">
        <v>0</v>
      </c>
      <c r="I3193" s="76" t="b">
        <v>0</v>
      </c>
      <c r="J3193" s="76" t="b">
        <v>0</v>
      </c>
      <c r="K3193" s="76" t="b">
        <v>0</v>
      </c>
      <c r="L3193" s="76" t="b">
        <v>0</v>
      </c>
      <c r="M3193" s="76" t="b">
        <v>0</v>
      </c>
      <c r="N3193" s="76" t="b">
        <v>0</v>
      </c>
      <c r="O3193" s="76" t="b">
        <v>0</v>
      </c>
      <c r="P3193" s="76" t="b">
        <v>0</v>
      </c>
      <c r="Q3193" s="76" t="b">
        <v>0</v>
      </c>
      <c r="R3193" s="14"/>
      <c r="S3193" s="14"/>
      <c r="T3193" s="14"/>
      <c r="U3193" s="14"/>
      <c r="V3193" s="14"/>
      <c r="W3193" s="14"/>
    </row>
    <row r="3194" ht="31.5" customHeight="1">
      <c r="A3194" s="158"/>
      <c r="B3194" s="159"/>
      <c r="C3194" s="160"/>
      <c r="D3194" s="130"/>
      <c r="E3194" s="130"/>
      <c r="F3194" s="161"/>
      <c r="G3194" s="164"/>
      <c r="H3194" s="76" t="b">
        <v>0</v>
      </c>
      <c r="I3194" s="76" t="b">
        <v>0</v>
      </c>
      <c r="J3194" s="76" t="b">
        <v>0</v>
      </c>
      <c r="K3194" s="76" t="b">
        <v>0</v>
      </c>
      <c r="L3194" s="76" t="b">
        <v>0</v>
      </c>
      <c r="M3194" s="76" t="b">
        <v>0</v>
      </c>
      <c r="N3194" s="76" t="b">
        <v>0</v>
      </c>
      <c r="O3194" s="76" t="b">
        <v>0</v>
      </c>
      <c r="P3194" s="76" t="b">
        <v>0</v>
      </c>
      <c r="Q3194" s="76" t="b">
        <v>0</v>
      </c>
      <c r="R3194" s="14"/>
      <c r="S3194" s="14"/>
      <c r="T3194" s="14"/>
      <c r="U3194" s="14"/>
      <c r="V3194" s="14"/>
      <c r="W3194" s="14"/>
    </row>
    <row r="3195" ht="31.5" customHeight="1">
      <c r="A3195" s="158"/>
      <c r="B3195" s="159"/>
      <c r="C3195" s="160"/>
      <c r="D3195" s="130"/>
      <c r="E3195" s="130"/>
      <c r="F3195" s="161"/>
      <c r="G3195" s="164"/>
      <c r="H3195" s="76" t="b">
        <v>0</v>
      </c>
      <c r="I3195" s="76" t="b">
        <v>0</v>
      </c>
      <c r="J3195" s="76" t="b">
        <v>0</v>
      </c>
      <c r="K3195" s="76" t="b">
        <v>0</v>
      </c>
      <c r="L3195" s="76" t="b">
        <v>0</v>
      </c>
      <c r="M3195" s="76" t="b">
        <v>0</v>
      </c>
      <c r="N3195" s="76" t="b">
        <v>0</v>
      </c>
      <c r="O3195" s="76" t="b">
        <v>0</v>
      </c>
      <c r="P3195" s="76" t="b">
        <v>0</v>
      </c>
      <c r="Q3195" s="76" t="b">
        <v>0</v>
      </c>
      <c r="R3195" s="14"/>
      <c r="S3195" s="14"/>
      <c r="T3195" s="14"/>
      <c r="U3195" s="14"/>
      <c r="V3195" s="14"/>
      <c r="W3195" s="14"/>
    </row>
    <row r="3196" ht="31.5" customHeight="1">
      <c r="A3196" s="158"/>
      <c r="B3196" s="159"/>
      <c r="C3196" s="160"/>
      <c r="D3196" s="130"/>
      <c r="E3196" s="130"/>
      <c r="F3196" s="161"/>
      <c r="G3196" s="164"/>
      <c r="H3196" s="76" t="b">
        <v>0</v>
      </c>
      <c r="I3196" s="76" t="b">
        <v>0</v>
      </c>
      <c r="J3196" s="76" t="b">
        <v>0</v>
      </c>
      <c r="K3196" s="76" t="b">
        <v>0</v>
      </c>
      <c r="L3196" s="76" t="b">
        <v>0</v>
      </c>
      <c r="M3196" s="76" t="b">
        <v>0</v>
      </c>
      <c r="N3196" s="76" t="b">
        <v>0</v>
      </c>
      <c r="O3196" s="76" t="b">
        <v>0</v>
      </c>
      <c r="P3196" s="76" t="b">
        <v>0</v>
      </c>
      <c r="Q3196" s="76" t="b">
        <v>0</v>
      </c>
      <c r="R3196" s="14"/>
      <c r="S3196" s="14"/>
      <c r="T3196" s="14"/>
      <c r="U3196" s="14"/>
      <c r="V3196" s="14"/>
      <c r="W3196" s="14"/>
    </row>
    <row r="3197" ht="31.5" customHeight="1">
      <c r="A3197" s="158"/>
      <c r="B3197" s="159"/>
      <c r="C3197" s="160"/>
      <c r="D3197" s="130"/>
      <c r="E3197" s="130"/>
      <c r="F3197" s="161"/>
      <c r="G3197" s="164"/>
      <c r="H3197" s="76" t="b">
        <v>0</v>
      </c>
      <c r="I3197" s="76" t="b">
        <v>0</v>
      </c>
      <c r="J3197" s="76" t="b">
        <v>0</v>
      </c>
      <c r="K3197" s="76" t="b">
        <v>0</v>
      </c>
      <c r="L3197" s="76" t="b">
        <v>0</v>
      </c>
      <c r="M3197" s="76" t="b">
        <v>0</v>
      </c>
      <c r="N3197" s="76" t="b">
        <v>0</v>
      </c>
      <c r="O3197" s="76" t="b">
        <v>0</v>
      </c>
      <c r="P3197" s="76" t="b">
        <v>0</v>
      </c>
      <c r="Q3197" s="76" t="b">
        <v>0</v>
      </c>
      <c r="R3197" s="14"/>
      <c r="S3197" s="14"/>
      <c r="T3197" s="14"/>
      <c r="U3197" s="14"/>
      <c r="V3197" s="14"/>
      <c r="W3197" s="14"/>
    </row>
    <row r="3198" ht="31.5" customHeight="1">
      <c r="A3198" s="158"/>
      <c r="B3198" s="159"/>
      <c r="C3198" s="160"/>
      <c r="D3198" s="130"/>
      <c r="E3198" s="130"/>
      <c r="F3198" s="161"/>
      <c r="G3198" s="164"/>
      <c r="H3198" s="76" t="b">
        <v>0</v>
      </c>
      <c r="I3198" s="76" t="b">
        <v>0</v>
      </c>
      <c r="J3198" s="76" t="b">
        <v>0</v>
      </c>
      <c r="K3198" s="76" t="b">
        <v>0</v>
      </c>
      <c r="L3198" s="76" t="b">
        <v>0</v>
      </c>
      <c r="M3198" s="76" t="b">
        <v>0</v>
      </c>
      <c r="N3198" s="76" t="b">
        <v>0</v>
      </c>
      <c r="O3198" s="76" t="b">
        <v>0</v>
      </c>
      <c r="P3198" s="76" t="b">
        <v>0</v>
      </c>
      <c r="Q3198" s="76" t="b">
        <v>0</v>
      </c>
      <c r="R3198" s="14"/>
      <c r="S3198" s="14"/>
      <c r="T3198" s="14"/>
      <c r="U3198" s="14"/>
      <c r="V3198" s="14"/>
      <c r="W3198" s="14"/>
    </row>
    <row r="3199" ht="31.5" customHeight="1">
      <c r="A3199" s="158"/>
      <c r="B3199" s="159"/>
      <c r="C3199" s="160"/>
      <c r="D3199" s="130"/>
      <c r="E3199" s="130"/>
      <c r="F3199" s="161"/>
      <c r="G3199" s="164"/>
      <c r="H3199" s="76" t="b">
        <v>0</v>
      </c>
      <c r="I3199" s="76" t="b">
        <v>0</v>
      </c>
      <c r="J3199" s="76" t="b">
        <v>0</v>
      </c>
      <c r="K3199" s="76" t="b">
        <v>0</v>
      </c>
      <c r="L3199" s="76" t="b">
        <v>0</v>
      </c>
      <c r="M3199" s="76" t="b">
        <v>0</v>
      </c>
      <c r="N3199" s="76" t="b">
        <v>0</v>
      </c>
      <c r="O3199" s="76" t="b">
        <v>0</v>
      </c>
      <c r="P3199" s="76" t="b">
        <v>0</v>
      </c>
      <c r="Q3199" s="76" t="b">
        <v>0</v>
      </c>
      <c r="R3199" s="14"/>
      <c r="S3199" s="14"/>
      <c r="T3199" s="14"/>
      <c r="U3199" s="14"/>
      <c r="V3199" s="14"/>
      <c r="W3199" s="14"/>
    </row>
    <row r="3200" ht="31.5" customHeight="1">
      <c r="A3200" s="158"/>
      <c r="B3200" s="159"/>
      <c r="C3200" s="160"/>
      <c r="D3200" s="130"/>
      <c r="E3200" s="130"/>
      <c r="F3200" s="161"/>
      <c r="G3200" s="164"/>
      <c r="H3200" s="76" t="b">
        <v>1</v>
      </c>
      <c r="I3200" s="76" t="b">
        <v>0</v>
      </c>
      <c r="J3200" s="76" t="b">
        <v>0</v>
      </c>
      <c r="K3200" s="76" t="b">
        <v>0</v>
      </c>
      <c r="L3200" s="76" t="b">
        <v>0</v>
      </c>
      <c r="M3200" s="76" t="b">
        <v>0</v>
      </c>
      <c r="N3200" s="76" t="b">
        <v>0</v>
      </c>
      <c r="O3200" s="76" t="b">
        <v>0</v>
      </c>
      <c r="P3200" s="76" t="b">
        <v>0</v>
      </c>
      <c r="Q3200" s="76" t="b">
        <v>0</v>
      </c>
      <c r="R3200" s="14"/>
      <c r="S3200" s="14"/>
      <c r="T3200" s="14"/>
      <c r="U3200" s="14"/>
      <c r="V3200" s="14"/>
      <c r="W3200" s="14"/>
    </row>
    <row r="3201" ht="31.5" customHeight="1">
      <c r="A3201" s="158"/>
      <c r="B3201" s="159"/>
      <c r="C3201" s="160"/>
      <c r="D3201" s="130"/>
      <c r="E3201" s="130"/>
      <c r="F3201" s="161"/>
      <c r="G3201" s="164"/>
      <c r="H3201" s="76" t="b">
        <v>1</v>
      </c>
      <c r="I3201" s="76" t="b">
        <v>0</v>
      </c>
      <c r="J3201" s="76" t="b">
        <v>0</v>
      </c>
      <c r="K3201" s="76" t="b">
        <v>0</v>
      </c>
      <c r="L3201" s="76" t="b">
        <v>0</v>
      </c>
      <c r="M3201" s="76" t="b">
        <v>0</v>
      </c>
      <c r="N3201" s="76" t="b">
        <v>0</v>
      </c>
      <c r="O3201" s="76" t="b">
        <v>0</v>
      </c>
      <c r="P3201" s="76" t="b">
        <v>0</v>
      </c>
      <c r="Q3201" s="76" t="b">
        <v>0</v>
      </c>
      <c r="R3201" s="14"/>
      <c r="S3201" s="14"/>
      <c r="T3201" s="14"/>
      <c r="U3201" s="14"/>
      <c r="V3201" s="14"/>
      <c r="W3201" s="14"/>
    </row>
    <row r="3202" ht="31.5" customHeight="1">
      <c r="A3202" s="158"/>
      <c r="B3202" s="159"/>
      <c r="C3202" s="160"/>
      <c r="D3202" s="130"/>
      <c r="E3202" s="130"/>
      <c r="F3202" s="161"/>
      <c r="G3202" s="164"/>
      <c r="H3202" s="76" t="b">
        <v>1</v>
      </c>
      <c r="I3202" s="76" t="b">
        <v>0</v>
      </c>
      <c r="J3202" s="76" t="b">
        <v>0</v>
      </c>
      <c r="K3202" s="76" t="b">
        <v>0</v>
      </c>
      <c r="L3202" s="76" t="b">
        <v>0</v>
      </c>
      <c r="M3202" s="76" t="b">
        <v>0</v>
      </c>
      <c r="N3202" s="76" t="b">
        <v>0</v>
      </c>
      <c r="O3202" s="76" t="b">
        <v>0</v>
      </c>
      <c r="P3202" s="76" t="b">
        <v>0</v>
      </c>
      <c r="Q3202" s="76" t="b">
        <v>0</v>
      </c>
      <c r="R3202" s="14"/>
      <c r="S3202" s="14"/>
      <c r="T3202" s="14"/>
      <c r="U3202" s="14"/>
      <c r="V3202" s="14"/>
      <c r="W3202" s="14"/>
    </row>
    <row r="3203" ht="31.5" customHeight="1">
      <c r="A3203" s="158"/>
      <c r="B3203" s="159"/>
      <c r="C3203" s="160"/>
      <c r="D3203" s="130"/>
      <c r="E3203" s="130"/>
      <c r="F3203" s="161"/>
      <c r="G3203" s="164"/>
      <c r="H3203" s="76" t="b">
        <v>1</v>
      </c>
      <c r="I3203" s="76" t="b">
        <v>0</v>
      </c>
      <c r="J3203" s="76" t="b">
        <v>0</v>
      </c>
      <c r="K3203" s="76" t="b">
        <v>0</v>
      </c>
      <c r="L3203" s="76" t="b">
        <v>0</v>
      </c>
      <c r="M3203" s="76" t="b">
        <v>0</v>
      </c>
      <c r="N3203" s="76" t="b">
        <v>0</v>
      </c>
      <c r="O3203" s="76" t="b">
        <v>0</v>
      </c>
      <c r="P3203" s="76" t="b">
        <v>0</v>
      </c>
      <c r="Q3203" s="76" t="b">
        <v>0</v>
      </c>
      <c r="R3203" s="14"/>
      <c r="S3203" s="14"/>
      <c r="T3203" s="14"/>
      <c r="U3203" s="14"/>
      <c r="V3203" s="14"/>
      <c r="W3203" s="14"/>
    </row>
    <row r="3204" ht="31.5" customHeight="1">
      <c r="A3204" s="158"/>
      <c r="B3204" s="159"/>
      <c r="C3204" s="160"/>
      <c r="D3204" s="130"/>
      <c r="E3204" s="130"/>
      <c r="F3204" s="161"/>
      <c r="G3204" s="164"/>
      <c r="H3204" s="76" t="b">
        <v>1</v>
      </c>
      <c r="I3204" s="76" t="b">
        <v>0</v>
      </c>
      <c r="J3204" s="76" t="b">
        <v>0</v>
      </c>
      <c r="K3204" s="76" t="b">
        <v>0</v>
      </c>
      <c r="L3204" s="76" t="b">
        <v>0</v>
      </c>
      <c r="M3204" s="76" t="b">
        <v>0</v>
      </c>
      <c r="N3204" s="76" t="b">
        <v>0</v>
      </c>
      <c r="O3204" s="76" t="b">
        <v>0</v>
      </c>
      <c r="P3204" s="76" t="b">
        <v>0</v>
      </c>
      <c r="Q3204" s="76" t="b">
        <v>0</v>
      </c>
      <c r="R3204" s="14"/>
      <c r="S3204" s="14"/>
      <c r="T3204" s="14"/>
      <c r="U3204" s="14"/>
      <c r="V3204" s="14"/>
      <c r="W3204" s="14"/>
    </row>
    <row r="3205" ht="31.5" customHeight="1">
      <c r="A3205" s="158"/>
      <c r="B3205" s="159"/>
      <c r="C3205" s="160"/>
      <c r="D3205" s="130"/>
      <c r="E3205" s="130"/>
      <c r="F3205" s="161"/>
      <c r="G3205" s="164"/>
      <c r="H3205" s="76" t="b">
        <v>1</v>
      </c>
      <c r="I3205" s="76" t="b">
        <v>0</v>
      </c>
      <c r="J3205" s="76" t="b">
        <v>0</v>
      </c>
      <c r="K3205" s="76" t="b">
        <v>0</v>
      </c>
      <c r="L3205" s="76" t="b">
        <v>0</v>
      </c>
      <c r="M3205" s="76" t="b">
        <v>0</v>
      </c>
      <c r="N3205" s="76" t="b">
        <v>0</v>
      </c>
      <c r="O3205" s="76" t="b">
        <v>0</v>
      </c>
      <c r="P3205" s="76" t="b">
        <v>0</v>
      </c>
      <c r="Q3205" s="76" t="b">
        <v>0</v>
      </c>
      <c r="R3205" s="14"/>
      <c r="S3205" s="14"/>
      <c r="T3205" s="14"/>
      <c r="U3205" s="14"/>
      <c r="V3205" s="14"/>
      <c r="W3205" s="14"/>
    </row>
    <row r="3206" ht="31.5" customHeight="1">
      <c r="A3206" s="158"/>
      <c r="B3206" s="159"/>
      <c r="C3206" s="160"/>
      <c r="D3206" s="130"/>
      <c r="E3206" s="130"/>
      <c r="F3206" s="161"/>
      <c r="G3206" s="164"/>
      <c r="H3206" s="76" t="b">
        <v>1</v>
      </c>
      <c r="I3206" s="76" t="b">
        <v>0</v>
      </c>
      <c r="J3206" s="76" t="b">
        <v>0</v>
      </c>
      <c r="K3206" s="76" t="b">
        <v>0</v>
      </c>
      <c r="L3206" s="76" t="b">
        <v>0</v>
      </c>
      <c r="M3206" s="76" t="b">
        <v>0</v>
      </c>
      <c r="N3206" s="76" t="b">
        <v>0</v>
      </c>
      <c r="O3206" s="76" t="b">
        <v>0</v>
      </c>
      <c r="P3206" s="76" t="b">
        <v>0</v>
      </c>
      <c r="Q3206" s="76" t="b">
        <v>0</v>
      </c>
      <c r="R3206" s="14"/>
      <c r="S3206" s="14"/>
      <c r="T3206" s="14"/>
      <c r="U3206" s="14"/>
      <c r="V3206" s="14"/>
      <c r="W3206" s="14"/>
    </row>
    <row r="3207" ht="31.5" customHeight="1">
      <c r="A3207" s="158"/>
      <c r="B3207" s="159"/>
      <c r="C3207" s="160"/>
      <c r="D3207" s="130"/>
      <c r="E3207" s="130"/>
      <c r="F3207" s="161"/>
      <c r="G3207" s="164"/>
      <c r="H3207" s="76" t="b">
        <v>1</v>
      </c>
      <c r="I3207" s="76" t="b">
        <v>0</v>
      </c>
      <c r="J3207" s="76" t="b">
        <v>0</v>
      </c>
      <c r="K3207" s="76" t="b">
        <v>0</v>
      </c>
      <c r="L3207" s="76" t="b">
        <v>0</v>
      </c>
      <c r="M3207" s="76" t="b">
        <v>0</v>
      </c>
      <c r="N3207" s="76" t="b">
        <v>0</v>
      </c>
      <c r="O3207" s="76" t="b">
        <v>0</v>
      </c>
      <c r="P3207" s="76" t="b">
        <v>0</v>
      </c>
      <c r="Q3207" s="76" t="b">
        <v>0</v>
      </c>
      <c r="R3207" s="14"/>
      <c r="S3207" s="14"/>
      <c r="T3207" s="14"/>
      <c r="U3207" s="14"/>
      <c r="V3207" s="14"/>
      <c r="W3207" s="14"/>
    </row>
    <row r="3208" ht="31.5" customHeight="1">
      <c r="A3208" s="158"/>
      <c r="B3208" s="159"/>
      <c r="C3208" s="160"/>
      <c r="D3208" s="130"/>
      <c r="E3208" s="130"/>
      <c r="F3208" s="161"/>
      <c r="G3208" s="164"/>
      <c r="H3208" s="76" t="b">
        <v>1</v>
      </c>
      <c r="I3208" s="76" t="b">
        <v>0</v>
      </c>
      <c r="J3208" s="76" t="b">
        <v>0</v>
      </c>
      <c r="K3208" s="76" t="b">
        <v>0</v>
      </c>
      <c r="L3208" s="76" t="b">
        <v>0</v>
      </c>
      <c r="M3208" s="76" t="b">
        <v>0</v>
      </c>
      <c r="N3208" s="76" t="b">
        <v>0</v>
      </c>
      <c r="O3208" s="76" t="b">
        <v>0</v>
      </c>
      <c r="P3208" s="76" t="b">
        <v>0</v>
      </c>
      <c r="Q3208" s="76" t="b">
        <v>0</v>
      </c>
      <c r="R3208" s="14"/>
      <c r="S3208" s="14"/>
      <c r="T3208" s="14"/>
      <c r="U3208" s="14"/>
      <c r="V3208" s="14"/>
      <c r="W3208" s="14"/>
    </row>
    <row r="3209" ht="31.5" customHeight="1">
      <c r="A3209" s="158"/>
      <c r="B3209" s="159"/>
      <c r="C3209" s="160"/>
      <c r="D3209" s="130"/>
      <c r="E3209" s="130"/>
      <c r="F3209" s="161"/>
      <c r="G3209" s="164"/>
      <c r="H3209" s="76" t="b">
        <v>1</v>
      </c>
      <c r="I3209" s="76" t="b">
        <v>0</v>
      </c>
      <c r="J3209" s="76" t="b">
        <v>0</v>
      </c>
      <c r="K3209" s="76" t="b">
        <v>0</v>
      </c>
      <c r="L3209" s="76" t="b">
        <v>0</v>
      </c>
      <c r="M3209" s="76" t="b">
        <v>0</v>
      </c>
      <c r="N3209" s="76" t="b">
        <v>0</v>
      </c>
      <c r="O3209" s="76" t="b">
        <v>0</v>
      </c>
      <c r="P3209" s="76" t="b">
        <v>0</v>
      </c>
      <c r="Q3209" s="76" t="b">
        <v>0</v>
      </c>
      <c r="R3209" s="14"/>
      <c r="S3209" s="14"/>
      <c r="T3209" s="14"/>
      <c r="U3209" s="14"/>
      <c r="V3209" s="14"/>
      <c r="W3209" s="14"/>
    </row>
    <row r="3210" ht="31.5" customHeight="1">
      <c r="A3210" s="158"/>
      <c r="B3210" s="159"/>
      <c r="C3210" s="160"/>
      <c r="D3210" s="130"/>
      <c r="E3210" s="130"/>
      <c r="F3210" s="161"/>
      <c r="G3210" s="164"/>
      <c r="H3210" s="76" t="b">
        <v>1</v>
      </c>
      <c r="I3210" s="76" t="b">
        <v>0</v>
      </c>
      <c r="J3210" s="76" t="b">
        <v>0</v>
      </c>
      <c r="K3210" s="76" t="b">
        <v>0</v>
      </c>
      <c r="L3210" s="76" t="b">
        <v>0</v>
      </c>
      <c r="M3210" s="76" t="b">
        <v>0</v>
      </c>
      <c r="N3210" s="76" t="b">
        <v>0</v>
      </c>
      <c r="O3210" s="76" t="b">
        <v>0</v>
      </c>
      <c r="P3210" s="76" t="b">
        <v>0</v>
      </c>
      <c r="Q3210" s="76" t="b">
        <v>0</v>
      </c>
      <c r="R3210" s="14"/>
      <c r="S3210" s="14"/>
      <c r="T3210" s="14"/>
      <c r="U3210" s="14"/>
      <c r="V3210" s="14"/>
      <c r="W3210" s="14"/>
    </row>
    <row r="3211" ht="31.5" customHeight="1">
      <c r="A3211" s="158"/>
      <c r="B3211" s="159"/>
      <c r="C3211" s="160"/>
      <c r="D3211" s="130"/>
      <c r="E3211" s="130"/>
      <c r="F3211" s="161"/>
      <c r="G3211" s="164"/>
      <c r="H3211" s="76" t="b">
        <v>1</v>
      </c>
      <c r="I3211" s="76" t="b">
        <v>0</v>
      </c>
      <c r="J3211" s="76" t="b">
        <v>0</v>
      </c>
      <c r="K3211" s="76" t="b">
        <v>0</v>
      </c>
      <c r="L3211" s="76" t="b">
        <v>0</v>
      </c>
      <c r="M3211" s="76" t="b">
        <v>0</v>
      </c>
      <c r="N3211" s="76" t="b">
        <v>0</v>
      </c>
      <c r="O3211" s="76" t="b">
        <v>0</v>
      </c>
      <c r="P3211" s="76" t="b">
        <v>0</v>
      </c>
      <c r="Q3211" s="76" t="b">
        <v>0</v>
      </c>
      <c r="R3211" s="14"/>
      <c r="S3211" s="14"/>
      <c r="T3211" s="14"/>
      <c r="U3211" s="14"/>
      <c r="V3211" s="14"/>
      <c r="W3211" s="14"/>
    </row>
    <row r="3212" ht="31.5" customHeight="1">
      <c r="A3212" s="158"/>
      <c r="B3212" s="159"/>
      <c r="C3212" s="160"/>
      <c r="D3212" s="130"/>
      <c r="E3212" s="130"/>
      <c r="F3212" s="161"/>
      <c r="G3212" s="164"/>
      <c r="H3212" s="76" t="b">
        <v>1</v>
      </c>
      <c r="I3212" s="76" t="b">
        <v>0</v>
      </c>
      <c r="J3212" s="76" t="b">
        <v>0</v>
      </c>
      <c r="K3212" s="76" t="b">
        <v>0</v>
      </c>
      <c r="L3212" s="76" t="b">
        <v>0</v>
      </c>
      <c r="M3212" s="76" t="b">
        <v>0</v>
      </c>
      <c r="N3212" s="76" t="b">
        <v>0</v>
      </c>
      <c r="O3212" s="76" t="b">
        <v>0</v>
      </c>
      <c r="P3212" s="76" t="b">
        <v>0</v>
      </c>
      <c r="Q3212" s="76" t="b">
        <v>0</v>
      </c>
      <c r="R3212" s="14"/>
      <c r="S3212" s="14"/>
      <c r="T3212" s="14"/>
      <c r="U3212" s="14"/>
      <c r="V3212" s="14"/>
      <c r="W3212" s="14"/>
    </row>
    <row r="3213" ht="31.5" customHeight="1">
      <c r="A3213" s="158"/>
      <c r="B3213" s="159"/>
      <c r="C3213" s="160"/>
      <c r="D3213" s="130"/>
      <c r="E3213" s="130"/>
      <c r="F3213" s="161"/>
      <c r="G3213" s="164"/>
      <c r="H3213" s="76" t="b">
        <v>1</v>
      </c>
      <c r="I3213" s="76" t="b">
        <v>0</v>
      </c>
      <c r="J3213" s="76" t="b">
        <v>0</v>
      </c>
      <c r="K3213" s="76" t="b">
        <v>0</v>
      </c>
      <c r="L3213" s="76" t="b">
        <v>0</v>
      </c>
      <c r="M3213" s="76" t="b">
        <v>0</v>
      </c>
      <c r="N3213" s="76" t="b">
        <v>0</v>
      </c>
      <c r="O3213" s="76" t="b">
        <v>0</v>
      </c>
      <c r="P3213" s="76" t="b">
        <v>0</v>
      </c>
      <c r="Q3213" s="76" t="b">
        <v>0</v>
      </c>
      <c r="R3213" s="14"/>
      <c r="S3213" s="14"/>
      <c r="T3213" s="14"/>
      <c r="U3213" s="14"/>
      <c r="V3213" s="14"/>
      <c r="W3213" s="14"/>
    </row>
    <row r="3214" ht="31.5" customHeight="1">
      <c r="A3214" s="158"/>
      <c r="B3214" s="159"/>
      <c r="C3214" s="160"/>
      <c r="D3214" s="130"/>
      <c r="E3214" s="130"/>
      <c r="F3214" s="161"/>
      <c r="G3214" s="164"/>
      <c r="H3214" s="76" t="b">
        <v>1</v>
      </c>
      <c r="I3214" s="76" t="b">
        <v>0</v>
      </c>
      <c r="J3214" s="76" t="b">
        <v>0</v>
      </c>
      <c r="K3214" s="76" t="b">
        <v>0</v>
      </c>
      <c r="L3214" s="76" t="b">
        <v>0</v>
      </c>
      <c r="M3214" s="76" t="b">
        <v>0</v>
      </c>
      <c r="N3214" s="76" t="b">
        <v>0</v>
      </c>
      <c r="O3214" s="76" t="b">
        <v>0</v>
      </c>
      <c r="P3214" s="76" t="b">
        <v>0</v>
      </c>
      <c r="Q3214" s="76" t="b">
        <v>0</v>
      </c>
      <c r="R3214" s="14"/>
      <c r="S3214" s="14"/>
      <c r="T3214" s="14"/>
      <c r="U3214" s="14"/>
      <c r="V3214" s="14"/>
      <c r="W3214" s="14"/>
    </row>
    <row r="3215" ht="31.5" customHeight="1">
      <c r="A3215" s="158"/>
      <c r="B3215" s="159"/>
      <c r="C3215" s="160"/>
      <c r="D3215" s="130"/>
      <c r="E3215" s="130"/>
      <c r="F3215" s="161"/>
      <c r="G3215" s="164"/>
      <c r="H3215" s="76" t="b">
        <v>1</v>
      </c>
      <c r="I3215" s="76" t="b">
        <v>0</v>
      </c>
      <c r="J3215" s="76" t="b">
        <v>0</v>
      </c>
      <c r="K3215" s="76" t="b">
        <v>0</v>
      </c>
      <c r="L3215" s="76" t="b">
        <v>0</v>
      </c>
      <c r="M3215" s="76" t="b">
        <v>0</v>
      </c>
      <c r="N3215" s="76" t="b">
        <v>0</v>
      </c>
      <c r="O3215" s="76" t="b">
        <v>0</v>
      </c>
      <c r="P3215" s="76" t="b">
        <v>0</v>
      </c>
      <c r="Q3215" s="76" t="b">
        <v>0</v>
      </c>
      <c r="R3215" s="14"/>
      <c r="S3215" s="14"/>
      <c r="T3215" s="14"/>
      <c r="U3215" s="14"/>
      <c r="V3215" s="14"/>
      <c r="W3215" s="14"/>
    </row>
    <row r="3216" ht="31.5" customHeight="1">
      <c r="A3216" s="158"/>
      <c r="B3216" s="159"/>
      <c r="C3216" s="160"/>
      <c r="D3216" s="130"/>
      <c r="E3216" s="130"/>
      <c r="F3216" s="161"/>
      <c r="G3216" s="164"/>
      <c r="H3216" s="76" t="b">
        <v>1</v>
      </c>
      <c r="I3216" s="76" t="b">
        <v>0</v>
      </c>
      <c r="J3216" s="76" t="b">
        <v>0</v>
      </c>
      <c r="K3216" s="76" t="b">
        <v>0</v>
      </c>
      <c r="L3216" s="76" t="b">
        <v>0</v>
      </c>
      <c r="M3216" s="76" t="b">
        <v>0</v>
      </c>
      <c r="N3216" s="76" t="b">
        <v>0</v>
      </c>
      <c r="O3216" s="76" t="b">
        <v>0</v>
      </c>
      <c r="P3216" s="76" t="b">
        <v>0</v>
      </c>
      <c r="Q3216" s="76" t="b">
        <v>0</v>
      </c>
      <c r="R3216" s="14"/>
      <c r="S3216" s="14"/>
      <c r="T3216" s="14"/>
      <c r="U3216" s="14"/>
      <c r="V3216" s="14"/>
      <c r="W3216" s="14"/>
    </row>
    <row r="3217" ht="31.5" customHeight="1">
      <c r="A3217" s="158"/>
      <c r="B3217" s="159"/>
      <c r="C3217" s="160"/>
      <c r="D3217" s="130"/>
      <c r="E3217" s="130"/>
      <c r="F3217" s="161"/>
      <c r="G3217" s="164"/>
      <c r="H3217" s="76" t="b">
        <v>1</v>
      </c>
      <c r="I3217" s="76" t="b">
        <v>0</v>
      </c>
      <c r="J3217" s="76" t="b">
        <v>0</v>
      </c>
      <c r="K3217" s="76" t="b">
        <v>0</v>
      </c>
      <c r="L3217" s="76" t="b">
        <v>0</v>
      </c>
      <c r="M3217" s="76" t="b">
        <v>0</v>
      </c>
      <c r="N3217" s="76" t="b">
        <v>0</v>
      </c>
      <c r="O3217" s="76" t="b">
        <v>0</v>
      </c>
      <c r="P3217" s="76" t="b">
        <v>0</v>
      </c>
      <c r="Q3217" s="76" t="b">
        <v>0</v>
      </c>
      <c r="R3217" s="14"/>
      <c r="S3217" s="14"/>
      <c r="T3217" s="14"/>
      <c r="U3217" s="14"/>
      <c r="V3217" s="14"/>
      <c r="W3217" s="14"/>
    </row>
    <row r="3218" ht="31.5" customHeight="1">
      <c r="A3218" s="158"/>
      <c r="B3218" s="159"/>
      <c r="C3218" s="160"/>
      <c r="D3218" s="130"/>
      <c r="E3218" s="130"/>
      <c r="F3218" s="161"/>
      <c r="G3218" s="164"/>
      <c r="H3218" s="76" t="b">
        <v>1</v>
      </c>
      <c r="I3218" s="76" t="b">
        <v>0</v>
      </c>
      <c r="J3218" s="76" t="b">
        <v>0</v>
      </c>
      <c r="K3218" s="76" t="b">
        <v>0</v>
      </c>
      <c r="L3218" s="76" t="b">
        <v>0</v>
      </c>
      <c r="M3218" s="76" t="b">
        <v>0</v>
      </c>
      <c r="N3218" s="76" t="b">
        <v>0</v>
      </c>
      <c r="O3218" s="76" t="b">
        <v>0</v>
      </c>
      <c r="P3218" s="76" t="b">
        <v>0</v>
      </c>
      <c r="Q3218" s="76" t="b">
        <v>0</v>
      </c>
      <c r="R3218" s="14"/>
      <c r="S3218" s="14"/>
      <c r="T3218" s="14"/>
      <c r="U3218" s="14"/>
      <c r="V3218" s="14"/>
      <c r="W3218" s="14"/>
    </row>
    <row r="3219" ht="31.5" customHeight="1">
      <c r="A3219" s="158"/>
      <c r="B3219" s="159"/>
      <c r="C3219" s="160"/>
      <c r="D3219" s="130"/>
      <c r="E3219" s="130"/>
      <c r="F3219" s="161"/>
      <c r="G3219" s="164"/>
      <c r="H3219" s="76" t="b">
        <v>1</v>
      </c>
      <c r="I3219" s="76" t="b">
        <v>0</v>
      </c>
      <c r="J3219" s="76" t="b">
        <v>0</v>
      </c>
      <c r="K3219" s="76" t="b">
        <v>0</v>
      </c>
      <c r="L3219" s="76" t="b">
        <v>0</v>
      </c>
      <c r="M3219" s="76" t="b">
        <v>0</v>
      </c>
      <c r="N3219" s="76" t="b">
        <v>0</v>
      </c>
      <c r="O3219" s="76" t="b">
        <v>0</v>
      </c>
      <c r="P3219" s="76" t="b">
        <v>0</v>
      </c>
      <c r="Q3219" s="76" t="b">
        <v>0</v>
      </c>
      <c r="R3219" s="14"/>
      <c r="S3219" s="14"/>
      <c r="T3219" s="14"/>
      <c r="U3219" s="14"/>
      <c r="V3219" s="14"/>
      <c r="W3219" s="14"/>
    </row>
    <row r="3220" ht="31.5" customHeight="1">
      <c r="A3220" s="158"/>
      <c r="B3220" s="159"/>
      <c r="C3220" s="160"/>
      <c r="D3220" s="130"/>
      <c r="E3220" s="130"/>
      <c r="F3220" s="161"/>
      <c r="G3220" s="164"/>
      <c r="H3220" s="76" t="b">
        <v>1</v>
      </c>
      <c r="I3220" s="76" t="b">
        <v>0</v>
      </c>
      <c r="J3220" s="76" t="b">
        <v>0</v>
      </c>
      <c r="K3220" s="76" t="b">
        <v>0</v>
      </c>
      <c r="L3220" s="76" t="b">
        <v>0</v>
      </c>
      <c r="M3220" s="76" t="b">
        <v>0</v>
      </c>
      <c r="N3220" s="76" t="b">
        <v>0</v>
      </c>
      <c r="O3220" s="76" t="b">
        <v>0</v>
      </c>
      <c r="P3220" s="76" t="b">
        <v>0</v>
      </c>
      <c r="Q3220" s="76" t="b">
        <v>0</v>
      </c>
      <c r="R3220" s="14"/>
      <c r="S3220" s="14"/>
      <c r="T3220" s="14"/>
      <c r="U3220" s="14"/>
      <c r="V3220" s="14"/>
      <c r="W3220" s="14"/>
    </row>
    <row r="3221" ht="31.5" customHeight="1">
      <c r="A3221" s="158"/>
      <c r="B3221" s="159"/>
      <c r="C3221" s="160"/>
      <c r="D3221" s="130"/>
      <c r="E3221" s="130"/>
      <c r="F3221" s="161"/>
      <c r="G3221" s="164"/>
      <c r="H3221" s="76" t="b">
        <v>1</v>
      </c>
      <c r="I3221" s="76" t="b">
        <v>0</v>
      </c>
      <c r="J3221" s="76" t="b">
        <v>0</v>
      </c>
      <c r="K3221" s="76" t="b">
        <v>0</v>
      </c>
      <c r="L3221" s="76" t="b">
        <v>0</v>
      </c>
      <c r="M3221" s="76" t="b">
        <v>0</v>
      </c>
      <c r="N3221" s="76" t="b">
        <v>0</v>
      </c>
      <c r="O3221" s="76" t="b">
        <v>0</v>
      </c>
      <c r="P3221" s="76" t="b">
        <v>0</v>
      </c>
      <c r="Q3221" s="76" t="b">
        <v>0</v>
      </c>
      <c r="R3221" s="14"/>
      <c r="S3221" s="14"/>
      <c r="T3221" s="14"/>
      <c r="U3221" s="14"/>
      <c r="V3221" s="14"/>
      <c r="W3221" s="14"/>
    </row>
    <row r="3222" ht="31.5" customHeight="1">
      <c r="A3222" s="158"/>
      <c r="B3222" s="159"/>
      <c r="C3222" s="160"/>
      <c r="D3222" s="130"/>
      <c r="E3222" s="130"/>
      <c r="F3222" s="161"/>
      <c r="G3222" s="164"/>
      <c r="H3222" s="76" t="b">
        <v>1</v>
      </c>
      <c r="I3222" s="76" t="b">
        <v>0</v>
      </c>
      <c r="J3222" s="76" t="b">
        <v>0</v>
      </c>
      <c r="K3222" s="76" t="b">
        <v>0</v>
      </c>
      <c r="L3222" s="76" t="b">
        <v>0</v>
      </c>
      <c r="M3222" s="76" t="b">
        <v>0</v>
      </c>
      <c r="N3222" s="76" t="b">
        <v>0</v>
      </c>
      <c r="O3222" s="76" t="b">
        <v>0</v>
      </c>
      <c r="P3222" s="76" t="b">
        <v>0</v>
      </c>
      <c r="Q3222" s="76" t="b">
        <v>0</v>
      </c>
      <c r="R3222" s="14"/>
      <c r="S3222" s="14"/>
      <c r="T3222" s="14"/>
      <c r="U3222" s="14"/>
      <c r="V3222" s="14"/>
      <c r="W3222" s="14"/>
    </row>
    <row r="3223" ht="31.5" customHeight="1">
      <c r="A3223" s="158"/>
      <c r="B3223" s="159"/>
      <c r="C3223" s="160"/>
      <c r="D3223" s="130"/>
      <c r="E3223" s="130"/>
      <c r="F3223" s="161"/>
      <c r="G3223" s="164"/>
      <c r="H3223" s="76" t="b">
        <v>1</v>
      </c>
      <c r="I3223" s="76" t="b">
        <v>0</v>
      </c>
      <c r="J3223" s="76" t="b">
        <v>0</v>
      </c>
      <c r="K3223" s="76" t="b">
        <v>0</v>
      </c>
      <c r="L3223" s="76" t="b">
        <v>0</v>
      </c>
      <c r="M3223" s="76" t="b">
        <v>0</v>
      </c>
      <c r="N3223" s="76" t="b">
        <v>0</v>
      </c>
      <c r="O3223" s="76" t="b">
        <v>0</v>
      </c>
      <c r="P3223" s="76" t="b">
        <v>0</v>
      </c>
      <c r="Q3223" s="76" t="b">
        <v>0</v>
      </c>
      <c r="R3223" s="14"/>
      <c r="S3223" s="14"/>
      <c r="T3223" s="14"/>
      <c r="U3223" s="14"/>
      <c r="V3223" s="14"/>
      <c r="W3223" s="14"/>
    </row>
    <row r="3224" ht="31.5" customHeight="1">
      <c r="A3224" s="158"/>
      <c r="B3224" s="159"/>
      <c r="C3224" s="160"/>
      <c r="D3224" s="130"/>
      <c r="E3224" s="130"/>
      <c r="F3224" s="161"/>
      <c r="G3224" s="164"/>
      <c r="H3224" s="76" t="b">
        <v>1</v>
      </c>
      <c r="I3224" s="76" t="b">
        <v>0</v>
      </c>
      <c r="J3224" s="76" t="b">
        <v>0</v>
      </c>
      <c r="K3224" s="76" t="b">
        <v>0</v>
      </c>
      <c r="L3224" s="76" t="b">
        <v>0</v>
      </c>
      <c r="M3224" s="76" t="b">
        <v>0</v>
      </c>
      <c r="N3224" s="76" t="b">
        <v>0</v>
      </c>
      <c r="O3224" s="76" t="b">
        <v>0</v>
      </c>
      <c r="P3224" s="76" t="b">
        <v>0</v>
      </c>
      <c r="Q3224" s="76" t="b">
        <v>0</v>
      </c>
      <c r="R3224" s="14"/>
      <c r="S3224" s="14"/>
      <c r="T3224" s="14"/>
      <c r="U3224" s="14"/>
      <c r="V3224" s="14"/>
      <c r="W3224" s="14"/>
    </row>
    <row r="3225" ht="31.5" customHeight="1">
      <c r="A3225" s="158"/>
      <c r="B3225" s="159"/>
      <c r="C3225" s="160"/>
      <c r="D3225" s="130"/>
      <c r="E3225" s="130"/>
      <c r="F3225" s="161"/>
      <c r="G3225" s="164"/>
      <c r="H3225" s="76" t="b">
        <v>1</v>
      </c>
      <c r="I3225" s="76" t="b">
        <v>0</v>
      </c>
      <c r="J3225" s="76" t="b">
        <v>0</v>
      </c>
      <c r="K3225" s="76" t="b">
        <v>0</v>
      </c>
      <c r="L3225" s="76" t="b">
        <v>0</v>
      </c>
      <c r="M3225" s="76" t="b">
        <v>0</v>
      </c>
      <c r="N3225" s="76" t="b">
        <v>0</v>
      </c>
      <c r="O3225" s="76" t="b">
        <v>0</v>
      </c>
      <c r="P3225" s="76" t="b">
        <v>0</v>
      </c>
      <c r="Q3225" s="76" t="b">
        <v>0</v>
      </c>
      <c r="R3225" s="14"/>
      <c r="S3225" s="14"/>
      <c r="T3225" s="14"/>
      <c r="U3225" s="14"/>
      <c r="V3225" s="14"/>
      <c r="W3225" s="14"/>
    </row>
    <row r="3226" ht="31.5" customHeight="1">
      <c r="A3226" s="158"/>
      <c r="B3226" s="159"/>
      <c r="C3226" s="160"/>
      <c r="D3226" s="130"/>
      <c r="E3226" s="130"/>
      <c r="F3226" s="161"/>
      <c r="G3226" s="164"/>
      <c r="H3226" s="76" t="b">
        <v>1</v>
      </c>
      <c r="I3226" s="76" t="b">
        <v>0</v>
      </c>
      <c r="J3226" s="76" t="b">
        <v>0</v>
      </c>
      <c r="K3226" s="76" t="b">
        <v>0</v>
      </c>
      <c r="L3226" s="76" t="b">
        <v>0</v>
      </c>
      <c r="M3226" s="76" t="b">
        <v>0</v>
      </c>
      <c r="N3226" s="76" t="b">
        <v>0</v>
      </c>
      <c r="O3226" s="76" t="b">
        <v>0</v>
      </c>
      <c r="P3226" s="76" t="b">
        <v>0</v>
      </c>
      <c r="Q3226" s="76" t="b">
        <v>0</v>
      </c>
      <c r="R3226" s="14"/>
      <c r="S3226" s="14"/>
      <c r="T3226" s="14"/>
      <c r="U3226" s="14"/>
      <c r="V3226" s="14"/>
      <c r="W3226" s="14"/>
    </row>
    <row r="3227" ht="31.5" customHeight="1">
      <c r="A3227" s="158"/>
      <c r="B3227" s="159"/>
      <c r="C3227" s="160"/>
      <c r="D3227" s="130"/>
      <c r="E3227" s="130"/>
      <c r="F3227" s="161"/>
      <c r="G3227" s="164"/>
      <c r="H3227" s="76" t="b">
        <v>1</v>
      </c>
      <c r="I3227" s="76" t="b">
        <v>0</v>
      </c>
      <c r="J3227" s="76" t="b">
        <v>0</v>
      </c>
      <c r="K3227" s="76" t="b">
        <v>0</v>
      </c>
      <c r="L3227" s="76" t="b">
        <v>0</v>
      </c>
      <c r="M3227" s="76" t="b">
        <v>0</v>
      </c>
      <c r="N3227" s="76" t="b">
        <v>0</v>
      </c>
      <c r="O3227" s="76" t="b">
        <v>0</v>
      </c>
      <c r="P3227" s="76" t="b">
        <v>0</v>
      </c>
      <c r="Q3227" s="76" t="b">
        <v>0</v>
      </c>
      <c r="R3227" s="14"/>
      <c r="S3227" s="14"/>
      <c r="T3227" s="14"/>
      <c r="U3227" s="14"/>
      <c r="V3227" s="14"/>
      <c r="W3227" s="14"/>
    </row>
    <row r="3228" ht="31.5" customHeight="1">
      <c r="A3228" s="158"/>
      <c r="B3228" s="159"/>
      <c r="C3228" s="160"/>
      <c r="D3228" s="130"/>
      <c r="E3228" s="130"/>
      <c r="F3228" s="161"/>
      <c r="G3228" s="164"/>
      <c r="H3228" s="76" t="b">
        <v>1</v>
      </c>
      <c r="I3228" s="76" t="b">
        <v>0</v>
      </c>
      <c r="J3228" s="76" t="b">
        <v>0</v>
      </c>
      <c r="K3228" s="76" t="b">
        <v>0</v>
      </c>
      <c r="L3228" s="76" t="b">
        <v>0</v>
      </c>
      <c r="M3228" s="76" t="b">
        <v>0</v>
      </c>
      <c r="N3228" s="76" t="b">
        <v>0</v>
      </c>
      <c r="O3228" s="76" t="b">
        <v>0</v>
      </c>
      <c r="P3228" s="76" t="b">
        <v>0</v>
      </c>
      <c r="Q3228" s="76" t="b">
        <v>0</v>
      </c>
      <c r="R3228" s="14"/>
      <c r="S3228" s="14"/>
      <c r="T3228" s="14"/>
      <c r="U3228" s="14"/>
      <c r="V3228" s="14"/>
      <c r="W3228" s="14"/>
    </row>
    <row r="3229" ht="31.5" customHeight="1">
      <c r="A3229" s="158"/>
      <c r="B3229" s="159"/>
      <c r="C3229" s="160"/>
      <c r="D3229" s="130"/>
      <c r="E3229" s="130"/>
      <c r="F3229" s="161"/>
      <c r="G3229" s="164"/>
      <c r="H3229" s="76" t="b">
        <v>1</v>
      </c>
      <c r="I3229" s="76" t="b">
        <v>0</v>
      </c>
      <c r="J3229" s="76" t="b">
        <v>0</v>
      </c>
      <c r="K3229" s="76" t="b">
        <v>0</v>
      </c>
      <c r="L3229" s="76" t="b">
        <v>0</v>
      </c>
      <c r="M3229" s="76" t="b">
        <v>0</v>
      </c>
      <c r="N3229" s="76" t="b">
        <v>0</v>
      </c>
      <c r="O3229" s="76" t="b">
        <v>0</v>
      </c>
      <c r="P3229" s="76" t="b">
        <v>0</v>
      </c>
      <c r="Q3229" s="76" t="b">
        <v>0</v>
      </c>
      <c r="R3229" s="14"/>
      <c r="S3229" s="14"/>
      <c r="T3229" s="14"/>
      <c r="U3229" s="14"/>
      <c r="V3229" s="14"/>
      <c r="W3229" s="14"/>
    </row>
    <row r="3230" ht="31.5" customHeight="1">
      <c r="A3230" s="158"/>
      <c r="B3230" s="159"/>
      <c r="C3230" s="160"/>
      <c r="D3230" s="130"/>
      <c r="E3230" s="130"/>
      <c r="F3230" s="161"/>
      <c r="G3230" s="164"/>
      <c r="H3230" s="76" t="b">
        <v>1</v>
      </c>
      <c r="I3230" s="76" t="b">
        <v>0</v>
      </c>
      <c r="J3230" s="76" t="b">
        <v>0</v>
      </c>
      <c r="K3230" s="76" t="b">
        <v>0</v>
      </c>
      <c r="L3230" s="76" t="b">
        <v>0</v>
      </c>
      <c r="M3230" s="76" t="b">
        <v>0</v>
      </c>
      <c r="N3230" s="76" t="b">
        <v>0</v>
      </c>
      <c r="O3230" s="76" t="b">
        <v>0</v>
      </c>
      <c r="P3230" s="76" t="b">
        <v>0</v>
      </c>
      <c r="Q3230" s="76" t="b">
        <v>0</v>
      </c>
      <c r="R3230" s="14"/>
      <c r="S3230" s="14"/>
      <c r="T3230" s="14"/>
      <c r="U3230" s="14"/>
      <c r="V3230" s="14"/>
      <c r="W3230" s="14"/>
    </row>
    <row r="3231" ht="31.5" customHeight="1">
      <c r="A3231" s="158"/>
      <c r="B3231" s="159"/>
      <c r="C3231" s="160"/>
      <c r="D3231" s="130"/>
      <c r="E3231" s="130"/>
      <c r="F3231" s="161"/>
      <c r="G3231" s="164"/>
      <c r="H3231" s="76" t="b">
        <v>1</v>
      </c>
      <c r="I3231" s="76" t="b">
        <v>0</v>
      </c>
      <c r="J3231" s="76" t="b">
        <v>0</v>
      </c>
      <c r="K3231" s="76" t="b">
        <v>0</v>
      </c>
      <c r="L3231" s="76" t="b">
        <v>0</v>
      </c>
      <c r="M3231" s="76" t="b">
        <v>0</v>
      </c>
      <c r="N3231" s="76" t="b">
        <v>0</v>
      </c>
      <c r="O3231" s="76" t="b">
        <v>0</v>
      </c>
      <c r="P3231" s="76" t="b">
        <v>0</v>
      </c>
      <c r="Q3231" s="76" t="b">
        <v>0</v>
      </c>
      <c r="R3231" s="14"/>
      <c r="S3231" s="14"/>
      <c r="T3231" s="14"/>
      <c r="U3231" s="14"/>
      <c r="V3231" s="14"/>
      <c r="W3231" s="14"/>
    </row>
    <row r="3232" ht="31.5" customHeight="1">
      <c r="A3232" s="158"/>
      <c r="B3232" s="159"/>
      <c r="C3232" s="160"/>
      <c r="D3232" s="130"/>
      <c r="E3232" s="130"/>
      <c r="F3232" s="161"/>
      <c r="G3232" s="164"/>
      <c r="H3232" s="76" t="b">
        <v>1</v>
      </c>
      <c r="I3232" s="76" t="b">
        <v>0</v>
      </c>
      <c r="J3232" s="76" t="b">
        <v>0</v>
      </c>
      <c r="K3232" s="76" t="b">
        <v>0</v>
      </c>
      <c r="L3232" s="76" t="b">
        <v>0</v>
      </c>
      <c r="M3232" s="76" t="b">
        <v>0</v>
      </c>
      <c r="N3232" s="76" t="b">
        <v>0</v>
      </c>
      <c r="O3232" s="76" t="b">
        <v>0</v>
      </c>
      <c r="P3232" s="76" t="b">
        <v>0</v>
      </c>
      <c r="Q3232" s="76" t="b">
        <v>0</v>
      </c>
      <c r="R3232" s="14"/>
      <c r="S3232" s="14"/>
      <c r="T3232" s="14"/>
      <c r="U3232" s="14"/>
      <c r="V3232" s="14"/>
      <c r="W3232" s="14"/>
    </row>
    <row r="3233" ht="31.5" customHeight="1">
      <c r="A3233" s="158"/>
      <c r="B3233" s="159"/>
      <c r="C3233" s="160"/>
      <c r="D3233" s="130"/>
      <c r="E3233" s="130"/>
      <c r="F3233" s="161"/>
      <c r="G3233" s="164"/>
      <c r="H3233" s="76" t="b">
        <v>1</v>
      </c>
      <c r="I3233" s="76" t="b">
        <v>0</v>
      </c>
      <c r="J3233" s="76" t="b">
        <v>0</v>
      </c>
      <c r="K3233" s="76" t="b">
        <v>0</v>
      </c>
      <c r="L3233" s="76" t="b">
        <v>0</v>
      </c>
      <c r="M3233" s="76" t="b">
        <v>0</v>
      </c>
      <c r="N3233" s="76" t="b">
        <v>0</v>
      </c>
      <c r="O3233" s="76" t="b">
        <v>0</v>
      </c>
      <c r="P3233" s="76" t="b">
        <v>0</v>
      </c>
      <c r="Q3233" s="76" t="b">
        <v>0</v>
      </c>
      <c r="R3233" s="14"/>
      <c r="S3233" s="14"/>
      <c r="T3233" s="14"/>
      <c r="U3233" s="14"/>
      <c r="V3233" s="14"/>
      <c r="W3233" s="14"/>
    </row>
    <row r="3234" ht="31.5" customHeight="1">
      <c r="A3234" s="158"/>
      <c r="B3234" s="159"/>
      <c r="C3234" s="160"/>
      <c r="D3234" s="130"/>
      <c r="E3234" s="130"/>
      <c r="F3234" s="161"/>
      <c r="G3234" s="164"/>
      <c r="H3234" s="76" t="b">
        <v>1</v>
      </c>
      <c r="I3234" s="76" t="b">
        <v>0</v>
      </c>
      <c r="J3234" s="76" t="b">
        <v>0</v>
      </c>
      <c r="K3234" s="76" t="b">
        <v>0</v>
      </c>
      <c r="L3234" s="76" t="b">
        <v>0</v>
      </c>
      <c r="M3234" s="76" t="b">
        <v>0</v>
      </c>
      <c r="N3234" s="76" t="b">
        <v>0</v>
      </c>
      <c r="O3234" s="76" t="b">
        <v>0</v>
      </c>
      <c r="P3234" s="76" t="b">
        <v>0</v>
      </c>
      <c r="Q3234" s="76" t="b">
        <v>0</v>
      </c>
      <c r="R3234" s="14"/>
      <c r="S3234" s="14"/>
      <c r="T3234" s="14"/>
      <c r="U3234" s="14"/>
      <c r="V3234" s="14"/>
      <c r="W3234" s="14"/>
    </row>
    <row r="3235" ht="31.5" customHeight="1">
      <c r="A3235" s="158"/>
      <c r="B3235" s="159"/>
      <c r="C3235" s="160"/>
      <c r="D3235" s="130"/>
      <c r="E3235" s="130"/>
      <c r="F3235" s="161"/>
      <c r="G3235" s="164"/>
      <c r="H3235" s="76" t="b">
        <v>1</v>
      </c>
      <c r="I3235" s="76" t="b">
        <v>0</v>
      </c>
      <c r="J3235" s="76" t="b">
        <v>0</v>
      </c>
      <c r="K3235" s="76" t="b">
        <v>0</v>
      </c>
      <c r="L3235" s="76" t="b">
        <v>0</v>
      </c>
      <c r="M3235" s="76" t="b">
        <v>0</v>
      </c>
      <c r="N3235" s="76" t="b">
        <v>0</v>
      </c>
      <c r="O3235" s="76" t="b">
        <v>0</v>
      </c>
      <c r="P3235" s="76" t="b">
        <v>0</v>
      </c>
      <c r="Q3235" s="76" t="b">
        <v>0</v>
      </c>
      <c r="R3235" s="14"/>
      <c r="S3235" s="14"/>
      <c r="T3235" s="14"/>
      <c r="U3235" s="14"/>
      <c r="V3235" s="14"/>
      <c r="W3235" s="14"/>
    </row>
    <row r="3236" ht="31.5" customHeight="1">
      <c r="A3236" s="158"/>
      <c r="B3236" s="159"/>
      <c r="C3236" s="160"/>
      <c r="D3236" s="130"/>
      <c r="E3236" s="130"/>
      <c r="F3236" s="161"/>
      <c r="G3236" s="164"/>
      <c r="H3236" s="76" t="b">
        <v>1</v>
      </c>
      <c r="I3236" s="76" t="b">
        <v>0</v>
      </c>
      <c r="J3236" s="76" t="b">
        <v>0</v>
      </c>
      <c r="K3236" s="76" t="b">
        <v>0</v>
      </c>
      <c r="L3236" s="76" t="b">
        <v>0</v>
      </c>
      <c r="M3236" s="76" t="b">
        <v>0</v>
      </c>
      <c r="N3236" s="76" t="b">
        <v>0</v>
      </c>
      <c r="O3236" s="76" t="b">
        <v>0</v>
      </c>
      <c r="P3236" s="76" t="b">
        <v>0</v>
      </c>
      <c r="Q3236" s="76" t="b">
        <v>0</v>
      </c>
      <c r="R3236" s="14"/>
      <c r="S3236" s="14"/>
      <c r="T3236" s="14"/>
      <c r="U3236" s="14"/>
      <c r="V3236" s="14"/>
      <c r="W3236" s="14"/>
    </row>
    <row r="3237" ht="31.5" customHeight="1">
      <c r="A3237" s="158"/>
      <c r="B3237" s="159"/>
      <c r="C3237" s="160"/>
      <c r="D3237" s="130"/>
      <c r="E3237" s="130"/>
      <c r="F3237" s="161"/>
      <c r="G3237" s="164"/>
      <c r="H3237" s="76" t="b">
        <v>1</v>
      </c>
      <c r="I3237" s="76" t="b">
        <v>0</v>
      </c>
      <c r="J3237" s="76" t="b">
        <v>0</v>
      </c>
      <c r="K3237" s="76" t="b">
        <v>0</v>
      </c>
      <c r="L3237" s="76" t="b">
        <v>0</v>
      </c>
      <c r="M3237" s="76" t="b">
        <v>0</v>
      </c>
      <c r="N3237" s="76" t="b">
        <v>0</v>
      </c>
      <c r="O3237" s="76" t="b">
        <v>0</v>
      </c>
      <c r="P3237" s="76" t="b">
        <v>0</v>
      </c>
      <c r="Q3237" s="76" t="b">
        <v>0</v>
      </c>
      <c r="R3237" s="14"/>
      <c r="S3237" s="14"/>
      <c r="T3237" s="14"/>
      <c r="U3237" s="14"/>
      <c r="V3237" s="14"/>
      <c r="W3237" s="14"/>
    </row>
    <row r="3238" ht="31.5" customHeight="1">
      <c r="A3238" s="158"/>
      <c r="B3238" s="159"/>
      <c r="C3238" s="160"/>
      <c r="D3238" s="130"/>
      <c r="E3238" s="130"/>
      <c r="F3238" s="161"/>
      <c r="G3238" s="164"/>
      <c r="H3238" s="76" t="b">
        <v>1</v>
      </c>
      <c r="I3238" s="76" t="b">
        <v>0</v>
      </c>
      <c r="J3238" s="76" t="b">
        <v>0</v>
      </c>
      <c r="K3238" s="76" t="b">
        <v>0</v>
      </c>
      <c r="L3238" s="76" t="b">
        <v>0</v>
      </c>
      <c r="M3238" s="76" t="b">
        <v>0</v>
      </c>
      <c r="N3238" s="76" t="b">
        <v>0</v>
      </c>
      <c r="O3238" s="76" t="b">
        <v>0</v>
      </c>
      <c r="P3238" s="76" t="b">
        <v>0</v>
      </c>
      <c r="Q3238" s="76" t="b">
        <v>0</v>
      </c>
      <c r="R3238" s="14"/>
      <c r="S3238" s="14"/>
      <c r="T3238" s="14"/>
      <c r="U3238" s="14"/>
      <c r="V3238" s="14"/>
      <c r="W3238" s="14"/>
    </row>
    <row r="3239" ht="31.5" customHeight="1">
      <c r="A3239" s="158"/>
      <c r="B3239" s="159"/>
      <c r="C3239" s="160"/>
      <c r="D3239" s="130"/>
      <c r="E3239" s="130"/>
      <c r="F3239" s="161"/>
      <c r="G3239" s="164"/>
      <c r="H3239" s="76" t="b">
        <v>1</v>
      </c>
      <c r="I3239" s="76" t="b">
        <v>0</v>
      </c>
      <c r="J3239" s="76" t="b">
        <v>0</v>
      </c>
      <c r="K3239" s="76" t="b">
        <v>0</v>
      </c>
      <c r="L3239" s="76" t="b">
        <v>0</v>
      </c>
      <c r="M3239" s="76" t="b">
        <v>0</v>
      </c>
      <c r="N3239" s="76" t="b">
        <v>0</v>
      </c>
      <c r="O3239" s="76" t="b">
        <v>0</v>
      </c>
      <c r="P3239" s="76" t="b">
        <v>0</v>
      </c>
      <c r="Q3239" s="76" t="b">
        <v>0</v>
      </c>
      <c r="R3239" s="14"/>
      <c r="S3239" s="14"/>
      <c r="T3239" s="14"/>
      <c r="U3239" s="14"/>
      <c r="V3239" s="14"/>
      <c r="W3239" s="14"/>
    </row>
    <row r="3240" ht="31.5" customHeight="1">
      <c r="A3240" s="158"/>
      <c r="B3240" s="159"/>
      <c r="C3240" s="160"/>
      <c r="D3240" s="130"/>
      <c r="E3240" s="130"/>
      <c r="F3240" s="161"/>
      <c r="G3240" s="164"/>
      <c r="H3240" s="76" t="b">
        <v>1</v>
      </c>
      <c r="I3240" s="76" t="b">
        <v>0</v>
      </c>
      <c r="J3240" s="76" t="b">
        <v>0</v>
      </c>
      <c r="K3240" s="76" t="b">
        <v>0</v>
      </c>
      <c r="L3240" s="76" t="b">
        <v>0</v>
      </c>
      <c r="M3240" s="76" t="b">
        <v>0</v>
      </c>
      <c r="N3240" s="76" t="b">
        <v>0</v>
      </c>
      <c r="O3240" s="76" t="b">
        <v>0</v>
      </c>
      <c r="P3240" s="76" t="b">
        <v>0</v>
      </c>
      <c r="Q3240" s="76" t="b">
        <v>0</v>
      </c>
      <c r="R3240" s="14"/>
      <c r="S3240" s="14"/>
      <c r="T3240" s="14"/>
      <c r="U3240" s="14"/>
      <c r="V3240" s="14"/>
      <c r="W3240" s="14"/>
    </row>
    <row r="3241" ht="31.5" customHeight="1">
      <c r="A3241" s="158"/>
      <c r="B3241" s="159"/>
      <c r="C3241" s="160"/>
      <c r="D3241" s="130"/>
      <c r="E3241" s="130"/>
      <c r="F3241" s="161"/>
      <c r="G3241" s="164"/>
      <c r="H3241" s="76" t="b">
        <v>1</v>
      </c>
      <c r="I3241" s="76" t="b">
        <v>0</v>
      </c>
      <c r="J3241" s="76" t="b">
        <v>0</v>
      </c>
      <c r="K3241" s="76" t="b">
        <v>0</v>
      </c>
      <c r="L3241" s="76" t="b">
        <v>0</v>
      </c>
      <c r="M3241" s="76" t="b">
        <v>0</v>
      </c>
      <c r="N3241" s="76" t="b">
        <v>0</v>
      </c>
      <c r="O3241" s="76" t="b">
        <v>0</v>
      </c>
      <c r="P3241" s="76" t="b">
        <v>0</v>
      </c>
      <c r="Q3241" s="76" t="b">
        <v>0</v>
      </c>
      <c r="R3241" s="14"/>
      <c r="S3241" s="14"/>
      <c r="T3241" s="14"/>
      <c r="U3241" s="14"/>
      <c r="V3241" s="14"/>
      <c r="W3241" s="14"/>
    </row>
    <row r="3242" ht="31.5" customHeight="1">
      <c r="A3242" s="158"/>
      <c r="B3242" s="159"/>
      <c r="C3242" s="160"/>
      <c r="D3242" s="130"/>
      <c r="E3242" s="130"/>
      <c r="F3242" s="161"/>
      <c r="G3242" s="164"/>
      <c r="H3242" s="76" t="b">
        <v>1</v>
      </c>
      <c r="I3242" s="76" t="b">
        <v>0</v>
      </c>
      <c r="J3242" s="76" t="b">
        <v>0</v>
      </c>
      <c r="K3242" s="76" t="b">
        <v>0</v>
      </c>
      <c r="L3242" s="76" t="b">
        <v>0</v>
      </c>
      <c r="M3242" s="76" t="b">
        <v>0</v>
      </c>
      <c r="N3242" s="76" t="b">
        <v>0</v>
      </c>
      <c r="O3242" s="76" t="b">
        <v>0</v>
      </c>
      <c r="P3242" s="76" t="b">
        <v>0</v>
      </c>
      <c r="Q3242" s="76" t="b">
        <v>0</v>
      </c>
      <c r="R3242" s="14"/>
      <c r="S3242" s="14"/>
      <c r="T3242" s="14"/>
      <c r="U3242" s="14"/>
      <c r="V3242" s="14"/>
      <c r="W3242" s="14"/>
    </row>
    <row r="3243" ht="31.5" customHeight="1">
      <c r="A3243" s="158"/>
      <c r="B3243" s="159"/>
      <c r="C3243" s="160"/>
      <c r="D3243" s="130"/>
      <c r="E3243" s="130"/>
      <c r="F3243" s="161"/>
      <c r="G3243" s="164"/>
      <c r="H3243" s="76" t="b">
        <v>1</v>
      </c>
      <c r="I3243" s="76" t="b">
        <v>0</v>
      </c>
      <c r="J3243" s="76" t="b">
        <v>0</v>
      </c>
      <c r="K3243" s="76" t="b">
        <v>0</v>
      </c>
      <c r="L3243" s="76" t="b">
        <v>0</v>
      </c>
      <c r="M3243" s="76" t="b">
        <v>0</v>
      </c>
      <c r="N3243" s="76" t="b">
        <v>0</v>
      </c>
      <c r="O3243" s="76" t="b">
        <v>0</v>
      </c>
      <c r="P3243" s="76" t="b">
        <v>0</v>
      </c>
      <c r="Q3243" s="76" t="b">
        <v>0</v>
      </c>
      <c r="R3243" s="14"/>
      <c r="S3243" s="14"/>
      <c r="T3243" s="14"/>
      <c r="U3243" s="14"/>
      <c r="V3243" s="14"/>
      <c r="W3243" s="14"/>
    </row>
    <row r="3244" ht="31.5" customHeight="1">
      <c r="A3244" s="158"/>
      <c r="B3244" s="159"/>
      <c r="C3244" s="160"/>
      <c r="D3244" s="130"/>
      <c r="E3244" s="130"/>
      <c r="F3244" s="161"/>
      <c r="G3244" s="164"/>
      <c r="H3244" s="76" t="b">
        <v>1</v>
      </c>
      <c r="I3244" s="76" t="b">
        <v>0</v>
      </c>
      <c r="J3244" s="76" t="b">
        <v>0</v>
      </c>
      <c r="K3244" s="76" t="b">
        <v>0</v>
      </c>
      <c r="L3244" s="76" t="b">
        <v>0</v>
      </c>
      <c r="M3244" s="76" t="b">
        <v>0</v>
      </c>
      <c r="N3244" s="76" t="b">
        <v>0</v>
      </c>
      <c r="O3244" s="76" t="b">
        <v>0</v>
      </c>
      <c r="P3244" s="76" t="b">
        <v>0</v>
      </c>
      <c r="Q3244" s="76" t="b">
        <v>0</v>
      </c>
      <c r="R3244" s="14"/>
      <c r="S3244" s="14"/>
      <c r="T3244" s="14"/>
      <c r="U3244" s="14"/>
      <c r="V3244" s="14"/>
      <c r="W3244" s="14"/>
    </row>
    <row r="3245" ht="31.5" customHeight="1">
      <c r="A3245" s="158"/>
      <c r="B3245" s="159"/>
      <c r="C3245" s="160"/>
      <c r="D3245" s="130"/>
      <c r="E3245" s="130"/>
      <c r="F3245" s="161"/>
      <c r="G3245" s="164"/>
      <c r="H3245" s="76" t="b">
        <v>1</v>
      </c>
      <c r="I3245" s="76" t="b">
        <v>0</v>
      </c>
      <c r="J3245" s="76" t="b">
        <v>0</v>
      </c>
      <c r="K3245" s="76" t="b">
        <v>0</v>
      </c>
      <c r="L3245" s="76" t="b">
        <v>0</v>
      </c>
      <c r="M3245" s="76" t="b">
        <v>0</v>
      </c>
      <c r="N3245" s="76" t="b">
        <v>0</v>
      </c>
      <c r="O3245" s="76" t="b">
        <v>0</v>
      </c>
      <c r="P3245" s="76" t="b">
        <v>0</v>
      </c>
      <c r="Q3245" s="76" t="b">
        <v>0</v>
      </c>
      <c r="R3245" s="14"/>
      <c r="S3245" s="14"/>
      <c r="T3245" s="14"/>
      <c r="U3245" s="14"/>
      <c r="V3245" s="14"/>
      <c r="W3245" s="14"/>
    </row>
    <row r="3246" ht="31.5" customHeight="1">
      <c r="A3246" s="158"/>
      <c r="B3246" s="159"/>
      <c r="C3246" s="160"/>
      <c r="D3246" s="130"/>
      <c r="E3246" s="130"/>
      <c r="F3246" s="161"/>
      <c r="G3246" s="164"/>
      <c r="H3246" s="76" t="b">
        <v>1</v>
      </c>
      <c r="I3246" s="76" t="b">
        <v>0</v>
      </c>
      <c r="J3246" s="76" t="b">
        <v>0</v>
      </c>
      <c r="K3246" s="76" t="b">
        <v>0</v>
      </c>
      <c r="L3246" s="76" t="b">
        <v>0</v>
      </c>
      <c r="M3246" s="76" t="b">
        <v>0</v>
      </c>
      <c r="N3246" s="76" t="b">
        <v>0</v>
      </c>
      <c r="O3246" s="76" t="b">
        <v>0</v>
      </c>
      <c r="P3246" s="76" t="b">
        <v>0</v>
      </c>
      <c r="Q3246" s="76" t="b">
        <v>0</v>
      </c>
      <c r="R3246" s="14"/>
      <c r="S3246" s="14"/>
      <c r="T3246" s="14"/>
      <c r="U3246" s="14"/>
      <c r="V3246" s="14"/>
      <c r="W3246" s="14"/>
    </row>
    <row r="3247" ht="31.5" customHeight="1">
      <c r="A3247" s="158"/>
      <c r="B3247" s="159"/>
      <c r="C3247" s="160"/>
      <c r="D3247" s="130"/>
      <c r="E3247" s="130"/>
      <c r="F3247" s="161"/>
      <c r="G3247" s="164"/>
      <c r="H3247" s="76" t="b">
        <v>1</v>
      </c>
      <c r="I3247" s="76" t="b">
        <v>0</v>
      </c>
      <c r="J3247" s="76" t="b">
        <v>0</v>
      </c>
      <c r="K3247" s="76" t="b">
        <v>0</v>
      </c>
      <c r="L3247" s="76" t="b">
        <v>0</v>
      </c>
      <c r="M3247" s="76" t="b">
        <v>0</v>
      </c>
      <c r="N3247" s="76" t="b">
        <v>0</v>
      </c>
      <c r="O3247" s="76" t="b">
        <v>0</v>
      </c>
      <c r="P3247" s="76" t="b">
        <v>0</v>
      </c>
      <c r="Q3247" s="76" t="b">
        <v>0</v>
      </c>
      <c r="R3247" s="14"/>
      <c r="S3247" s="14"/>
      <c r="T3247" s="14"/>
      <c r="U3247" s="14"/>
      <c r="V3247" s="14"/>
      <c r="W3247" s="14"/>
    </row>
    <row r="3248" ht="31.5" customHeight="1">
      <c r="A3248" s="158"/>
      <c r="B3248" s="159"/>
      <c r="C3248" s="160"/>
      <c r="D3248" s="130"/>
      <c r="E3248" s="130"/>
      <c r="F3248" s="161"/>
      <c r="G3248" s="164"/>
      <c r="H3248" s="76" t="b">
        <v>1</v>
      </c>
      <c r="I3248" s="76" t="b">
        <v>0</v>
      </c>
      <c r="J3248" s="76" t="b">
        <v>0</v>
      </c>
      <c r="K3248" s="76" t="b">
        <v>0</v>
      </c>
      <c r="L3248" s="76" t="b">
        <v>0</v>
      </c>
      <c r="M3248" s="76" t="b">
        <v>0</v>
      </c>
      <c r="N3248" s="76" t="b">
        <v>0</v>
      </c>
      <c r="O3248" s="76" t="b">
        <v>0</v>
      </c>
      <c r="P3248" s="76" t="b">
        <v>0</v>
      </c>
      <c r="Q3248" s="76" t="b">
        <v>0</v>
      </c>
      <c r="R3248" s="14"/>
      <c r="S3248" s="14"/>
      <c r="T3248" s="14"/>
      <c r="U3248" s="14"/>
      <c r="V3248" s="14"/>
      <c r="W3248" s="14"/>
    </row>
    <row r="3249" ht="31.5" customHeight="1">
      <c r="A3249" s="158"/>
      <c r="B3249" s="159"/>
      <c r="C3249" s="160"/>
      <c r="D3249" s="130"/>
      <c r="E3249" s="130"/>
      <c r="F3249" s="161"/>
      <c r="G3249" s="164"/>
      <c r="H3249" s="76" t="b">
        <v>1</v>
      </c>
      <c r="I3249" s="76" t="b">
        <v>0</v>
      </c>
      <c r="J3249" s="76" t="b">
        <v>0</v>
      </c>
      <c r="K3249" s="76" t="b">
        <v>0</v>
      </c>
      <c r="L3249" s="76" t="b">
        <v>0</v>
      </c>
      <c r="M3249" s="76" t="b">
        <v>0</v>
      </c>
      <c r="N3249" s="76" t="b">
        <v>0</v>
      </c>
      <c r="O3249" s="76" t="b">
        <v>0</v>
      </c>
      <c r="P3249" s="76" t="b">
        <v>0</v>
      </c>
      <c r="Q3249" s="76" t="b">
        <v>0</v>
      </c>
      <c r="R3249" s="14"/>
      <c r="S3249" s="14"/>
      <c r="T3249" s="14"/>
      <c r="U3249" s="14"/>
      <c r="V3249" s="14"/>
      <c r="W3249" s="14"/>
    </row>
    <row r="3250" ht="31.5" customHeight="1">
      <c r="A3250" s="158"/>
      <c r="B3250" s="159"/>
      <c r="C3250" s="160"/>
      <c r="D3250" s="130"/>
      <c r="E3250" s="130"/>
      <c r="F3250" s="161"/>
      <c r="G3250" s="164"/>
      <c r="H3250" s="76" t="b">
        <v>1</v>
      </c>
      <c r="I3250" s="76" t="b">
        <v>0</v>
      </c>
      <c r="J3250" s="76" t="b">
        <v>0</v>
      </c>
      <c r="K3250" s="76" t="b">
        <v>0</v>
      </c>
      <c r="L3250" s="76" t="b">
        <v>0</v>
      </c>
      <c r="M3250" s="76" t="b">
        <v>0</v>
      </c>
      <c r="N3250" s="76" t="b">
        <v>0</v>
      </c>
      <c r="O3250" s="76" t="b">
        <v>0</v>
      </c>
      <c r="P3250" s="76" t="b">
        <v>0</v>
      </c>
      <c r="Q3250" s="76" t="b">
        <v>0</v>
      </c>
      <c r="R3250" s="14"/>
      <c r="S3250" s="14"/>
      <c r="T3250" s="14"/>
      <c r="U3250" s="14"/>
      <c r="V3250" s="14"/>
      <c r="W3250" s="14"/>
    </row>
    <row r="3251" ht="31.5" customHeight="1">
      <c r="A3251" s="158"/>
      <c r="B3251" s="159"/>
      <c r="C3251" s="160"/>
      <c r="D3251" s="130"/>
      <c r="E3251" s="130"/>
      <c r="F3251" s="161"/>
      <c r="G3251" s="164"/>
      <c r="H3251" s="76" t="b">
        <v>1</v>
      </c>
      <c r="I3251" s="76" t="b">
        <v>0</v>
      </c>
      <c r="J3251" s="76" t="b">
        <v>0</v>
      </c>
      <c r="K3251" s="76" t="b">
        <v>0</v>
      </c>
      <c r="L3251" s="76" t="b">
        <v>0</v>
      </c>
      <c r="M3251" s="76" t="b">
        <v>0</v>
      </c>
      <c r="N3251" s="76" t="b">
        <v>0</v>
      </c>
      <c r="O3251" s="76" t="b">
        <v>0</v>
      </c>
      <c r="P3251" s="76" t="b">
        <v>0</v>
      </c>
      <c r="Q3251" s="76" t="b">
        <v>0</v>
      </c>
      <c r="R3251" s="14"/>
      <c r="S3251" s="14"/>
      <c r="T3251" s="14"/>
      <c r="U3251" s="14"/>
      <c r="V3251" s="14"/>
      <c r="W3251" s="14"/>
    </row>
    <row r="3252" ht="31.5" customHeight="1">
      <c r="A3252" s="158"/>
      <c r="B3252" s="159"/>
      <c r="C3252" s="160"/>
      <c r="D3252" s="130"/>
      <c r="E3252" s="130"/>
      <c r="F3252" s="161"/>
      <c r="G3252" s="164"/>
      <c r="H3252" s="76" t="b">
        <v>1</v>
      </c>
      <c r="I3252" s="76" t="b">
        <v>0</v>
      </c>
      <c r="J3252" s="76" t="b">
        <v>0</v>
      </c>
      <c r="K3252" s="76" t="b">
        <v>0</v>
      </c>
      <c r="L3252" s="76" t="b">
        <v>0</v>
      </c>
      <c r="M3252" s="76" t="b">
        <v>0</v>
      </c>
      <c r="N3252" s="76" t="b">
        <v>0</v>
      </c>
      <c r="O3252" s="76" t="b">
        <v>0</v>
      </c>
      <c r="P3252" s="76" t="b">
        <v>0</v>
      </c>
      <c r="Q3252" s="76" t="b">
        <v>0</v>
      </c>
      <c r="R3252" s="14"/>
      <c r="S3252" s="14"/>
      <c r="T3252" s="14"/>
      <c r="U3252" s="14"/>
      <c r="V3252" s="14"/>
      <c r="W3252" s="14"/>
    </row>
    <row r="3253" ht="31.5" customHeight="1">
      <c r="A3253" s="158"/>
      <c r="B3253" s="159"/>
      <c r="C3253" s="160"/>
      <c r="D3253" s="130"/>
      <c r="E3253" s="130"/>
      <c r="F3253" s="161"/>
      <c r="G3253" s="164"/>
      <c r="H3253" s="76" t="b">
        <v>1</v>
      </c>
      <c r="I3253" s="76" t="b">
        <v>0</v>
      </c>
      <c r="J3253" s="76" t="b">
        <v>0</v>
      </c>
      <c r="K3253" s="76" t="b">
        <v>0</v>
      </c>
      <c r="L3253" s="76" t="b">
        <v>0</v>
      </c>
      <c r="M3253" s="76" t="b">
        <v>0</v>
      </c>
      <c r="N3253" s="76" t="b">
        <v>0</v>
      </c>
      <c r="O3253" s="76" t="b">
        <v>0</v>
      </c>
      <c r="P3253" s="76" t="b">
        <v>0</v>
      </c>
      <c r="Q3253" s="76" t="b">
        <v>0</v>
      </c>
      <c r="R3253" s="14"/>
      <c r="S3253" s="14"/>
      <c r="T3253" s="14"/>
      <c r="U3253" s="14"/>
      <c r="V3253" s="14"/>
      <c r="W3253" s="14"/>
    </row>
    <row r="3254" ht="31.5" customHeight="1">
      <c r="A3254" s="158"/>
      <c r="B3254" s="159"/>
      <c r="C3254" s="160"/>
      <c r="D3254" s="130"/>
      <c r="E3254" s="130"/>
      <c r="F3254" s="161"/>
      <c r="G3254" s="164"/>
      <c r="H3254" s="76" t="b">
        <v>1</v>
      </c>
      <c r="I3254" s="76" t="b">
        <v>0</v>
      </c>
      <c r="J3254" s="76" t="b">
        <v>0</v>
      </c>
      <c r="K3254" s="76" t="b">
        <v>0</v>
      </c>
      <c r="L3254" s="76" t="b">
        <v>0</v>
      </c>
      <c r="M3254" s="76" t="b">
        <v>0</v>
      </c>
      <c r="N3254" s="76" t="b">
        <v>0</v>
      </c>
      <c r="O3254" s="76" t="b">
        <v>0</v>
      </c>
      <c r="P3254" s="76" t="b">
        <v>0</v>
      </c>
      <c r="Q3254" s="76" t="b">
        <v>0</v>
      </c>
      <c r="R3254" s="14"/>
      <c r="S3254" s="14"/>
      <c r="T3254" s="14"/>
      <c r="U3254" s="14"/>
      <c r="V3254" s="14"/>
      <c r="W3254" s="14"/>
    </row>
    <row r="3255" ht="31.5" customHeight="1">
      <c r="A3255" s="158"/>
      <c r="B3255" s="159"/>
      <c r="C3255" s="160"/>
      <c r="D3255" s="130"/>
      <c r="E3255" s="130"/>
      <c r="F3255" s="161"/>
      <c r="G3255" s="164"/>
      <c r="H3255" s="76" t="b">
        <v>1</v>
      </c>
      <c r="I3255" s="76" t="b">
        <v>0</v>
      </c>
      <c r="J3255" s="76" t="b">
        <v>0</v>
      </c>
      <c r="K3255" s="76" t="b">
        <v>0</v>
      </c>
      <c r="L3255" s="76" t="b">
        <v>0</v>
      </c>
      <c r="M3255" s="76" t="b">
        <v>0</v>
      </c>
      <c r="N3255" s="76" t="b">
        <v>0</v>
      </c>
      <c r="O3255" s="76" t="b">
        <v>0</v>
      </c>
      <c r="P3255" s="76" t="b">
        <v>0</v>
      </c>
      <c r="Q3255" s="76" t="b">
        <v>0</v>
      </c>
      <c r="R3255" s="14"/>
      <c r="S3255" s="14"/>
      <c r="T3255" s="14"/>
      <c r="U3255" s="14"/>
      <c r="V3255" s="14"/>
      <c r="W3255" s="14"/>
    </row>
    <row r="3256" ht="31.5" customHeight="1">
      <c r="A3256" s="158"/>
      <c r="B3256" s="159"/>
      <c r="C3256" s="160"/>
      <c r="D3256" s="130"/>
      <c r="E3256" s="130"/>
      <c r="F3256" s="161"/>
      <c r="G3256" s="164"/>
      <c r="H3256" s="76" t="b">
        <v>1</v>
      </c>
      <c r="I3256" s="76" t="b">
        <v>0</v>
      </c>
      <c r="J3256" s="76" t="b">
        <v>0</v>
      </c>
      <c r="K3256" s="76" t="b">
        <v>0</v>
      </c>
      <c r="L3256" s="76" t="b">
        <v>0</v>
      </c>
      <c r="M3256" s="76" t="b">
        <v>0</v>
      </c>
      <c r="N3256" s="76" t="b">
        <v>0</v>
      </c>
      <c r="O3256" s="76" t="b">
        <v>0</v>
      </c>
      <c r="P3256" s="76" t="b">
        <v>0</v>
      </c>
      <c r="Q3256" s="76" t="b">
        <v>0</v>
      </c>
      <c r="R3256" s="14"/>
      <c r="S3256" s="14"/>
      <c r="T3256" s="14"/>
      <c r="U3256" s="14"/>
      <c r="V3256" s="14"/>
      <c r="W3256" s="14"/>
    </row>
    <row r="3257" ht="31.5" customHeight="1">
      <c r="A3257" s="158"/>
      <c r="B3257" s="159"/>
      <c r="C3257" s="160"/>
      <c r="D3257" s="130"/>
      <c r="E3257" s="130"/>
      <c r="F3257" s="161"/>
      <c r="G3257" s="164"/>
      <c r="H3257" s="76" t="b">
        <v>1</v>
      </c>
      <c r="I3257" s="76" t="b">
        <v>0</v>
      </c>
      <c r="J3257" s="76" t="b">
        <v>0</v>
      </c>
      <c r="K3257" s="76" t="b">
        <v>0</v>
      </c>
      <c r="L3257" s="76" t="b">
        <v>0</v>
      </c>
      <c r="M3257" s="76" t="b">
        <v>0</v>
      </c>
      <c r="N3257" s="76" t="b">
        <v>0</v>
      </c>
      <c r="O3257" s="76" t="b">
        <v>0</v>
      </c>
      <c r="P3257" s="76" t="b">
        <v>0</v>
      </c>
      <c r="Q3257" s="76" t="b">
        <v>0</v>
      </c>
      <c r="R3257" s="14"/>
      <c r="S3257" s="14"/>
      <c r="T3257" s="14"/>
      <c r="U3257" s="14"/>
      <c r="V3257" s="14"/>
      <c r="W3257" s="14"/>
    </row>
    <row r="3258" ht="31.5" customHeight="1">
      <c r="A3258" s="158"/>
      <c r="B3258" s="159"/>
      <c r="C3258" s="160"/>
      <c r="D3258" s="130"/>
      <c r="E3258" s="130"/>
      <c r="F3258" s="161"/>
      <c r="G3258" s="164"/>
      <c r="H3258" s="76" t="b">
        <v>1</v>
      </c>
      <c r="I3258" s="76" t="b">
        <v>0</v>
      </c>
      <c r="J3258" s="76" t="b">
        <v>0</v>
      </c>
      <c r="K3258" s="76" t="b">
        <v>0</v>
      </c>
      <c r="L3258" s="76" t="b">
        <v>0</v>
      </c>
      <c r="M3258" s="76" t="b">
        <v>0</v>
      </c>
      <c r="N3258" s="76" t="b">
        <v>0</v>
      </c>
      <c r="O3258" s="76" t="b">
        <v>0</v>
      </c>
      <c r="P3258" s="76" t="b">
        <v>0</v>
      </c>
      <c r="Q3258" s="76" t="b">
        <v>0</v>
      </c>
      <c r="R3258" s="14"/>
      <c r="S3258" s="14"/>
      <c r="T3258" s="14"/>
      <c r="U3258" s="14"/>
      <c r="V3258" s="14"/>
      <c r="W3258" s="14"/>
    </row>
    <row r="3259" ht="31.5" customHeight="1">
      <c r="A3259" s="158"/>
      <c r="B3259" s="159"/>
      <c r="C3259" s="160"/>
      <c r="D3259" s="130"/>
      <c r="E3259" s="130"/>
      <c r="F3259" s="161"/>
      <c r="G3259" s="164"/>
      <c r="H3259" s="76" t="b">
        <v>1</v>
      </c>
      <c r="I3259" s="76" t="b">
        <v>0</v>
      </c>
      <c r="J3259" s="76" t="b">
        <v>0</v>
      </c>
      <c r="K3259" s="76" t="b">
        <v>0</v>
      </c>
      <c r="L3259" s="76" t="b">
        <v>0</v>
      </c>
      <c r="M3259" s="76" t="b">
        <v>0</v>
      </c>
      <c r="N3259" s="76" t="b">
        <v>0</v>
      </c>
      <c r="O3259" s="76" t="b">
        <v>0</v>
      </c>
      <c r="P3259" s="76" t="b">
        <v>0</v>
      </c>
      <c r="Q3259" s="76" t="b">
        <v>0</v>
      </c>
      <c r="R3259" s="14"/>
      <c r="S3259" s="14"/>
      <c r="T3259" s="14"/>
      <c r="U3259" s="14"/>
      <c r="V3259" s="14"/>
      <c r="W3259" s="14"/>
    </row>
    <row r="3260" ht="31.5" customHeight="1">
      <c r="A3260" s="158"/>
      <c r="B3260" s="159"/>
      <c r="C3260" s="160"/>
      <c r="D3260" s="130"/>
      <c r="E3260" s="130"/>
      <c r="F3260" s="161"/>
      <c r="G3260" s="164"/>
      <c r="H3260" s="76" t="b">
        <v>1</v>
      </c>
      <c r="I3260" s="76" t="b">
        <v>0</v>
      </c>
      <c r="J3260" s="76" t="b">
        <v>0</v>
      </c>
      <c r="K3260" s="76" t="b">
        <v>0</v>
      </c>
      <c r="L3260" s="76" t="b">
        <v>0</v>
      </c>
      <c r="M3260" s="76" t="b">
        <v>0</v>
      </c>
      <c r="N3260" s="76" t="b">
        <v>0</v>
      </c>
      <c r="O3260" s="76" t="b">
        <v>0</v>
      </c>
      <c r="P3260" s="76" t="b">
        <v>0</v>
      </c>
      <c r="Q3260" s="76" t="b">
        <v>0</v>
      </c>
      <c r="R3260" s="14"/>
      <c r="S3260" s="14"/>
      <c r="T3260" s="14"/>
      <c r="U3260" s="14"/>
      <c r="V3260" s="14"/>
      <c r="W3260" s="14"/>
    </row>
    <row r="3261" ht="31.5" customHeight="1">
      <c r="A3261" s="158"/>
      <c r="B3261" s="159"/>
      <c r="C3261" s="160"/>
      <c r="D3261" s="130"/>
      <c r="E3261" s="130"/>
      <c r="F3261" s="161"/>
      <c r="G3261" s="164"/>
      <c r="H3261" s="76" t="b">
        <v>1</v>
      </c>
      <c r="I3261" s="76" t="b">
        <v>0</v>
      </c>
      <c r="J3261" s="76" t="b">
        <v>0</v>
      </c>
      <c r="K3261" s="76" t="b">
        <v>0</v>
      </c>
      <c r="L3261" s="76" t="b">
        <v>0</v>
      </c>
      <c r="M3261" s="76" t="b">
        <v>0</v>
      </c>
      <c r="N3261" s="76" t="b">
        <v>0</v>
      </c>
      <c r="O3261" s="76" t="b">
        <v>0</v>
      </c>
      <c r="P3261" s="76" t="b">
        <v>0</v>
      </c>
      <c r="Q3261" s="76" t="b">
        <v>0</v>
      </c>
      <c r="R3261" s="14"/>
      <c r="S3261" s="14"/>
      <c r="T3261" s="14"/>
      <c r="U3261" s="14"/>
      <c r="V3261" s="14"/>
      <c r="W3261" s="14"/>
    </row>
    <row r="3262" ht="31.5" customHeight="1">
      <c r="A3262" s="158"/>
      <c r="B3262" s="159"/>
      <c r="C3262" s="160"/>
      <c r="D3262" s="130"/>
      <c r="E3262" s="130"/>
      <c r="F3262" s="161"/>
      <c r="G3262" s="164"/>
      <c r="H3262" s="76" t="b">
        <v>1</v>
      </c>
      <c r="I3262" s="76" t="b">
        <v>0</v>
      </c>
      <c r="J3262" s="76" t="b">
        <v>0</v>
      </c>
      <c r="K3262" s="76" t="b">
        <v>0</v>
      </c>
      <c r="L3262" s="76" t="b">
        <v>0</v>
      </c>
      <c r="M3262" s="76" t="b">
        <v>0</v>
      </c>
      <c r="N3262" s="76" t="b">
        <v>0</v>
      </c>
      <c r="O3262" s="76" t="b">
        <v>0</v>
      </c>
      <c r="P3262" s="76" t="b">
        <v>0</v>
      </c>
      <c r="Q3262" s="76" t="b">
        <v>0</v>
      </c>
      <c r="R3262" s="14"/>
      <c r="S3262" s="14"/>
      <c r="T3262" s="14"/>
      <c r="U3262" s="14"/>
      <c r="V3262" s="14"/>
      <c r="W3262" s="14"/>
    </row>
    <row r="3263" ht="31.5" customHeight="1">
      <c r="A3263" s="158"/>
      <c r="B3263" s="159"/>
      <c r="C3263" s="160"/>
      <c r="D3263" s="130"/>
      <c r="E3263" s="130"/>
      <c r="F3263" s="161"/>
      <c r="G3263" s="164"/>
      <c r="H3263" s="76" t="b">
        <v>1</v>
      </c>
      <c r="I3263" s="76" t="b">
        <v>0</v>
      </c>
      <c r="J3263" s="76" t="b">
        <v>0</v>
      </c>
      <c r="K3263" s="76" t="b">
        <v>0</v>
      </c>
      <c r="L3263" s="76" t="b">
        <v>0</v>
      </c>
      <c r="M3263" s="76" t="b">
        <v>0</v>
      </c>
      <c r="N3263" s="76" t="b">
        <v>0</v>
      </c>
      <c r="O3263" s="76" t="b">
        <v>0</v>
      </c>
      <c r="P3263" s="76" t="b">
        <v>0</v>
      </c>
      <c r="Q3263" s="76" t="b">
        <v>0</v>
      </c>
      <c r="R3263" s="14"/>
      <c r="S3263" s="14"/>
      <c r="T3263" s="14"/>
      <c r="U3263" s="14"/>
      <c r="V3263" s="14"/>
      <c r="W3263" s="14"/>
    </row>
    <row r="3264" ht="31.5" customHeight="1">
      <c r="A3264" s="158"/>
      <c r="B3264" s="159"/>
      <c r="C3264" s="160"/>
      <c r="D3264" s="130"/>
      <c r="E3264" s="130"/>
      <c r="F3264" s="161"/>
      <c r="G3264" s="164"/>
      <c r="H3264" s="76" t="b">
        <v>1</v>
      </c>
      <c r="I3264" s="76" t="b">
        <v>0</v>
      </c>
      <c r="J3264" s="76" t="b">
        <v>0</v>
      </c>
      <c r="K3264" s="76" t="b">
        <v>0</v>
      </c>
      <c r="L3264" s="76" t="b">
        <v>0</v>
      </c>
      <c r="M3264" s="76" t="b">
        <v>0</v>
      </c>
      <c r="N3264" s="76" t="b">
        <v>0</v>
      </c>
      <c r="O3264" s="76" t="b">
        <v>0</v>
      </c>
      <c r="P3264" s="76" t="b">
        <v>0</v>
      </c>
      <c r="Q3264" s="76" t="b">
        <v>0</v>
      </c>
      <c r="R3264" s="14"/>
      <c r="S3264" s="14"/>
      <c r="T3264" s="14"/>
      <c r="U3264" s="14"/>
      <c r="V3264" s="14"/>
      <c r="W3264" s="14"/>
    </row>
    <row r="3265" ht="31.5" customHeight="1">
      <c r="A3265" s="158"/>
      <c r="B3265" s="159"/>
      <c r="C3265" s="160"/>
      <c r="D3265" s="130"/>
      <c r="E3265" s="130"/>
      <c r="F3265" s="161"/>
      <c r="G3265" s="164"/>
      <c r="H3265" s="76" t="b">
        <v>1</v>
      </c>
      <c r="I3265" s="76" t="b">
        <v>0</v>
      </c>
      <c r="J3265" s="76" t="b">
        <v>0</v>
      </c>
      <c r="K3265" s="76" t="b">
        <v>0</v>
      </c>
      <c r="L3265" s="76" t="b">
        <v>0</v>
      </c>
      <c r="M3265" s="76" t="b">
        <v>0</v>
      </c>
      <c r="N3265" s="76" t="b">
        <v>0</v>
      </c>
      <c r="O3265" s="76" t="b">
        <v>0</v>
      </c>
      <c r="P3265" s="76" t="b">
        <v>0</v>
      </c>
      <c r="Q3265" s="76" t="b">
        <v>0</v>
      </c>
      <c r="R3265" s="14"/>
      <c r="S3265" s="14"/>
      <c r="T3265" s="14"/>
      <c r="U3265" s="14"/>
      <c r="V3265" s="14"/>
      <c r="W3265" s="14"/>
    </row>
    <row r="3266" ht="31.5" customHeight="1">
      <c r="A3266" s="158"/>
      <c r="B3266" s="159"/>
      <c r="C3266" s="160"/>
      <c r="D3266" s="130"/>
      <c r="E3266" s="130"/>
      <c r="F3266" s="161"/>
      <c r="G3266" s="164"/>
      <c r="H3266" s="76" t="b">
        <v>1</v>
      </c>
      <c r="I3266" s="76" t="b">
        <v>0</v>
      </c>
      <c r="J3266" s="76" t="b">
        <v>0</v>
      </c>
      <c r="K3266" s="76" t="b">
        <v>0</v>
      </c>
      <c r="L3266" s="76" t="b">
        <v>0</v>
      </c>
      <c r="M3266" s="76" t="b">
        <v>0</v>
      </c>
      <c r="N3266" s="76" t="b">
        <v>0</v>
      </c>
      <c r="O3266" s="76" t="b">
        <v>0</v>
      </c>
      <c r="P3266" s="76" t="b">
        <v>0</v>
      </c>
      <c r="Q3266" s="76" t="b">
        <v>0</v>
      </c>
      <c r="R3266" s="14"/>
      <c r="S3266" s="14"/>
      <c r="T3266" s="14"/>
      <c r="U3266" s="14"/>
      <c r="V3266" s="14"/>
      <c r="W3266" s="14"/>
    </row>
    <row r="3267" ht="31.5" customHeight="1">
      <c r="A3267" s="158"/>
      <c r="B3267" s="159"/>
      <c r="C3267" s="160"/>
      <c r="D3267" s="130"/>
      <c r="E3267" s="130"/>
      <c r="F3267" s="161"/>
      <c r="G3267" s="164"/>
      <c r="H3267" s="76" t="b">
        <v>1</v>
      </c>
      <c r="I3267" s="76" t="b">
        <v>0</v>
      </c>
      <c r="J3267" s="76" t="b">
        <v>0</v>
      </c>
      <c r="K3267" s="76" t="b">
        <v>0</v>
      </c>
      <c r="L3267" s="76" t="b">
        <v>0</v>
      </c>
      <c r="M3267" s="76" t="b">
        <v>0</v>
      </c>
      <c r="N3267" s="76" t="b">
        <v>0</v>
      </c>
      <c r="O3267" s="76" t="b">
        <v>0</v>
      </c>
      <c r="P3267" s="76" t="b">
        <v>0</v>
      </c>
      <c r="Q3267" s="76" t="b">
        <v>0</v>
      </c>
      <c r="R3267" s="14"/>
      <c r="S3267" s="14"/>
      <c r="T3267" s="14"/>
      <c r="U3267" s="14"/>
      <c r="V3267" s="14"/>
      <c r="W3267" s="14"/>
    </row>
    <row r="3268" ht="31.5" customHeight="1">
      <c r="A3268" s="158"/>
      <c r="B3268" s="159"/>
      <c r="C3268" s="160"/>
      <c r="D3268" s="130"/>
      <c r="E3268" s="130"/>
      <c r="F3268" s="161"/>
      <c r="G3268" s="164"/>
      <c r="H3268" s="76" t="b">
        <v>1</v>
      </c>
      <c r="I3268" s="76" t="b">
        <v>0</v>
      </c>
      <c r="J3268" s="76" t="b">
        <v>0</v>
      </c>
      <c r="K3268" s="76" t="b">
        <v>0</v>
      </c>
      <c r="L3268" s="76" t="b">
        <v>0</v>
      </c>
      <c r="M3268" s="76" t="b">
        <v>0</v>
      </c>
      <c r="N3268" s="76" t="b">
        <v>0</v>
      </c>
      <c r="O3268" s="76" t="b">
        <v>0</v>
      </c>
      <c r="P3268" s="76" t="b">
        <v>0</v>
      </c>
      <c r="Q3268" s="76" t="b">
        <v>0</v>
      </c>
      <c r="R3268" s="14"/>
      <c r="S3268" s="14"/>
      <c r="T3268" s="14"/>
      <c r="U3268" s="14"/>
      <c r="V3268" s="14"/>
      <c r="W3268" s="14"/>
    </row>
    <row r="3269" ht="31.5" customHeight="1">
      <c r="A3269" s="158"/>
      <c r="B3269" s="159"/>
      <c r="C3269" s="160"/>
      <c r="D3269" s="130"/>
      <c r="E3269" s="130"/>
      <c r="F3269" s="161"/>
      <c r="G3269" s="164"/>
      <c r="H3269" s="76" t="b">
        <v>1</v>
      </c>
      <c r="I3269" s="76" t="b">
        <v>0</v>
      </c>
      <c r="J3269" s="76" t="b">
        <v>0</v>
      </c>
      <c r="K3269" s="76" t="b">
        <v>0</v>
      </c>
      <c r="L3269" s="76" t="b">
        <v>0</v>
      </c>
      <c r="M3269" s="76" t="b">
        <v>0</v>
      </c>
      <c r="N3269" s="76" t="b">
        <v>0</v>
      </c>
      <c r="O3269" s="76" t="b">
        <v>0</v>
      </c>
      <c r="P3269" s="76" t="b">
        <v>0</v>
      </c>
      <c r="Q3269" s="76" t="b">
        <v>0</v>
      </c>
      <c r="R3269" s="14"/>
      <c r="S3269" s="14"/>
      <c r="T3269" s="14"/>
      <c r="U3269" s="14"/>
      <c r="V3269" s="14"/>
      <c r="W3269" s="14"/>
    </row>
    <row r="3270" ht="31.5" customHeight="1">
      <c r="A3270" s="158"/>
      <c r="B3270" s="159"/>
      <c r="C3270" s="160"/>
      <c r="D3270" s="130"/>
      <c r="E3270" s="130"/>
      <c r="F3270" s="161"/>
      <c r="G3270" s="164"/>
      <c r="H3270" s="76" t="b">
        <v>1</v>
      </c>
      <c r="I3270" s="76" t="b">
        <v>0</v>
      </c>
      <c r="J3270" s="76" t="b">
        <v>0</v>
      </c>
      <c r="K3270" s="76" t="b">
        <v>0</v>
      </c>
      <c r="L3270" s="76" t="b">
        <v>0</v>
      </c>
      <c r="M3270" s="76" t="b">
        <v>0</v>
      </c>
      <c r="N3270" s="76" t="b">
        <v>0</v>
      </c>
      <c r="O3270" s="76" t="b">
        <v>0</v>
      </c>
      <c r="P3270" s="76" t="b">
        <v>0</v>
      </c>
      <c r="Q3270" s="76" t="b">
        <v>0</v>
      </c>
      <c r="R3270" s="14"/>
      <c r="S3270" s="14"/>
      <c r="T3270" s="14"/>
      <c r="U3270" s="14"/>
      <c r="V3270" s="14"/>
      <c r="W3270" s="14"/>
    </row>
    <row r="3271" ht="31.5" customHeight="1">
      <c r="A3271" s="158"/>
      <c r="B3271" s="159"/>
      <c r="C3271" s="160"/>
      <c r="D3271" s="130"/>
      <c r="E3271" s="130"/>
      <c r="F3271" s="161"/>
      <c r="G3271" s="164"/>
      <c r="H3271" s="76" t="b">
        <v>1</v>
      </c>
      <c r="I3271" s="76" t="b">
        <v>0</v>
      </c>
      <c r="J3271" s="76" t="b">
        <v>0</v>
      </c>
      <c r="K3271" s="76" t="b">
        <v>0</v>
      </c>
      <c r="L3271" s="76" t="b">
        <v>0</v>
      </c>
      <c r="M3271" s="76" t="b">
        <v>0</v>
      </c>
      <c r="N3271" s="76" t="b">
        <v>0</v>
      </c>
      <c r="O3271" s="76" t="b">
        <v>0</v>
      </c>
      <c r="P3271" s="76" t="b">
        <v>0</v>
      </c>
      <c r="Q3271" s="76" t="b">
        <v>0</v>
      </c>
      <c r="R3271" s="14"/>
      <c r="S3271" s="14"/>
      <c r="T3271" s="14"/>
      <c r="U3271" s="14"/>
      <c r="V3271" s="14"/>
      <c r="W3271" s="14"/>
    </row>
    <row r="3272" ht="31.5" customHeight="1">
      <c r="A3272" s="158"/>
      <c r="B3272" s="159"/>
      <c r="C3272" s="160"/>
      <c r="D3272" s="130"/>
      <c r="E3272" s="130"/>
      <c r="F3272" s="161"/>
      <c r="G3272" s="164"/>
      <c r="H3272" s="76" t="b">
        <v>1</v>
      </c>
      <c r="I3272" s="76" t="b">
        <v>0</v>
      </c>
      <c r="J3272" s="76" t="b">
        <v>0</v>
      </c>
      <c r="K3272" s="76" t="b">
        <v>0</v>
      </c>
      <c r="L3272" s="76" t="b">
        <v>0</v>
      </c>
      <c r="M3272" s="76" t="b">
        <v>0</v>
      </c>
      <c r="N3272" s="76" t="b">
        <v>0</v>
      </c>
      <c r="O3272" s="76" t="b">
        <v>0</v>
      </c>
      <c r="P3272" s="76" t="b">
        <v>0</v>
      </c>
      <c r="Q3272" s="76" t="b">
        <v>0</v>
      </c>
      <c r="R3272" s="14"/>
      <c r="S3272" s="14"/>
      <c r="T3272" s="14"/>
      <c r="U3272" s="14"/>
      <c r="V3272" s="14"/>
      <c r="W3272" s="14"/>
    </row>
    <row r="3273" ht="31.5" customHeight="1">
      <c r="A3273" s="158"/>
      <c r="B3273" s="159"/>
      <c r="C3273" s="160"/>
      <c r="D3273" s="130"/>
      <c r="E3273" s="130"/>
      <c r="F3273" s="161"/>
      <c r="G3273" s="164"/>
      <c r="H3273" s="76" t="b">
        <v>1</v>
      </c>
      <c r="I3273" s="76" t="b">
        <v>0</v>
      </c>
      <c r="J3273" s="76" t="b">
        <v>0</v>
      </c>
      <c r="K3273" s="76" t="b">
        <v>0</v>
      </c>
      <c r="L3273" s="76" t="b">
        <v>0</v>
      </c>
      <c r="M3273" s="76" t="b">
        <v>0</v>
      </c>
      <c r="N3273" s="76" t="b">
        <v>0</v>
      </c>
      <c r="O3273" s="76" t="b">
        <v>0</v>
      </c>
      <c r="P3273" s="76" t="b">
        <v>0</v>
      </c>
      <c r="Q3273" s="76" t="b">
        <v>0</v>
      </c>
      <c r="R3273" s="14"/>
      <c r="S3273" s="14"/>
      <c r="T3273" s="14"/>
      <c r="U3273" s="14"/>
      <c r="V3273" s="14"/>
      <c r="W3273" s="14"/>
    </row>
    <row r="3274" ht="31.5" customHeight="1">
      <c r="A3274" s="158"/>
      <c r="B3274" s="159"/>
      <c r="C3274" s="160"/>
      <c r="D3274" s="130"/>
      <c r="E3274" s="130"/>
      <c r="F3274" s="161"/>
      <c r="G3274" s="164"/>
      <c r="H3274" s="76" t="b">
        <v>1</v>
      </c>
      <c r="I3274" s="76" t="b">
        <v>0</v>
      </c>
      <c r="J3274" s="76" t="b">
        <v>0</v>
      </c>
      <c r="K3274" s="76" t="b">
        <v>0</v>
      </c>
      <c r="L3274" s="76" t="b">
        <v>0</v>
      </c>
      <c r="M3274" s="76" t="b">
        <v>0</v>
      </c>
      <c r="N3274" s="76" t="b">
        <v>0</v>
      </c>
      <c r="O3274" s="76" t="b">
        <v>0</v>
      </c>
      <c r="P3274" s="76" t="b">
        <v>0</v>
      </c>
      <c r="Q3274" s="76" t="b">
        <v>0</v>
      </c>
      <c r="R3274" s="14"/>
      <c r="S3274" s="14"/>
      <c r="T3274" s="14"/>
      <c r="U3274" s="14"/>
      <c r="V3274" s="14"/>
      <c r="W3274" s="14"/>
    </row>
    <row r="3275" ht="31.5" customHeight="1">
      <c r="A3275" s="158"/>
      <c r="B3275" s="159"/>
      <c r="C3275" s="160"/>
      <c r="D3275" s="130"/>
      <c r="E3275" s="130"/>
      <c r="F3275" s="161"/>
      <c r="G3275" s="164"/>
      <c r="H3275" s="76" t="b">
        <v>1</v>
      </c>
      <c r="I3275" s="76" t="b">
        <v>0</v>
      </c>
      <c r="J3275" s="76" t="b">
        <v>0</v>
      </c>
      <c r="K3275" s="76" t="b">
        <v>0</v>
      </c>
      <c r="L3275" s="76" t="b">
        <v>0</v>
      </c>
      <c r="M3275" s="76" t="b">
        <v>0</v>
      </c>
      <c r="N3275" s="76" t="b">
        <v>0</v>
      </c>
      <c r="O3275" s="76" t="b">
        <v>0</v>
      </c>
      <c r="P3275" s="76" t="b">
        <v>0</v>
      </c>
      <c r="Q3275" s="76" t="b">
        <v>0</v>
      </c>
      <c r="R3275" s="14"/>
      <c r="S3275" s="14"/>
      <c r="T3275" s="14"/>
      <c r="U3275" s="14"/>
      <c r="V3275" s="14"/>
      <c r="W3275" s="14"/>
    </row>
    <row r="3276" ht="31.5" customHeight="1">
      <c r="A3276" s="158"/>
      <c r="B3276" s="159"/>
      <c r="C3276" s="160"/>
      <c r="D3276" s="130"/>
      <c r="E3276" s="130"/>
      <c r="F3276" s="161"/>
      <c r="G3276" s="164"/>
      <c r="H3276" s="76" t="b">
        <v>1</v>
      </c>
      <c r="I3276" s="76" t="b">
        <v>0</v>
      </c>
      <c r="J3276" s="76" t="b">
        <v>0</v>
      </c>
      <c r="K3276" s="76" t="b">
        <v>0</v>
      </c>
      <c r="L3276" s="76" t="b">
        <v>0</v>
      </c>
      <c r="M3276" s="76" t="b">
        <v>0</v>
      </c>
      <c r="N3276" s="76" t="b">
        <v>0</v>
      </c>
      <c r="O3276" s="76" t="b">
        <v>0</v>
      </c>
      <c r="P3276" s="76" t="b">
        <v>0</v>
      </c>
      <c r="Q3276" s="76" t="b">
        <v>0</v>
      </c>
      <c r="R3276" s="14"/>
      <c r="S3276" s="14"/>
      <c r="T3276" s="14"/>
      <c r="U3276" s="14"/>
      <c r="V3276" s="14"/>
      <c r="W3276" s="14"/>
    </row>
    <row r="3277" ht="31.5" customHeight="1">
      <c r="A3277" s="158"/>
      <c r="B3277" s="159"/>
      <c r="C3277" s="160"/>
      <c r="D3277" s="130"/>
      <c r="E3277" s="130"/>
      <c r="F3277" s="161"/>
      <c r="G3277" s="164"/>
      <c r="H3277" s="76" t="b">
        <v>1</v>
      </c>
      <c r="I3277" s="76" t="b">
        <v>0</v>
      </c>
      <c r="J3277" s="76" t="b">
        <v>0</v>
      </c>
      <c r="K3277" s="76" t="b">
        <v>0</v>
      </c>
      <c r="L3277" s="76" t="b">
        <v>0</v>
      </c>
      <c r="M3277" s="76" t="b">
        <v>0</v>
      </c>
      <c r="N3277" s="76" t="b">
        <v>0</v>
      </c>
      <c r="O3277" s="76" t="b">
        <v>0</v>
      </c>
      <c r="P3277" s="76" t="b">
        <v>0</v>
      </c>
      <c r="Q3277" s="76" t="b">
        <v>0</v>
      </c>
      <c r="R3277" s="14"/>
      <c r="S3277" s="14"/>
      <c r="T3277" s="14"/>
      <c r="U3277" s="14"/>
      <c r="V3277" s="14"/>
      <c r="W3277" s="14"/>
    </row>
    <row r="3278" ht="31.5" customHeight="1">
      <c r="A3278" s="158"/>
      <c r="B3278" s="159"/>
      <c r="C3278" s="160"/>
      <c r="D3278" s="130"/>
      <c r="E3278" s="130"/>
      <c r="F3278" s="161"/>
      <c r="G3278" s="164"/>
      <c r="H3278" s="76" t="b">
        <v>1</v>
      </c>
      <c r="I3278" s="76" t="b">
        <v>0</v>
      </c>
      <c r="J3278" s="76" t="b">
        <v>0</v>
      </c>
      <c r="K3278" s="76" t="b">
        <v>0</v>
      </c>
      <c r="L3278" s="76" t="b">
        <v>0</v>
      </c>
      <c r="M3278" s="76" t="b">
        <v>0</v>
      </c>
      <c r="N3278" s="76" t="b">
        <v>0</v>
      </c>
      <c r="O3278" s="76" t="b">
        <v>0</v>
      </c>
      <c r="P3278" s="76" t="b">
        <v>0</v>
      </c>
      <c r="Q3278" s="76" t="b">
        <v>0</v>
      </c>
      <c r="R3278" s="14"/>
      <c r="S3278" s="14"/>
      <c r="T3278" s="14"/>
      <c r="U3278" s="14"/>
      <c r="V3278" s="14"/>
      <c r="W3278" s="14"/>
    </row>
    <row r="3279" ht="31.5" customHeight="1">
      <c r="A3279" s="158"/>
      <c r="B3279" s="159"/>
      <c r="C3279" s="160"/>
      <c r="D3279" s="130"/>
      <c r="E3279" s="130"/>
      <c r="F3279" s="161"/>
      <c r="G3279" s="164"/>
      <c r="H3279" s="76" t="b">
        <v>1</v>
      </c>
      <c r="I3279" s="76" t="b">
        <v>0</v>
      </c>
      <c r="J3279" s="76" t="b">
        <v>0</v>
      </c>
      <c r="K3279" s="76" t="b">
        <v>0</v>
      </c>
      <c r="L3279" s="76" t="b">
        <v>0</v>
      </c>
      <c r="M3279" s="76" t="b">
        <v>0</v>
      </c>
      <c r="N3279" s="76" t="b">
        <v>0</v>
      </c>
      <c r="O3279" s="76" t="b">
        <v>0</v>
      </c>
      <c r="P3279" s="76" t="b">
        <v>0</v>
      </c>
      <c r="Q3279" s="76" t="b">
        <v>0</v>
      </c>
      <c r="R3279" s="14"/>
      <c r="S3279" s="14"/>
      <c r="T3279" s="14"/>
      <c r="U3279" s="14"/>
      <c r="V3279" s="14"/>
      <c r="W3279" s="14"/>
    </row>
    <row r="3280" ht="31.5" customHeight="1">
      <c r="A3280" s="158"/>
      <c r="B3280" s="159"/>
      <c r="C3280" s="160"/>
      <c r="D3280" s="130"/>
      <c r="E3280" s="130"/>
      <c r="F3280" s="161"/>
      <c r="G3280" s="164"/>
      <c r="H3280" s="76" t="b">
        <v>1</v>
      </c>
      <c r="I3280" s="76" t="b">
        <v>0</v>
      </c>
      <c r="J3280" s="76" t="b">
        <v>0</v>
      </c>
      <c r="K3280" s="76" t="b">
        <v>0</v>
      </c>
      <c r="L3280" s="76" t="b">
        <v>0</v>
      </c>
      <c r="M3280" s="76" t="b">
        <v>0</v>
      </c>
      <c r="N3280" s="76" t="b">
        <v>0</v>
      </c>
      <c r="O3280" s="76" t="b">
        <v>0</v>
      </c>
      <c r="P3280" s="76" t="b">
        <v>0</v>
      </c>
      <c r="Q3280" s="76" t="b">
        <v>0</v>
      </c>
      <c r="R3280" s="14"/>
      <c r="S3280" s="14"/>
      <c r="T3280" s="14"/>
      <c r="U3280" s="14"/>
      <c r="V3280" s="14"/>
      <c r="W3280" s="14"/>
    </row>
    <row r="3281" ht="31.5" customHeight="1">
      <c r="A3281" s="158"/>
      <c r="B3281" s="159"/>
      <c r="C3281" s="160"/>
      <c r="D3281" s="130"/>
      <c r="E3281" s="130"/>
      <c r="F3281" s="161"/>
      <c r="G3281" s="164"/>
      <c r="H3281" s="76" t="b">
        <v>1</v>
      </c>
      <c r="I3281" s="76" t="b">
        <v>0</v>
      </c>
      <c r="J3281" s="76" t="b">
        <v>0</v>
      </c>
      <c r="K3281" s="76" t="b">
        <v>0</v>
      </c>
      <c r="L3281" s="76" t="b">
        <v>0</v>
      </c>
      <c r="M3281" s="76" t="b">
        <v>0</v>
      </c>
      <c r="N3281" s="76" t="b">
        <v>0</v>
      </c>
      <c r="O3281" s="76" t="b">
        <v>0</v>
      </c>
      <c r="P3281" s="76" t="b">
        <v>0</v>
      </c>
      <c r="Q3281" s="76" t="b">
        <v>0</v>
      </c>
      <c r="R3281" s="14"/>
      <c r="S3281" s="14"/>
      <c r="T3281" s="14"/>
      <c r="U3281" s="14"/>
      <c r="V3281" s="14"/>
      <c r="W3281" s="14"/>
    </row>
    <row r="3282" ht="31.5" customHeight="1">
      <c r="A3282" s="158"/>
      <c r="B3282" s="159"/>
      <c r="C3282" s="160"/>
      <c r="D3282" s="130"/>
      <c r="E3282" s="130"/>
      <c r="F3282" s="161"/>
      <c r="G3282" s="164"/>
      <c r="H3282" s="76" t="b">
        <v>1</v>
      </c>
      <c r="I3282" s="76" t="b">
        <v>0</v>
      </c>
      <c r="J3282" s="76" t="b">
        <v>0</v>
      </c>
      <c r="K3282" s="76" t="b">
        <v>0</v>
      </c>
      <c r="L3282" s="76" t="b">
        <v>0</v>
      </c>
      <c r="M3282" s="76" t="b">
        <v>0</v>
      </c>
      <c r="N3282" s="76" t="b">
        <v>0</v>
      </c>
      <c r="O3282" s="76" t="b">
        <v>0</v>
      </c>
      <c r="P3282" s="76" t="b">
        <v>0</v>
      </c>
      <c r="Q3282" s="76" t="b">
        <v>0</v>
      </c>
      <c r="R3282" s="14"/>
      <c r="S3282" s="14"/>
      <c r="T3282" s="14"/>
      <c r="U3282" s="14"/>
      <c r="V3282" s="14"/>
      <c r="W3282" s="14"/>
    </row>
    <row r="3283" ht="31.5" customHeight="1">
      <c r="A3283" s="158"/>
      <c r="B3283" s="159"/>
      <c r="C3283" s="160"/>
      <c r="D3283" s="130"/>
      <c r="E3283" s="130"/>
      <c r="F3283" s="161"/>
      <c r="G3283" s="164"/>
      <c r="H3283" s="76" t="b">
        <v>1</v>
      </c>
      <c r="I3283" s="76" t="b">
        <v>0</v>
      </c>
      <c r="J3283" s="76" t="b">
        <v>0</v>
      </c>
      <c r="K3283" s="76" t="b">
        <v>0</v>
      </c>
      <c r="L3283" s="76" t="b">
        <v>0</v>
      </c>
      <c r="M3283" s="76" t="b">
        <v>0</v>
      </c>
      <c r="N3283" s="76" t="b">
        <v>0</v>
      </c>
      <c r="O3283" s="76" t="b">
        <v>0</v>
      </c>
      <c r="P3283" s="76" t="b">
        <v>0</v>
      </c>
      <c r="Q3283" s="76" t="b">
        <v>0</v>
      </c>
      <c r="R3283" s="14"/>
      <c r="S3283" s="14"/>
      <c r="T3283" s="14"/>
      <c r="U3283" s="14"/>
      <c r="V3283" s="14"/>
      <c r="W3283" s="14"/>
    </row>
    <row r="3284" ht="31.5" customHeight="1">
      <c r="A3284" s="158"/>
      <c r="B3284" s="159"/>
      <c r="C3284" s="160"/>
      <c r="D3284" s="130"/>
      <c r="E3284" s="130"/>
      <c r="F3284" s="161"/>
      <c r="G3284" s="164"/>
      <c r="H3284" s="76" t="b">
        <v>1</v>
      </c>
      <c r="I3284" s="76" t="b">
        <v>0</v>
      </c>
      <c r="J3284" s="76" t="b">
        <v>0</v>
      </c>
      <c r="K3284" s="76" t="b">
        <v>0</v>
      </c>
      <c r="L3284" s="76" t="b">
        <v>0</v>
      </c>
      <c r="M3284" s="76" t="b">
        <v>0</v>
      </c>
      <c r="N3284" s="76" t="b">
        <v>0</v>
      </c>
      <c r="O3284" s="76" t="b">
        <v>0</v>
      </c>
      <c r="P3284" s="76" t="b">
        <v>0</v>
      </c>
      <c r="Q3284" s="76" t="b">
        <v>0</v>
      </c>
      <c r="R3284" s="14"/>
      <c r="S3284" s="14"/>
      <c r="T3284" s="14"/>
      <c r="U3284" s="14"/>
      <c r="V3284" s="14"/>
      <c r="W3284" s="14"/>
    </row>
    <row r="3285" ht="31.5" customHeight="1">
      <c r="A3285" s="158"/>
      <c r="B3285" s="159"/>
      <c r="C3285" s="160"/>
      <c r="D3285" s="130"/>
      <c r="E3285" s="130"/>
      <c r="F3285" s="161"/>
      <c r="G3285" s="164"/>
      <c r="H3285" s="76" t="b">
        <v>1</v>
      </c>
      <c r="I3285" s="76" t="b">
        <v>0</v>
      </c>
      <c r="J3285" s="76" t="b">
        <v>0</v>
      </c>
      <c r="K3285" s="76" t="b">
        <v>0</v>
      </c>
      <c r="L3285" s="76" t="b">
        <v>0</v>
      </c>
      <c r="M3285" s="76" t="b">
        <v>0</v>
      </c>
      <c r="N3285" s="76" t="b">
        <v>0</v>
      </c>
      <c r="O3285" s="76" t="b">
        <v>0</v>
      </c>
      <c r="P3285" s="76" t="b">
        <v>0</v>
      </c>
      <c r="Q3285" s="76" t="b">
        <v>0</v>
      </c>
      <c r="R3285" s="14"/>
      <c r="S3285" s="14"/>
      <c r="T3285" s="14"/>
      <c r="U3285" s="14"/>
      <c r="V3285" s="14"/>
      <c r="W3285" s="14"/>
    </row>
    <row r="3286" ht="31.5" customHeight="1">
      <c r="A3286" s="158"/>
      <c r="B3286" s="159"/>
      <c r="C3286" s="160"/>
      <c r="D3286" s="130"/>
      <c r="E3286" s="130"/>
      <c r="F3286" s="161"/>
      <c r="G3286" s="164"/>
      <c r="H3286" s="76" t="b">
        <v>1</v>
      </c>
      <c r="I3286" s="76" t="b">
        <v>0</v>
      </c>
      <c r="J3286" s="76" t="b">
        <v>0</v>
      </c>
      <c r="K3286" s="76" t="b">
        <v>0</v>
      </c>
      <c r="L3286" s="76" t="b">
        <v>0</v>
      </c>
      <c r="M3286" s="76" t="b">
        <v>0</v>
      </c>
      <c r="N3286" s="76" t="b">
        <v>0</v>
      </c>
      <c r="O3286" s="76" t="b">
        <v>0</v>
      </c>
      <c r="P3286" s="76" t="b">
        <v>0</v>
      </c>
      <c r="Q3286" s="76" t="b">
        <v>0</v>
      </c>
      <c r="R3286" s="14"/>
      <c r="S3286" s="14"/>
      <c r="T3286" s="14"/>
      <c r="U3286" s="14"/>
      <c r="V3286" s="14"/>
      <c r="W3286" s="14"/>
    </row>
    <row r="3287" ht="31.5" customHeight="1">
      <c r="A3287" s="158"/>
      <c r="B3287" s="159"/>
      <c r="C3287" s="160"/>
      <c r="D3287" s="130"/>
      <c r="E3287" s="130"/>
      <c r="F3287" s="161"/>
      <c r="G3287" s="164"/>
      <c r="H3287" s="76" t="b">
        <v>1</v>
      </c>
      <c r="I3287" s="76" t="b">
        <v>0</v>
      </c>
      <c r="J3287" s="76" t="b">
        <v>0</v>
      </c>
      <c r="K3287" s="76" t="b">
        <v>0</v>
      </c>
      <c r="L3287" s="76" t="b">
        <v>0</v>
      </c>
      <c r="M3287" s="76" t="b">
        <v>0</v>
      </c>
      <c r="N3287" s="76" t="b">
        <v>0</v>
      </c>
      <c r="O3287" s="76" t="b">
        <v>0</v>
      </c>
      <c r="P3287" s="76" t="b">
        <v>0</v>
      </c>
      <c r="Q3287" s="76" t="b">
        <v>0</v>
      </c>
      <c r="R3287" s="14"/>
      <c r="S3287" s="14"/>
      <c r="T3287" s="14"/>
      <c r="U3287" s="14"/>
      <c r="V3287" s="14"/>
      <c r="W3287" s="14"/>
    </row>
    <row r="3288" ht="31.5" customHeight="1">
      <c r="A3288" s="158"/>
      <c r="B3288" s="159"/>
      <c r="C3288" s="160"/>
      <c r="D3288" s="130"/>
      <c r="E3288" s="130"/>
      <c r="F3288" s="161"/>
      <c r="G3288" s="164"/>
      <c r="H3288" s="76" t="b">
        <v>1</v>
      </c>
      <c r="I3288" s="76" t="b">
        <v>0</v>
      </c>
      <c r="J3288" s="76" t="b">
        <v>0</v>
      </c>
      <c r="K3288" s="76" t="b">
        <v>0</v>
      </c>
      <c r="L3288" s="76" t="b">
        <v>0</v>
      </c>
      <c r="M3288" s="76" t="b">
        <v>0</v>
      </c>
      <c r="N3288" s="76" t="b">
        <v>0</v>
      </c>
      <c r="O3288" s="76" t="b">
        <v>0</v>
      </c>
      <c r="P3288" s="76" t="b">
        <v>0</v>
      </c>
      <c r="Q3288" s="76" t="b">
        <v>0</v>
      </c>
      <c r="R3288" s="14"/>
      <c r="S3288" s="14"/>
      <c r="T3288" s="14"/>
      <c r="U3288" s="14"/>
      <c r="V3288" s="14"/>
      <c r="W3288" s="14"/>
    </row>
    <row r="3289" ht="31.5" customHeight="1">
      <c r="A3289" s="158"/>
      <c r="B3289" s="159"/>
      <c r="C3289" s="160"/>
      <c r="D3289" s="130"/>
      <c r="E3289" s="130"/>
      <c r="F3289" s="161"/>
      <c r="G3289" s="164"/>
      <c r="H3289" s="76" t="b">
        <v>1</v>
      </c>
      <c r="I3289" s="76" t="b">
        <v>0</v>
      </c>
      <c r="J3289" s="76" t="b">
        <v>0</v>
      </c>
      <c r="K3289" s="76" t="b">
        <v>0</v>
      </c>
      <c r="L3289" s="76" t="b">
        <v>0</v>
      </c>
      <c r="M3289" s="76" t="b">
        <v>0</v>
      </c>
      <c r="N3289" s="76" t="b">
        <v>0</v>
      </c>
      <c r="O3289" s="76" t="b">
        <v>0</v>
      </c>
      <c r="P3289" s="76" t="b">
        <v>0</v>
      </c>
      <c r="Q3289" s="76" t="b">
        <v>0</v>
      </c>
      <c r="R3289" s="14"/>
      <c r="S3289" s="14"/>
      <c r="T3289" s="14"/>
      <c r="U3289" s="14"/>
      <c r="V3289" s="14"/>
      <c r="W3289" s="14"/>
    </row>
    <row r="3290" ht="31.5" customHeight="1">
      <c r="A3290" s="158"/>
      <c r="B3290" s="159"/>
      <c r="C3290" s="160"/>
      <c r="D3290" s="130"/>
      <c r="E3290" s="130"/>
      <c r="F3290" s="161"/>
      <c r="G3290" s="164"/>
      <c r="H3290" s="76" t="b">
        <v>1</v>
      </c>
      <c r="I3290" s="76" t="b">
        <v>0</v>
      </c>
      <c r="J3290" s="76" t="b">
        <v>0</v>
      </c>
      <c r="K3290" s="76" t="b">
        <v>0</v>
      </c>
      <c r="L3290" s="76" t="b">
        <v>0</v>
      </c>
      <c r="M3290" s="76" t="b">
        <v>0</v>
      </c>
      <c r="N3290" s="76" t="b">
        <v>0</v>
      </c>
      <c r="O3290" s="76" t="b">
        <v>0</v>
      </c>
      <c r="P3290" s="76" t="b">
        <v>0</v>
      </c>
      <c r="Q3290" s="76" t="b">
        <v>0</v>
      </c>
      <c r="R3290" s="14"/>
      <c r="S3290" s="14"/>
      <c r="T3290" s="14"/>
      <c r="U3290" s="14"/>
      <c r="V3290" s="14"/>
      <c r="W3290" s="14"/>
    </row>
    <row r="3291" ht="31.5" customHeight="1">
      <c r="A3291" s="158"/>
      <c r="B3291" s="159"/>
      <c r="C3291" s="160"/>
      <c r="D3291" s="130"/>
      <c r="E3291" s="130"/>
      <c r="F3291" s="161"/>
      <c r="G3291" s="164"/>
      <c r="H3291" s="76" t="b">
        <v>1</v>
      </c>
      <c r="I3291" s="76" t="b">
        <v>0</v>
      </c>
      <c r="J3291" s="76" t="b">
        <v>0</v>
      </c>
      <c r="K3291" s="76" t="b">
        <v>0</v>
      </c>
      <c r="L3291" s="76" t="b">
        <v>0</v>
      </c>
      <c r="M3291" s="76" t="b">
        <v>0</v>
      </c>
      <c r="N3291" s="76" t="b">
        <v>0</v>
      </c>
      <c r="O3291" s="76" t="b">
        <v>0</v>
      </c>
      <c r="P3291" s="76" t="b">
        <v>0</v>
      </c>
      <c r="Q3291" s="76" t="b">
        <v>0</v>
      </c>
      <c r="R3291" s="14"/>
      <c r="S3291" s="14"/>
      <c r="T3291" s="14"/>
      <c r="U3291" s="14"/>
      <c r="V3291" s="14"/>
      <c r="W3291" s="14"/>
    </row>
    <row r="3292" ht="31.5" customHeight="1">
      <c r="A3292" s="158"/>
      <c r="B3292" s="159"/>
      <c r="C3292" s="160"/>
      <c r="D3292" s="130"/>
      <c r="E3292" s="130"/>
      <c r="F3292" s="161"/>
      <c r="G3292" s="164"/>
      <c r="H3292" s="76" t="b">
        <v>1</v>
      </c>
      <c r="I3292" s="76" t="b">
        <v>0</v>
      </c>
      <c r="J3292" s="76" t="b">
        <v>0</v>
      </c>
      <c r="K3292" s="76" t="b">
        <v>0</v>
      </c>
      <c r="L3292" s="76" t="b">
        <v>0</v>
      </c>
      <c r="M3292" s="76" t="b">
        <v>0</v>
      </c>
      <c r="N3292" s="76" t="b">
        <v>0</v>
      </c>
      <c r="O3292" s="76" t="b">
        <v>0</v>
      </c>
      <c r="P3292" s="76" t="b">
        <v>0</v>
      </c>
      <c r="Q3292" s="76" t="b">
        <v>0</v>
      </c>
      <c r="R3292" s="14"/>
      <c r="S3292" s="14"/>
      <c r="T3292" s="14"/>
      <c r="U3292" s="14"/>
      <c r="V3292" s="14"/>
      <c r="W3292" s="14"/>
    </row>
    <row r="3293" ht="31.5" customHeight="1">
      <c r="A3293" s="158"/>
      <c r="B3293" s="159"/>
      <c r="C3293" s="160"/>
      <c r="D3293" s="130"/>
      <c r="E3293" s="130"/>
      <c r="F3293" s="161"/>
      <c r="G3293" s="164"/>
      <c r="H3293" s="76" t="b">
        <v>1</v>
      </c>
      <c r="I3293" s="76" t="b">
        <v>0</v>
      </c>
      <c r="J3293" s="76" t="b">
        <v>0</v>
      </c>
      <c r="K3293" s="76" t="b">
        <v>0</v>
      </c>
      <c r="L3293" s="76" t="b">
        <v>0</v>
      </c>
      <c r="M3293" s="76" t="b">
        <v>0</v>
      </c>
      <c r="N3293" s="76" t="b">
        <v>0</v>
      </c>
      <c r="O3293" s="76" t="b">
        <v>0</v>
      </c>
      <c r="P3293" s="76" t="b">
        <v>0</v>
      </c>
      <c r="Q3293" s="76" t="b">
        <v>0</v>
      </c>
      <c r="R3293" s="14"/>
      <c r="S3293" s="14"/>
      <c r="T3293" s="14"/>
      <c r="U3293" s="14"/>
      <c r="V3293" s="14"/>
      <c r="W3293" s="14"/>
    </row>
    <row r="3294" ht="31.5" customHeight="1">
      <c r="A3294" s="158"/>
      <c r="B3294" s="159"/>
      <c r="C3294" s="160"/>
      <c r="D3294" s="130"/>
      <c r="E3294" s="130"/>
      <c r="F3294" s="161"/>
      <c r="G3294" s="164"/>
      <c r="H3294" s="76" t="b">
        <v>1</v>
      </c>
      <c r="I3294" s="76" t="b">
        <v>0</v>
      </c>
      <c r="J3294" s="76" t="b">
        <v>0</v>
      </c>
      <c r="K3294" s="76" t="b">
        <v>0</v>
      </c>
      <c r="L3294" s="76" t="b">
        <v>0</v>
      </c>
      <c r="M3294" s="76" t="b">
        <v>0</v>
      </c>
      <c r="N3294" s="76" t="b">
        <v>0</v>
      </c>
      <c r="O3294" s="76" t="b">
        <v>0</v>
      </c>
      <c r="P3294" s="76" t="b">
        <v>0</v>
      </c>
      <c r="Q3294" s="76" t="b">
        <v>0</v>
      </c>
      <c r="R3294" s="14"/>
      <c r="S3294" s="14"/>
      <c r="T3294" s="14"/>
      <c r="U3294" s="14"/>
      <c r="V3294" s="14"/>
      <c r="W3294" s="14"/>
    </row>
    <row r="3295" ht="31.5" customHeight="1">
      <c r="A3295" s="158"/>
      <c r="B3295" s="159"/>
      <c r="C3295" s="160"/>
      <c r="D3295" s="130"/>
      <c r="E3295" s="130"/>
      <c r="F3295" s="161"/>
      <c r="G3295" s="164"/>
      <c r="H3295" s="76" t="b">
        <v>1</v>
      </c>
      <c r="I3295" s="76" t="b">
        <v>0</v>
      </c>
      <c r="J3295" s="76" t="b">
        <v>0</v>
      </c>
      <c r="K3295" s="76" t="b">
        <v>0</v>
      </c>
      <c r="L3295" s="76" t="b">
        <v>0</v>
      </c>
      <c r="M3295" s="76" t="b">
        <v>0</v>
      </c>
      <c r="N3295" s="76" t="b">
        <v>0</v>
      </c>
      <c r="O3295" s="76" t="b">
        <v>0</v>
      </c>
      <c r="P3295" s="76" t="b">
        <v>0</v>
      </c>
      <c r="Q3295" s="76" t="b">
        <v>0</v>
      </c>
      <c r="R3295" s="14"/>
      <c r="S3295" s="14"/>
      <c r="T3295" s="14"/>
      <c r="U3295" s="14"/>
      <c r="V3295" s="14"/>
      <c r="W3295" s="14"/>
    </row>
    <row r="3296" ht="31.5" customHeight="1">
      <c r="A3296" s="158"/>
      <c r="B3296" s="159"/>
      <c r="C3296" s="160"/>
      <c r="D3296" s="130"/>
      <c r="E3296" s="130"/>
      <c r="F3296" s="161"/>
      <c r="G3296" s="164"/>
      <c r="H3296" s="76" t="b">
        <v>1</v>
      </c>
      <c r="I3296" s="76" t="b">
        <v>0</v>
      </c>
      <c r="J3296" s="76" t="b">
        <v>0</v>
      </c>
      <c r="K3296" s="76" t="b">
        <v>0</v>
      </c>
      <c r="L3296" s="76" t="b">
        <v>0</v>
      </c>
      <c r="M3296" s="76" t="b">
        <v>0</v>
      </c>
      <c r="N3296" s="76" t="b">
        <v>0</v>
      </c>
      <c r="O3296" s="76" t="b">
        <v>0</v>
      </c>
      <c r="P3296" s="76" t="b">
        <v>0</v>
      </c>
      <c r="Q3296" s="76" t="b">
        <v>0</v>
      </c>
      <c r="R3296" s="14"/>
      <c r="S3296" s="14"/>
      <c r="T3296" s="14"/>
      <c r="U3296" s="14"/>
      <c r="V3296" s="14"/>
      <c r="W3296" s="14"/>
    </row>
    <row r="3297" ht="31.5" customHeight="1">
      <c r="A3297" s="158"/>
      <c r="B3297" s="159"/>
      <c r="C3297" s="160"/>
      <c r="D3297" s="130"/>
      <c r="E3297" s="130"/>
      <c r="F3297" s="161"/>
      <c r="G3297" s="164"/>
      <c r="H3297" s="76" t="b">
        <v>1</v>
      </c>
      <c r="I3297" s="76" t="b">
        <v>0</v>
      </c>
      <c r="J3297" s="76" t="b">
        <v>0</v>
      </c>
      <c r="K3297" s="76" t="b">
        <v>0</v>
      </c>
      <c r="L3297" s="76" t="b">
        <v>0</v>
      </c>
      <c r="M3297" s="76" t="b">
        <v>0</v>
      </c>
      <c r="N3297" s="76" t="b">
        <v>0</v>
      </c>
      <c r="O3297" s="76" t="b">
        <v>0</v>
      </c>
      <c r="P3297" s="76" t="b">
        <v>0</v>
      </c>
      <c r="Q3297" s="76" t="b">
        <v>0</v>
      </c>
      <c r="R3297" s="14"/>
      <c r="S3297" s="14"/>
      <c r="T3297" s="14"/>
      <c r="U3297" s="14"/>
      <c r="V3297" s="14"/>
      <c r="W3297" s="14"/>
    </row>
    <row r="3298" ht="31.5" customHeight="1">
      <c r="A3298" s="158"/>
      <c r="B3298" s="159"/>
      <c r="C3298" s="160"/>
      <c r="D3298" s="130"/>
      <c r="E3298" s="130"/>
      <c r="F3298" s="161"/>
      <c r="G3298" s="164"/>
      <c r="H3298" s="76" t="b">
        <v>1</v>
      </c>
      <c r="I3298" s="76" t="b">
        <v>0</v>
      </c>
      <c r="J3298" s="76" t="b">
        <v>0</v>
      </c>
      <c r="K3298" s="76" t="b">
        <v>0</v>
      </c>
      <c r="L3298" s="76" t="b">
        <v>0</v>
      </c>
      <c r="M3298" s="76" t="b">
        <v>0</v>
      </c>
      <c r="N3298" s="76" t="b">
        <v>0</v>
      </c>
      <c r="O3298" s="76" t="b">
        <v>0</v>
      </c>
      <c r="P3298" s="76" t="b">
        <v>0</v>
      </c>
      <c r="Q3298" s="76" t="b">
        <v>0</v>
      </c>
      <c r="R3298" s="14"/>
      <c r="S3298" s="14"/>
      <c r="T3298" s="14"/>
      <c r="U3298" s="14"/>
      <c r="V3298" s="14"/>
      <c r="W3298" s="14"/>
    </row>
    <row r="3299" ht="31.5" customHeight="1">
      <c r="A3299" s="158"/>
      <c r="B3299" s="159"/>
      <c r="C3299" s="160"/>
      <c r="D3299" s="130"/>
      <c r="E3299" s="130"/>
      <c r="F3299" s="161"/>
      <c r="G3299" s="164"/>
      <c r="H3299" s="76" t="b">
        <v>1</v>
      </c>
      <c r="I3299" s="76" t="b">
        <v>0</v>
      </c>
      <c r="J3299" s="76" t="b">
        <v>0</v>
      </c>
      <c r="K3299" s="76" t="b">
        <v>0</v>
      </c>
      <c r="L3299" s="76" t="b">
        <v>0</v>
      </c>
      <c r="M3299" s="76" t="b">
        <v>0</v>
      </c>
      <c r="N3299" s="76" t="b">
        <v>0</v>
      </c>
      <c r="O3299" s="76" t="b">
        <v>0</v>
      </c>
      <c r="P3299" s="76" t="b">
        <v>0</v>
      </c>
      <c r="Q3299" s="76" t="b">
        <v>0</v>
      </c>
      <c r="R3299" s="14"/>
      <c r="S3299" s="14"/>
      <c r="T3299" s="14"/>
      <c r="U3299" s="14"/>
      <c r="V3299" s="14"/>
      <c r="W3299" s="14"/>
    </row>
    <row r="3300" ht="31.5" customHeight="1">
      <c r="A3300" s="158"/>
      <c r="B3300" s="159"/>
      <c r="C3300" s="160"/>
      <c r="D3300" s="130"/>
      <c r="E3300" s="130"/>
      <c r="F3300" s="161"/>
      <c r="G3300" s="164"/>
      <c r="H3300" s="76" t="b">
        <v>1</v>
      </c>
      <c r="I3300" s="76" t="b">
        <v>0</v>
      </c>
      <c r="J3300" s="76" t="b">
        <v>0</v>
      </c>
      <c r="K3300" s="76" t="b">
        <v>0</v>
      </c>
      <c r="L3300" s="76" t="b">
        <v>0</v>
      </c>
      <c r="M3300" s="76" t="b">
        <v>0</v>
      </c>
      <c r="N3300" s="76" t="b">
        <v>0</v>
      </c>
      <c r="O3300" s="76" t="b">
        <v>0</v>
      </c>
      <c r="P3300" s="76" t="b">
        <v>0</v>
      </c>
      <c r="Q3300" s="76" t="b">
        <v>0</v>
      </c>
      <c r="R3300" s="14"/>
      <c r="S3300" s="14"/>
      <c r="T3300" s="14"/>
      <c r="U3300" s="14"/>
      <c r="V3300" s="14"/>
      <c r="W3300" s="14"/>
    </row>
    <row r="3301" ht="31.5" customHeight="1">
      <c r="A3301" s="158"/>
      <c r="B3301" s="159"/>
      <c r="C3301" s="160"/>
      <c r="D3301" s="130"/>
      <c r="E3301" s="130"/>
      <c r="F3301" s="161"/>
      <c r="G3301" s="164"/>
      <c r="H3301" s="76" t="b">
        <v>1</v>
      </c>
      <c r="I3301" s="76" t="b">
        <v>0</v>
      </c>
      <c r="J3301" s="76" t="b">
        <v>0</v>
      </c>
      <c r="K3301" s="76" t="b">
        <v>0</v>
      </c>
      <c r="L3301" s="76" t="b">
        <v>0</v>
      </c>
      <c r="M3301" s="76" t="b">
        <v>0</v>
      </c>
      <c r="N3301" s="76" t="b">
        <v>0</v>
      </c>
      <c r="O3301" s="76" t="b">
        <v>0</v>
      </c>
      <c r="P3301" s="76" t="b">
        <v>0</v>
      </c>
      <c r="Q3301" s="76" t="b">
        <v>0</v>
      </c>
      <c r="R3301" s="14"/>
      <c r="S3301" s="14"/>
      <c r="T3301" s="14"/>
      <c r="U3301" s="14"/>
      <c r="V3301" s="14"/>
      <c r="W3301" s="14"/>
    </row>
    <row r="3302" ht="31.5" customHeight="1">
      <c r="A3302" s="158"/>
      <c r="B3302" s="159"/>
      <c r="C3302" s="160"/>
      <c r="D3302" s="130"/>
      <c r="E3302" s="130"/>
      <c r="F3302" s="161"/>
      <c r="G3302" s="164"/>
      <c r="H3302" s="76" t="b">
        <v>1</v>
      </c>
      <c r="I3302" s="76" t="b">
        <v>0</v>
      </c>
      <c r="J3302" s="76" t="b">
        <v>0</v>
      </c>
      <c r="K3302" s="76" t="b">
        <v>0</v>
      </c>
      <c r="L3302" s="76" t="b">
        <v>0</v>
      </c>
      <c r="M3302" s="76" t="b">
        <v>0</v>
      </c>
      <c r="N3302" s="76" t="b">
        <v>0</v>
      </c>
      <c r="O3302" s="76" t="b">
        <v>0</v>
      </c>
      <c r="P3302" s="76" t="b">
        <v>0</v>
      </c>
      <c r="Q3302" s="76" t="b">
        <v>0</v>
      </c>
      <c r="R3302" s="14"/>
      <c r="S3302" s="14"/>
      <c r="T3302" s="14"/>
      <c r="U3302" s="14"/>
      <c r="V3302" s="14"/>
      <c r="W3302" s="14"/>
    </row>
    <row r="3303" ht="31.5" customHeight="1">
      <c r="A3303" s="158"/>
      <c r="B3303" s="159"/>
      <c r="C3303" s="160"/>
      <c r="D3303" s="130"/>
      <c r="E3303" s="130"/>
      <c r="F3303" s="161"/>
      <c r="G3303" s="164"/>
      <c r="H3303" s="76" t="b">
        <v>1</v>
      </c>
      <c r="I3303" s="76" t="b">
        <v>0</v>
      </c>
      <c r="J3303" s="76" t="b">
        <v>0</v>
      </c>
      <c r="K3303" s="76" t="b">
        <v>0</v>
      </c>
      <c r="L3303" s="76" t="b">
        <v>0</v>
      </c>
      <c r="M3303" s="76" t="b">
        <v>0</v>
      </c>
      <c r="N3303" s="76" t="b">
        <v>0</v>
      </c>
      <c r="O3303" s="76" t="b">
        <v>0</v>
      </c>
      <c r="P3303" s="76" t="b">
        <v>0</v>
      </c>
      <c r="Q3303" s="76" t="b">
        <v>0</v>
      </c>
      <c r="R3303" s="14"/>
      <c r="S3303" s="14"/>
      <c r="T3303" s="14"/>
      <c r="U3303" s="14"/>
      <c r="V3303" s="14"/>
      <c r="W3303" s="14"/>
    </row>
    <row r="3304" ht="31.5" customHeight="1">
      <c r="A3304" s="158"/>
      <c r="B3304" s="159"/>
      <c r="C3304" s="160"/>
      <c r="D3304" s="130"/>
      <c r="E3304" s="130"/>
      <c r="F3304" s="161"/>
      <c r="G3304" s="164"/>
      <c r="H3304" s="76" t="b">
        <v>1</v>
      </c>
      <c r="I3304" s="76" t="b">
        <v>0</v>
      </c>
      <c r="J3304" s="76" t="b">
        <v>0</v>
      </c>
      <c r="K3304" s="76" t="b">
        <v>0</v>
      </c>
      <c r="L3304" s="76" t="b">
        <v>0</v>
      </c>
      <c r="M3304" s="76" t="b">
        <v>0</v>
      </c>
      <c r="N3304" s="76" t="b">
        <v>0</v>
      </c>
      <c r="O3304" s="76" t="b">
        <v>0</v>
      </c>
      <c r="P3304" s="76" t="b">
        <v>0</v>
      </c>
      <c r="Q3304" s="76" t="b">
        <v>0</v>
      </c>
      <c r="R3304" s="14"/>
      <c r="S3304" s="14"/>
      <c r="T3304" s="14"/>
      <c r="U3304" s="14"/>
      <c r="V3304" s="14"/>
      <c r="W3304" s="14"/>
    </row>
    <row r="3305" ht="31.5" customHeight="1">
      <c r="A3305" s="158"/>
      <c r="B3305" s="159"/>
      <c r="C3305" s="160"/>
      <c r="D3305" s="130"/>
      <c r="E3305" s="130"/>
      <c r="F3305" s="161"/>
      <c r="G3305" s="164"/>
      <c r="H3305" s="76" t="b">
        <v>1</v>
      </c>
      <c r="I3305" s="76" t="b">
        <v>0</v>
      </c>
      <c r="J3305" s="76" t="b">
        <v>0</v>
      </c>
      <c r="K3305" s="76" t="b">
        <v>0</v>
      </c>
      <c r="L3305" s="76" t="b">
        <v>0</v>
      </c>
      <c r="M3305" s="76" t="b">
        <v>0</v>
      </c>
      <c r="N3305" s="76" t="b">
        <v>0</v>
      </c>
      <c r="O3305" s="76" t="b">
        <v>0</v>
      </c>
      <c r="P3305" s="76" t="b">
        <v>0</v>
      </c>
      <c r="Q3305" s="76" t="b">
        <v>0</v>
      </c>
      <c r="R3305" s="14"/>
      <c r="S3305" s="14"/>
      <c r="T3305" s="14"/>
      <c r="U3305" s="14"/>
      <c r="V3305" s="14"/>
      <c r="W3305" s="14"/>
    </row>
    <row r="3306" ht="31.5" customHeight="1">
      <c r="A3306" s="158"/>
      <c r="B3306" s="159"/>
      <c r="C3306" s="160"/>
      <c r="D3306" s="130"/>
      <c r="E3306" s="130"/>
      <c r="F3306" s="161"/>
      <c r="G3306" s="164"/>
      <c r="H3306" s="76" t="b">
        <v>0</v>
      </c>
      <c r="I3306" s="76" t="b">
        <v>0</v>
      </c>
      <c r="J3306" s="76" t="b">
        <v>0</v>
      </c>
      <c r="K3306" s="76" t="b">
        <v>0</v>
      </c>
      <c r="L3306" s="76" t="b">
        <v>0</v>
      </c>
      <c r="M3306" s="76" t="b">
        <v>0</v>
      </c>
      <c r="N3306" s="76" t="b">
        <v>0</v>
      </c>
      <c r="O3306" s="76" t="b">
        <v>0</v>
      </c>
      <c r="P3306" s="76" t="b">
        <v>0</v>
      </c>
      <c r="Q3306" s="76" t="b">
        <v>0</v>
      </c>
      <c r="R3306" s="14"/>
      <c r="S3306" s="14"/>
      <c r="T3306" s="14"/>
      <c r="U3306" s="14"/>
      <c r="V3306" s="14"/>
      <c r="W3306" s="14"/>
    </row>
    <row r="3307" ht="31.5" customHeight="1">
      <c r="A3307" s="158"/>
      <c r="B3307" s="159"/>
      <c r="C3307" s="160"/>
      <c r="D3307" s="130"/>
      <c r="E3307" s="130"/>
      <c r="F3307" s="161"/>
      <c r="G3307" s="164"/>
      <c r="H3307" s="76" t="b">
        <v>0</v>
      </c>
      <c r="I3307" s="76" t="b">
        <v>0</v>
      </c>
      <c r="J3307" s="76" t="b">
        <v>0</v>
      </c>
      <c r="K3307" s="76" t="b">
        <v>0</v>
      </c>
      <c r="L3307" s="76" t="b">
        <v>0</v>
      </c>
      <c r="M3307" s="76" t="b">
        <v>0</v>
      </c>
      <c r="N3307" s="76" t="b">
        <v>0</v>
      </c>
      <c r="O3307" s="76" t="b">
        <v>0</v>
      </c>
      <c r="P3307" s="76" t="b">
        <v>0</v>
      </c>
      <c r="Q3307" s="76" t="b">
        <v>0</v>
      </c>
      <c r="R3307" s="14"/>
      <c r="S3307" s="14"/>
      <c r="T3307" s="14"/>
      <c r="U3307" s="14"/>
      <c r="V3307" s="14"/>
      <c r="W3307" s="14"/>
    </row>
    <row r="3308" ht="31.5" customHeight="1">
      <c r="A3308" s="158"/>
      <c r="B3308" s="159"/>
      <c r="C3308" s="160"/>
      <c r="D3308" s="130"/>
      <c r="E3308" s="130"/>
      <c r="F3308" s="161"/>
      <c r="G3308" s="164"/>
      <c r="H3308" s="76" t="b">
        <v>0</v>
      </c>
      <c r="I3308" s="76" t="b">
        <v>0</v>
      </c>
      <c r="J3308" s="76" t="b">
        <v>0</v>
      </c>
      <c r="K3308" s="76" t="b">
        <v>0</v>
      </c>
      <c r="L3308" s="76" t="b">
        <v>0</v>
      </c>
      <c r="M3308" s="76" t="b">
        <v>0</v>
      </c>
      <c r="N3308" s="76" t="b">
        <v>0</v>
      </c>
      <c r="O3308" s="76" t="b">
        <v>0</v>
      </c>
      <c r="P3308" s="76" t="b">
        <v>0</v>
      </c>
      <c r="Q3308" s="76" t="b">
        <v>0</v>
      </c>
      <c r="R3308" s="14"/>
      <c r="S3308" s="14"/>
      <c r="T3308" s="14"/>
      <c r="U3308" s="14"/>
      <c r="V3308" s="14"/>
      <c r="W3308" s="14"/>
    </row>
    <row r="3309" ht="31.5" customHeight="1">
      <c r="A3309" s="158"/>
      <c r="B3309" s="159"/>
      <c r="C3309" s="160"/>
      <c r="D3309" s="130"/>
      <c r="E3309" s="130"/>
      <c r="F3309" s="161"/>
      <c r="G3309" s="164"/>
      <c r="H3309" s="76" t="b">
        <v>0</v>
      </c>
      <c r="I3309" s="76" t="b">
        <v>0</v>
      </c>
      <c r="J3309" s="76" t="b">
        <v>0</v>
      </c>
      <c r="K3309" s="76" t="b">
        <v>0</v>
      </c>
      <c r="L3309" s="76" t="b">
        <v>0</v>
      </c>
      <c r="M3309" s="76" t="b">
        <v>0</v>
      </c>
      <c r="N3309" s="76" t="b">
        <v>0</v>
      </c>
      <c r="O3309" s="76" t="b">
        <v>0</v>
      </c>
      <c r="P3309" s="76" t="b">
        <v>0</v>
      </c>
      <c r="Q3309" s="76" t="b">
        <v>0</v>
      </c>
      <c r="R3309" s="14"/>
      <c r="S3309" s="14"/>
      <c r="T3309" s="14"/>
      <c r="U3309" s="14"/>
      <c r="V3309" s="14"/>
      <c r="W3309" s="14"/>
    </row>
    <row r="3310" ht="31.5" customHeight="1">
      <c r="A3310" s="158"/>
      <c r="B3310" s="159"/>
      <c r="C3310" s="160"/>
      <c r="D3310" s="130"/>
      <c r="E3310" s="130"/>
      <c r="F3310" s="161"/>
      <c r="G3310" s="164"/>
      <c r="H3310" s="76" t="b">
        <v>0</v>
      </c>
      <c r="I3310" s="76" t="b">
        <v>0</v>
      </c>
      <c r="J3310" s="76" t="b">
        <v>0</v>
      </c>
      <c r="K3310" s="76" t="b">
        <v>0</v>
      </c>
      <c r="L3310" s="76" t="b">
        <v>0</v>
      </c>
      <c r="M3310" s="76" t="b">
        <v>0</v>
      </c>
      <c r="N3310" s="76" t="b">
        <v>0</v>
      </c>
      <c r="O3310" s="76" t="b">
        <v>0</v>
      </c>
      <c r="P3310" s="76" t="b">
        <v>0</v>
      </c>
      <c r="Q3310" s="76" t="b">
        <v>0</v>
      </c>
      <c r="R3310" s="14"/>
      <c r="S3310" s="14"/>
      <c r="T3310" s="14"/>
      <c r="U3310" s="14"/>
      <c r="V3310" s="14"/>
      <c r="W3310" s="14"/>
    </row>
    <row r="3311" ht="31.5" customHeight="1">
      <c r="A3311" s="158"/>
      <c r="B3311" s="159"/>
      <c r="C3311" s="160"/>
      <c r="D3311" s="130"/>
      <c r="E3311" s="130"/>
      <c r="F3311" s="161"/>
      <c r="G3311" s="164"/>
      <c r="H3311" s="76" t="b">
        <v>0</v>
      </c>
      <c r="I3311" s="76" t="b">
        <v>0</v>
      </c>
      <c r="J3311" s="76" t="b">
        <v>0</v>
      </c>
      <c r="K3311" s="76" t="b">
        <v>0</v>
      </c>
      <c r="L3311" s="76" t="b">
        <v>0</v>
      </c>
      <c r="M3311" s="76" t="b">
        <v>0</v>
      </c>
      <c r="N3311" s="76" t="b">
        <v>0</v>
      </c>
      <c r="O3311" s="76" t="b">
        <v>0</v>
      </c>
      <c r="P3311" s="76" t="b">
        <v>0</v>
      </c>
      <c r="Q3311" s="76" t="b">
        <v>0</v>
      </c>
      <c r="R3311" s="14"/>
      <c r="S3311" s="14"/>
      <c r="T3311" s="14"/>
      <c r="U3311" s="14"/>
      <c r="V3311" s="14"/>
      <c r="W3311" s="14"/>
    </row>
    <row r="3312" ht="31.5" customHeight="1">
      <c r="A3312" s="158"/>
      <c r="B3312" s="159"/>
      <c r="C3312" s="160"/>
      <c r="D3312" s="130"/>
      <c r="E3312" s="130"/>
      <c r="F3312" s="161"/>
      <c r="G3312" s="164"/>
      <c r="H3312" s="76" t="b">
        <v>0</v>
      </c>
      <c r="I3312" s="76" t="b">
        <v>0</v>
      </c>
      <c r="J3312" s="76" t="b">
        <v>0</v>
      </c>
      <c r="K3312" s="76" t="b">
        <v>0</v>
      </c>
      <c r="L3312" s="76" t="b">
        <v>0</v>
      </c>
      <c r="M3312" s="76" t="b">
        <v>0</v>
      </c>
      <c r="N3312" s="76" t="b">
        <v>0</v>
      </c>
      <c r="O3312" s="76" t="b">
        <v>0</v>
      </c>
      <c r="P3312" s="76" t="b">
        <v>0</v>
      </c>
      <c r="Q3312" s="76" t="b">
        <v>0</v>
      </c>
      <c r="R3312" s="14"/>
      <c r="S3312" s="14"/>
      <c r="T3312" s="14"/>
      <c r="U3312" s="14"/>
      <c r="V3312" s="14"/>
      <c r="W3312" s="14"/>
    </row>
    <row r="3313" ht="31.5" customHeight="1">
      <c r="A3313" s="158"/>
      <c r="B3313" s="159"/>
      <c r="C3313" s="160"/>
      <c r="D3313" s="130"/>
      <c r="E3313" s="130"/>
      <c r="F3313" s="161"/>
      <c r="G3313" s="164"/>
      <c r="H3313" s="76" t="b">
        <v>0</v>
      </c>
      <c r="I3313" s="76" t="b">
        <v>0</v>
      </c>
      <c r="J3313" s="76" t="b">
        <v>0</v>
      </c>
      <c r="K3313" s="76" t="b">
        <v>0</v>
      </c>
      <c r="L3313" s="76" t="b">
        <v>0</v>
      </c>
      <c r="M3313" s="76" t="b">
        <v>0</v>
      </c>
      <c r="N3313" s="76" t="b">
        <v>0</v>
      </c>
      <c r="O3313" s="76" t="b">
        <v>0</v>
      </c>
      <c r="P3313" s="76" t="b">
        <v>0</v>
      </c>
      <c r="Q3313" s="76" t="b">
        <v>0</v>
      </c>
      <c r="R3313" s="14"/>
      <c r="S3313" s="14"/>
      <c r="T3313" s="14"/>
      <c r="U3313" s="14"/>
      <c r="V3313" s="14"/>
      <c r="W3313" s="14"/>
    </row>
    <row r="3314" ht="31.5" customHeight="1">
      <c r="A3314" s="158"/>
      <c r="B3314" s="159"/>
      <c r="C3314" s="160"/>
      <c r="D3314" s="130"/>
      <c r="E3314" s="130"/>
      <c r="F3314" s="161"/>
      <c r="G3314" s="164"/>
      <c r="H3314" s="76" t="b">
        <v>0</v>
      </c>
      <c r="I3314" s="76" t="b">
        <v>0</v>
      </c>
      <c r="J3314" s="76" t="b">
        <v>0</v>
      </c>
      <c r="K3314" s="76" t="b">
        <v>0</v>
      </c>
      <c r="L3314" s="76" t="b">
        <v>0</v>
      </c>
      <c r="M3314" s="76" t="b">
        <v>0</v>
      </c>
      <c r="N3314" s="76" t="b">
        <v>0</v>
      </c>
      <c r="O3314" s="76" t="b">
        <v>0</v>
      </c>
      <c r="P3314" s="76" t="b">
        <v>0</v>
      </c>
      <c r="Q3314" s="76" t="b">
        <v>0</v>
      </c>
      <c r="R3314" s="14"/>
      <c r="S3314" s="14"/>
      <c r="T3314" s="14"/>
      <c r="U3314" s="14"/>
      <c r="V3314" s="14"/>
      <c r="W3314" s="14"/>
    </row>
    <row r="3315" ht="31.5" customHeight="1">
      <c r="A3315" s="158"/>
      <c r="B3315" s="159"/>
      <c r="C3315" s="160"/>
      <c r="D3315" s="130"/>
      <c r="E3315" s="130"/>
      <c r="F3315" s="161"/>
      <c r="G3315" s="164"/>
      <c r="H3315" s="76" t="b">
        <v>0</v>
      </c>
      <c r="I3315" s="76" t="b">
        <v>0</v>
      </c>
      <c r="J3315" s="76" t="b">
        <v>0</v>
      </c>
      <c r="K3315" s="76" t="b">
        <v>0</v>
      </c>
      <c r="L3315" s="76" t="b">
        <v>0</v>
      </c>
      <c r="M3315" s="76" t="b">
        <v>0</v>
      </c>
      <c r="N3315" s="76" t="b">
        <v>0</v>
      </c>
      <c r="O3315" s="76" t="b">
        <v>0</v>
      </c>
      <c r="P3315" s="76" t="b">
        <v>0</v>
      </c>
      <c r="Q3315" s="76" t="b">
        <v>0</v>
      </c>
      <c r="R3315" s="14"/>
      <c r="S3315" s="14"/>
      <c r="T3315" s="14"/>
      <c r="U3315" s="14"/>
      <c r="V3315" s="14"/>
      <c r="W3315" s="14"/>
    </row>
    <row r="3316" ht="31.5" customHeight="1">
      <c r="A3316" s="158"/>
      <c r="B3316" s="159"/>
      <c r="C3316" s="160"/>
      <c r="D3316" s="130"/>
      <c r="E3316" s="130"/>
      <c r="F3316" s="161"/>
      <c r="G3316" s="164"/>
      <c r="H3316" s="76" t="b">
        <v>0</v>
      </c>
      <c r="I3316" s="76" t="b">
        <v>0</v>
      </c>
      <c r="J3316" s="76" t="b">
        <v>0</v>
      </c>
      <c r="K3316" s="76" t="b">
        <v>0</v>
      </c>
      <c r="L3316" s="76" t="b">
        <v>0</v>
      </c>
      <c r="M3316" s="76" t="b">
        <v>0</v>
      </c>
      <c r="N3316" s="76" t="b">
        <v>0</v>
      </c>
      <c r="O3316" s="76" t="b">
        <v>0</v>
      </c>
      <c r="P3316" s="76" t="b">
        <v>0</v>
      </c>
      <c r="Q3316" s="76" t="b">
        <v>0</v>
      </c>
      <c r="R3316" s="14"/>
      <c r="S3316" s="14"/>
      <c r="T3316" s="14"/>
      <c r="U3316" s="14"/>
      <c r="V3316" s="14"/>
      <c r="W3316" s="14"/>
    </row>
    <row r="3317" ht="31.5" customHeight="1">
      <c r="A3317" s="158"/>
      <c r="B3317" s="159"/>
      <c r="C3317" s="160"/>
      <c r="D3317" s="130"/>
      <c r="E3317" s="130"/>
      <c r="F3317" s="161"/>
      <c r="G3317" s="164"/>
      <c r="H3317" s="76" t="b">
        <v>0</v>
      </c>
      <c r="I3317" s="76" t="b">
        <v>0</v>
      </c>
      <c r="J3317" s="76" t="b">
        <v>0</v>
      </c>
      <c r="K3317" s="76" t="b">
        <v>0</v>
      </c>
      <c r="L3317" s="76" t="b">
        <v>0</v>
      </c>
      <c r="M3317" s="76" t="b">
        <v>0</v>
      </c>
      <c r="N3317" s="76" t="b">
        <v>0</v>
      </c>
      <c r="O3317" s="76" t="b">
        <v>0</v>
      </c>
      <c r="P3317" s="76" t="b">
        <v>0</v>
      </c>
      <c r="Q3317" s="76" t="b">
        <v>0</v>
      </c>
      <c r="R3317" s="14"/>
      <c r="S3317" s="14"/>
      <c r="T3317" s="14"/>
      <c r="U3317" s="14"/>
      <c r="V3317" s="14"/>
      <c r="W3317" s="14"/>
    </row>
    <row r="3318" ht="31.5" customHeight="1">
      <c r="A3318" s="158"/>
      <c r="B3318" s="159"/>
      <c r="C3318" s="160"/>
      <c r="D3318" s="130"/>
      <c r="E3318" s="130"/>
      <c r="F3318" s="161"/>
      <c r="G3318" s="164"/>
      <c r="H3318" s="76" t="b">
        <v>0</v>
      </c>
      <c r="I3318" s="76" t="b">
        <v>0</v>
      </c>
      <c r="J3318" s="76" t="b">
        <v>0</v>
      </c>
      <c r="K3318" s="76" t="b">
        <v>0</v>
      </c>
      <c r="L3318" s="76" t="b">
        <v>0</v>
      </c>
      <c r="M3318" s="76" t="b">
        <v>0</v>
      </c>
      <c r="N3318" s="76" t="b">
        <v>0</v>
      </c>
      <c r="O3318" s="76" t="b">
        <v>0</v>
      </c>
      <c r="P3318" s="76" t="b">
        <v>0</v>
      </c>
      <c r="Q3318" s="76" t="b">
        <v>0</v>
      </c>
      <c r="R3318" s="14"/>
      <c r="S3318" s="14"/>
      <c r="T3318" s="14"/>
      <c r="U3318" s="14"/>
      <c r="V3318" s="14"/>
      <c r="W3318" s="14"/>
    </row>
    <row r="3319" ht="31.5" customHeight="1">
      <c r="A3319" s="158"/>
      <c r="B3319" s="159"/>
      <c r="C3319" s="160"/>
      <c r="D3319" s="130"/>
      <c r="E3319" s="130"/>
      <c r="F3319" s="161"/>
      <c r="G3319" s="164"/>
      <c r="H3319" s="76" t="b">
        <v>0</v>
      </c>
      <c r="I3319" s="76" t="b">
        <v>0</v>
      </c>
      <c r="J3319" s="76" t="b">
        <v>0</v>
      </c>
      <c r="K3319" s="76" t="b">
        <v>0</v>
      </c>
      <c r="L3319" s="76" t="b">
        <v>0</v>
      </c>
      <c r="M3319" s="76" t="b">
        <v>0</v>
      </c>
      <c r="N3319" s="76" t="b">
        <v>0</v>
      </c>
      <c r="O3319" s="76" t="b">
        <v>0</v>
      </c>
      <c r="P3319" s="76" t="b">
        <v>0</v>
      </c>
      <c r="Q3319" s="76" t="b">
        <v>0</v>
      </c>
      <c r="R3319" s="14"/>
      <c r="S3319" s="14"/>
      <c r="T3319" s="14"/>
      <c r="U3319" s="14"/>
      <c r="V3319" s="14"/>
      <c r="W3319" s="14"/>
    </row>
    <row r="3320" ht="31.5" customHeight="1">
      <c r="A3320" s="158"/>
      <c r="B3320" s="159"/>
      <c r="C3320" s="160"/>
      <c r="D3320" s="130"/>
      <c r="E3320" s="130"/>
      <c r="F3320" s="161"/>
      <c r="G3320" s="164"/>
      <c r="H3320" s="76" t="b">
        <v>0</v>
      </c>
      <c r="I3320" s="76" t="b">
        <v>0</v>
      </c>
      <c r="J3320" s="76" t="b">
        <v>0</v>
      </c>
      <c r="K3320" s="76" t="b">
        <v>0</v>
      </c>
      <c r="L3320" s="76" t="b">
        <v>0</v>
      </c>
      <c r="M3320" s="76" t="b">
        <v>0</v>
      </c>
      <c r="N3320" s="76" t="b">
        <v>0</v>
      </c>
      <c r="O3320" s="76" t="b">
        <v>0</v>
      </c>
      <c r="P3320" s="76" t="b">
        <v>0</v>
      </c>
      <c r="Q3320" s="76" t="b">
        <v>0</v>
      </c>
      <c r="R3320" s="14"/>
      <c r="S3320" s="14"/>
      <c r="T3320" s="14"/>
      <c r="U3320" s="14"/>
      <c r="V3320" s="14"/>
      <c r="W3320" s="14"/>
    </row>
    <row r="3321" ht="31.5" customHeight="1">
      <c r="A3321" s="158"/>
      <c r="B3321" s="159"/>
      <c r="C3321" s="160"/>
      <c r="D3321" s="130"/>
      <c r="E3321" s="130"/>
      <c r="F3321" s="161"/>
      <c r="G3321" s="164"/>
      <c r="H3321" s="76" t="b">
        <v>0</v>
      </c>
      <c r="I3321" s="76" t="b">
        <v>0</v>
      </c>
      <c r="J3321" s="76" t="b">
        <v>0</v>
      </c>
      <c r="K3321" s="76" t="b">
        <v>0</v>
      </c>
      <c r="L3321" s="76" t="b">
        <v>0</v>
      </c>
      <c r="M3321" s="76" t="b">
        <v>0</v>
      </c>
      <c r="N3321" s="76" t="b">
        <v>0</v>
      </c>
      <c r="O3321" s="76" t="b">
        <v>0</v>
      </c>
      <c r="P3321" s="76" t="b">
        <v>0</v>
      </c>
      <c r="Q3321" s="76" t="b">
        <v>0</v>
      </c>
      <c r="R3321" s="14"/>
      <c r="S3321" s="14"/>
      <c r="T3321" s="14"/>
      <c r="U3321" s="14"/>
      <c r="V3321" s="14"/>
      <c r="W3321" s="14"/>
    </row>
    <row r="3322" ht="31.5" customHeight="1">
      <c r="A3322" s="158"/>
      <c r="B3322" s="159"/>
      <c r="C3322" s="160"/>
      <c r="D3322" s="130"/>
      <c r="E3322" s="130"/>
      <c r="F3322" s="161"/>
      <c r="G3322" s="164"/>
      <c r="H3322" s="76" t="b">
        <v>0</v>
      </c>
      <c r="I3322" s="76" t="b">
        <v>0</v>
      </c>
      <c r="J3322" s="76" t="b">
        <v>0</v>
      </c>
      <c r="K3322" s="76" t="b">
        <v>0</v>
      </c>
      <c r="L3322" s="76" t="b">
        <v>0</v>
      </c>
      <c r="M3322" s="76" t="b">
        <v>0</v>
      </c>
      <c r="N3322" s="76" t="b">
        <v>0</v>
      </c>
      <c r="O3322" s="76" t="b">
        <v>0</v>
      </c>
      <c r="P3322" s="76" t="b">
        <v>0</v>
      </c>
      <c r="Q3322" s="76" t="b">
        <v>0</v>
      </c>
      <c r="R3322" s="14"/>
      <c r="S3322" s="14"/>
      <c r="T3322" s="14"/>
      <c r="U3322" s="14"/>
      <c r="V3322" s="14"/>
      <c r="W3322" s="14"/>
    </row>
    <row r="3323" ht="31.5" customHeight="1">
      <c r="A3323" s="158"/>
      <c r="B3323" s="159"/>
      <c r="C3323" s="160"/>
      <c r="D3323" s="130"/>
      <c r="E3323" s="130"/>
      <c r="F3323" s="161"/>
      <c r="G3323" s="164"/>
      <c r="H3323" s="76" t="b">
        <v>0</v>
      </c>
      <c r="I3323" s="76" t="b">
        <v>0</v>
      </c>
      <c r="J3323" s="76" t="b">
        <v>0</v>
      </c>
      <c r="K3323" s="76" t="b">
        <v>0</v>
      </c>
      <c r="L3323" s="76" t="b">
        <v>0</v>
      </c>
      <c r="M3323" s="76" t="b">
        <v>0</v>
      </c>
      <c r="N3323" s="76" t="b">
        <v>0</v>
      </c>
      <c r="O3323" s="76" t="b">
        <v>0</v>
      </c>
      <c r="P3323" s="76" t="b">
        <v>0</v>
      </c>
      <c r="Q3323" s="76" t="b">
        <v>0</v>
      </c>
      <c r="R3323" s="14"/>
      <c r="S3323" s="14"/>
      <c r="T3323" s="14"/>
      <c r="U3323" s="14"/>
      <c r="V3323" s="14"/>
      <c r="W3323" s="14"/>
    </row>
    <row r="3324" ht="31.5" customHeight="1">
      <c r="A3324" s="158"/>
      <c r="B3324" s="159"/>
      <c r="C3324" s="160"/>
      <c r="D3324" s="130"/>
      <c r="E3324" s="130"/>
      <c r="F3324" s="161"/>
      <c r="G3324" s="164"/>
      <c r="H3324" s="76" t="b">
        <v>0</v>
      </c>
      <c r="I3324" s="76" t="b">
        <v>0</v>
      </c>
      <c r="J3324" s="76" t="b">
        <v>0</v>
      </c>
      <c r="K3324" s="76" t="b">
        <v>0</v>
      </c>
      <c r="L3324" s="76" t="b">
        <v>0</v>
      </c>
      <c r="M3324" s="76" t="b">
        <v>0</v>
      </c>
      <c r="N3324" s="76" t="b">
        <v>0</v>
      </c>
      <c r="O3324" s="76" t="b">
        <v>0</v>
      </c>
      <c r="P3324" s="76" t="b">
        <v>0</v>
      </c>
      <c r="Q3324" s="76" t="b">
        <v>0</v>
      </c>
      <c r="R3324" s="14"/>
      <c r="S3324" s="14"/>
      <c r="T3324" s="14"/>
      <c r="U3324" s="14"/>
      <c r="V3324" s="14"/>
      <c r="W3324" s="14"/>
    </row>
    <row r="3325" ht="31.5" customHeight="1">
      <c r="A3325" s="158"/>
      <c r="B3325" s="159"/>
      <c r="C3325" s="160"/>
      <c r="D3325" s="130"/>
      <c r="E3325" s="130"/>
      <c r="F3325" s="161"/>
      <c r="G3325" s="164"/>
      <c r="H3325" s="76" t="b">
        <v>0</v>
      </c>
      <c r="I3325" s="76" t="b">
        <v>0</v>
      </c>
      <c r="J3325" s="76" t="b">
        <v>0</v>
      </c>
      <c r="K3325" s="76" t="b">
        <v>0</v>
      </c>
      <c r="L3325" s="76" t="b">
        <v>0</v>
      </c>
      <c r="M3325" s="76" t="b">
        <v>0</v>
      </c>
      <c r="N3325" s="76" t="b">
        <v>0</v>
      </c>
      <c r="O3325" s="76" t="b">
        <v>0</v>
      </c>
      <c r="P3325" s="76" t="b">
        <v>0</v>
      </c>
      <c r="Q3325" s="76" t="b">
        <v>0</v>
      </c>
      <c r="R3325" s="14"/>
      <c r="S3325" s="14"/>
      <c r="T3325" s="14"/>
      <c r="U3325" s="14"/>
      <c r="V3325" s="14"/>
      <c r="W3325" s="14"/>
    </row>
    <row r="3326" ht="31.5" customHeight="1">
      <c r="A3326" s="158"/>
      <c r="B3326" s="159"/>
      <c r="C3326" s="160"/>
      <c r="D3326" s="130"/>
      <c r="E3326" s="130"/>
      <c r="F3326" s="161"/>
      <c r="G3326" s="164"/>
      <c r="H3326" s="76" t="b">
        <v>0</v>
      </c>
      <c r="I3326" s="76" t="b">
        <v>0</v>
      </c>
      <c r="J3326" s="76" t="b">
        <v>0</v>
      </c>
      <c r="K3326" s="76" t="b">
        <v>0</v>
      </c>
      <c r="L3326" s="76" t="b">
        <v>0</v>
      </c>
      <c r="M3326" s="76" t="b">
        <v>0</v>
      </c>
      <c r="N3326" s="76" t="b">
        <v>0</v>
      </c>
      <c r="O3326" s="76" t="b">
        <v>0</v>
      </c>
      <c r="P3326" s="76" t="b">
        <v>0</v>
      </c>
      <c r="Q3326" s="76" t="b">
        <v>0</v>
      </c>
      <c r="R3326" s="14"/>
      <c r="S3326" s="14"/>
      <c r="T3326" s="14"/>
      <c r="U3326" s="14"/>
      <c r="V3326" s="14"/>
      <c r="W3326" s="14"/>
    </row>
    <row r="3327" ht="31.5" customHeight="1">
      <c r="A3327" s="158"/>
      <c r="B3327" s="159"/>
      <c r="C3327" s="160"/>
      <c r="D3327" s="130"/>
      <c r="E3327" s="130"/>
      <c r="F3327" s="161"/>
      <c r="G3327" s="164"/>
      <c r="H3327" s="76" t="b">
        <v>0</v>
      </c>
      <c r="I3327" s="76" t="b">
        <v>0</v>
      </c>
      <c r="J3327" s="76" t="b">
        <v>0</v>
      </c>
      <c r="K3327" s="76" t="b">
        <v>0</v>
      </c>
      <c r="L3327" s="76" t="b">
        <v>0</v>
      </c>
      <c r="M3327" s="76" t="b">
        <v>0</v>
      </c>
      <c r="N3327" s="76" t="b">
        <v>0</v>
      </c>
      <c r="O3327" s="76" t="b">
        <v>0</v>
      </c>
      <c r="P3327" s="76" t="b">
        <v>0</v>
      </c>
      <c r="Q3327" s="76" t="b">
        <v>0</v>
      </c>
      <c r="R3327" s="14"/>
      <c r="S3327" s="14"/>
      <c r="T3327" s="14"/>
      <c r="U3327" s="14"/>
      <c r="V3327" s="14"/>
      <c r="W3327" s="14"/>
    </row>
    <row r="3328" ht="31.5" customHeight="1">
      <c r="A3328" s="158"/>
      <c r="B3328" s="159"/>
      <c r="C3328" s="160"/>
      <c r="D3328" s="130"/>
      <c r="E3328" s="130"/>
      <c r="F3328" s="161"/>
      <c r="G3328" s="164"/>
      <c r="H3328" s="76" t="b">
        <v>0</v>
      </c>
      <c r="I3328" s="76" t="b">
        <v>0</v>
      </c>
      <c r="J3328" s="76" t="b">
        <v>0</v>
      </c>
      <c r="K3328" s="76" t="b">
        <v>0</v>
      </c>
      <c r="L3328" s="76" t="b">
        <v>0</v>
      </c>
      <c r="M3328" s="76" t="b">
        <v>0</v>
      </c>
      <c r="N3328" s="76" t="b">
        <v>0</v>
      </c>
      <c r="O3328" s="76" t="b">
        <v>0</v>
      </c>
      <c r="P3328" s="76" t="b">
        <v>0</v>
      </c>
      <c r="Q3328" s="76" t="b">
        <v>0</v>
      </c>
      <c r="R3328" s="14"/>
      <c r="S3328" s="14"/>
      <c r="T3328" s="14"/>
      <c r="U3328" s="14"/>
      <c r="V3328" s="14"/>
      <c r="W3328" s="14"/>
    </row>
    <row r="3329" ht="31.5" customHeight="1">
      <c r="A3329" s="158"/>
      <c r="B3329" s="159"/>
      <c r="C3329" s="160"/>
      <c r="D3329" s="130"/>
      <c r="E3329" s="130"/>
      <c r="F3329" s="161"/>
      <c r="G3329" s="164"/>
      <c r="H3329" s="76" t="b">
        <v>0</v>
      </c>
      <c r="I3329" s="76" t="b">
        <v>0</v>
      </c>
      <c r="J3329" s="76" t="b">
        <v>0</v>
      </c>
      <c r="K3329" s="76" t="b">
        <v>0</v>
      </c>
      <c r="L3329" s="76" t="b">
        <v>0</v>
      </c>
      <c r="M3329" s="76" t="b">
        <v>0</v>
      </c>
      <c r="N3329" s="76" t="b">
        <v>0</v>
      </c>
      <c r="O3329" s="76" t="b">
        <v>0</v>
      </c>
      <c r="P3329" s="76" t="b">
        <v>0</v>
      </c>
      <c r="Q3329" s="76" t="b">
        <v>0</v>
      </c>
      <c r="R3329" s="14"/>
      <c r="S3329" s="14"/>
      <c r="T3329" s="14"/>
      <c r="U3329" s="14"/>
      <c r="V3329" s="14"/>
      <c r="W3329" s="14"/>
    </row>
    <row r="3330" ht="31.5" customHeight="1">
      <c r="A3330" s="158"/>
      <c r="B3330" s="159"/>
      <c r="C3330" s="160"/>
      <c r="D3330" s="130"/>
      <c r="E3330" s="130"/>
      <c r="F3330" s="161"/>
      <c r="G3330" s="164"/>
      <c r="H3330" s="76" t="b">
        <v>0</v>
      </c>
      <c r="I3330" s="76" t="b">
        <v>0</v>
      </c>
      <c r="J3330" s="76" t="b">
        <v>0</v>
      </c>
      <c r="K3330" s="76" t="b">
        <v>0</v>
      </c>
      <c r="L3330" s="76" t="b">
        <v>0</v>
      </c>
      <c r="M3330" s="76" t="b">
        <v>0</v>
      </c>
      <c r="N3330" s="76" t="b">
        <v>0</v>
      </c>
      <c r="O3330" s="76" t="b">
        <v>0</v>
      </c>
      <c r="P3330" s="76" t="b">
        <v>0</v>
      </c>
      <c r="Q3330" s="76" t="b">
        <v>0</v>
      </c>
      <c r="R3330" s="14"/>
      <c r="S3330" s="14"/>
      <c r="T3330" s="14"/>
      <c r="U3330" s="14"/>
      <c r="V3330" s="14"/>
      <c r="W3330" s="14"/>
    </row>
    <row r="3331" ht="31.5" customHeight="1">
      <c r="A3331" s="158"/>
      <c r="B3331" s="159"/>
      <c r="C3331" s="160"/>
      <c r="D3331" s="130"/>
      <c r="E3331" s="130"/>
      <c r="F3331" s="161"/>
      <c r="G3331" s="164"/>
      <c r="H3331" s="76" t="b">
        <v>0</v>
      </c>
      <c r="I3331" s="76" t="b">
        <v>0</v>
      </c>
      <c r="J3331" s="76" t="b">
        <v>0</v>
      </c>
      <c r="K3331" s="76" t="b">
        <v>0</v>
      </c>
      <c r="L3331" s="76" t="b">
        <v>0</v>
      </c>
      <c r="M3331" s="76" t="b">
        <v>0</v>
      </c>
      <c r="N3331" s="76" t="b">
        <v>0</v>
      </c>
      <c r="O3331" s="76" t="b">
        <v>0</v>
      </c>
      <c r="P3331" s="76" t="b">
        <v>0</v>
      </c>
      <c r="Q3331" s="76" t="b">
        <v>0</v>
      </c>
      <c r="R3331" s="14"/>
      <c r="S3331" s="14"/>
      <c r="T3331" s="14"/>
      <c r="U3331" s="14"/>
      <c r="V3331" s="14"/>
      <c r="W3331" s="14"/>
    </row>
    <row r="3332" ht="31.5" customHeight="1">
      <c r="A3332" s="158"/>
      <c r="B3332" s="159"/>
      <c r="C3332" s="160"/>
      <c r="D3332" s="130"/>
      <c r="E3332" s="130"/>
      <c r="F3332" s="161"/>
      <c r="G3332" s="164"/>
      <c r="H3332" s="76" t="b">
        <v>0</v>
      </c>
      <c r="I3332" s="76" t="b">
        <v>0</v>
      </c>
      <c r="J3332" s="76" t="b">
        <v>0</v>
      </c>
      <c r="K3332" s="76" t="b">
        <v>0</v>
      </c>
      <c r="L3332" s="76" t="b">
        <v>0</v>
      </c>
      <c r="M3332" s="76" t="b">
        <v>0</v>
      </c>
      <c r="N3332" s="76" t="b">
        <v>0</v>
      </c>
      <c r="O3332" s="76" t="b">
        <v>0</v>
      </c>
      <c r="P3332" s="76" t="b">
        <v>0</v>
      </c>
      <c r="Q3332" s="76" t="b">
        <v>0</v>
      </c>
      <c r="R3332" s="14"/>
      <c r="S3332" s="14"/>
      <c r="T3332" s="14"/>
      <c r="U3332" s="14"/>
      <c r="V3332" s="14"/>
      <c r="W3332" s="14"/>
    </row>
    <row r="3333" ht="31.5" customHeight="1">
      <c r="A3333" s="158"/>
      <c r="B3333" s="159"/>
      <c r="C3333" s="160"/>
      <c r="D3333" s="130"/>
      <c r="E3333" s="130"/>
      <c r="F3333" s="161"/>
      <c r="G3333" s="164"/>
      <c r="H3333" s="76" t="b">
        <v>0</v>
      </c>
      <c r="I3333" s="76" t="b">
        <v>0</v>
      </c>
      <c r="J3333" s="76" t="b">
        <v>0</v>
      </c>
      <c r="K3333" s="76" t="b">
        <v>0</v>
      </c>
      <c r="L3333" s="76" t="b">
        <v>0</v>
      </c>
      <c r="M3333" s="76" t="b">
        <v>0</v>
      </c>
      <c r="N3333" s="76" t="b">
        <v>0</v>
      </c>
      <c r="O3333" s="76" t="b">
        <v>0</v>
      </c>
      <c r="P3333" s="76" t="b">
        <v>0</v>
      </c>
      <c r="Q3333" s="76" t="b">
        <v>0</v>
      </c>
      <c r="R3333" s="14"/>
      <c r="S3333" s="14"/>
      <c r="T3333" s="14"/>
      <c r="U3333" s="14"/>
      <c r="V3333" s="14"/>
      <c r="W3333" s="14"/>
    </row>
    <row r="3334" ht="31.5" customHeight="1">
      <c r="A3334" s="158"/>
      <c r="B3334" s="159"/>
      <c r="C3334" s="160"/>
      <c r="D3334" s="130"/>
      <c r="E3334" s="130"/>
      <c r="F3334" s="161"/>
      <c r="G3334" s="164"/>
      <c r="H3334" s="76" t="b">
        <v>0</v>
      </c>
      <c r="I3334" s="76" t="b">
        <v>0</v>
      </c>
      <c r="J3334" s="76" t="b">
        <v>0</v>
      </c>
      <c r="K3334" s="76" t="b">
        <v>0</v>
      </c>
      <c r="L3334" s="76" t="b">
        <v>0</v>
      </c>
      <c r="M3334" s="76" t="b">
        <v>0</v>
      </c>
      <c r="N3334" s="76" t="b">
        <v>0</v>
      </c>
      <c r="O3334" s="76" t="b">
        <v>0</v>
      </c>
      <c r="P3334" s="76" t="b">
        <v>0</v>
      </c>
      <c r="Q3334" s="76" t="b">
        <v>0</v>
      </c>
      <c r="R3334" s="14"/>
      <c r="S3334" s="14"/>
      <c r="T3334" s="14"/>
      <c r="U3334" s="14"/>
      <c r="V3334" s="14"/>
      <c r="W3334" s="14"/>
    </row>
    <row r="3335" ht="31.5" customHeight="1">
      <c r="A3335" s="158"/>
      <c r="B3335" s="159"/>
      <c r="C3335" s="160"/>
      <c r="D3335" s="130"/>
      <c r="E3335" s="130"/>
      <c r="F3335" s="161"/>
      <c r="G3335" s="164"/>
      <c r="H3335" s="76" t="b">
        <v>0</v>
      </c>
      <c r="I3335" s="76" t="b">
        <v>0</v>
      </c>
      <c r="J3335" s="76" t="b">
        <v>0</v>
      </c>
      <c r="K3335" s="76" t="b">
        <v>0</v>
      </c>
      <c r="L3335" s="76" t="b">
        <v>0</v>
      </c>
      <c r="M3335" s="76" t="b">
        <v>0</v>
      </c>
      <c r="N3335" s="76" t="b">
        <v>0</v>
      </c>
      <c r="O3335" s="76" t="b">
        <v>0</v>
      </c>
      <c r="P3335" s="76" t="b">
        <v>0</v>
      </c>
      <c r="Q3335" s="76" t="b">
        <v>0</v>
      </c>
      <c r="R3335" s="14"/>
      <c r="S3335" s="14"/>
      <c r="T3335" s="14"/>
      <c r="U3335" s="14"/>
      <c r="V3335" s="14"/>
      <c r="W3335" s="14"/>
    </row>
    <row r="3336" ht="31.5" customHeight="1">
      <c r="A3336" s="158"/>
      <c r="B3336" s="159"/>
      <c r="C3336" s="160"/>
      <c r="D3336" s="130"/>
      <c r="E3336" s="130"/>
      <c r="F3336" s="161"/>
      <c r="G3336" s="164"/>
      <c r="H3336" s="76" t="b">
        <v>0</v>
      </c>
      <c r="I3336" s="76" t="b">
        <v>0</v>
      </c>
      <c r="J3336" s="76" t="b">
        <v>0</v>
      </c>
      <c r="K3336" s="76" t="b">
        <v>0</v>
      </c>
      <c r="L3336" s="76" t="b">
        <v>0</v>
      </c>
      <c r="M3336" s="76" t="b">
        <v>0</v>
      </c>
      <c r="N3336" s="76" t="b">
        <v>0</v>
      </c>
      <c r="O3336" s="76" t="b">
        <v>0</v>
      </c>
      <c r="P3336" s="76" t="b">
        <v>0</v>
      </c>
      <c r="Q3336" s="76" t="b">
        <v>0</v>
      </c>
      <c r="R3336" s="14"/>
      <c r="S3336" s="14"/>
      <c r="T3336" s="14"/>
      <c r="U3336" s="14"/>
      <c r="V3336" s="14"/>
      <c r="W3336" s="14"/>
    </row>
    <row r="3337" ht="31.5" customHeight="1">
      <c r="A3337" s="158"/>
      <c r="B3337" s="159"/>
      <c r="C3337" s="160"/>
      <c r="D3337" s="130"/>
      <c r="E3337" s="130"/>
      <c r="F3337" s="161"/>
      <c r="G3337" s="164"/>
      <c r="H3337" s="76" t="b">
        <v>0</v>
      </c>
      <c r="I3337" s="76" t="b">
        <v>0</v>
      </c>
      <c r="J3337" s="76" t="b">
        <v>0</v>
      </c>
      <c r="K3337" s="76" t="b">
        <v>0</v>
      </c>
      <c r="L3337" s="76" t="b">
        <v>0</v>
      </c>
      <c r="M3337" s="76" t="b">
        <v>0</v>
      </c>
      <c r="N3337" s="76" t="b">
        <v>0</v>
      </c>
      <c r="O3337" s="76" t="b">
        <v>0</v>
      </c>
      <c r="P3337" s="76" t="b">
        <v>0</v>
      </c>
      <c r="Q3337" s="76" t="b">
        <v>0</v>
      </c>
      <c r="R3337" s="14"/>
      <c r="S3337" s="14"/>
      <c r="T3337" s="14"/>
      <c r="U3337" s="14"/>
      <c r="V3337" s="14"/>
      <c r="W3337" s="14"/>
    </row>
    <row r="3338" ht="31.5" customHeight="1">
      <c r="A3338" s="158"/>
      <c r="B3338" s="159"/>
      <c r="C3338" s="160"/>
      <c r="D3338" s="130"/>
      <c r="E3338" s="130"/>
      <c r="F3338" s="161"/>
      <c r="G3338" s="164"/>
      <c r="H3338" s="76" t="b">
        <v>0</v>
      </c>
      <c r="I3338" s="76" t="b">
        <v>0</v>
      </c>
      <c r="J3338" s="76" t="b">
        <v>0</v>
      </c>
      <c r="K3338" s="76" t="b">
        <v>0</v>
      </c>
      <c r="L3338" s="76" t="b">
        <v>0</v>
      </c>
      <c r="M3338" s="76" t="b">
        <v>0</v>
      </c>
      <c r="N3338" s="76" t="b">
        <v>0</v>
      </c>
      <c r="O3338" s="76" t="b">
        <v>0</v>
      </c>
      <c r="P3338" s="76" t="b">
        <v>0</v>
      </c>
      <c r="Q3338" s="76" t="b">
        <v>0</v>
      </c>
      <c r="R3338" s="14"/>
      <c r="S3338" s="14"/>
      <c r="T3338" s="14"/>
      <c r="U3338" s="14"/>
      <c r="V3338" s="14"/>
      <c r="W3338" s="14"/>
    </row>
    <row r="3339" ht="31.5" customHeight="1">
      <c r="A3339" s="158"/>
      <c r="B3339" s="159"/>
      <c r="C3339" s="160"/>
      <c r="D3339" s="130"/>
      <c r="E3339" s="130"/>
      <c r="F3339" s="161"/>
      <c r="G3339" s="164"/>
      <c r="H3339" s="76" t="b">
        <v>0</v>
      </c>
      <c r="I3339" s="76" t="b">
        <v>0</v>
      </c>
      <c r="J3339" s="76" t="b">
        <v>0</v>
      </c>
      <c r="K3339" s="76" t="b">
        <v>0</v>
      </c>
      <c r="L3339" s="76" t="b">
        <v>0</v>
      </c>
      <c r="M3339" s="76" t="b">
        <v>0</v>
      </c>
      <c r="N3339" s="76" t="b">
        <v>0</v>
      </c>
      <c r="O3339" s="76" t="b">
        <v>0</v>
      </c>
      <c r="P3339" s="76" t="b">
        <v>0</v>
      </c>
      <c r="Q3339" s="76" t="b">
        <v>0</v>
      </c>
      <c r="R3339" s="14"/>
      <c r="S3339" s="14"/>
      <c r="T3339" s="14"/>
      <c r="U3339" s="14"/>
      <c r="V3339" s="14"/>
      <c r="W3339" s="14"/>
    </row>
    <row r="3340" ht="31.5" customHeight="1">
      <c r="A3340" s="158"/>
      <c r="B3340" s="159"/>
      <c r="C3340" s="160"/>
      <c r="D3340" s="130"/>
      <c r="E3340" s="130"/>
      <c r="F3340" s="161"/>
      <c r="G3340" s="164"/>
      <c r="H3340" s="76" t="b">
        <v>0</v>
      </c>
      <c r="I3340" s="76" t="b">
        <v>0</v>
      </c>
      <c r="J3340" s="76" t="b">
        <v>0</v>
      </c>
      <c r="K3340" s="76" t="b">
        <v>0</v>
      </c>
      <c r="L3340" s="76" t="b">
        <v>0</v>
      </c>
      <c r="M3340" s="76" t="b">
        <v>0</v>
      </c>
      <c r="N3340" s="76" t="b">
        <v>0</v>
      </c>
      <c r="O3340" s="76" t="b">
        <v>0</v>
      </c>
      <c r="P3340" s="76" t="b">
        <v>0</v>
      </c>
      <c r="Q3340" s="76" t="b">
        <v>0</v>
      </c>
      <c r="R3340" s="14"/>
      <c r="S3340" s="14"/>
      <c r="T3340" s="14"/>
      <c r="U3340" s="14"/>
      <c r="V3340" s="14"/>
      <c r="W3340" s="14"/>
    </row>
    <row r="3341" ht="31.5" customHeight="1">
      <c r="A3341" s="158"/>
      <c r="B3341" s="159"/>
      <c r="C3341" s="160"/>
      <c r="D3341" s="130"/>
      <c r="E3341" s="130"/>
      <c r="F3341" s="161"/>
      <c r="G3341" s="164"/>
      <c r="H3341" s="76" t="b">
        <v>0</v>
      </c>
      <c r="I3341" s="76" t="b">
        <v>0</v>
      </c>
      <c r="J3341" s="76" t="b">
        <v>0</v>
      </c>
      <c r="K3341" s="76" t="b">
        <v>0</v>
      </c>
      <c r="L3341" s="76" t="b">
        <v>0</v>
      </c>
      <c r="M3341" s="76" t="b">
        <v>0</v>
      </c>
      <c r="N3341" s="76" t="b">
        <v>0</v>
      </c>
      <c r="O3341" s="76" t="b">
        <v>0</v>
      </c>
      <c r="P3341" s="76" t="b">
        <v>0</v>
      </c>
      <c r="Q3341" s="76" t="b">
        <v>0</v>
      </c>
      <c r="R3341" s="14"/>
      <c r="S3341" s="14"/>
      <c r="T3341" s="14"/>
      <c r="U3341" s="14"/>
      <c r="V3341" s="14"/>
      <c r="W3341" s="14"/>
    </row>
    <row r="3342" ht="31.5" customHeight="1">
      <c r="A3342" s="158"/>
      <c r="B3342" s="159"/>
      <c r="C3342" s="160"/>
      <c r="D3342" s="130"/>
      <c r="E3342" s="130"/>
      <c r="F3342" s="161"/>
      <c r="G3342" s="164"/>
      <c r="H3342" s="76" t="b">
        <v>0</v>
      </c>
      <c r="I3342" s="76" t="b">
        <v>0</v>
      </c>
      <c r="J3342" s="76" t="b">
        <v>0</v>
      </c>
      <c r="K3342" s="76" t="b">
        <v>0</v>
      </c>
      <c r="L3342" s="76" t="b">
        <v>0</v>
      </c>
      <c r="M3342" s="76" t="b">
        <v>0</v>
      </c>
      <c r="N3342" s="76" t="b">
        <v>0</v>
      </c>
      <c r="O3342" s="76" t="b">
        <v>0</v>
      </c>
      <c r="P3342" s="76" t="b">
        <v>0</v>
      </c>
      <c r="Q3342" s="76" t="b">
        <v>0</v>
      </c>
      <c r="R3342" s="14"/>
      <c r="S3342" s="14"/>
      <c r="T3342" s="14"/>
      <c r="U3342" s="14"/>
      <c r="V3342" s="14"/>
      <c r="W3342" s="14"/>
    </row>
    <row r="3343" ht="31.5" customHeight="1">
      <c r="A3343" s="158"/>
      <c r="B3343" s="159"/>
      <c r="C3343" s="160"/>
      <c r="D3343" s="130"/>
      <c r="E3343" s="130"/>
      <c r="F3343" s="161"/>
      <c r="G3343" s="164"/>
      <c r="H3343" s="76" t="b">
        <v>0</v>
      </c>
      <c r="I3343" s="76" t="b">
        <v>0</v>
      </c>
      <c r="J3343" s="76" t="b">
        <v>0</v>
      </c>
      <c r="K3343" s="76" t="b">
        <v>0</v>
      </c>
      <c r="L3343" s="76" t="b">
        <v>0</v>
      </c>
      <c r="M3343" s="76" t="b">
        <v>0</v>
      </c>
      <c r="N3343" s="76" t="b">
        <v>0</v>
      </c>
      <c r="O3343" s="76" t="b">
        <v>0</v>
      </c>
      <c r="P3343" s="76" t="b">
        <v>0</v>
      </c>
      <c r="Q3343" s="76" t="b">
        <v>0</v>
      </c>
      <c r="R3343" s="14"/>
      <c r="S3343" s="14"/>
      <c r="T3343" s="14"/>
      <c r="U3343" s="14"/>
      <c r="V3343" s="14"/>
      <c r="W3343" s="14"/>
    </row>
    <row r="3344" ht="31.5" customHeight="1">
      <c r="A3344" s="158"/>
      <c r="B3344" s="159"/>
      <c r="C3344" s="160"/>
      <c r="D3344" s="130"/>
      <c r="E3344" s="130"/>
      <c r="F3344" s="161"/>
      <c r="G3344" s="164"/>
      <c r="H3344" s="76" t="b">
        <v>0</v>
      </c>
      <c r="I3344" s="76" t="b">
        <v>0</v>
      </c>
      <c r="J3344" s="76" t="b">
        <v>0</v>
      </c>
      <c r="K3344" s="76" t="b">
        <v>0</v>
      </c>
      <c r="L3344" s="76" t="b">
        <v>0</v>
      </c>
      <c r="M3344" s="76" t="b">
        <v>0</v>
      </c>
      <c r="N3344" s="76" t="b">
        <v>0</v>
      </c>
      <c r="O3344" s="76" t="b">
        <v>0</v>
      </c>
      <c r="P3344" s="76" t="b">
        <v>0</v>
      </c>
      <c r="Q3344" s="76" t="b">
        <v>0</v>
      </c>
      <c r="R3344" s="14"/>
      <c r="S3344" s="14"/>
      <c r="T3344" s="14"/>
      <c r="U3344" s="14"/>
      <c r="V3344" s="14"/>
      <c r="W3344" s="14"/>
    </row>
    <row r="3345" ht="31.5" customHeight="1">
      <c r="A3345" s="158"/>
      <c r="B3345" s="159"/>
      <c r="C3345" s="160"/>
      <c r="D3345" s="130"/>
      <c r="E3345" s="130"/>
      <c r="F3345" s="161"/>
      <c r="G3345" s="164"/>
      <c r="H3345" s="76" t="b">
        <v>0</v>
      </c>
      <c r="I3345" s="76" t="b">
        <v>0</v>
      </c>
      <c r="J3345" s="76" t="b">
        <v>0</v>
      </c>
      <c r="K3345" s="76" t="b">
        <v>0</v>
      </c>
      <c r="L3345" s="76" t="b">
        <v>0</v>
      </c>
      <c r="M3345" s="76" t="b">
        <v>0</v>
      </c>
      <c r="N3345" s="76" t="b">
        <v>0</v>
      </c>
      <c r="O3345" s="76" t="b">
        <v>0</v>
      </c>
      <c r="P3345" s="76" t="b">
        <v>0</v>
      </c>
      <c r="Q3345" s="76" t="b">
        <v>0</v>
      </c>
      <c r="R3345" s="14"/>
      <c r="S3345" s="14"/>
      <c r="T3345" s="14"/>
      <c r="U3345" s="14"/>
      <c r="V3345" s="14"/>
      <c r="W3345" s="14"/>
    </row>
    <row r="3346" ht="31.5" customHeight="1">
      <c r="A3346" s="158"/>
      <c r="B3346" s="159"/>
      <c r="C3346" s="160"/>
      <c r="D3346" s="130"/>
      <c r="E3346" s="130"/>
      <c r="F3346" s="161"/>
      <c r="G3346" s="164"/>
      <c r="H3346" s="76" t="b">
        <v>0</v>
      </c>
      <c r="I3346" s="76" t="b">
        <v>0</v>
      </c>
      <c r="J3346" s="76" t="b">
        <v>0</v>
      </c>
      <c r="K3346" s="76" t="b">
        <v>0</v>
      </c>
      <c r="L3346" s="76" t="b">
        <v>0</v>
      </c>
      <c r="M3346" s="76" t="b">
        <v>0</v>
      </c>
      <c r="N3346" s="76" t="b">
        <v>0</v>
      </c>
      <c r="O3346" s="76" t="b">
        <v>0</v>
      </c>
      <c r="P3346" s="76" t="b">
        <v>0</v>
      </c>
      <c r="Q3346" s="76" t="b">
        <v>0</v>
      </c>
      <c r="R3346" s="14"/>
      <c r="S3346" s="14"/>
      <c r="T3346" s="14"/>
      <c r="U3346" s="14"/>
      <c r="V3346" s="14"/>
      <c r="W3346" s="14"/>
    </row>
    <row r="3347" ht="31.5" customHeight="1">
      <c r="A3347" s="158"/>
      <c r="B3347" s="159"/>
      <c r="C3347" s="160"/>
      <c r="D3347" s="130"/>
      <c r="E3347" s="130"/>
      <c r="F3347" s="161"/>
      <c r="G3347" s="164"/>
      <c r="H3347" s="76" t="b">
        <v>0</v>
      </c>
      <c r="I3347" s="76" t="b">
        <v>0</v>
      </c>
      <c r="J3347" s="76" t="b">
        <v>0</v>
      </c>
      <c r="K3347" s="76" t="b">
        <v>0</v>
      </c>
      <c r="L3347" s="76" t="b">
        <v>0</v>
      </c>
      <c r="M3347" s="76" t="b">
        <v>0</v>
      </c>
      <c r="N3347" s="76" t="b">
        <v>0</v>
      </c>
      <c r="O3347" s="76" t="b">
        <v>0</v>
      </c>
      <c r="P3347" s="76" t="b">
        <v>0</v>
      </c>
      <c r="Q3347" s="76" t="b">
        <v>0</v>
      </c>
      <c r="R3347" s="14"/>
      <c r="S3347" s="14"/>
      <c r="T3347" s="14"/>
      <c r="U3347" s="14"/>
      <c r="V3347" s="14"/>
      <c r="W3347" s="14"/>
    </row>
    <row r="3348" ht="31.5" customHeight="1">
      <c r="A3348" s="158"/>
      <c r="B3348" s="159"/>
      <c r="C3348" s="160"/>
      <c r="D3348" s="130"/>
      <c r="E3348" s="130"/>
      <c r="F3348" s="161"/>
      <c r="G3348" s="164"/>
      <c r="H3348" s="76" t="b">
        <v>0</v>
      </c>
      <c r="I3348" s="76" t="b">
        <v>0</v>
      </c>
      <c r="J3348" s="76" t="b">
        <v>0</v>
      </c>
      <c r="K3348" s="76" t="b">
        <v>0</v>
      </c>
      <c r="L3348" s="76" t="b">
        <v>0</v>
      </c>
      <c r="M3348" s="76" t="b">
        <v>0</v>
      </c>
      <c r="N3348" s="76" t="b">
        <v>0</v>
      </c>
      <c r="O3348" s="76" t="b">
        <v>0</v>
      </c>
      <c r="P3348" s="76" t="b">
        <v>0</v>
      </c>
      <c r="Q3348" s="76" t="b">
        <v>0</v>
      </c>
      <c r="R3348" s="14"/>
      <c r="S3348" s="14"/>
      <c r="T3348" s="14"/>
      <c r="U3348" s="14"/>
      <c r="V3348" s="14"/>
      <c r="W3348" s="14"/>
    </row>
    <row r="3349" ht="31.5" customHeight="1">
      <c r="A3349" s="158"/>
      <c r="B3349" s="159"/>
      <c r="C3349" s="160"/>
      <c r="D3349" s="130"/>
      <c r="E3349" s="130"/>
      <c r="F3349" s="161"/>
      <c r="G3349" s="164"/>
      <c r="H3349" s="76" t="b">
        <v>0</v>
      </c>
      <c r="I3349" s="76" t="b">
        <v>0</v>
      </c>
      <c r="J3349" s="76" t="b">
        <v>0</v>
      </c>
      <c r="K3349" s="76" t="b">
        <v>0</v>
      </c>
      <c r="L3349" s="76" t="b">
        <v>0</v>
      </c>
      <c r="M3349" s="76" t="b">
        <v>0</v>
      </c>
      <c r="N3349" s="76" t="b">
        <v>0</v>
      </c>
      <c r="O3349" s="76" t="b">
        <v>0</v>
      </c>
      <c r="P3349" s="76" t="b">
        <v>0</v>
      </c>
      <c r="Q3349" s="76" t="b">
        <v>0</v>
      </c>
      <c r="R3349" s="14"/>
      <c r="S3349" s="14"/>
      <c r="T3349" s="14"/>
      <c r="U3349" s="14"/>
      <c r="V3349" s="14"/>
      <c r="W3349" s="14"/>
    </row>
    <row r="3350" ht="31.5" customHeight="1">
      <c r="A3350" s="158"/>
      <c r="B3350" s="159"/>
      <c r="C3350" s="160"/>
      <c r="D3350" s="130"/>
      <c r="E3350" s="130"/>
      <c r="F3350" s="161"/>
      <c r="G3350" s="164"/>
      <c r="H3350" s="76" t="b">
        <v>1</v>
      </c>
      <c r="I3350" s="76" t="b">
        <v>0</v>
      </c>
      <c r="J3350" s="76" t="b">
        <v>0</v>
      </c>
      <c r="K3350" s="76" t="b">
        <v>0</v>
      </c>
      <c r="L3350" s="76" t="b">
        <v>0</v>
      </c>
      <c r="M3350" s="76" t="b">
        <v>0</v>
      </c>
      <c r="N3350" s="76" t="b">
        <v>0</v>
      </c>
      <c r="O3350" s="76" t="b">
        <v>0</v>
      </c>
      <c r="P3350" s="76" t="b">
        <v>0</v>
      </c>
      <c r="Q3350" s="76" t="b">
        <v>0</v>
      </c>
      <c r="R3350" s="14"/>
      <c r="S3350" s="14"/>
      <c r="T3350" s="14"/>
      <c r="U3350" s="14"/>
      <c r="V3350" s="14"/>
      <c r="W3350" s="14"/>
    </row>
    <row r="3351" ht="31.5" customHeight="1">
      <c r="A3351" s="158"/>
      <c r="B3351" s="159"/>
      <c r="C3351" s="160"/>
      <c r="D3351" s="130"/>
      <c r="E3351" s="130"/>
      <c r="F3351" s="161"/>
      <c r="G3351" s="164"/>
      <c r="H3351" s="76" t="b">
        <v>1</v>
      </c>
      <c r="I3351" s="76" t="b">
        <v>0</v>
      </c>
      <c r="J3351" s="76" t="b">
        <v>0</v>
      </c>
      <c r="K3351" s="76" t="b">
        <v>0</v>
      </c>
      <c r="L3351" s="76" t="b">
        <v>0</v>
      </c>
      <c r="M3351" s="76" t="b">
        <v>0</v>
      </c>
      <c r="N3351" s="76" t="b">
        <v>0</v>
      </c>
      <c r="O3351" s="76" t="b">
        <v>0</v>
      </c>
      <c r="P3351" s="76" t="b">
        <v>0</v>
      </c>
      <c r="Q3351" s="76" t="b">
        <v>0</v>
      </c>
      <c r="R3351" s="14"/>
      <c r="S3351" s="14"/>
      <c r="T3351" s="14"/>
      <c r="U3351" s="14"/>
      <c r="V3351" s="14"/>
      <c r="W3351" s="14"/>
    </row>
    <row r="3352" ht="31.5" customHeight="1">
      <c r="A3352" s="158"/>
      <c r="B3352" s="159"/>
      <c r="C3352" s="160"/>
      <c r="D3352" s="130"/>
      <c r="E3352" s="130"/>
      <c r="F3352" s="161"/>
      <c r="G3352" s="164"/>
      <c r="H3352" s="76" t="b">
        <v>1</v>
      </c>
      <c r="I3352" s="76" t="b">
        <v>0</v>
      </c>
      <c r="J3352" s="76" t="b">
        <v>0</v>
      </c>
      <c r="K3352" s="76" t="b">
        <v>0</v>
      </c>
      <c r="L3352" s="76" t="b">
        <v>0</v>
      </c>
      <c r="M3352" s="76" t="b">
        <v>0</v>
      </c>
      <c r="N3352" s="76" t="b">
        <v>0</v>
      </c>
      <c r="O3352" s="76" t="b">
        <v>0</v>
      </c>
      <c r="P3352" s="76" t="b">
        <v>0</v>
      </c>
      <c r="Q3352" s="76" t="b">
        <v>0</v>
      </c>
      <c r="R3352" s="14"/>
      <c r="S3352" s="14"/>
      <c r="T3352" s="14"/>
      <c r="U3352" s="14"/>
      <c r="V3352" s="14"/>
      <c r="W3352" s="14"/>
    </row>
    <row r="3353" ht="31.5" customHeight="1">
      <c r="A3353" s="158"/>
      <c r="B3353" s="159"/>
      <c r="C3353" s="160"/>
      <c r="D3353" s="130"/>
      <c r="E3353" s="130"/>
      <c r="F3353" s="161"/>
      <c r="G3353" s="164"/>
      <c r="H3353" s="76" t="b">
        <v>1</v>
      </c>
      <c r="I3353" s="76" t="b">
        <v>0</v>
      </c>
      <c r="J3353" s="76" t="b">
        <v>0</v>
      </c>
      <c r="K3353" s="76" t="b">
        <v>0</v>
      </c>
      <c r="L3353" s="76" t="b">
        <v>0</v>
      </c>
      <c r="M3353" s="76" t="b">
        <v>0</v>
      </c>
      <c r="N3353" s="76" t="b">
        <v>0</v>
      </c>
      <c r="O3353" s="76" t="b">
        <v>0</v>
      </c>
      <c r="P3353" s="76" t="b">
        <v>0</v>
      </c>
      <c r="Q3353" s="76" t="b">
        <v>0</v>
      </c>
      <c r="R3353" s="14"/>
      <c r="S3353" s="14"/>
      <c r="T3353" s="14"/>
      <c r="U3353" s="14"/>
      <c r="V3353" s="14"/>
      <c r="W3353" s="14"/>
    </row>
    <row r="3354" ht="31.5" customHeight="1">
      <c r="A3354" s="158"/>
      <c r="B3354" s="159"/>
      <c r="C3354" s="160"/>
      <c r="D3354" s="130"/>
      <c r="E3354" s="130"/>
      <c r="F3354" s="161"/>
      <c r="G3354" s="164"/>
      <c r="H3354" s="76" t="b">
        <v>1</v>
      </c>
      <c r="I3354" s="76" t="b">
        <v>0</v>
      </c>
      <c r="J3354" s="76" t="b">
        <v>0</v>
      </c>
      <c r="K3354" s="76" t="b">
        <v>0</v>
      </c>
      <c r="L3354" s="76" t="b">
        <v>0</v>
      </c>
      <c r="M3354" s="76" t="b">
        <v>0</v>
      </c>
      <c r="N3354" s="76" t="b">
        <v>0</v>
      </c>
      <c r="O3354" s="76" t="b">
        <v>0</v>
      </c>
      <c r="P3354" s="76" t="b">
        <v>0</v>
      </c>
      <c r="Q3354" s="76" t="b">
        <v>0</v>
      </c>
      <c r="R3354" s="14"/>
      <c r="S3354" s="14"/>
      <c r="T3354" s="14"/>
      <c r="U3354" s="14"/>
      <c r="V3354" s="14"/>
      <c r="W3354" s="14"/>
    </row>
    <row r="3355" ht="31.5" customHeight="1">
      <c r="A3355" s="158"/>
      <c r="B3355" s="159"/>
      <c r="C3355" s="160"/>
      <c r="D3355" s="130"/>
      <c r="E3355" s="130"/>
      <c r="F3355" s="161"/>
      <c r="G3355" s="164"/>
      <c r="H3355" s="76" t="b">
        <v>1</v>
      </c>
      <c r="I3355" s="76" t="b">
        <v>0</v>
      </c>
      <c r="J3355" s="76" t="b">
        <v>0</v>
      </c>
      <c r="K3355" s="76" t="b">
        <v>0</v>
      </c>
      <c r="L3355" s="76" t="b">
        <v>0</v>
      </c>
      <c r="M3355" s="76" t="b">
        <v>0</v>
      </c>
      <c r="N3355" s="76" t="b">
        <v>0</v>
      </c>
      <c r="O3355" s="76" t="b">
        <v>0</v>
      </c>
      <c r="P3355" s="76" t="b">
        <v>0</v>
      </c>
      <c r="Q3355" s="76" t="b">
        <v>0</v>
      </c>
      <c r="R3355" s="14"/>
      <c r="S3355" s="14"/>
      <c r="T3355" s="14"/>
      <c r="U3355" s="14"/>
      <c r="V3355" s="14"/>
      <c r="W3355" s="14"/>
    </row>
    <row r="3356" ht="31.5" customHeight="1">
      <c r="A3356" s="158"/>
      <c r="B3356" s="159"/>
      <c r="C3356" s="160"/>
      <c r="D3356" s="130"/>
      <c r="E3356" s="130"/>
      <c r="F3356" s="161"/>
      <c r="G3356" s="164"/>
      <c r="H3356" s="76" t="b">
        <v>1</v>
      </c>
      <c r="I3356" s="76" t="b">
        <v>0</v>
      </c>
      <c r="J3356" s="76" t="b">
        <v>0</v>
      </c>
      <c r="K3356" s="76" t="b">
        <v>0</v>
      </c>
      <c r="L3356" s="76" t="b">
        <v>0</v>
      </c>
      <c r="M3356" s="76" t="b">
        <v>0</v>
      </c>
      <c r="N3356" s="76" t="b">
        <v>0</v>
      </c>
      <c r="O3356" s="76" t="b">
        <v>0</v>
      </c>
      <c r="P3356" s="76" t="b">
        <v>0</v>
      </c>
      <c r="Q3356" s="76" t="b">
        <v>0</v>
      </c>
      <c r="R3356" s="14"/>
      <c r="S3356" s="14"/>
      <c r="T3356" s="14"/>
      <c r="U3356" s="14"/>
      <c r="V3356" s="14"/>
      <c r="W3356" s="14"/>
    </row>
    <row r="3357" ht="31.5" customHeight="1">
      <c r="A3357" s="158"/>
      <c r="B3357" s="159"/>
      <c r="C3357" s="160"/>
      <c r="D3357" s="130"/>
      <c r="E3357" s="130"/>
      <c r="F3357" s="161"/>
      <c r="G3357" s="164"/>
      <c r="H3357" s="76" t="b">
        <v>1</v>
      </c>
      <c r="I3357" s="76" t="b">
        <v>0</v>
      </c>
      <c r="J3357" s="76" t="b">
        <v>0</v>
      </c>
      <c r="K3357" s="76" t="b">
        <v>0</v>
      </c>
      <c r="L3357" s="76" t="b">
        <v>0</v>
      </c>
      <c r="M3357" s="76" t="b">
        <v>0</v>
      </c>
      <c r="N3357" s="76" t="b">
        <v>0</v>
      </c>
      <c r="O3357" s="76" t="b">
        <v>0</v>
      </c>
      <c r="P3357" s="76" t="b">
        <v>0</v>
      </c>
      <c r="Q3357" s="76" t="b">
        <v>0</v>
      </c>
      <c r="R3357" s="14"/>
      <c r="S3357" s="14"/>
      <c r="T3357" s="14"/>
      <c r="U3357" s="14"/>
      <c r="V3357" s="14"/>
      <c r="W3357" s="14"/>
    </row>
    <row r="3358" ht="31.5" customHeight="1">
      <c r="A3358" s="158"/>
      <c r="B3358" s="159"/>
      <c r="C3358" s="160"/>
      <c r="D3358" s="130"/>
      <c r="E3358" s="130"/>
      <c r="F3358" s="161"/>
      <c r="G3358" s="164"/>
      <c r="H3358" s="76" t="b">
        <v>1</v>
      </c>
      <c r="I3358" s="76" t="b">
        <v>0</v>
      </c>
      <c r="J3358" s="76" t="b">
        <v>0</v>
      </c>
      <c r="K3358" s="76" t="b">
        <v>0</v>
      </c>
      <c r="L3358" s="76" t="b">
        <v>0</v>
      </c>
      <c r="M3358" s="76" t="b">
        <v>0</v>
      </c>
      <c r="N3358" s="76" t="b">
        <v>0</v>
      </c>
      <c r="O3358" s="76" t="b">
        <v>0</v>
      </c>
      <c r="P3358" s="76" t="b">
        <v>0</v>
      </c>
      <c r="Q3358" s="76" t="b">
        <v>0</v>
      </c>
      <c r="R3358" s="14"/>
      <c r="S3358" s="14"/>
      <c r="T3358" s="14"/>
      <c r="U3358" s="14"/>
      <c r="V3358" s="14"/>
      <c r="W3358" s="14"/>
    </row>
    <row r="3359" ht="31.5" customHeight="1">
      <c r="A3359" s="158"/>
      <c r="B3359" s="159"/>
      <c r="C3359" s="160"/>
      <c r="D3359" s="130"/>
      <c r="E3359" s="130"/>
      <c r="F3359" s="161"/>
      <c r="G3359" s="164"/>
      <c r="H3359" s="76" t="b">
        <v>1</v>
      </c>
      <c r="I3359" s="76" t="b">
        <v>0</v>
      </c>
      <c r="J3359" s="76" t="b">
        <v>0</v>
      </c>
      <c r="K3359" s="76" t="b">
        <v>0</v>
      </c>
      <c r="L3359" s="76" t="b">
        <v>0</v>
      </c>
      <c r="M3359" s="76" t="b">
        <v>0</v>
      </c>
      <c r="N3359" s="76" t="b">
        <v>0</v>
      </c>
      <c r="O3359" s="76" t="b">
        <v>0</v>
      </c>
      <c r="P3359" s="76" t="b">
        <v>0</v>
      </c>
      <c r="Q3359" s="76" t="b">
        <v>0</v>
      </c>
      <c r="R3359" s="14"/>
      <c r="S3359" s="14"/>
      <c r="T3359" s="14"/>
      <c r="U3359" s="14"/>
      <c r="V3359" s="14"/>
      <c r="W3359" s="14"/>
    </row>
    <row r="3360" ht="31.5" customHeight="1">
      <c r="A3360" s="158"/>
      <c r="B3360" s="159"/>
      <c r="C3360" s="160"/>
      <c r="D3360" s="130"/>
      <c r="E3360" s="130"/>
      <c r="F3360" s="161"/>
      <c r="G3360" s="164"/>
      <c r="H3360" s="76" t="b">
        <v>1</v>
      </c>
      <c r="I3360" s="76" t="b">
        <v>0</v>
      </c>
      <c r="J3360" s="76" t="b">
        <v>0</v>
      </c>
      <c r="K3360" s="76" t="b">
        <v>0</v>
      </c>
      <c r="L3360" s="76" t="b">
        <v>0</v>
      </c>
      <c r="M3360" s="76" t="b">
        <v>0</v>
      </c>
      <c r="N3360" s="76" t="b">
        <v>0</v>
      </c>
      <c r="O3360" s="76" t="b">
        <v>0</v>
      </c>
      <c r="P3360" s="76" t="b">
        <v>0</v>
      </c>
      <c r="Q3360" s="76" t="b">
        <v>0</v>
      </c>
      <c r="R3360" s="14"/>
      <c r="S3360" s="14"/>
      <c r="T3360" s="14"/>
      <c r="U3360" s="14"/>
      <c r="V3360" s="14"/>
      <c r="W3360" s="14"/>
    </row>
    <row r="3361" ht="31.5" customHeight="1">
      <c r="A3361" s="158"/>
      <c r="B3361" s="159"/>
      <c r="C3361" s="160"/>
      <c r="D3361" s="130"/>
      <c r="E3361" s="130"/>
      <c r="F3361" s="161"/>
      <c r="G3361" s="164"/>
      <c r="H3361" s="76" t="b">
        <v>1</v>
      </c>
      <c r="I3361" s="76" t="b">
        <v>0</v>
      </c>
      <c r="J3361" s="76" t="b">
        <v>0</v>
      </c>
      <c r="K3361" s="76" t="b">
        <v>0</v>
      </c>
      <c r="L3361" s="76" t="b">
        <v>0</v>
      </c>
      <c r="M3361" s="76" t="b">
        <v>0</v>
      </c>
      <c r="N3361" s="76" t="b">
        <v>0</v>
      </c>
      <c r="O3361" s="76" t="b">
        <v>0</v>
      </c>
      <c r="P3361" s="76" t="b">
        <v>0</v>
      </c>
      <c r="Q3361" s="76" t="b">
        <v>0</v>
      </c>
      <c r="R3361" s="14"/>
      <c r="S3361" s="14"/>
      <c r="T3361" s="14"/>
      <c r="U3361" s="14"/>
      <c r="V3361" s="14"/>
      <c r="W3361" s="14"/>
    </row>
    <row r="3362" ht="31.5" customHeight="1">
      <c r="A3362" s="158"/>
      <c r="B3362" s="159"/>
      <c r="C3362" s="160"/>
      <c r="D3362" s="130"/>
      <c r="E3362" s="130"/>
      <c r="F3362" s="161"/>
      <c r="G3362" s="164"/>
      <c r="H3362" s="76" t="b">
        <v>1</v>
      </c>
      <c r="I3362" s="76" t="b">
        <v>0</v>
      </c>
      <c r="J3362" s="76" t="b">
        <v>0</v>
      </c>
      <c r="K3362" s="76" t="b">
        <v>0</v>
      </c>
      <c r="L3362" s="76" t="b">
        <v>0</v>
      </c>
      <c r="M3362" s="76" t="b">
        <v>0</v>
      </c>
      <c r="N3362" s="76" t="b">
        <v>0</v>
      </c>
      <c r="O3362" s="76" t="b">
        <v>0</v>
      </c>
      <c r="P3362" s="76" t="b">
        <v>0</v>
      </c>
      <c r="Q3362" s="76" t="b">
        <v>0</v>
      </c>
      <c r="R3362" s="14"/>
      <c r="S3362" s="14"/>
      <c r="T3362" s="14"/>
      <c r="U3362" s="14"/>
      <c r="V3362" s="14"/>
      <c r="W3362" s="14"/>
    </row>
    <row r="3363" ht="31.5" customHeight="1">
      <c r="A3363" s="158"/>
      <c r="B3363" s="159"/>
      <c r="C3363" s="160"/>
      <c r="D3363" s="130"/>
      <c r="E3363" s="130"/>
      <c r="F3363" s="161"/>
      <c r="G3363" s="164"/>
      <c r="H3363" s="76" t="b">
        <v>1</v>
      </c>
      <c r="I3363" s="76" t="b">
        <v>0</v>
      </c>
      <c r="J3363" s="76" t="b">
        <v>0</v>
      </c>
      <c r="K3363" s="76" t="b">
        <v>0</v>
      </c>
      <c r="L3363" s="76" t="b">
        <v>0</v>
      </c>
      <c r="M3363" s="76" t="b">
        <v>0</v>
      </c>
      <c r="N3363" s="76" t="b">
        <v>0</v>
      </c>
      <c r="O3363" s="76" t="b">
        <v>0</v>
      </c>
      <c r="P3363" s="76" t="b">
        <v>0</v>
      </c>
      <c r="Q3363" s="76" t="b">
        <v>0</v>
      </c>
      <c r="R3363" s="14"/>
      <c r="S3363" s="14"/>
      <c r="T3363" s="14"/>
      <c r="U3363" s="14"/>
      <c r="V3363" s="14"/>
      <c r="W3363" s="14"/>
    </row>
    <row r="3364" ht="31.5" customHeight="1">
      <c r="A3364" s="158"/>
      <c r="B3364" s="159"/>
      <c r="C3364" s="160"/>
      <c r="D3364" s="130"/>
      <c r="E3364" s="130"/>
      <c r="F3364" s="161"/>
      <c r="G3364" s="164"/>
      <c r="H3364" s="76" t="b">
        <v>1</v>
      </c>
      <c r="I3364" s="76" t="b">
        <v>0</v>
      </c>
      <c r="J3364" s="76" t="b">
        <v>0</v>
      </c>
      <c r="K3364" s="76" t="b">
        <v>0</v>
      </c>
      <c r="L3364" s="76" t="b">
        <v>0</v>
      </c>
      <c r="M3364" s="76" t="b">
        <v>0</v>
      </c>
      <c r="N3364" s="76" t="b">
        <v>0</v>
      </c>
      <c r="O3364" s="76" t="b">
        <v>0</v>
      </c>
      <c r="P3364" s="76" t="b">
        <v>0</v>
      </c>
      <c r="Q3364" s="76" t="b">
        <v>0</v>
      </c>
      <c r="R3364" s="14"/>
      <c r="S3364" s="14"/>
      <c r="T3364" s="14"/>
      <c r="U3364" s="14"/>
      <c r="V3364" s="14"/>
      <c r="W3364" s="14"/>
    </row>
    <row r="3365" ht="31.5" customHeight="1">
      <c r="A3365" s="158"/>
      <c r="B3365" s="159"/>
      <c r="C3365" s="160"/>
      <c r="D3365" s="130"/>
      <c r="E3365" s="130"/>
      <c r="F3365" s="161"/>
      <c r="G3365" s="164"/>
      <c r="H3365" s="76" t="b">
        <v>1</v>
      </c>
      <c r="I3365" s="76" t="b">
        <v>0</v>
      </c>
      <c r="J3365" s="76" t="b">
        <v>0</v>
      </c>
      <c r="K3365" s="76" t="b">
        <v>0</v>
      </c>
      <c r="L3365" s="76" t="b">
        <v>0</v>
      </c>
      <c r="M3365" s="76" t="b">
        <v>0</v>
      </c>
      <c r="N3365" s="76" t="b">
        <v>0</v>
      </c>
      <c r="O3365" s="76" t="b">
        <v>0</v>
      </c>
      <c r="P3365" s="76" t="b">
        <v>0</v>
      </c>
      <c r="Q3365" s="76" t="b">
        <v>0</v>
      </c>
      <c r="R3365" s="14"/>
      <c r="S3365" s="14"/>
      <c r="T3365" s="14"/>
      <c r="U3365" s="14"/>
      <c r="V3365" s="14"/>
      <c r="W3365" s="14"/>
    </row>
    <row r="3366" ht="31.5" customHeight="1">
      <c r="A3366" s="158"/>
      <c r="B3366" s="159"/>
      <c r="C3366" s="160"/>
      <c r="D3366" s="130"/>
      <c r="E3366" s="130"/>
      <c r="F3366" s="161"/>
      <c r="G3366" s="164"/>
      <c r="H3366" s="76" t="b">
        <v>1</v>
      </c>
      <c r="I3366" s="76" t="b">
        <v>0</v>
      </c>
      <c r="J3366" s="76" t="b">
        <v>0</v>
      </c>
      <c r="K3366" s="76" t="b">
        <v>0</v>
      </c>
      <c r="L3366" s="76" t="b">
        <v>0</v>
      </c>
      <c r="M3366" s="76" t="b">
        <v>0</v>
      </c>
      <c r="N3366" s="76" t="b">
        <v>0</v>
      </c>
      <c r="O3366" s="76" t="b">
        <v>0</v>
      </c>
      <c r="P3366" s="76" t="b">
        <v>0</v>
      </c>
      <c r="Q3366" s="76" t="b">
        <v>0</v>
      </c>
      <c r="R3366" s="14"/>
      <c r="S3366" s="14"/>
      <c r="T3366" s="14"/>
      <c r="U3366" s="14"/>
      <c r="V3366" s="14"/>
      <c r="W3366" s="14"/>
    </row>
    <row r="3367" ht="31.5" customHeight="1">
      <c r="A3367" s="158"/>
      <c r="B3367" s="159"/>
      <c r="C3367" s="160"/>
      <c r="D3367" s="130"/>
      <c r="E3367" s="130"/>
      <c r="F3367" s="161"/>
      <c r="G3367" s="164"/>
      <c r="H3367" s="76" t="b">
        <v>1</v>
      </c>
      <c r="I3367" s="76" t="b">
        <v>0</v>
      </c>
      <c r="J3367" s="76" t="b">
        <v>0</v>
      </c>
      <c r="K3367" s="76" t="b">
        <v>0</v>
      </c>
      <c r="L3367" s="76" t="b">
        <v>0</v>
      </c>
      <c r="M3367" s="76" t="b">
        <v>0</v>
      </c>
      <c r="N3367" s="76" t="b">
        <v>0</v>
      </c>
      <c r="O3367" s="76" t="b">
        <v>0</v>
      </c>
      <c r="P3367" s="76" t="b">
        <v>0</v>
      </c>
      <c r="Q3367" s="76" t="b">
        <v>0</v>
      </c>
      <c r="R3367" s="14"/>
      <c r="S3367" s="14"/>
      <c r="T3367" s="14"/>
      <c r="U3367" s="14"/>
      <c r="V3367" s="14"/>
      <c r="W3367" s="14"/>
    </row>
    <row r="3368" ht="31.5" customHeight="1">
      <c r="A3368" s="158"/>
      <c r="B3368" s="159"/>
      <c r="C3368" s="160"/>
      <c r="D3368" s="130"/>
      <c r="E3368" s="130"/>
      <c r="F3368" s="161"/>
      <c r="G3368" s="164"/>
      <c r="H3368" s="76" t="b">
        <v>1</v>
      </c>
      <c r="I3368" s="76" t="b">
        <v>0</v>
      </c>
      <c r="J3368" s="76" t="b">
        <v>0</v>
      </c>
      <c r="K3368" s="76" t="b">
        <v>0</v>
      </c>
      <c r="L3368" s="76" t="b">
        <v>0</v>
      </c>
      <c r="M3368" s="76" t="b">
        <v>0</v>
      </c>
      <c r="N3368" s="76" t="b">
        <v>0</v>
      </c>
      <c r="O3368" s="76" t="b">
        <v>0</v>
      </c>
      <c r="P3368" s="76" t="b">
        <v>0</v>
      </c>
      <c r="Q3368" s="76" t="b">
        <v>0</v>
      </c>
      <c r="R3368" s="14"/>
      <c r="S3368" s="14"/>
      <c r="T3368" s="14"/>
      <c r="U3368" s="14"/>
      <c r="V3368" s="14"/>
      <c r="W3368" s="14"/>
    </row>
    <row r="3369" ht="31.5" customHeight="1">
      <c r="A3369" s="158"/>
      <c r="B3369" s="159"/>
      <c r="C3369" s="160"/>
      <c r="D3369" s="130"/>
      <c r="E3369" s="130"/>
      <c r="F3369" s="161"/>
      <c r="G3369" s="164"/>
      <c r="H3369" s="76" t="b">
        <v>1</v>
      </c>
      <c r="I3369" s="76" t="b">
        <v>0</v>
      </c>
      <c r="J3369" s="76" t="b">
        <v>0</v>
      </c>
      <c r="K3369" s="76" t="b">
        <v>0</v>
      </c>
      <c r="L3369" s="76" t="b">
        <v>0</v>
      </c>
      <c r="M3369" s="76" t="b">
        <v>0</v>
      </c>
      <c r="N3369" s="76" t="b">
        <v>0</v>
      </c>
      <c r="O3369" s="76" t="b">
        <v>0</v>
      </c>
      <c r="P3369" s="76" t="b">
        <v>0</v>
      </c>
      <c r="Q3369" s="76" t="b">
        <v>0</v>
      </c>
      <c r="R3369" s="14"/>
      <c r="S3369" s="14"/>
      <c r="T3369" s="14"/>
      <c r="U3369" s="14"/>
      <c r="V3369" s="14"/>
      <c r="W3369" s="14"/>
    </row>
    <row r="3370" ht="31.5" customHeight="1">
      <c r="A3370" s="158"/>
      <c r="B3370" s="159"/>
      <c r="C3370" s="160"/>
      <c r="D3370" s="130"/>
      <c r="E3370" s="130"/>
      <c r="F3370" s="161"/>
      <c r="G3370" s="164"/>
      <c r="H3370" s="76" t="b">
        <v>1</v>
      </c>
      <c r="I3370" s="76" t="b">
        <v>0</v>
      </c>
      <c r="J3370" s="76" t="b">
        <v>0</v>
      </c>
      <c r="K3370" s="76" t="b">
        <v>0</v>
      </c>
      <c r="L3370" s="76" t="b">
        <v>0</v>
      </c>
      <c r="M3370" s="76" t="b">
        <v>0</v>
      </c>
      <c r="N3370" s="76" t="b">
        <v>0</v>
      </c>
      <c r="O3370" s="76" t="b">
        <v>0</v>
      </c>
      <c r="P3370" s="76" t="b">
        <v>0</v>
      </c>
      <c r="Q3370" s="76" t="b">
        <v>0</v>
      </c>
      <c r="R3370" s="14"/>
      <c r="S3370" s="14"/>
      <c r="T3370" s="14"/>
      <c r="U3370" s="14"/>
      <c r="V3370" s="14"/>
      <c r="W3370" s="14"/>
    </row>
    <row r="3371" ht="31.5" customHeight="1">
      <c r="A3371" s="158"/>
      <c r="B3371" s="159"/>
      <c r="C3371" s="160"/>
      <c r="D3371" s="130"/>
      <c r="E3371" s="130"/>
      <c r="F3371" s="161"/>
      <c r="G3371" s="164"/>
      <c r="H3371" s="76" t="b">
        <v>1</v>
      </c>
      <c r="I3371" s="76" t="b">
        <v>0</v>
      </c>
      <c r="J3371" s="76" t="b">
        <v>0</v>
      </c>
      <c r="K3371" s="76" t="b">
        <v>0</v>
      </c>
      <c r="L3371" s="76" t="b">
        <v>0</v>
      </c>
      <c r="M3371" s="76" t="b">
        <v>0</v>
      </c>
      <c r="N3371" s="76" t="b">
        <v>0</v>
      </c>
      <c r="O3371" s="76" t="b">
        <v>0</v>
      </c>
      <c r="P3371" s="76" t="b">
        <v>0</v>
      </c>
      <c r="Q3371" s="76" t="b">
        <v>0</v>
      </c>
      <c r="R3371" s="14"/>
      <c r="S3371" s="14"/>
      <c r="T3371" s="14"/>
      <c r="U3371" s="14"/>
      <c r="V3371" s="14"/>
      <c r="W3371" s="14"/>
    </row>
    <row r="3372" ht="31.5" customHeight="1">
      <c r="A3372" s="158"/>
      <c r="B3372" s="159"/>
      <c r="C3372" s="160"/>
      <c r="D3372" s="130"/>
      <c r="E3372" s="130"/>
      <c r="F3372" s="161"/>
      <c r="G3372" s="164"/>
      <c r="H3372" s="76" t="b">
        <v>1</v>
      </c>
      <c r="I3372" s="76" t="b">
        <v>0</v>
      </c>
      <c r="J3372" s="76" t="b">
        <v>0</v>
      </c>
      <c r="K3372" s="76" t="b">
        <v>0</v>
      </c>
      <c r="L3372" s="76" t="b">
        <v>0</v>
      </c>
      <c r="M3372" s="76" t="b">
        <v>0</v>
      </c>
      <c r="N3372" s="76" t="b">
        <v>0</v>
      </c>
      <c r="O3372" s="76" t="b">
        <v>0</v>
      </c>
      <c r="P3372" s="76" t="b">
        <v>0</v>
      </c>
      <c r="Q3372" s="76" t="b">
        <v>0</v>
      </c>
      <c r="R3372" s="14"/>
      <c r="S3372" s="14"/>
      <c r="T3372" s="14"/>
      <c r="U3372" s="14"/>
      <c r="V3372" s="14"/>
      <c r="W3372" s="14"/>
    </row>
    <row r="3373" ht="31.5" customHeight="1">
      <c r="A3373" s="158"/>
      <c r="B3373" s="159"/>
      <c r="C3373" s="160"/>
      <c r="D3373" s="130"/>
      <c r="E3373" s="130"/>
      <c r="F3373" s="161"/>
      <c r="G3373" s="164"/>
      <c r="H3373" s="76" t="b">
        <v>1</v>
      </c>
      <c r="I3373" s="76" t="b">
        <v>0</v>
      </c>
      <c r="J3373" s="76" t="b">
        <v>0</v>
      </c>
      <c r="K3373" s="76" t="b">
        <v>0</v>
      </c>
      <c r="L3373" s="76" t="b">
        <v>0</v>
      </c>
      <c r="M3373" s="76" t="b">
        <v>0</v>
      </c>
      <c r="N3373" s="76" t="b">
        <v>0</v>
      </c>
      <c r="O3373" s="76" t="b">
        <v>0</v>
      </c>
      <c r="P3373" s="76" t="b">
        <v>0</v>
      </c>
      <c r="Q3373" s="76" t="b">
        <v>0</v>
      </c>
      <c r="R3373" s="14"/>
      <c r="S3373" s="14"/>
      <c r="T3373" s="14"/>
      <c r="U3373" s="14"/>
      <c r="V3373" s="14"/>
      <c r="W3373" s="14"/>
    </row>
    <row r="3374" ht="31.5" customHeight="1">
      <c r="A3374" s="158"/>
      <c r="B3374" s="159"/>
      <c r="C3374" s="160"/>
      <c r="D3374" s="130"/>
      <c r="E3374" s="130"/>
      <c r="F3374" s="161"/>
      <c r="G3374" s="164"/>
      <c r="H3374" s="76" t="b">
        <v>1</v>
      </c>
      <c r="I3374" s="76" t="b">
        <v>0</v>
      </c>
      <c r="J3374" s="76" t="b">
        <v>0</v>
      </c>
      <c r="K3374" s="76" t="b">
        <v>0</v>
      </c>
      <c r="L3374" s="76" t="b">
        <v>0</v>
      </c>
      <c r="M3374" s="76" t="b">
        <v>0</v>
      </c>
      <c r="N3374" s="76" t="b">
        <v>0</v>
      </c>
      <c r="O3374" s="76" t="b">
        <v>0</v>
      </c>
      <c r="P3374" s="76" t="b">
        <v>0</v>
      </c>
      <c r="Q3374" s="76" t="b">
        <v>0</v>
      </c>
      <c r="R3374" s="14"/>
      <c r="S3374" s="14"/>
      <c r="T3374" s="14"/>
      <c r="U3374" s="14"/>
      <c r="V3374" s="14"/>
      <c r="W3374" s="14"/>
    </row>
    <row r="3375" ht="31.5" customHeight="1">
      <c r="A3375" s="158"/>
      <c r="B3375" s="159"/>
      <c r="C3375" s="160"/>
      <c r="D3375" s="130"/>
      <c r="E3375" s="130"/>
      <c r="F3375" s="161"/>
      <c r="G3375" s="164"/>
      <c r="H3375" s="76" t="b">
        <v>1</v>
      </c>
      <c r="I3375" s="76" t="b">
        <v>0</v>
      </c>
      <c r="J3375" s="76" t="b">
        <v>0</v>
      </c>
      <c r="K3375" s="76" t="b">
        <v>0</v>
      </c>
      <c r="L3375" s="76" t="b">
        <v>0</v>
      </c>
      <c r="M3375" s="76" t="b">
        <v>0</v>
      </c>
      <c r="N3375" s="76" t="b">
        <v>0</v>
      </c>
      <c r="O3375" s="76" t="b">
        <v>0</v>
      </c>
      <c r="P3375" s="76" t="b">
        <v>0</v>
      </c>
      <c r="Q3375" s="76" t="b">
        <v>0</v>
      </c>
      <c r="R3375" s="14"/>
      <c r="S3375" s="14"/>
      <c r="T3375" s="14"/>
      <c r="U3375" s="14"/>
      <c r="V3375" s="14"/>
      <c r="W3375" s="14"/>
    </row>
    <row r="3376" ht="31.5" customHeight="1">
      <c r="A3376" s="158"/>
      <c r="B3376" s="159"/>
      <c r="C3376" s="160"/>
      <c r="D3376" s="130"/>
      <c r="E3376" s="130"/>
      <c r="F3376" s="161"/>
      <c r="G3376" s="164"/>
      <c r="H3376" s="76" t="b">
        <v>1</v>
      </c>
      <c r="I3376" s="76" t="b">
        <v>0</v>
      </c>
      <c r="J3376" s="76" t="b">
        <v>0</v>
      </c>
      <c r="K3376" s="76" t="b">
        <v>0</v>
      </c>
      <c r="L3376" s="76" t="b">
        <v>0</v>
      </c>
      <c r="M3376" s="76" t="b">
        <v>0</v>
      </c>
      <c r="N3376" s="76" t="b">
        <v>0</v>
      </c>
      <c r="O3376" s="76" t="b">
        <v>0</v>
      </c>
      <c r="P3376" s="76" t="b">
        <v>0</v>
      </c>
      <c r="Q3376" s="76" t="b">
        <v>0</v>
      </c>
      <c r="R3376" s="14"/>
      <c r="S3376" s="14"/>
      <c r="T3376" s="14"/>
      <c r="U3376" s="14"/>
      <c r="V3376" s="14"/>
      <c r="W3376" s="14"/>
    </row>
    <row r="3377" ht="31.5" customHeight="1">
      <c r="A3377" s="158"/>
      <c r="B3377" s="159"/>
      <c r="C3377" s="160"/>
      <c r="D3377" s="130"/>
      <c r="E3377" s="130"/>
      <c r="F3377" s="161"/>
      <c r="G3377" s="164"/>
      <c r="H3377" s="76" t="b">
        <v>1</v>
      </c>
      <c r="I3377" s="76" t="b">
        <v>0</v>
      </c>
      <c r="J3377" s="76" t="b">
        <v>0</v>
      </c>
      <c r="K3377" s="76" t="b">
        <v>0</v>
      </c>
      <c r="L3377" s="76" t="b">
        <v>0</v>
      </c>
      <c r="M3377" s="76" t="b">
        <v>0</v>
      </c>
      <c r="N3377" s="76" t="b">
        <v>0</v>
      </c>
      <c r="O3377" s="76" t="b">
        <v>0</v>
      </c>
      <c r="P3377" s="76" t="b">
        <v>0</v>
      </c>
      <c r="Q3377" s="76" t="b">
        <v>0</v>
      </c>
      <c r="R3377" s="14"/>
      <c r="S3377" s="14"/>
      <c r="T3377" s="14"/>
      <c r="U3377" s="14"/>
      <c r="V3377" s="14"/>
      <c r="W3377" s="14"/>
    </row>
    <row r="3378" ht="31.5" customHeight="1">
      <c r="A3378" s="158"/>
      <c r="B3378" s="159"/>
      <c r="C3378" s="160"/>
      <c r="D3378" s="130"/>
      <c r="E3378" s="130"/>
      <c r="F3378" s="161"/>
      <c r="G3378" s="164"/>
      <c r="H3378" s="76" t="b">
        <v>1</v>
      </c>
      <c r="I3378" s="76" t="b">
        <v>0</v>
      </c>
      <c r="J3378" s="76" t="b">
        <v>0</v>
      </c>
      <c r="K3378" s="76" t="b">
        <v>0</v>
      </c>
      <c r="L3378" s="76" t="b">
        <v>0</v>
      </c>
      <c r="M3378" s="76" t="b">
        <v>0</v>
      </c>
      <c r="N3378" s="76" t="b">
        <v>0</v>
      </c>
      <c r="O3378" s="76" t="b">
        <v>0</v>
      </c>
      <c r="P3378" s="76" t="b">
        <v>0</v>
      </c>
      <c r="Q3378" s="76" t="b">
        <v>0</v>
      </c>
      <c r="R3378" s="14"/>
      <c r="S3378" s="14"/>
      <c r="T3378" s="14"/>
      <c r="U3378" s="14"/>
      <c r="V3378" s="14"/>
      <c r="W3378" s="14"/>
    </row>
    <row r="3379" ht="31.5" customHeight="1">
      <c r="A3379" s="158"/>
      <c r="B3379" s="159"/>
      <c r="C3379" s="160"/>
      <c r="D3379" s="130"/>
      <c r="E3379" s="130"/>
      <c r="F3379" s="161"/>
      <c r="G3379" s="164"/>
      <c r="H3379" s="76" t="b">
        <v>1</v>
      </c>
      <c r="I3379" s="76" t="b">
        <v>0</v>
      </c>
      <c r="J3379" s="76" t="b">
        <v>0</v>
      </c>
      <c r="K3379" s="76" t="b">
        <v>0</v>
      </c>
      <c r="L3379" s="76" t="b">
        <v>0</v>
      </c>
      <c r="M3379" s="76" t="b">
        <v>0</v>
      </c>
      <c r="N3379" s="76" t="b">
        <v>0</v>
      </c>
      <c r="O3379" s="76" t="b">
        <v>0</v>
      </c>
      <c r="P3379" s="76" t="b">
        <v>0</v>
      </c>
      <c r="Q3379" s="76" t="b">
        <v>0</v>
      </c>
      <c r="R3379" s="14"/>
      <c r="S3379" s="14"/>
      <c r="T3379" s="14"/>
      <c r="U3379" s="14"/>
      <c r="V3379" s="14"/>
      <c r="W3379" s="14"/>
    </row>
    <row r="3380" ht="31.5" customHeight="1">
      <c r="A3380" s="158"/>
      <c r="B3380" s="159"/>
      <c r="C3380" s="160"/>
      <c r="D3380" s="130"/>
      <c r="E3380" s="130"/>
      <c r="F3380" s="161"/>
      <c r="G3380" s="164"/>
      <c r="H3380" s="76" t="b">
        <v>1</v>
      </c>
      <c r="I3380" s="76" t="b">
        <v>0</v>
      </c>
      <c r="J3380" s="76" t="b">
        <v>0</v>
      </c>
      <c r="K3380" s="76" t="b">
        <v>0</v>
      </c>
      <c r="L3380" s="76" t="b">
        <v>0</v>
      </c>
      <c r="M3380" s="76" t="b">
        <v>0</v>
      </c>
      <c r="N3380" s="76" t="b">
        <v>0</v>
      </c>
      <c r="O3380" s="76" t="b">
        <v>0</v>
      </c>
      <c r="P3380" s="76" t="b">
        <v>0</v>
      </c>
      <c r="Q3380" s="76" t="b">
        <v>0</v>
      </c>
      <c r="R3380" s="14"/>
      <c r="S3380" s="14"/>
      <c r="T3380" s="14"/>
      <c r="U3380" s="14"/>
      <c r="V3380" s="14"/>
      <c r="W3380" s="14"/>
    </row>
    <row r="3381" ht="31.5" customHeight="1">
      <c r="A3381" s="158"/>
      <c r="B3381" s="159"/>
      <c r="C3381" s="160"/>
      <c r="D3381" s="130"/>
      <c r="E3381" s="130"/>
      <c r="F3381" s="161"/>
      <c r="G3381" s="164"/>
      <c r="H3381" s="76" t="b">
        <v>1</v>
      </c>
      <c r="I3381" s="76" t="b">
        <v>0</v>
      </c>
      <c r="J3381" s="76" t="b">
        <v>0</v>
      </c>
      <c r="K3381" s="76" t="b">
        <v>0</v>
      </c>
      <c r="L3381" s="76" t="b">
        <v>0</v>
      </c>
      <c r="M3381" s="76" t="b">
        <v>0</v>
      </c>
      <c r="N3381" s="76" t="b">
        <v>0</v>
      </c>
      <c r="O3381" s="76" t="b">
        <v>0</v>
      </c>
      <c r="P3381" s="76" t="b">
        <v>0</v>
      </c>
      <c r="Q3381" s="76" t="b">
        <v>0</v>
      </c>
      <c r="R3381" s="14"/>
      <c r="S3381" s="14"/>
      <c r="T3381" s="14"/>
      <c r="U3381" s="14"/>
      <c r="V3381" s="14"/>
      <c r="W3381" s="14"/>
    </row>
    <row r="3382" ht="31.5" customHeight="1">
      <c r="A3382" s="158"/>
      <c r="B3382" s="159"/>
      <c r="C3382" s="160"/>
      <c r="D3382" s="130"/>
      <c r="E3382" s="130"/>
      <c r="F3382" s="161"/>
      <c r="G3382" s="164"/>
      <c r="H3382" s="76" t="b">
        <v>1</v>
      </c>
      <c r="I3382" s="76" t="b">
        <v>0</v>
      </c>
      <c r="J3382" s="76" t="b">
        <v>0</v>
      </c>
      <c r="K3382" s="76" t="b">
        <v>0</v>
      </c>
      <c r="L3382" s="76" t="b">
        <v>0</v>
      </c>
      <c r="M3382" s="76" t="b">
        <v>0</v>
      </c>
      <c r="N3382" s="76" t="b">
        <v>0</v>
      </c>
      <c r="O3382" s="76" t="b">
        <v>0</v>
      </c>
      <c r="P3382" s="76" t="b">
        <v>0</v>
      </c>
      <c r="Q3382" s="76" t="b">
        <v>0</v>
      </c>
      <c r="R3382" s="14"/>
      <c r="S3382" s="14"/>
      <c r="T3382" s="14"/>
      <c r="U3382" s="14"/>
      <c r="V3382" s="14"/>
      <c r="W3382" s="14"/>
    </row>
    <row r="3383" ht="31.5" customHeight="1">
      <c r="A3383" s="158"/>
      <c r="B3383" s="159"/>
      <c r="C3383" s="160"/>
      <c r="D3383" s="130"/>
      <c r="E3383" s="130"/>
      <c r="F3383" s="161"/>
      <c r="G3383" s="164"/>
      <c r="H3383" s="76" t="b">
        <v>1</v>
      </c>
      <c r="I3383" s="76" t="b">
        <v>0</v>
      </c>
      <c r="J3383" s="76" t="b">
        <v>0</v>
      </c>
      <c r="K3383" s="76" t="b">
        <v>0</v>
      </c>
      <c r="L3383" s="76" t="b">
        <v>0</v>
      </c>
      <c r="M3383" s="76" t="b">
        <v>0</v>
      </c>
      <c r="N3383" s="76" t="b">
        <v>0</v>
      </c>
      <c r="O3383" s="76" t="b">
        <v>0</v>
      </c>
      <c r="P3383" s="76" t="b">
        <v>0</v>
      </c>
      <c r="Q3383" s="76" t="b">
        <v>0</v>
      </c>
      <c r="R3383" s="14"/>
      <c r="S3383" s="14"/>
      <c r="T3383" s="14"/>
      <c r="U3383" s="14"/>
      <c r="V3383" s="14"/>
      <c r="W3383" s="14"/>
    </row>
    <row r="3384" ht="31.5" customHeight="1">
      <c r="A3384" s="158"/>
      <c r="B3384" s="159"/>
      <c r="C3384" s="160"/>
      <c r="D3384" s="130"/>
      <c r="E3384" s="130"/>
      <c r="F3384" s="161"/>
      <c r="G3384" s="164"/>
      <c r="H3384" s="76" t="b">
        <v>1</v>
      </c>
      <c r="I3384" s="76" t="b">
        <v>0</v>
      </c>
      <c r="J3384" s="76" t="b">
        <v>0</v>
      </c>
      <c r="K3384" s="76" t="b">
        <v>0</v>
      </c>
      <c r="L3384" s="76" t="b">
        <v>0</v>
      </c>
      <c r="M3384" s="76" t="b">
        <v>0</v>
      </c>
      <c r="N3384" s="76" t="b">
        <v>0</v>
      </c>
      <c r="O3384" s="76" t="b">
        <v>0</v>
      </c>
      <c r="P3384" s="76" t="b">
        <v>0</v>
      </c>
      <c r="Q3384" s="76" t="b">
        <v>0</v>
      </c>
      <c r="R3384" s="14"/>
      <c r="S3384" s="14"/>
      <c r="T3384" s="14"/>
      <c r="U3384" s="14"/>
      <c r="V3384" s="14"/>
      <c r="W3384" s="14"/>
    </row>
    <row r="3385" ht="31.5" customHeight="1">
      <c r="A3385" s="158"/>
      <c r="B3385" s="159"/>
      <c r="C3385" s="160"/>
      <c r="D3385" s="130"/>
      <c r="E3385" s="130"/>
      <c r="F3385" s="161"/>
      <c r="G3385" s="164"/>
      <c r="H3385" s="76" t="b">
        <v>1</v>
      </c>
      <c r="I3385" s="76" t="b">
        <v>0</v>
      </c>
      <c r="J3385" s="76" t="b">
        <v>0</v>
      </c>
      <c r="K3385" s="76" t="b">
        <v>0</v>
      </c>
      <c r="L3385" s="76" t="b">
        <v>0</v>
      </c>
      <c r="M3385" s="76" t="b">
        <v>0</v>
      </c>
      <c r="N3385" s="76" t="b">
        <v>0</v>
      </c>
      <c r="O3385" s="76" t="b">
        <v>0</v>
      </c>
      <c r="P3385" s="76" t="b">
        <v>0</v>
      </c>
      <c r="Q3385" s="76" t="b">
        <v>0</v>
      </c>
      <c r="R3385" s="14"/>
      <c r="S3385" s="14"/>
      <c r="T3385" s="14"/>
      <c r="U3385" s="14"/>
      <c r="V3385" s="14"/>
      <c r="W3385" s="14"/>
    </row>
    <row r="3386" ht="31.5" customHeight="1">
      <c r="A3386" s="158"/>
      <c r="B3386" s="159"/>
      <c r="C3386" s="160"/>
      <c r="D3386" s="130"/>
      <c r="E3386" s="130"/>
      <c r="F3386" s="161"/>
      <c r="G3386" s="164"/>
      <c r="H3386" s="76" t="b">
        <v>1</v>
      </c>
      <c r="I3386" s="76" t="b">
        <v>0</v>
      </c>
      <c r="J3386" s="76" t="b">
        <v>0</v>
      </c>
      <c r="K3386" s="76" t="b">
        <v>0</v>
      </c>
      <c r="L3386" s="76" t="b">
        <v>0</v>
      </c>
      <c r="M3386" s="76" t="b">
        <v>0</v>
      </c>
      <c r="N3386" s="76" t="b">
        <v>0</v>
      </c>
      <c r="O3386" s="76" t="b">
        <v>0</v>
      </c>
      <c r="P3386" s="76" t="b">
        <v>0</v>
      </c>
      <c r="Q3386" s="76" t="b">
        <v>0</v>
      </c>
      <c r="R3386" s="14"/>
      <c r="S3386" s="14"/>
      <c r="T3386" s="14"/>
      <c r="U3386" s="14"/>
      <c r="V3386" s="14"/>
      <c r="W3386" s="14"/>
    </row>
    <row r="3387" ht="31.5" customHeight="1">
      <c r="A3387" s="158"/>
      <c r="B3387" s="159"/>
      <c r="C3387" s="160"/>
      <c r="D3387" s="130"/>
      <c r="E3387" s="130"/>
      <c r="F3387" s="161"/>
      <c r="G3387" s="164"/>
      <c r="H3387" s="76" t="b">
        <v>1</v>
      </c>
      <c r="I3387" s="76" t="b">
        <v>0</v>
      </c>
      <c r="J3387" s="76" t="b">
        <v>0</v>
      </c>
      <c r="K3387" s="76" t="b">
        <v>0</v>
      </c>
      <c r="L3387" s="76" t="b">
        <v>0</v>
      </c>
      <c r="M3387" s="76" t="b">
        <v>0</v>
      </c>
      <c r="N3387" s="76" t="b">
        <v>0</v>
      </c>
      <c r="O3387" s="76" t="b">
        <v>0</v>
      </c>
      <c r="P3387" s="76" t="b">
        <v>0</v>
      </c>
      <c r="Q3387" s="76" t="b">
        <v>0</v>
      </c>
      <c r="R3387" s="14"/>
      <c r="S3387" s="14"/>
      <c r="T3387" s="14"/>
      <c r="U3387" s="14"/>
      <c r="V3387" s="14"/>
      <c r="W3387" s="14"/>
    </row>
    <row r="3388" ht="31.5" customHeight="1">
      <c r="A3388" s="158"/>
      <c r="B3388" s="159"/>
      <c r="C3388" s="160"/>
      <c r="D3388" s="130"/>
      <c r="E3388" s="130"/>
      <c r="F3388" s="161"/>
      <c r="G3388" s="164"/>
      <c r="H3388" s="76" t="b">
        <v>1</v>
      </c>
      <c r="I3388" s="76" t="b">
        <v>0</v>
      </c>
      <c r="J3388" s="76" t="b">
        <v>0</v>
      </c>
      <c r="K3388" s="76" t="b">
        <v>0</v>
      </c>
      <c r="L3388" s="76" t="b">
        <v>0</v>
      </c>
      <c r="M3388" s="76" t="b">
        <v>0</v>
      </c>
      <c r="N3388" s="76" t="b">
        <v>0</v>
      </c>
      <c r="O3388" s="76" t="b">
        <v>0</v>
      </c>
      <c r="P3388" s="76" t="b">
        <v>0</v>
      </c>
      <c r="Q3388" s="76" t="b">
        <v>0</v>
      </c>
      <c r="R3388" s="14"/>
      <c r="S3388" s="14"/>
      <c r="T3388" s="14"/>
      <c r="U3388" s="14"/>
      <c r="V3388" s="14"/>
      <c r="W3388" s="14"/>
    </row>
    <row r="3389" ht="31.5" customHeight="1">
      <c r="A3389" s="158"/>
      <c r="B3389" s="159"/>
      <c r="C3389" s="160"/>
      <c r="D3389" s="130"/>
      <c r="E3389" s="130"/>
      <c r="F3389" s="161"/>
      <c r="G3389" s="164"/>
      <c r="H3389" s="76" t="b">
        <v>1</v>
      </c>
      <c r="I3389" s="76" t="b">
        <v>0</v>
      </c>
      <c r="J3389" s="76" t="b">
        <v>0</v>
      </c>
      <c r="K3389" s="76" t="b">
        <v>0</v>
      </c>
      <c r="L3389" s="76" t="b">
        <v>0</v>
      </c>
      <c r="M3389" s="76" t="b">
        <v>0</v>
      </c>
      <c r="N3389" s="76" t="b">
        <v>0</v>
      </c>
      <c r="O3389" s="76" t="b">
        <v>0</v>
      </c>
      <c r="P3389" s="76" t="b">
        <v>0</v>
      </c>
      <c r="Q3389" s="76" t="b">
        <v>0</v>
      </c>
      <c r="R3389" s="14"/>
      <c r="S3389" s="14"/>
      <c r="T3389" s="14"/>
      <c r="U3389" s="14"/>
      <c r="V3389" s="14"/>
      <c r="W3389" s="14"/>
    </row>
    <row r="3390" ht="31.5" customHeight="1">
      <c r="A3390" s="158"/>
      <c r="B3390" s="159"/>
      <c r="C3390" s="160"/>
      <c r="D3390" s="130"/>
      <c r="E3390" s="130"/>
      <c r="F3390" s="161"/>
      <c r="G3390" s="164"/>
      <c r="H3390" s="76" t="b">
        <v>1</v>
      </c>
      <c r="I3390" s="76" t="b">
        <v>0</v>
      </c>
      <c r="J3390" s="76" t="b">
        <v>0</v>
      </c>
      <c r="K3390" s="76" t="b">
        <v>0</v>
      </c>
      <c r="L3390" s="76" t="b">
        <v>0</v>
      </c>
      <c r="M3390" s="76" t="b">
        <v>0</v>
      </c>
      <c r="N3390" s="76" t="b">
        <v>0</v>
      </c>
      <c r="O3390" s="76" t="b">
        <v>0</v>
      </c>
      <c r="P3390" s="76" t="b">
        <v>0</v>
      </c>
      <c r="Q3390" s="76" t="b">
        <v>0</v>
      </c>
      <c r="R3390" s="14"/>
      <c r="S3390" s="14"/>
      <c r="T3390" s="14"/>
      <c r="U3390" s="14"/>
      <c r="V3390" s="14"/>
      <c r="W3390" s="14"/>
    </row>
    <row r="3391" ht="31.5" customHeight="1">
      <c r="A3391" s="158"/>
      <c r="B3391" s="159"/>
      <c r="C3391" s="160"/>
      <c r="D3391" s="130"/>
      <c r="E3391" s="130"/>
      <c r="F3391" s="161"/>
      <c r="G3391" s="164"/>
      <c r="H3391" s="76" t="b">
        <v>1</v>
      </c>
      <c r="I3391" s="76" t="b">
        <v>0</v>
      </c>
      <c r="J3391" s="76" t="b">
        <v>0</v>
      </c>
      <c r="K3391" s="76" t="b">
        <v>0</v>
      </c>
      <c r="L3391" s="76" t="b">
        <v>0</v>
      </c>
      <c r="M3391" s="76" t="b">
        <v>0</v>
      </c>
      <c r="N3391" s="76" t="b">
        <v>0</v>
      </c>
      <c r="O3391" s="76" t="b">
        <v>0</v>
      </c>
      <c r="P3391" s="76" t="b">
        <v>0</v>
      </c>
      <c r="Q3391" s="76" t="b">
        <v>0</v>
      </c>
      <c r="R3391" s="14"/>
      <c r="S3391" s="14"/>
      <c r="T3391" s="14"/>
      <c r="U3391" s="14"/>
      <c r="V3391" s="14"/>
      <c r="W3391" s="14"/>
    </row>
    <row r="3392" ht="31.5" customHeight="1">
      <c r="A3392" s="158"/>
      <c r="B3392" s="159"/>
      <c r="C3392" s="160"/>
      <c r="D3392" s="130"/>
      <c r="E3392" s="130"/>
      <c r="F3392" s="161"/>
      <c r="G3392" s="164"/>
      <c r="H3392" s="76" t="b">
        <v>1</v>
      </c>
      <c r="I3392" s="76" t="b">
        <v>0</v>
      </c>
      <c r="J3392" s="76" t="b">
        <v>0</v>
      </c>
      <c r="K3392" s="76" t="b">
        <v>0</v>
      </c>
      <c r="L3392" s="76" t="b">
        <v>0</v>
      </c>
      <c r="M3392" s="76" t="b">
        <v>0</v>
      </c>
      <c r="N3392" s="76" t="b">
        <v>0</v>
      </c>
      <c r="O3392" s="76" t="b">
        <v>0</v>
      </c>
      <c r="P3392" s="76" t="b">
        <v>0</v>
      </c>
      <c r="Q3392" s="76" t="b">
        <v>0</v>
      </c>
      <c r="R3392" s="14"/>
      <c r="S3392" s="14"/>
      <c r="T3392" s="14"/>
      <c r="U3392" s="14"/>
      <c r="V3392" s="14"/>
      <c r="W3392" s="14"/>
    </row>
    <row r="3393" ht="31.5" customHeight="1">
      <c r="A3393" s="158"/>
      <c r="B3393" s="159"/>
      <c r="C3393" s="160"/>
      <c r="D3393" s="130"/>
      <c r="E3393" s="130"/>
      <c r="F3393" s="161"/>
      <c r="G3393" s="164"/>
      <c r="H3393" s="76" t="b">
        <v>1</v>
      </c>
      <c r="I3393" s="76" t="b">
        <v>0</v>
      </c>
      <c r="J3393" s="76" t="b">
        <v>0</v>
      </c>
      <c r="K3393" s="76" t="b">
        <v>0</v>
      </c>
      <c r="L3393" s="76" t="b">
        <v>0</v>
      </c>
      <c r="M3393" s="76" t="b">
        <v>0</v>
      </c>
      <c r="N3393" s="76" t="b">
        <v>0</v>
      </c>
      <c r="O3393" s="76" t="b">
        <v>0</v>
      </c>
      <c r="P3393" s="76" t="b">
        <v>0</v>
      </c>
      <c r="Q3393" s="76" t="b">
        <v>0</v>
      </c>
      <c r="R3393" s="14"/>
      <c r="S3393" s="14"/>
      <c r="T3393" s="14"/>
      <c r="U3393" s="14"/>
      <c r="V3393" s="14"/>
      <c r="W3393" s="14"/>
    </row>
    <row r="3394" ht="31.5" customHeight="1">
      <c r="A3394" s="158"/>
      <c r="B3394" s="159"/>
      <c r="C3394" s="160"/>
      <c r="D3394" s="130"/>
      <c r="E3394" s="130"/>
      <c r="F3394" s="161"/>
      <c r="G3394" s="164"/>
      <c r="H3394" s="76" t="b">
        <v>1</v>
      </c>
      <c r="I3394" s="76" t="b">
        <v>0</v>
      </c>
      <c r="J3394" s="76" t="b">
        <v>0</v>
      </c>
      <c r="K3394" s="76" t="b">
        <v>0</v>
      </c>
      <c r="L3394" s="76" t="b">
        <v>0</v>
      </c>
      <c r="M3394" s="76" t="b">
        <v>0</v>
      </c>
      <c r="N3394" s="76" t="b">
        <v>0</v>
      </c>
      <c r="O3394" s="76" t="b">
        <v>0</v>
      </c>
      <c r="P3394" s="76" t="b">
        <v>0</v>
      </c>
      <c r="Q3394" s="76" t="b">
        <v>0</v>
      </c>
      <c r="R3394" s="14"/>
      <c r="S3394" s="14"/>
      <c r="T3394" s="14"/>
      <c r="U3394" s="14"/>
      <c r="V3394" s="14"/>
      <c r="W3394" s="14"/>
    </row>
    <row r="3395" ht="31.5" customHeight="1">
      <c r="A3395" s="158"/>
      <c r="B3395" s="159"/>
      <c r="C3395" s="160"/>
      <c r="D3395" s="130"/>
      <c r="E3395" s="130"/>
      <c r="F3395" s="161"/>
      <c r="G3395" s="164"/>
      <c r="H3395" s="76" t="b">
        <v>1</v>
      </c>
      <c r="I3395" s="76" t="b">
        <v>0</v>
      </c>
      <c r="J3395" s="76" t="b">
        <v>0</v>
      </c>
      <c r="K3395" s="76" t="b">
        <v>0</v>
      </c>
      <c r="L3395" s="76" t="b">
        <v>0</v>
      </c>
      <c r="M3395" s="76" t="b">
        <v>0</v>
      </c>
      <c r="N3395" s="76" t="b">
        <v>0</v>
      </c>
      <c r="O3395" s="76" t="b">
        <v>0</v>
      </c>
      <c r="P3395" s="76" t="b">
        <v>0</v>
      </c>
      <c r="Q3395" s="76" t="b">
        <v>0</v>
      </c>
      <c r="R3395" s="14"/>
      <c r="S3395" s="14"/>
      <c r="T3395" s="14"/>
      <c r="U3395" s="14"/>
      <c r="V3395" s="14"/>
      <c r="W3395" s="14"/>
    </row>
    <row r="3396" ht="31.5" customHeight="1">
      <c r="A3396" s="158"/>
      <c r="B3396" s="159"/>
      <c r="C3396" s="160"/>
      <c r="D3396" s="130"/>
      <c r="E3396" s="130"/>
      <c r="F3396" s="161"/>
      <c r="G3396" s="164"/>
      <c r="H3396" s="76" t="b">
        <v>1</v>
      </c>
      <c r="I3396" s="76" t="b">
        <v>0</v>
      </c>
      <c r="J3396" s="76" t="b">
        <v>0</v>
      </c>
      <c r="K3396" s="76" t="b">
        <v>0</v>
      </c>
      <c r="L3396" s="76" t="b">
        <v>0</v>
      </c>
      <c r="M3396" s="76" t="b">
        <v>0</v>
      </c>
      <c r="N3396" s="76" t="b">
        <v>0</v>
      </c>
      <c r="O3396" s="76" t="b">
        <v>0</v>
      </c>
      <c r="P3396" s="76" t="b">
        <v>0</v>
      </c>
      <c r="Q3396" s="76" t="b">
        <v>0</v>
      </c>
      <c r="R3396" s="14"/>
      <c r="S3396" s="14"/>
      <c r="T3396" s="14"/>
      <c r="U3396" s="14"/>
      <c r="V3396" s="14"/>
      <c r="W3396" s="14"/>
    </row>
    <row r="3397" ht="31.5" customHeight="1">
      <c r="A3397" s="158"/>
      <c r="B3397" s="159"/>
      <c r="C3397" s="160"/>
      <c r="D3397" s="130"/>
      <c r="E3397" s="130"/>
      <c r="F3397" s="161"/>
      <c r="G3397" s="164"/>
      <c r="H3397" s="76" t="b">
        <v>1</v>
      </c>
      <c r="I3397" s="76" t="b">
        <v>0</v>
      </c>
      <c r="J3397" s="76" t="b">
        <v>0</v>
      </c>
      <c r="K3397" s="76" t="b">
        <v>0</v>
      </c>
      <c r="L3397" s="76" t="b">
        <v>0</v>
      </c>
      <c r="M3397" s="76" t="b">
        <v>0</v>
      </c>
      <c r="N3397" s="76" t="b">
        <v>0</v>
      </c>
      <c r="O3397" s="76" t="b">
        <v>0</v>
      </c>
      <c r="P3397" s="76" t="b">
        <v>0</v>
      </c>
      <c r="Q3397" s="76" t="b">
        <v>0</v>
      </c>
      <c r="R3397" s="14"/>
      <c r="S3397" s="14"/>
      <c r="T3397" s="14"/>
      <c r="U3397" s="14"/>
      <c r="V3397" s="14"/>
      <c r="W3397" s="14"/>
    </row>
    <row r="3398" ht="31.5" customHeight="1">
      <c r="A3398" s="158"/>
      <c r="B3398" s="159"/>
      <c r="C3398" s="160"/>
      <c r="D3398" s="130"/>
      <c r="E3398" s="130"/>
      <c r="F3398" s="161"/>
      <c r="G3398" s="164"/>
      <c r="H3398" s="76" t="b">
        <v>1</v>
      </c>
      <c r="I3398" s="76" t="b">
        <v>0</v>
      </c>
      <c r="J3398" s="76" t="b">
        <v>0</v>
      </c>
      <c r="K3398" s="76" t="b">
        <v>0</v>
      </c>
      <c r="L3398" s="76" t="b">
        <v>0</v>
      </c>
      <c r="M3398" s="76" t="b">
        <v>0</v>
      </c>
      <c r="N3398" s="76" t="b">
        <v>0</v>
      </c>
      <c r="O3398" s="76" t="b">
        <v>0</v>
      </c>
      <c r="P3398" s="76" t="b">
        <v>0</v>
      </c>
      <c r="Q3398" s="76" t="b">
        <v>0</v>
      </c>
      <c r="R3398" s="14"/>
      <c r="S3398" s="14"/>
      <c r="T3398" s="14"/>
      <c r="U3398" s="14"/>
      <c r="V3398" s="14"/>
      <c r="W3398" s="14"/>
    </row>
    <row r="3399" ht="31.5" customHeight="1">
      <c r="A3399" s="158"/>
      <c r="B3399" s="159"/>
      <c r="C3399" s="160"/>
      <c r="D3399" s="130"/>
      <c r="E3399" s="130"/>
      <c r="F3399" s="161"/>
      <c r="G3399" s="164"/>
      <c r="H3399" s="76" t="b">
        <v>1</v>
      </c>
      <c r="I3399" s="76" t="b">
        <v>0</v>
      </c>
      <c r="J3399" s="76" t="b">
        <v>0</v>
      </c>
      <c r="K3399" s="76" t="b">
        <v>0</v>
      </c>
      <c r="L3399" s="76" t="b">
        <v>0</v>
      </c>
      <c r="M3399" s="76" t="b">
        <v>0</v>
      </c>
      <c r="N3399" s="76" t="b">
        <v>0</v>
      </c>
      <c r="O3399" s="76" t="b">
        <v>0</v>
      </c>
      <c r="P3399" s="76" t="b">
        <v>0</v>
      </c>
      <c r="Q3399" s="76" t="b">
        <v>0</v>
      </c>
      <c r="R3399" s="14"/>
      <c r="S3399" s="14"/>
      <c r="T3399" s="14"/>
      <c r="U3399" s="14"/>
      <c r="V3399" s="14"/>
      <c r="W3399" s="14"/>
    </row>
    <row r="3400" ht="31.5" customHeight="1">
      <c r="A3400" s="158"/>
      <c r="B3400" s="159"/>
      <c r="C3400" s="160"/>
      <c r="D3400" s="130"/>
      <c r="E3400" s="130"/>
      <c r="F3400" s="161"/>
      <c r="G3400" s="164"/>
      <c r="H3400" s="76" t="b">
        <v>1</v>
      </c>
      <c r="I3400" s="76" t="b">
        <v>0</v>
      </c>
      <c r="J3400" s="76" t="b">
        <v>0</v>
      </c>
      <c r="K3400" s="76" t="b">
        <v>0</v>
      </c>
      <c r="L3400" s="76" t="b">
        <v>0</v>
      </c>
      <c r="M3400" s="76" t="b">
        <v>0</v>
      </c>
      <c r="N3400" s="76" t="b">
        <v>0</v>
      </c>
      <c r="O3400" s="76" t="b">
        <v>0</v>
      </c>
      <c r="P3400" s="76" t="b">
        <v>0</v>
      </c>
      <c r="Q3400" s="76" t="b">
        <v>0</v>
      </c>
      <c r="R3400" s="14"/>
      <c r="S3400" s="14"/>
      <c r="T3400" s="14"/>
      <c r="U3400" s="14"/>
      <c r="V3400" s="14"/>
      <c r="W3400" s="14"/>
    </row>
    <row r="3401" ht="31.5" customHeight="1">
      <c r="A3401" s="158"/>
      <c r="B3401" s="159"/>
      <c r="C3401" s="160"/>
      <c r="D3401" s="130"/>
      <c r="E3401" s="130"/>
      <c r="F3401" s="161"/>
      <c r="G3401" s="164"/>
      <c r="H3401" s="76" t="b">
        <v>1</v>
      </c>
      <c r="I3401" s="76" t="b">
        <v>0</v>
      </c>
      <c r="J3401" s="76" t="b">
        <v>0</v>
      </c>
      <c r="K3401" s="76" t="b">
        <v>0</v>
      </c>
      <c r="L3401" s="76" t="b">
        <v>0</v>
      </c>
      <c r="M3401" s="76" t="b">
        <v>0</v>
      </c>
      <c r="N3401" s="76" t="b">
        <v>0</v>
      </c>
      <c r="O3401" s="76" t="b">
        <v>0</v>
      </c>
      <c r="P3401" s="76" t="b">
        <v>0</v>
      </c>
      <c r="Q3401" s="76" t="b">
        <v>0</v>
      </c>
      <c r="R3401" s="14"/>
      <c r="S3401" s="14"/>
      <c r="T3401" s="14"/>
      <c r="U3401" s="14"/>
      <c r="V3401" s="14"/>
      <c r="W3401" s="14"/>
    </row>
    <row r="3402" ht="31.5" customHeight="1">
      <c r="A3402" s="158"/>
      <c r="B3402" s="159"/>
      <c r="C3402" s="160"/>
      <c r="D3402" s="130"/>
      <c r="E3402" s="130"/>
      <c r="F3402" s="161"/>
      <c r="G3402" s="164"/>
      <c r="H3402" s="76" t="b">
        <v>1</v>
      </c>
      <c r="I3402" s="76" t="b">
        <v>0</v>
      </c>
      <c r="J3402" s="76" t="b">
        <v>0</v>
      </c>
      <c r="K3402" s="76" t="b">
        <v>0</v>
      </c>
      <c r="L3402" s="76" t="b">
        <v>0</v>
      </c>
      <c r="M3402" s="76" t="b">
        <v>0</v>
      </c>
      <c r="N3402" s="76" t="b">
        <v>0</v>
      </c>
      <c r="O3402" s="76" t="b">
        <v>0</v>
      </c>
      <c r="P3402" s="76" t="b">
        <v>0</v>
      </c>
      <c r="Q3402" s="76" t="b">
        <v>0</v>
      </c>
      <c r="R3402" s="14"/>
      <c r="S3402" s="14"/>
      <c r="T3402" s="14"/>
      <c r="U3402" s="14"/>
      <c r="V3402" s="14"/>
      <c r="W3402" s="14"/>
    </row>
    <row r="3403" ht="31.5" customHeight="1">
      <c r="A3403" s="158"/>
      <c r="B3403" s="159"/>
      <c r="C3403" s="160"/>
      <c r="D3403" s="130"/>
      <c r="E3403" s="130"/>
      <c r="F3403" s="161"/>
      <c r="G3403" s="164"/>
      <c r="H3403" s="76" t="b">
        <v>1</v>
      </c>
      <c r="I3403" s="76" t="b">
        <v>0</v>
      </c>
      <c r="J3403" s="76" t="b">
        <v>0</v>
      </c>
      <c r="K3403" s="76" t="b">
        <v>0</v>
      </c>
      <c r="L3403" s="76" t="b">
        <v>0</v>
      </c>
      <c r="M3403" s="76" t="b">
        <v>0</v>
      </c>
      <c r="N3403" s="76" t="b">
        <v>0</v>
      </c>
      <c r="O3403" s="76" t="b">
        <v>0</v>
      </c>
      <c r="P3403" s="76" t="b">
        <v>0</v>
      </c>
      <c r="Q3403" s="76" t="b">
        <v>0</v>
      </c>
      <c r="R3403" s="14"/>
      <c r="S3403" s="14"/>
      <c r="T3403" s="14"/>
      <c r="U3403" s="14"/>
      <c r="V3403" s="14"/>
      <c r="W3403" s="14"/>
    </row>
    <row r="3404" ht="31.5" customHeight="1">
      <c r="A3404" s="158"/>
      <c r="B3404" s="159"/>
      <c r="C3404" s="160"/>
      <c r="D3404" s="130"/>
      <c r="E3404" s="130"/>
      <c r="F3404" s="161"/>
      <c r="G3404" s="164"/>
      <c r="H3404" s="76" t="b">
        <v>1</v>
      </c>
      <c r="I3404" s="76" t="b">
        <v>0</v>
      </c>
      <c r="J3404" s="76" t="b">
        <v>0</v>
      </c>
      <c r="K3404" s="76" t="b">
        <v>0</v>
      </c>
      <c r="L3404" s="76" t="b">
        <v>0</v>
      </c>
      <c r="M3404" s="76" t="b">
        <v>0</v>
      </c>
      <c r="N3404" s="76" t="b">
        <v>0</v>
      </c>
      <c r="O3404" s="76" t="b">
        <v>0</v>
      </c>
      <c r="P3404" s="76" t="b">
        <v>0</v>
      </c>
      <c r="Q3404" s="76" t="b">
        <v>0</v>
      </c>
      <c r="R3404" s="14"/>
      <c r="S3404" s="14"/>
      <c r="T3404" s="14"/>
      <c r="U3404" s="14"/>
      <c r="V3404" s="14"/>
      <c r="W3404" s="14"/>
    </row>
    <row r="3405" ht="31.5" customHeight="1">
      <c r="A3405" s="158"/>
      <c r="B3405" s="159"/>
      <c r="C3405" s="160"/>
      <c r="D3405" s="130"/>
      <c r="E3405" s="130"/>
      <c r="F3405" s="161"/>
      <c r="G3405" s="164"/>
      <c r="H3405" s="76" t="b">
        <v>1</v>
      </c>
      <c r="I3405" s="76" t="b">
        <v>0</v>
      </c>
      <c r="J3405" s="76" t="b">
        <v>0</v>
      </c>
      <c r="K3405" s="76" t="b">
        <v>0</v>
      </c>
      <c r="L3405" s="76" t="b">
        <v>0</v>
      </c>
      <c r="M3405" s="76" t="b">
        <v>0</v>
      </c>
      <c r="N3405" s="76" t="b">
        <v>0</v>
      </c>
      <c r="O3405" s="76" t="b">
        <v>0</v>
      </c>
      <c r="P3405" s="76" t="b">
        <v>0</v>
      </c>
      <c r="Q3405" s="76" t="b">
        <v>0</v>
      </c>
      <c r="R3405" s="14"/>
      <c r="S3405" s="14"/>
      <c r="T3405" s="14"/>
      <c r="U3405" s="14"/>
      <c r="V3405" s="14"/>
      <c r="W3405" s="14"/>
    </row>
    <row r="3406" ht="31.5" customHeight="1">
      <c r="A3406" s="158"/>
      <c r="B3406" s="159"/>
      <c r="C3406" s="160"/>
      <c r="D3406" s="130"/>
      <c r="E3406" s="130"/>
      <c r="F3406" s="161"/>
      <c r="G3406" s="164"/>
      <c r="H3406" s="76" t="b">
        <v>1</v>
      </c>
      <c r="I3406" s="76" t="b">
        <v>0</v>
      </c>
      <c r="J3406" s="76" t="b">
        <v>0</v>
      </c>
      <c r="K3406" s="76" t="b">
        <v>0</v>
      </c>
      <c r="L3406" s="76" t="b">
        <v>0</v>
      </c>
      <c r="M3406" s="76" t="b">
        <v>0</v>
      </c>
      <c r="N3406" s="76" t="b">
        <v>0</v>
      </c>
      <c r="O3406" s="76" t="b">
        <v>0</v>
      </c>
      <c r="P3406" s="76" t="b">
        <v>0</v>
      </c>
      <c r="Q3406" s="76" t="b">
        <v>0</v>
      </c>
      <c r="R3406" s="14"/>
      <c r="S3406" s="14"/>
      <c r="T3406" s="14"/>
      <c r="U3406" s="14"/>
      <c r="V3406" s="14"/>
      <c r="W3406" s="14"/>
    </row>
    <row r="3407" ht="31.5" customHeight="1">
      <c r="A3407" s="158"/>
      <c r="B3407" s="159"/>
      <c r="C3407" s="160"/>
      <c r="D3407" s="130"/>
      <c r="E3407" s="130"/>
      <c r="F3407" s="161"/>
      <c r="G3407" s="164"/>
      <c r="H3407" s="76" t="b">
        <v>1</v>
      </c>
      <c r="I3407" s="76" t="b">
        <v>0</v>
      </c>
      <c r="J3407" s="76" t="b">
        <v>0</v>
      </c>
      <c r="K3407" s="76" t="b">
        <v>0</v>
      </c>
      <c r="L3407" s="76" t="b">
        <v>0</v>
      </c>
      <c r="M3407" s="76" t="b">
        <v>0</v>
      </c>
      <c r="N3407" s="76" t="b">
        <v>0</v>
      </c>
      <c r="O3407" s="76" t="b">
        <v>0</v>
      </c>
      <c r="P3407" s="76" t="b">
        <v>0</v>
      </c>
      <c r="Q3407" s="76" t="b">
        <v>0</v>
      </c>
      <c r="R3407" s="14"/>
      <c r="S3407" s="14"/>
      <c r="T3407" s="14"/>
      <c r="U3407" s="14"/>
      <c r="V3407" s="14"/>
      <c r="W3407" s="14"/>
    </row>
    <row r="3408" ht="31.5" customHeight="1">
      <c r="A3408" s="158"/>
      <c r="B3408" s="159"/>
      <c r="C3408" s="160"/>
      <c r="D3408" s="130"/>
      <c r="E3408" s="130"/>
      <c r="F3408" s="161"/>
      <c r="G3408" s="164"/>
      <c r="H3408" s="76" t="b">
        <v>1</v>
      </c>
      <c r="I3408" s="76" t="b">
        <v>0</v>
      </c>
      <c r="J3408" s="76" t="b">
        <v>0</v>
      </c>
      <c r="K3408" s="76" t="b">
        <v>0</v>
      </c>
      <c r="L3408" s="76" t="b">
        <v>0</v>
      </c>
      <c r="M3408" s="76" t="b">
        <v>0</v>
      </c>
      <c r="N3408" s="76" t="b">
        <v>0</v>
      </c>
      <c r="O3408" s="76" t="b">
        <v>0</v>
      </c>
      <c r="P3408" s="76" t="b">
        <v>0</v>
      </c>
      <c r="Q3408" s="76" t="b">
        <v>0</v>
      </c>
      <c r="R3408" s="14"/>
      <c r="S3408" s="14"/>
      <c r="T3408" s="14"/>
      <c r="U3408" s="14"/>
      <c r="V3408" s="14"/>
      <c r="W3408" s="14"/>
    </row>
    <row r="3409" ht="31.5" customHeight="1">
      <c r="A3409" s="158"/>
      <c r="B3409" s="159"/>
      <c r="C3409" s="160"/>
      <c r="D3409" s="130"/>
      <c r="E3409" s="130"/>
      <c r="F3409" s="161"/>
      <c r="G3409" s="164"/>
      <c r="H3409" s="76" t="b">
        <v>1</v>
      </c>
      <c r="I3409" s="76" t="b">
        <v>0</v>
      </c>
      <c r="J3409" s="76" t="b">
        <v>0</v>
      </c>
      <c r="K3409" s="76" t="b">
        <v>0</v>
      </c>
      <c r="L3409" s="76" t="b">
        <v>0</v>
      </c>
      <c r="M3409" s="76" t="b">
        <v>0</v>
      </c>
      <c r="N3409" s="76" t="b">
        <v>0</v>
      </c>
      <c r="O3409" s="76" t="b">
        <v>0</v>
      </c>
      <c r="P3409" s="76" t="b">
        <v>0</v>
      </c>
      <c r="Q3409" s="76" t="b">
        <v>0</v>
      </c>
      <c r="R3409" s="14"/>
      <c r="S3409" s="14"/>
      <c r="T3409" s="14"/>
      <c r="U3409" s="14"/>
      <c r="V3409" s="14"/>
      <c r="W3409" s="14"/>
    </row>
    <row r="3410" ht="31.5" customHeight="1">
      <c r="A3410" s="158"/>
      <c r="B3410" s="159"/>
      <c r="C3410" s="160"/>
      <c r="D3410" s="130"/>
      <c r="E3410" s="130"/>
      <c r="F3410" s="161"/>
      <c r="G3410" s="164"/>
      <c r="H3410" s="76" t="b">
        <v>1</v>
      </c>
      <c r="I3410" s="76" t="b">
        <v>0</v>
      </c>
      <c r="J3410" s="76" t="b">
        <v>0</v>
      </c>
      <c r="K3410" s="76" t="b">
        <v>0</v>
      </c>
      <c r="L3410" s="76" t="b">
        <v>0</v>
      </c>
      <c r="M3410" s="76" t="b">
        <v>0</v>
      </c>
      <c r="N3410" s="76" t="b">
        <v>0</v>
      </c>
      <c r="O3410" s="76" t="b">
        <v>0</v>
      </c>
      <c r="P3410" s="76" t="b">
        <v>0</v>
      </c>
      <c r="Q3410" s="76" t="b">
        <v>0</v>
      </c>
      <c r="R3410" s="14"/>
      <c r="S3410" s="14"/>
      <c r="T3410" s="14"/>
      <c r="U3410" s="14"/>
      <c r="V3410" s="14"/>
      <c r="W3410" s="14"/>
    </row>
    <row r="3411" ht="31.5" customHeight="1">
      <c r="A3411" s="158"/>
      <c r="B3411" s="159"/>
      <c r="C3411" s="160"/>
      <c r="D3411" s="130"/>
      <c r="E3411" s="130"/>
      <c r="F3411" s="161"/>
      <c r="G3411" s="164"/>
      <c r="H3411" s="76" t="b">
        <v>1</v>
      </c>
      <c r="I3411" s="76" t="b">
        <v>0</v>
      </c>
      <c r="J3411" s="76" t="b">
        <v>0</v>
      </c>
      <c r="K3411" s="76" t="b">
        <v>0</v>
      </c>
      <c r="L3411" s="76" t="b">
        <v>0</v>
      </c>
      <c r="M3411" s="76" t="b">
        <v>0</v>
      </c>
      <c r="N3411" s="76" t="b">
        <v>0</v>
      </c>
      <c r="O3411" s="76" t="b">
        <v>0</v>
      </c>
      <c r="P3411" s="76" t="b">
        <v>0</v>
      </c>
      <c r="Q3411" s="76" t="b">
        <v>0</v>
      </c>
      <c r="R3411" s="14"/>
      <c r="S3411" s="14"/>
      <c r="T3411" s="14"/>
      <c r="U3411" s="14"/>
      <c r="V3411" s="14"/>
      <c r="W3411" s="14"/>
    </row>
    <row r="3412" ht="31.5" customHeight="1">
      <c r="A3412" s="158"/>
      <c r="B3412" s="159"/>
      <c r="C3412" s="160"/>
      <c r="D3412" s="130"/>
      <c r="E3412" s="130"/>
      <c r="F3412" s="161"/>
      <c r="G3412" s="164"/>
      <c r="H3412" s="76" t="b">
        <v>1</v>
      </c>
      <c r="I3412" s="76" t="b">
        <v>0</v>
      </c>
      <c r="J3412" s="76" t="b">
        <v>0</v>
      </c>
      <c r="K3412" s="76" t="b">
        <v>0</v>
      </c>
      <c r="L3412" s="76" t="b">
        <v>0</v>
      </c>
      <c r="M3412" s="76" t="b">
        <v>0</v>
      </c>
      <c r="N3412" s="76" t="b">
        <v>0</v>
      </c>
      <c r="O3412" s="76" t="b">
        <v>0</v>
      </c>
      <c r="P3412" s="76" t="b">
        <v>0</v>
      </c>
      <c r="Q3412" s="76" t="b">
        <v>0</v>
      </c>
      <c r="R3412" s="14"/>
      <c r="S3412" s="14"/>
      <c r="T3412" s="14"/>
      <c r="U3412" s="14"/>
      <c r="V3412" s="14"/>
      <c r="W3412" s="14"/>
    </row>
    <row r="3413" ht="31.5" customHeight="1">
      <c r="A3413" s="158"/>
      <c r="B3413" s="159"/>
      <c r="C3413" s="160"/>
      <c r="D3413" s="130"/>
      <c r="E3413" s="130"/>
      <c r="F3413" s="161"/>
      <c r="G3413" s="164"/>
      <c r="H3413" s="76" t="b">
        <v>1</v>
      </c>
      <c r="I3413" s="76" t="b">
        <v>0</v>
      </c>
      <c r="J3413" s="76" t="b">
        <v>0</v>
      </c>
      <c r="K3413" s="76" t="b">
        <v>0</v>
      </c>
      <c r="L3413" s="76" t="b">
        <v>0</v>
      </c>
      <c r="M3413" s="76" t="b">
        <v>0</v>
      </c>
      <c r="N3413" s="76" t="b">
        <v>0</v>
      </c>
      <c r="O3413" s="76" t="b">
        <v>0</v>
      </c>
      <c r="P3413" s="76" t="b">
        <v>0</v>
      </c>
      <c r="Q3413" s="76" t="b">
        <v>0</v>
      </c>
      <c r="R3413" s="14"/>
      <c r="S3413" s="14"/>
      <c r="T3413" s="14"/>
      <c r="U3413" s="14"/>
      <c r="V3413" s="14"/>
      <c r="W3413" s="14"/>
    </row>
    <row r="3414" ht="31.5" customHeight="1">
      <c r="A3414" s="158"/>
      <c r="B3414" s="159"/>
      <c r="C3414" s="160"/>
      <c r="D3414" s="130"/>
      <c r="E3414" s="130"/>
      <c r="F3414" s="161"/>
      <c r="G3414" s="164"/>
      <c r="H3414" s="76" t="b">
        <v>1</v>
      </c>
      <c r="I3414" s="76" t="b">
        <v>0</v>
      </c>
      <c r="J3414" s="76" t="b">
        <v>0</v>
      </c>
      <c r="K3414" s="76" t="b">
        <v>0</v>
      </c>
      <c r="L3414" s="76" t="b">
        <v>0</v>
      </c>
      <c r="M3414" s="76" t="b">
        <v>0</v>
      </c>
      <c r="N3414" s="76" t="b">
        <v>0</v>
      </c>
      <c r="O3414" s="76" t="b">
        <v>0</v>
      </c>
      <c r="P3414" s="76" t="b">
        <v>0</v>
      </c>
      <c r="Q3414" s="76" t="b">
        <v>0</v>
      </c>
      <c r="R3414" s="14"/>
      <c r="S3414" s="14"/>
      <c r="T3414" s="14"/>
      <c r="U3414" s="14"/>
      <c r="V3414" s="14"/>
      <c r="W3414" s="14"/>
    </row>
    <row r="3415" ht="31.5" customHeight="1">
      <c r="A3415" s="158"/>
      <c r="B3415" s="159"/>
      <c r="C3415" s="160"/>
      <c r="D3415" s="130"/>
      <c r="E3415" s="130"/>
      <c r="F3415" s="161"/>
      <c r="G3415" s="164"/>
      <c r="H3415" s="76" t="b">
        <v>1</v>
      </c>
      <c r="I3415" s="76" t="b">
        <v>0</v>
      </c>
      <c r="J3415" s="76" t="b">
        <v>0</v>
      </c>
      <c r="K3415" s="76" t="b">
        <v>0</v>
      </c>
      <c r="L3415" s="76" t="b">
        <v>0</v>
      </c>
      <c r="M3415" s="76" t="b">
        <v>0</v>
      </c>
      <c r="N3415" s="76" t="b">
        <v>0</v>
      </c>
      <c r="O3415" s="76" t="b">
        <v>0</v>
      </c>
      <c r="P3415" s="76" t="b">
        <v>0</v>
      </c>
      <c r="Q3415" s="76" t="b">
        <v>0</v>
      </c>
      <c r="R3415" s="14"/>
      <c r="S3415" s="14"/>
      <c r="T3415" s="14"/>
      <c r="U3415" s="14"/>
      <c r="V3415" s="14"/>
      <c r="W3415" s="14"/>
    </row>
    <row r="3416" ht="31.5" customHeight="1">
      <c r="A3416" s="158"/>
      <c r="B3416" s="159"/>
      <c r="C3416" s="160"/>
      <c r="D3416" s="130"/>
      <c r="E3416" s="130"/>
      <c r="F3416" s="161"/>
      <c r="G3416" s="164"/>
      <c r="H3416" s="76" t="b">
        <v>1</v>
      </c>
      <c r="I3416" s="76" t="b">
        <v>0</v>
      </c>
      <c r="J3416" s="76" t="b">
        <v>0</v>
      </c>
      <c r="K3416" s="76" t="b">
        <v>0</v>
      </c>
      <c r="L3416" s="76" t="b">
        <v>0</v>
      </c>
      <c r="M3416" s="76" t="b">
        <v>0</v>
      </c>
      <c r="N3416" s="76" t="b">
        <v>0</v>
      </c>
      <c r="O3416" s="76" t="b">
        <v>0</v>
      </c>
      <c r="P3416" s="76" t="b">
        <v>0</v>
      </c>
      <c r="Q3416" s="76" t="b">
        <v>0</v>
      </c>
      <c r="R3416" s="14"/>
      <c r="S3416" s="14"/>
      <c r="T3416" s="14"/>
      <c r="U3416" s="14"/>
      <c r="V3416" s="14"/>
      <c r="W3416" s="14"/>
    </row>
    <row r="3417" ht="31.5" customHeight="1">
      <c r="A3417" s="158"/>
      <c r="B3417" s="159"/>
      <c r="C3417" s="160"/>
      <c r="D3417" s="130"/>
      <c r="E3417" s="130"/>
      <c r="F3417" s="161"/>
      <c r="G3417" s="164"/>
      <c r="H3417" s="76" t="b">
        <v>1</v>
      </c>
      <c r="I3417" s="76" t="b">
        <v>0</v>
      </c>
      <c r="J3417" s="76" t="b">
        <v>0</v>
      </c>
      <c r="K3417" s="76" t="b">
        <v>0</v>
      </c>
      <c r="L3417" s="76" t="b">
        <v>0</v>
      </c>
      <c r="M3417" s="76" t="b">
        <v>0</v>
      </c>
      <c r="N3417" s="76" t="b">
        <v>0</v>
      </c>
      <c r="O3417" s="76" t="b">
        <v>0</v>
      </c>
      <c r="P3417" s="76" t="b">
        <v>0</v>
      </c>
      <c r="Q3417" s="76" t="b">
        <v>0</v>
      </c>
      <c r="R3417" s="14"/>
      <c r="S3417" s="14"/>
      <c r="T3417" s="14"/>
      <c r="U3417" s="14"/>
      <c r="V3417" s="14"/>
      <c r="W3417" s="14"/>
    </row>
    <row r="3418" ht="31.5" customHeight="1">
      <c r="A3418" s="158"/>
      <c r="B3418" s="159"/>
      <c r="C3418" s="160"/>
      <c r="D3418" s="130"/>
      <c r="E3418" s="130"/>
      <c r="F3418" s="161"/>
      <c r="G3418" s="164"/>
      <c r="H3418" s="76" t="b">
        <v>1</v>
      </c>
      <c r="I3418" s="76" t="b">
        <v>0</v>
      </c>
      <c r="J3418" s="76" t="b">
        <v>0</v>
      </c>
      <c r="K3418" s="76" t="b">
        <v>0</v>
      </c>
      <c r="L3418" s="76" t="b">
        <v>0</v>
      </c>
      <c r="M3418" s="76" t="b">
        <v>0</v>
      </c>
      <c r="N3418" s="76" t="b">
        <v>0</v>
      </c>
      <c r="O3418" s="76" t="b">
        <v>0</v>
      </c>
      <c r="P3418" s="76" t="b">
        <v>0</v>
      </c>
      <c r="Q3418" s="76" t="b">
        <v>0</v>
      </c>
      <c r="R3418" s="14"/>
      <c r="S3418" s="14"/>
      <c r="T3418" s="14"/>
      <c r="U3418" s="14"/>
      <c r="V3418" s="14"/>
      <c r="W3418" s="14"/>
    </row>
    <row r="3419" ht="31.5" customHeight="1">
      <c r="A3419" s="158"/>
      <c r="B3419" s="159"/>
      <c r="C3419" s="160"/>
      <c r="D3419" s="130"/>
      <c r="E3419" s="130"/>
      <c r="F3419" s="161"/>
      <c r="G3419" s="164"/>
      <c r="H3419" s="76" t="b">
        <v>1</v>
      </c>
      <c r="I3419" s="76" t="b">
        <v>0</v>
      </c>
      <c r="J3419" s="76" t="b">
        <v>0</v>
      </c>
      <c r="K3419" s="76" t="b">
        <v>0</v>
      </c>
      <c r="L3419" s="76" t="b">
        <v>0</v>
      </c>
      <c r="M3419" s="76" t="b">
        <v>0</v>
      </c>
      <c r="N3419" s="76" t="b">
        <v>0</v>
      </c>
      <c r="O3419" s="76" t="b">
        <v>0</v>
      </c>
      <c r="P3419" s="76" t="b">
        <v>0</v>
      </c>
      <c r="Q3419" s="76" t="b">
        <v>0</v>
      </c>
      <c r="R3419" s="14"/>
      <c r="S3419" s="14"/>
      <c r="T3419" s="14"/>
      <c r="U3419" s="14"/>
      <c r="V3419" s="14"/>
      <c r="W3419" s="14"/>
    </row>
    <row r="3420" ht="31.5" customHeight="1">
      <c r="A3420" s="158"/>
      <c r="B3420" s="159"/>
      <c r="C3420" s="160"/>
      <c r="D3420" s="130"/>
      <c r="E3420" s="130"/>
      <c r="F3420" s="161"/>
      <c r="G3420" s="164"/>
      <c r="H3420" s="76" t="b">
        <v>1</v>
      </c>
      <c r="I3420" s="76" t="b">
        <v>0</v>
      </c>
      <c r="J3420" s="76" t="b">
        <v>0</v>
      </c>
      <c r="K3420" s="76" t="b">
        <v>0</v>
      </c>
      <c r="L3420" s="76" t="b">
        <v>0</v>
      </c>
      <c r="M3420" s="76" t="b">
        <v>0</v>
      </c>
      <c r="N3420" s="76" t="b">
        <v>0</v>
      </c>
      <c r="O3420" s="76" t="b">
        <v>0</v>
      </c>
      <c r="P3420" s="76" t="b">
        <v>0</v>
      </c>
      <c r="Q3420" s="76" t="b">
        <v>0</v>
      </c>
      <c r="R3420" s="14"/>
      <c r="S3420" s="14"/>
      <c r="T3420" s="14"/>
      <c r="U3420" s="14"/>
      <c r="V3420" s="14"/>
      <c r="W3420" s="14"/>
    </row>
    <row r="3421" ht="31.5" customHeight="1">
      <c r="A3421" s="158"/>
      <c r="B3421" s="159"/>
      <c r="C3421" s="160"/>
      <c r="D3421" s="130"/>
      <c r="E3421" s="130"/>
      <c r="F3421" s="161"/>
      <c r="G3421" s="164"/>
      <c r="H3421" s="76" t="b">
        <v>1</v>
      </c>
      <c r="I3421" s="76" t="b">
        <v>0</v>
      </c>
      <c r="J3421" s="76" t="b">
        <v>0</v>
      </c>
      <c r="K3421" s="76" t="b">
        <v>0</v>
      </c>
      <c r="L3421" s="76" t="b">
        <v>0</v>
      </c>
      <c r="M3421" s="76" t="b">
        <v>0</v>
      </c>
      <c r="N3421" s="76" t="b">
        <v>0</v>
      </c>
      <c r="O3421" s="76" t="b">
        <v>0</v>
      </c>
      <c r="P3421" s="76" t="b">
        <v>0</v>
      </c>
      <c r="Q3421" s="76" t="b">
        <v>0</v>
      </c>
      <c r="R3421" s="14"/>
      <c r="S3421" s="14"/>
      <c r="T3421" s="14"/>
      <c r="U3421" s="14"/>
      <c r="V3421" s="14"/>
      <c r="W3421" s="14"/>
    </row>
    <row r="3422" ht="31.5" customHeight="1">
      <c r="A3422" s="158"/>
      <c r="B3422" s="159"/>
      <c r="C3422" s="160"/>
      <c r="D3422" s="130"/>
      <c r="E3422" s="130"/>
      <c r="F3422" s="161"/>
      <c r="G3422" s="164"/>
      <c r="H3422" s="76" t="b">
        <v>1</v>
      </c>
      <c r="I3422" s="76" t="b">
        <v>0</v>
      </c>
      <c r="J3422" s="76" t="b">
        <v>0</v>
      </c>
      <c r="K3422" s="76" t="b">
        <v>0</v>
      </c>
      <c r="L3422" s="76" t="b">
        <v>0</v>
      </c>
      <c r="M3422" s="76" t="b">
        <v>0</v>
      </c>
      <c r="N3422" s="76" t="b">
        <v>0</v>
      </c>
      <c r="O3422" s="76" t="b">
        <v>0</v>
      </c>
      <c r="P3422" s="76" t="b">
        <v>0</v>
      </c>
      <c r="Q3422" s="76" t="b">
        <v>0</v>
      </c>
      <c r="R3422" s="14"/>
      <c r="S3422" s="14"/>
      <c r="T3422" s="14"/>
      <c r="U3422" s="14"/>
      <c r="V3422" s="14"/>
      <c r="W3422" s="14"/>
    </row>
    <row r="3423" ht="31.5" customHeight="1">
      <c r="A3423" s="158"/>
      <c r="B3423" s="159"/>
      <c r="C3423" s="160"/>
      <c r="D3423" s="130"/>
      <c r="E3423" s="130"/>
      <c r="F3423" s="161"/>
      <c r="G3423" s="164"/>
      <c r="H3423" s="76" t="b">
        <v>1</v>
      </c>
      <c r="I3423" s="76" t="b">
        <v>0</v>
      </c>
      <c r="J3423" s="76" t="b">
        <v>0</v>
      </c>
      <c r="K3423" s="76" t="b">
        <v>0</v>
      </c>
      <c r="L3423" s="76" t="b">
        <v>0</v>
      </c>
      <c r="M3423" s="76" t="b">
        <v>0</v>
      </c>
      <c r="N3423" s="76" t="b">
        <v>0</v>
      </c>
      <c r="O3423" s="76" t="b">
        <v>0</v>
      </c>
      <c r="P3423" s="76" t="b">
        <v>0</v>
      </c>
      <c r="Q3423" s="76" t="b">
        <v>0</v>
      </c>
      <c r="R3423" s="14"/>
      <c r="S3423" s="14"/>
      <c r="T3423" s="14"/>
      <c r="U3423" s="14"/>
      <c r="V3423" s="14"/>
      <c r="W3423" s="14"/>
    </row>
    <row r="3424" ht="31.5" customHeight="1">
      <c r="A3424" s="158"/>
      <c r="B3424" s="159"/>
      <c r="C3424" s="160"/>
      <c r="D3424" s="130"/>
      <c r="E3424" s="130"/>
      <c r="F3424" s="161"/>
      <c r="G3424" s="164"/>
      <c r="H3424" s="76" t="b">
        <v>1</v>
      </c>
      <c r="I3424" s="76" t="b">
        <v>0</v>
      </c>
      <c r="J3424" s="76" t="b">
        <v>0</v>
      </c>
      <c r="K3424" s="76" t="b">
        <v>0</v>
      </c>
      <c r="L3424" s="76" t="b">
        <v>0</v>
      </c>
      <c r="M3424" s="76" t="b">
        <v>0</v>
      </c>
      <c r="N3424" s="76" t="b">
        <v>0</v>
      </c>
      <c r="O3424" s="76" t="b">
        <v>0</v>
      </c>
      <c r="P3424" s="76" t="b">
        <v>0</v>
      </c>
      <c r="Q3424" s="76" t="b">
        <v>0</v>
      </c>
      <c r="R3424" s="14"/>
      <c r="S3424" s="14"/>
      <c r="T3424" s="14"/>
      <c r="U3424" s="14"/>
      <c r="V3424" s="14"/>
      <c r="W3424" s="14"/>
    </row>
    <row r="3425" ht="31.5" customHeight="1">
      <c r="A3425" s="158"/>
      <c r="B3425" s="159"/>
      <c r="C3425" s="160"/>
      <c r="D3425" s="130"/>
      <c r="E3425" s="130"/>
      <c r="F3425" s="161"/>
      <c r="G3425" s="164"/>
      <c r="H3425" s="76" t="b">
        <v>1</v>
      </c>
      <c r="I3425" s="76" t="b">
        <v>0</v>
      </c>
      <c r="J3425" s="76" t="b">
        <v>0</v>
      </c>
      <c r="K3425" s="76" t="b">
        <v>0</v>
      </c>
      <c r="L3425" s="76" t="b">
        <v>0</v>
      </c>
      <c r="M3425" s="76" t="b">
        <v>0</v>
      </c>
      <c r="N3425" s="76" t="b">
        <v>0</v>
      </c>
      <c r="O3425" s="76" t="b">
        <v>0</v>
      </c>
      <c r="P3425" s="76" t="b">
        <v>0</v>
      </c>
      <c r="Q3425" s="76" t="b">
        <v>0</v>
      </c>
      <c r="R3425" s="14"/>
      <c r="S3425" s="14"/>
      <c r="T3425" s="14"/>
      <c r="U3425" s="14"/>
      <c r="V3425" s="14"/>
      <c r="W3425" s="14"/>
    </row>
    <row r="3426" ht="31.5" customHeight="1">
      <c r="A3426" s="158"/>
      <c r="B3426" s="159"/>
      <c r="C3426" s="160"/>
      <c r="D3426" s="130"/>
      <c r="E3426" s="130"/>
      <c r="F3426" s="161"/>
      <c r="G3426" s="164"/>
      <c r="H3426" s="76" t="b">
        <v>1</v>
      </c>
      <c r="I3426" s="76" t="b">
        <v>0</v>
      </c>
      <c r="J3426" s="76" t="b">
        <v>0</v>
      </c>
      <c r="K3426" s="76" t="b">
        <v>0</v>
      </c>
      <c r="L3426" s="76" t="b">
        <v>0</v>
      </c>
      <c r="M3426" s="76" t="b">
        <v>0</v>
      </c>
      <c r="N3426" s="76" t="b">
        <v>0</v>
      </c>
      <c r="O3426" s="76" t="b">
        <v>0</v>
      </c>
      <c r="P3426" s="76" t="b">
        <v>0</v>
      </c>
      <c r="Q3426" s="76" t="b">
        <v>0</v>
      </c>
      <c r="R3426" s="14"/>
      <c r="S3426" s="14"/>
      <c r="T3426" s="14"/>
      <c r="U3426" s="14"/>
      <c r="V3426" s="14"/>
      <c r="W3426" s="14"/>
    </row>
    <row r="3427" ht="31.5" customHeight="1">
      <c r="A3427" s="158"/>
      <c r="B3427" s="159"/>
      <c r="C3427" s="160"/>
      <c r="D3427" s="130"/>
      <c r="E3427" s="130"/>
      <c r="F3427" s="161"/>
      <c r="G3427" s="164"/>
      <c r="H3427" s="76" t="b">
        <v>1</v>
      </c>
      <c r="I3427" s="76" t="b">
        <v>0</v>
      </c>
      <c r="J3427" s="76" t="b">
        <v>0</v>
      </c>
      <c r="K3427" s="76" t="b">
        <v>0</v>
      </c>
      <c r="L3427" s="76" t="b">
        <v>0</v>
      </c>
      <c r="M3427" s="76" t="b">
        <v>0</v>
      </c>
      <c r="N3427" s="76" t="b">
        <v>0</v>
      </c>
      <c r="O3427" s="76" t="b">
        <v>0</v>
      </c>
      <c r="P3427" s="76" t="b">
        <v>0</v>
      </c>
      <c r="Q3427" s="76" t="b">
        <v>0</v>
      </c>
      <c r="R3427" s="14"/>
      <c r="S3427" s="14"/>
      <c r="T3427" s="14"/>
      <c r="U3427" s="14"/>
      <c r="V3427" s="14"/>
      <c r="W3427" s="14"/>
    </row>
    <row r="3428" ht="31.5" customHeight="1">
      <c r="A3428" s="158"/>
      <c r="B3428" s="159"/>
      <c r="C3428" s="160"/>
      <c r="D3428" s="130"/>
      <c r="E3428" s="130"/>
      <c r="F3428" s="161"/>
      <c r="G3428" s="164"/>
      <c r="H3428" s="76" t="b">
        <v>1</v>
      </c>
      <c r="I3428" s="76" t="b">
        <v>0</v>
      </c>
      <c r="J3428" s="76" t="b">
        <v>0</v>
      </c>
      <c r="K3428" s="76" t="b">
        <v>0</v>
      </c>
      <c r="L3428" s="76" t="b">
        <v>0</v>
      </c>
      <c r="M3428" s="76" t="b">
        <v>0</v>
      </c>
      <c r="N3428" s="76" t="b">
        <v>0</v>
      </c>
      <c r="O3428" s="76" t="b">
        <v>0</v>
      </c>
      <c r="P3428" s="76" t="b">
        <v>0</v>
      </c>
      <c r="Q3428" s="76" t="b">
        <v>0</v>
      </c>
      <c r="R3428" s="14"/>
      <c r="S3428" s="14"/>
      <c r="T3428" s="14"/>
      <c r="U3428" s="14"/>
      <c r="V3428" s="14"/>
      <c r="W3428" s="14"/>
    </row>
    <row r="3429" ht="31.5" customHeight="1">
      <c r="A3429" s="158"/>
      <c r="B3429" s="159"/>
      <c r="C3429" s="160"/>
      <c r="D3429" s="130"/>
      <c r="E3429" s="130"/>
      <c r="F3429" s="161"/>
      <c r="G3429" s="164"/>
      <c r="H3429" s="76" t="b">
        <v>1</v>
      </c>
      <c r="I3429" s="76" t="b">
        <v>0</v>
      </c>
      <c r="J3429" s="76" t="b">
        <v>0</v>
      </c>
      <c r="K3429" s="76" t="b">
        <v>0</v>
      </c>
      <c r="L3429" s="76" t="b">
        <v>0</v>
      </c>
      <c r="M3429" s="76" t="b">
        <v>0</v>
      </c>
      <c r="N3429" s="76" t="b">
        <v>0</v>
      </c>
      <c r="O3429" s="76" t="b">
        <v>0</v>
      </c>
      <c r="P3429" s="76" t="b">
        <v>0</v>
      </c>
      <c r="Q3429" s="76" t="b">
        <v>0</v>
      </c>
      <c r="R3429" s="14"/>
      <c r="S3429" s="14"/>
      <c r="T3429" s="14"/>
      <c r="U3429" s="14"/>
      <c r="V3429" s="14"/>
      <c r="W3429" s="14"/>
    </row>
    <row r="3430" ht="31.5" customHeight="1">
      <c r="A3430" s="158"/>
      <c r="B3430" s="159"/>
      <c r="C3430" s="160"/>
      <c r="D3430" s="130"/>
      <c r="E3430" s="130"/>
      <c r="F3430" s="161"/>
      <c r="G3430" s="164"/>
      <c r="H3430" s="76" t="b">
        <v>1</v>
      </c>
      <c r="I3430" s="76" t="b">
        <v>0</v>
      </c>
      <c r="J3430" s="76" t="b">
        <v>0</v>
      </c>
      <c r="K3430" s="76" t="b">
        <v>0</v>
      </c>
      <c r="L3430" s="76" t="b">
        <v>0</v>
      </c>
      <c r="M3430" s="76" t="b">
        <v>0</v>
      </c>
      <c r="N3430" s="76" t="b">
        <v>0</v>
      </c>
      <c r="O3430" s="76" t="b">
        <v>0</v>
      </c>
      <c r="P3430" s="76" t="b">
        <v>0</v>
      </c>
      <c r="Q3430" s="76" t="b">
        <v>0</v>
      </c>
      <c r="R3430" s="14"/>
      <c r="S3430" s="14"/>
      <c r="T3430" s="14"/>
      <c r="U3430" s="14"/>
      <c r="V3430" s="14"/>
      <c r="W3430" s="14"/>
    </row>
    <row r="3431" ht="31.5" customHeight="1">
      <c r="A3431" s="158"/>
      <c r="B3431" s="159"/>
      <c r="C3431" s="160"/>
      <c r="D3431" s="130"/>
      <c r="E3431" s="130"/>
      <c r="F3431" s="161"/>
      <c r="G3431" s="164"/>
      <c r="H3431" s="76" t="b">
        <v>1</v>
      </c>
      <c r="I3431" s="76" t="b">
        <v>0</v>
      </c>
      <c r="J3431" s="76" t="b">
        <v>0</v>
      </c>
      <c r="K3431" s="76" t="b">
        <v>0</v>
      </c>
      <c r="L3431" s="76" t="b">
        <v>0</v>
      </c>
      <c r="M3431" s="76" t="b">
        <v>0</v>
      </c>
      <c r="N3431" s="76" t="b">
        <v>0</v>
      </c>
      <c r="O3431" s="76" t="b">
        <v>0</v>
      </c>
      <c r="P3431" s="76" t="b">
        <v>0</v>
      </c>
      <c r="Q3431" s="76" t="b">
        <v>0</v>
      </c>
      <c r="R3431" s="14"/>
      <c r="S3431" s="14"/>
      <c r="T3431" s="14"/>
      <c r="U3431" s="14"/>
      <c r="V3431" s="14"/>
      <c r="W3431" s="14"/>
    </row>
    <row r="3432" ht="31.5" customHeight="1">
      <c r="A3432" s="158"/>
      <c r="B3432" s="159"/>
      <c r="C3432" s="160"/>
      <c r="D3432" s="130"/>
      <c r="E3432" s="130"/>
      <c r="F3432" s="161"/>
      <c r="G3432" s="164"/>
      <c r="H3432" s="76" t="b">
        <v>1</v>
      </c>
      <c r="I3432" s="76" t="b">
        <v>0</v>
      </c>
      <c r="J3432" s="76" t="b">
        <v>0</v>
      </c>
      <c r="K3432" s="76" t="b">
        <v>0</v>
      </c>
      <c r="L3432" s="76" t="b">
        <v>0</v>
      </c>
      <c r="M3432" s="76" t="b">
        <v>0</v>
      </c>
      <c r="N3432" s="76" t="b">
        <v>0</v>
      </c>
      <c r="O3432" s="76" t="b">
        <v>0</v>
      </c>
      <c r="P3432" s="76" t="b">
        <v>0</v>
      </c>
      <c r="Q3432" s="76" t="b">
        <v>0</v>
      </c>
      <c r="R3432" s="14"/>
      <c r="S3432" s="14"/>
      <c r="T3432" s="14"/>
      <c r="U3432" s="14"/>
      <c r="V3432" s="14"/>
      <c r="W3432" s="14"/>
    </row>
    <row r="3433" ht="31.5" customHeight="1">
      <c r="A3433" s="158"/>
      <c r="B3433" s="159"/>
      <c r="C3433" s="160"/>
      <c r="D3433" s="130"/>
      <c r="E3433" s="130"/>
      <c r="F3433" s="161"/>
      <c r="G3433" s="164"/>
      <c r="H3433" s="76" t="b">
        <v>1</v>
      </c>
      <c r="I3433" s="76" t="b">
        <v>0</v>
      </c>
      <c r="J3433" s="76" t="b">
        <v>0</v>
      </c>
      <c r="K3433" s="76" t="b">
        <v>0</v>
      </c>
      <c r="L3433" s="76" t="b">
        <v>0</v>
      </c>
      <c r="M3433" s="76" t="b">
        <v>0</v>
      </c>
      <c r="N3433" s="76" t="b">
        <v>0</v>
      </c>
      <c r="O3433" s="76" t="b">
        <v>0</v>
      </c>
      <c r="P3433" s="76" t="b">
        <v>0</v>
      </c>
      <c r="Q3433" s="76" t="b">
        <v>0</v>
      </c>
      <c r="R3433" s="14"/>
      <c r="S3433" s="14"/>
      <c r="T3433" s="14"/>
      <c r="U3433" s="14"/>
      <c r="V3433" s="14"/>
      <c r="W3433" s="14"/>
    </row>
    <row r="3434" ht="31.5" customHeight="1">
      <c r="A3434" s="158"/>
      <c r="B3434" s="159"/>
      <c r="C3434" s="160"/>
      <c r="D3434" s="130"/>
      <c r="E3434" s="130"/>
      <c r="F3434" s="161"/>
      <c r="G3434" s="164"/>
      <c r="H3434" s="76" t="b">
        <v>1</v>
      </c>
      <c r="I3434" s="76" t="b">
        <v>0</v>
      </c>
      <c r="J3434" s="76" t="b">
        <v>0</v>
      </c>
      <c r="K3434" s="76" t="b">
        <v>0</v>
      </c>
      <c r="L3434" s="76" t="b">
        <v>0</v>
      </c>
      <c r="M3434" s="76" t="b">
        <v>0</v>
      </c>
      <c r="N3434" s="76" t="b">
        <v>0</v>
      </c>
      <c r="O3434" s="76" t="b">
        <v>0</v>
      </c>
      <c r="P3434" s="76" t="b">
        <v>0</v>
      </c>
      <c r="Q3434" s="76" t="b">
        <v>0</v>
      </c>
      <c r="R3434" s="14"/>
      <c r="S3434" s="14"/>
      <c r="T3434" s="14"/>
      <c r="U3434" s="14"/>
      <c r="V3434" s="14"/>
      <c r="W3434" s="14"/>
    </row>
    <row r="3435" ht="31.5" customHeight="1">
      <c r="A3435" s="158"/>
      <c r="B3435" s="159"/>
      <c r="C3435" s="160"/>
      <c r="D3435" s="130"/>
      <c r="E3435" s="130"/>
      <c r="F3435" s="161"/>
      <c r="G3435" s="164"/>
      <c r="H3435" s="76" t="b">
        <v>1</v>
      </c>
      <c r="I3435" s="76" t="b">
        <v>0</v>
      </c>
      <c r="J3435" s="76" t="b">
        <v>0</v>
      </c>
      <c r="K3435" s="76" t="b">
        <v>0</v>
      </c>
      <c r="L3435" s="76" t="b">
        <v>0</v>
      </c>
      <c r="M3435" s="76" t="b">
        <v>0</v>
      </c>
      <c r="N3435" s="76" t="b">
        <v>0</v>
      </c>
      <c r="O3435" s="76" t="b">
        <v>0</v>
      </c>
      <c r="P3435" s="76" t="b">
        <v>0</v>
      </c>
      <c r="Q3435" s="76" t="b">
        <v>0</v>
      </c>
      <c r="R3435" s="14"/>
      <c r="S3435" s="14"/>
      <c r="T3435" s="14"/>
      <c r="U3435" s="14"/>
      <c r="V3435" s="14"/>
      <c r="W3435" s="14"/>
    </row>
    <row r="3436" ht="31.5" customHeight="1">
      <c r="A3436" s="158"/>
      <c r="B3436" s="159"/>
      <c r="C3436" s="160"/>
      <c r="D3436" s="130"/>
      <c r="E3436" s="130"/>
      <c r="F3436" s="161"/>
      <c r="G3436" s="164"/>
      <c r="H3436" s="76" t="b">
        <v>1</v>
      </c>
      <c r="I3436" s="76" t="b">
        <v>0</v>
      </c>
      <c r="J3436" s="76" t="b">
        <v>0</v>
      </c>
      <c r="K3436" s="76" t="b">
        <v>0</v>
      </c>
      <c r="L3436" s="76" t="b">
        <v>0</v>
      </c>
      <c r="M3436" s="76" t="b">
        <v>0</v>
      </c>
      <c r="N3436" s="76" t="b">
        <v>0</v>
      </c>
      <c r="O3436" s="76" t="b">
        <v>0</v>
      </c>
      <c r="P3436" s="76" t="b">
        <v>0</v>
      </c>
      <c r="Q3436" s="76" t="b">
        <v>0</v>
      </c>
      <c r="R3436" s="14"/>
      <c r="S3436" s="14"/>
      <c r="T3436" s="14"/>
      <c r="U3436" s="14"/>
      <c r="V3436" s="14"/>
      <c r="W3436" s="14"/>
    </row>
    <row r="3437" ht="31.5" customHeight="1">
      <c r="A3437" s="158"/>
      <c r="B3437" s="159"/>
      <c r="C3437" s="160"/>
      <c r="D3437" s="130"/>
      <c r="E3437" s="130"/>
      <c r="F3437" s="161"/>
      <c r="G3437" s="164"/>
      <c r="H3437" s="76" t="b">
        <v>1</v>
      </c>
      <c r="I3437" s="76" t="b">
        <v>0</v>
      </c>
      <c r="J3437" s="76" t="b">
        <v>0</v>
      </c>
      <c r="K3437" s="76" t="b">
        <v>0</v>
      </c>
      <c r="L3437" s="76" t="b">
        <v>0</v>
      </c>
      <c r="M3437" s="76" t="b">
        <v>0</v>
      </c>
      <c r="N3437" s="76" t="b">
        <v>0</v>
      </c>
      <c r="O3437" s="76" t="b">
        <v>0</v>
      </c>
      <c r="P3437" s="76" t="b">
        <v>0</v>
      </c>
      <c r="Q3437" s="76" t="b">
        <v>0</v>
      </c>
      <c r="R3437" s="14"/>
      <c r="S3437" s="14"/>
      <c r="T3437" s="14"/>
      <c r="U3437" s="14"/>
      <c r="V3437" s="14"/>
      <c r="W3437" s="14"/>
    </row>
    <row r="3438" ht="31.5" customHeight="1">
      <c r="A3438" s="158"/>
      <c r="B3438" s="159"/>
      <c r="C3438" s="160"/>
      <c r="D3438" s="130"/>
      <c r="E3438" s="130"/>
      <c r="F3438" s="161"/>
      <c r="G3438" s="164"/>
      <c r="H3438" s="76" t="b">
        <v>1</v>
      </c>
      <c r="I3438" s="76" t="b">
        <v>0</v>
      </c>
      <c r="J3438" s="76" t="b">
        <v>0</v>
      </c>
      <c r="K3438" s="76" t="b">
        <v>0</v>
      </c>
      <c r="L3438" s="76" t="b">
        <v>0</v>
      </c>
      <c r="M3438" s="76" t="b">
        <v>0</v>
      </c>
      <c r="N3438" s="76" t="b">
        <v>0</v>
      </c>
      <c r="O3438" s="76" t="b">
        <v>0</v>
      </c>
      <c r="P3438" s="76" t="b">
        <v>0</v>
      </c>
      <c r="Q3438" s="76" t="b">
        <v>0</v>
      </c>
      <c r="R3438" s="14"/>
      <c r="S3438" s="14"/>
      <c r="T3438" s="14"/>
      <c r="U3438" s="14"/>
      <c r="V3438" s="14"/>
      <c r="W3438" s="14"/>
    </row>
    <row r="3439" ht="31.5" customHeight="1">
      <c r="A3439" s="158"/>
      <c r="B3439" s="159"/>
      <c r="C3439" s="160"/>
      <c r="D3439" s="130"/>
      <c r="E3439" s="130"/>
      <c r="F3439" s="161"/>
      <c r="G3439" s="164"/>
      <c r="H3439" s="76" t="b">
        <v>1</v>
      </c>
      <c r="I3439" s="76" t="b">
        <v>0</v>
      </c>
      <c r="J3439" s="76" t="b">
        <v>0</v>
      </c>
      <c r="K3439" s="76" t="b">
        <v>0</v>
      </c>
      <c r="L3439" s="76" t="b">
        <v>0</v>
      </c>
      <c r="M3439" s="76" t="b">
        <v>0</v>
      </c>
      <c r="N3439" s="76" t="b">
        <v>0</v>
      </c>
      <c r="O3439" s="76" t="b">
        <v>0</v>
      </c>
      <c r="P3439" s="76" t="b">
        <v>0</v>
      </c>
      <c r="Q3439" s="76" t="b">
        <v>0</v>
      </c>
      <c r="R3439" s="14"/>
      <c r="S3439" s="14"/>
      <c r="T3439" s="14"/>
      <c r="U3439" s="14"/>
      <c r="V3439" s="14"/>
      <c r="W3439" s="14"/>
    </row>
    <row r="3440" ht="31.5" customHeight="1">
      <c r="A3440" s="158"/>
      <c r="B3440" s="159"/>
      <c r="C3440" s="160"/>
      <c r="D3440" s="130"/>
      <c r="E3440" s="130"/>
      <c r="F3440" s="161"/>
      <c r="G3440" s="164"/>
      <c r="H3440" s="76" t="b">
        <v>1</v>
      </c>
      <c r="I3440" s="76" t="b">
        <v>0</v>
      </c>
      <c r="J3440" s="76" t="b">
        <v>0</v>
      </c>
      <c r="K3440" s="76" t="b">
        <v>0</v>
      </c>
      <c r="L3440" s="76" t="b">
        <v>0</v>
      </c>
      <c r="M3440" s="76" t="b">
        <v>0</v>
      </c>
      <c r="N3440" s="76" t="b">
        <v>0</v>
      </c>
      <c r="O3440" s="76" t="b">
        <v>0</v>
      </c>
      <c r="P3440" s="76" t="b">
        <v>0</v>
      </c>
      <c r="Q3440" s="76" t="b">
        <v>0</v>
      </c>
      <c r="R3440" s="14"/>
      <c r="S3440" s="14"/>
      <c r="T3440" s="14"/>
      <c r="U3440" s="14"/>
      <c r="V3440" s="14"/>
      <c r="W3440" s="14"/>
    </row>
    <row r="3441" ht="31.5" customHeight="1">
      <c r="A3441" s="158"/>
      <c r="B3441" s="159"/>
      <c r="C3441" s="160"/>
      <c r="D3441" s="130"/>
      <c r="E3441" s="130"/>
      <c r="F3441" s="161"/>
      <c r="G3441" s="164"/>
      <c r="H3441" s="76" t="b">
        <v>1</v>
      </c>
      <c r="I3441" s="76" t="b">
        <v>0</v>
      </c>
      <c r="J3441" s="76" t="b">
        <v>0</v>
      </c>
      <c r="K3441" s="76" t="b">
        <v>0</v>
      </c>
      <c r="L3441" s="76" t="b">
        <v>0</v>
      </c>
      <c r="M3441" s="76" t="b">
        <v>0</v>
      </c>
      <c r="N3441" s="76" t="b">
        <v>0</v>
      </c>
      <c r="O3441" s="76" t="b">
        <v>0</v>
      </c>
      <c r="P3441" s="76" t="b">
        <v>0</v>
      </c>
      <c r="Q3441" s="76" t="b">
        <v>0</v>
      </c>
      <c r="R3441" s="14"/>
      <c r="S3441" s="14"/>
      <c r="T3441" s="14"/>
      <c r="U3441" s="14"/>
      <c r="V3441" s="14"/>
      <c r="W3441" s="14"/>
    </row>
    <row r="3442" ht="31.5" customHeight="1">
      <c r="A3442" s="158"/>
      <c r="B3442" s="159"/>
      <c r="C3442" s="160"/>
      <c r="D3442" s="130"/>
      <c r="E3442" s="130"/>
      <c r="F3442" s="161"/>
      <c r="G3442" s="164"/>
      <c r="H3442" s="76" t="b">
        <v>1</v>
      </c>
      <c r="I3442" s="76" t="b">
        <v>0</v>
      </c>
      <c r="J3442" s="76" t="b">
        <v>0</v>
      </c>
      <c r="K3442" s="76" t="b">
        <v>0</v>
      </c>
      <c r="L3442" s="76" t="b">
        <v>0</v>
      </c>
      <c r="M3442" s="76" t="b">
        <v>0</v>
      </c>
      <c r="N3442" s="76" t="b">
        <v>0</v>
      </c>
      <c r="O3442" s="76" t="b">
        <v>0</v>
      </c>
      <c r="P3442" s="76" t="b">
        <v>0</v>
      </c>
      <c r="Q3442" s="76" t="b">
        <v>0</v>
      </c>
      <c r="R3442" s="14"/>
      <c r="S3442" s="14"/>
      <c r="T3442" s="14"/>
      <c r="U3442" s="14"/>
      <c r="V3442" s="14"/>
      <c r="W3442" s="14"/>
    </row>
    <row r="3443" ht="31.5" customHeight="1">
      <c r="A3443" s="158"/>
      <c r="B3443" s="159"/>
      <c r="C3443" s="160"/>
      <c r="D3443" s="130"/>
      <c r="E3443" s="130"/>
      <c r="F3443" s="161"/>
      <c r="G3443" s="164"/>
      <c r="H3443" s="76" t="b">
        <v>1</v>
      </c>
      <c r="I3443" s="76" t="b">
        <v>0</v>
      </c>
      <c r="J3443" s="76" t="b">
        <v>0</v>
      </c>
      <c r="K3443" s="76" t="b">
        <v>0</v>
      </c>
      <c r="L3443" s="76" t="b">
        <v>0</v>
      </c>
      <c r="M3443" s="76" t="b">
        <v>0</v>
      </c>
      <c r="N3443" s="76" t="b">
        <v>0</v>
      </c>
      <c r="O3443" s="76" t="b">
        <v>0</v>
      </c>
      <c r="P3443" s="76" t="b">
        <v>0</v>
      </c>
      <c r="Q3443" s="76" t="b">
        <v>0</v>
      </c>
      <c r="R3443" s="14"/>
      <c r="S3443" s="14"/>
      <c r="T3443" s="14"/>
      <c r="U3443" s="14"/>
      <c r="V3443" s="14"/>
      <c r="W3443" s="14"/>
    </row>
    <row r="3444" ht="31.5" customHeight="1">
      <c r="A3444" s="158"/>
      <c r="B3444" s="159"/>
      <c r="C3444" s="160"/>
      <c r="D3444" s="130"/>
      <c r="E3444" s="130"/>
      <c r="F3444" s="161"/>
      <c r="G3444" s="164"/>
      <c r="H3444" s="76" t="b">
        <v>1</v>
      </c>
      <c r="I3444" s="76" t="b">
        <v>0</v>
      </c>
      <c r="J3444" s="76" t="b">
        <v>0</v>
      </c>
      <c r="K3444" s="76" t="b">
        <v>0</v>
      </c>
      <c r="L3444" s="76" t="b">
        <v>0</v>
      </c>
      <c r="M3444" s="76" t="b">
        <v>0</v>
      </c>
      <c r="N3444" s="76" t="b">
        <v>0</v>
      </c>
      <c r="O3444" s="76" t="b">
        <v>0</v>
      </c>
      <c r="P3444" s="76" t="b">
        <v>0</v>
      </c>
      <c r="Q3444" s="76" t="b">
        <v>0</v>
      </c>
      <c r="R3444" s="14"/>
      <c r="S3444" s="14"/>
      <c r="T3444" s="14"/>
      <c r="U3444" s="14"/>
      <c r="V3444" s="14"/>
      <c r="W3444" s="14"/>
    </row>
    <row r="3445" ht="31.5" customHeight="1">
      <c r="A3445" s="158"/>
      <c r="B3445" s="159"/>
      <c r="C3445" s="160"/>
      <c r="D3445" s="130"/>
      <c r="E3445" s="130"/>
      <c r="F3445" s="161"/>
      <c r="G3445" s="164"/>
      <c r="H3445" s="76" t="b">
        <v>1</v>
      </c>
      <c r="I3445" s="76" t="b">
        <v>0</v>
      </c>
      <c r="J3445" s="76" t="b">
        <v>0</v>
      </c>
      <c r="K3445" s="76" t="b">
        <v>0</v>
      </c>
      <c r="L3445" s="76" t="b">
        <v>0</v>
      </c>
      <c r="M3445" s="76" t="b">
        <v>0</v>
      </c>
      <c r="N3445" s="76" t="b">
        <v>0</v>
      </c>
      <c r="O3445" s="76" t="b">
        <v>0</v>
      </c>
      <c r="P3445" s="76" t="b">
        <v>0</v>
      </c>
      <c r="Q3445" s="76" t="b">
        <v>0</v>
      </c>
      <c r="R3445" s="14"/>
      <c r="S3445" s="14"/>
      <c r="T3445" s="14"/>
      <c r="U3445" s="14"/>
      <c r="V3445" s="14"/>
      <c r="W3445" s="14"/>
    </row>
    <row r="3446" ht="31.5" customHeight="1">
      <c r="A3446" s="158"/>
      <c r="B3446" s="159"/>
      <c r="C3446" s="160"/>
      <c r="D3446" s="130"/>
      <c r="E3446" s="130"/>
      <c r="F3446" s="161"/>
      <c r="G3446" s="164"/>
      <c r="H3446" s="76" t="b">
        <v>1</v>
      </c>
      <c r="I3446" s="76" t="b">
        <v>0</v>
      </c>
      <c r="J3446" s="76" t="b">
        <v>0</v>
      </c>
      <c r="K3446" s="76" t="b">
        <v>0</v>
      </c>
      <c r="L3446" s="76" t="b">
        <v>0</v>
      </c>
      <c r="M3446" s="76" t="b">
        <v>0</v>
      </c>
      <c r="N3446" s="76" t="b">
        <v>0</v>
      </c>
      <c r="O3446" s="76" t="b">
        <v>0</v>
      </c>
      <c r="P3446" s="76" t="b">
        <v>0</v>
      </c>
      <c r="Q3446" s="76" t="b">
        <v>0</v>
      </c>
      <c r="R3446" s="14"/>
      <c r="S3446" s="14"/>
      <c r="T3446" s="14"/>
      <c r="U3446" s="14"/>
      <c r="V3446" s="14"/>
      <c r="W3446" s="14"/>
    </row>
    <row r="3447" ht="31.5" customHeight="1">
      <c r="A3447" s="158"/>
      <c r="B3447" s="159"/>
      <c r="C3447" s="160"/>
      <c r="D3447" s="130"/>
      <c r="E3447" s="130"/>
      <c r="F3447" s="161"/>
      <c r="G3447" s="164"/>
      <c r="H3447" s="76" t="b">
        <v>1</v>
      </c>
      <c r="I3447" s="76" t="b">
        <v>0</v>
      </c>
      <c r="J3447" s="76" t="b">
        <v>0</v>
      </c>
      <c r="K3447" s="76" t="b">
        <v>0</v>
      </c>
      <c r="L3447" s="76" t="b">
        <v>0</v>
      </c>
      <c r="M3447" s="76" t="b">
        <v>0</v>
      </c>
      <c r="N3447" s="76" t="b">
        <v>0</v>
      </c>
      <c r="O3447" s="76" t="b">
        <v>0</v>
      </c>
      <c r="P3447" s="76" t="b">
        <v>0</v>
      </c>
      <c r="Q3447" s="76" t="b">
        <v>0</v>
      </c>
      <c r="R3447" s="14"/>
      <c r="S3447" s="14"/>
      <c r="T3447" s="14"/>
      <c r="U3447" s="14"/>
      <c r="V3447" s="14"/>
      <c r="W3447" s="14"/>
    </row>
    <row r="3448" ht="31.5" customHeight="1">
      <c r="A3448" s="158"/>
      <c r="B3448" s="159"/>
      <c r="C3448" s="160"/>
      <c r="D3448" s="130"/>
      <c r="E3448" s="130"/>
      <c r="F3448" s="161"/>
      <c r="G3448" s="164"/>
      <c r="H3448" s="76" t="b">
        <v>1</v>
      </c>
      <c r="I3448" s="76" t="b">
        <v>0</v>
      </c>
      <c r="J3448" s="76" t="b">
        <v>0</v>
      </c>
      <c r="K3448" s="76" t="b">
        <v>0</v>
      </c>
      <c r="L3448" s="76" t="b">
        <v>0</v>
      </c>
      <c r="M3448" s="76" t="b">
        <v>0</v>
      </c>
      <c r="N3448" s="76" t="b">
        <v>0</v>
      </c>
      <c r="O3448" s="76" t="b">
        <v>0</v>
      </c>
      <c r="P3448" s="76" t="b">
        <v>0</v>
      </c>
      <c r="Q3448" s="76" t="b">
        <v>0</v>
      </c>
      <c r="R3448" s="14"/>
      <c r="S3448" s="14"/>
      <c r="T3448" s="14"/>
      <c r="U3448" s="14"/>
      <c r="V3448" s="14"/>
      <c r="W3448" s="14"/>
    </row>
    <row r="3449" ht="31.5" customHeight="1">
      <c r="A3449" s="158"/>
      <c r="B3449" s="159"/>
      <c r="C3449" s="160"/>
      <c r="D3449" s="130"/>
      <c r="E3449" s="130"/>
      <c r="F3449" s="161"/>
      <c r="G3449" s="164"/>
      <c r="H3449" s="76" t="b">
        <v>1</v>
      </c>
      <c r="I3449" s="76" t="b">
        <v>0</v>
      </c>
      <c r="J3449" s="76" t="b">
        <v>0</v>
      </c>
      <c r="K3449" s="76" t="b">
        <v>0</v>
      </c>
      <c r="L3449" s="76" t="b">
        <v>0</v>
      </c>
      <c r="M3449" s="76" t="b">
        <v>0</v>
      </c>
      <c r="N3449" s="76" t="b">
        <v>0</v>
      </c>
      <c r="O3449" s="76" t="b">
        <v>0</v>
      </c>
      <c r="P3449" s="76" t="b">
        <v>0</v>
      </c>
      <c r="Q3449" s="76" t="b">
        <v>0</v>
      </c>
      <c r="R3449" s="14"/>
      <c r="S3449" s="14"/>
      <c r="T3449" s="14"/>
      <c r="U3449" s="14"/>
      <c r="V3449" s="14"/>
      <c r="W3449" s="14"/>
    </row>
    <row r="3450" ht="31.5" customHeight="1">
      <c r="A3450" s="158"/>
      <c r="B3450" s="159"/>
      <c r="C3450" s="160"/>
      <c r="D3450" s="130"/>
      <c r="E3450" s="130"/>
      <c r="F3450" s="161"/>
      <c r="G3450" s="164"/>
      <c r="H3450" s="76" t="b">
        <v>1</v>
      </c>
      <c r="I3450" s="76" t="b">
        <v>0</v>
      </c>
      <c r="J3450" s="76" t="b">
        <v>0</v>
      </c>
      <c r="K3450" s="76" t="b">
        <v>0</v>
      </c>
      <c r="L3450" s="76" t="b">
        <v>0</v>
      </c>
      <c r="M3450" s="76" t="b">
        <v>0</v>
      </c>
      <c r="N3450" s="76" t="b">
        <v>0</v>
      </c>
      <c r="O3450" s="76" t="b">
        <v>0</v>
      </c>
      <c r="P3450" s="76" t="b">
        <v>0</v>
      </c>
      <c r="Q3450" s="76" t="b">
        <v>0</v>
      </c>
      <c r="R3450" s="14"/>
      <c r="S3450" s="14"/>
      <c r="T3450" s="14"/>
      <c r="U3450" s="14"/>
      <c r="V3450" s="14"/>
      <c r="W3450" s="14"/>
    </row>
    <row r="3451" ht="31.5" customHeight="1">
      <c r="A3451" s="158"/>
      <c r="B3451" s="159"/>
      <c r="C3451" s="160"/>
      <c r="D3451" s="130"/>
      <c r="E3451" s="130"/>
      <c r="F3451" s="161"/>
      <c r="G3451" s="164"/>
      <c r="H3451" s="76" t="b">
        <v>1</v>
      </c>
      <c r="I3451" s="76" t="b">
        <v>0</v>
      </c>
      <c r="J3451" s="76" t="b">
        <v>0</v>
      </c>
      <c r="K3451" s="76" t="b">
        <v>0</v>
      </c>
      <c r="L3451" s="76" t="b">
        <v>0</v>
      </c>
      <c r="M3451" s="76" t="b">
        <v>0</v>
      </c>
      <c r="N3451" s="76" t="b">
        <v>0</v>
      </c>
      <c r="O3451" s="76" t="b">
        <v>0</v>
      </c>
      <c r="P3451" s="76" t="b">
        <v>0</v>
      </c>
      <c r="Q3451" s="76" t="b">
        <v>0</v>
      </c>
      <c r="R3451" s="14"/>
      <c r="S3451" s="14"/>
      <c r="T3451" s="14"/>
      <c r="U3451" s="14"/>
      <c r="V3451" s="14"/>
      <c r="W3451" s="14"/>
    </row>
    <row r="3452" ht="31.5" customHeight="1">
      <c r="A3452" s="158"/>
      <c r="B3452" s="159"/>
      <c r="C3452" s="160"/>
      <c r="D3452" s="130"/>
      <c r="E3452" s="130"/>
      <c r="F3452" s="161"/>
      <c r="G3452" s="164"/>
      <c r="H3452" s="76" t="b">
        <v>1</v>
      </c>
      <c r="I3452" s="76" t="b">
        <v>0</v>
      </c>
      <c r="J3452" s="76" t="b">
        <v>0</v>
      </c>
      <c r="K3452" s="76" t="b">
        <v>0</v>
      </c>
      <c r="L3452" s="76" t="b">
        <v>0</v>
      </c>
      <c r="M3452" s="76" t="b">
        <v>0</v>
      </c>
      <c r="N3452" s="76" t="b">
        <v>0</v>
      </c>
      <c r="O3452" s="76" t="b">
        <v>0</v>
      </c>
      <c r="P3452" s="76" t="b">
        <v>0</v>
      </c>
      <c r="Q3452" s="76" t="b">
        <v>0</v>
      </c>
      <c r="R3452" s="14"/>
      <c r="S3452" s="14"/>
      <c r="T3452" s="14"/>
      <c r="U3452" s="14"/>
      <c r="V3452" s="14"/>
      <c r="W3452" s="14"/>
    </row>
    <row r="3453" ht="31.5" customHeight="1">
      <c r="A3453" s="158"/>
      <c r="B3453" s="159"/>
      <c r="C3453" s="160"/>
      <c r="D3453" s="130"/>
      <c r="E3453" s="130"/>
      <c r="F3453" s="161"/>
      <c r="G3453" s="164"/>
      <c r="H3453" s="76" t="b">
        <v>1</v>
      </c>
      <c r="I3453" s="76" t="b">
        <v>0</v>
      </c>
      <c r="J3453" s="76" t="b">
        <v>0</v>
      </c>
      <c r="K3453" s="76" t="b">
        <v>0</v>
      </c>
      <c r="L3453" s="76" t="b">
        <v>0</v>
      </c>
      <c r="M3453" s="76" t="b">
        <v>0</v>
      </c>
      <c r="N3453" s="76" t="b">
        <v>0</v>
      </c>
      <c r="O3453" s="76" t="b">
        <v>0</v>
      </c>
      <c r="P3453" s="76" t="b">
        <v>0</v>
      </c>
      <c r="Q3453" s="76" t="b">
        <v>0</v>
      </c>
      <c r="R3453" s="14"/>
      <c r="S3453" s="14"/>
      <c r="T3453" s="14"/>
      <c r="U3453" s="14"/>
      <c r="V3453" s="14"/>
      <c r="W3453" s="14"/>
    </row>
    <row r="3454" ht="31.5" customHeight="1">
      <c r="A3454" s="158"/>
      <c r="B3454" s="159"/>
      <c r="C3454" s="160"/>
      <c r="D3454" s="130"/>
      <c r="E3454" s="130"/>
      <c r="F3454" s="161"/>
      <c r="G3454" s="164"/>
      <c r="H3454" s="76" t="b">
        <v>1</v>
      </c>
      <c r="I3454" s="76" t="b">
        <v>0</v>
      </c>
      <c r="J3454" s="76" t="b">
        <v>0</v>
      </c>
      <c r="K3454" s="76" t="b">
        <v>0</v>
      </c>
      <c r="L3454" s="76" t="b">
        <v>0</v>
      </c>
      <c r="M3454" s="76" t="b">
        <v>0</v>
      </c>
      <c r="N3454" s="76" t="b">
        <v>0</v>
      </c>
      <c r="O3454" s="76" t="b">
        <v>0</v>
      </c>
      <c r="P3454" s="76" t="b">
        <v>0</v>
      </c>
      <c r="Q3454" s="76" t="b">
        <v>0</v>
      </c>
      <c r="R3454" s="14"/>
      <c r="S3454" s="14"/>
      <c r="T3454" s="14"/>
      <c r="U3454" s="14"/>
      <c r="V3454" s="14"/>
      <c r="W3454" s="14"/>
    </row>
    <row r="3455" ht="31.5" customHeight="1">
      <c r="A3455" s="158"/>
      <c r="B3455" s="159"/>
      <c r="C3455" s="160"/>
      <c r="D3455" s="130"/>
      <c r="E3455" s="130"/>
      <c r="F3455" s="161"/>
      <c r="G3455" s="164"/>
      <c r="H3455" s="76" t="b">
        <v>0</v>
      </c>
      <c r="I3455" s="76" t="b">
        <v>0</v>
      </c>
      <c r="J3455" s="76" t="b">
        <v>0</v>
      </c>
      <c r="K3455" s="76" t="b">
        <v>0</v>
      </c>
      <c r="L3455" s="76" t="b">
        <v>0</v>
      </c>
      <c r="M3455" s="76" t="b">
        <v>0</v>
      </c>
      <c r="N3455" s="76" t="b">
        <v>0</v>
      </c>
      <c r="O3455" s="76" t="b">
        <v>0</v>
      </c>
      <c r="P3455" s="76" t="b">
        <v>0</v>
      </c>
      <c r="Q3455" s="76" t="b">
        <v>0</v>
      </c>
      <c r="R3455" s="14"/>
      <c r="S3455" s="14"/>
      <c r="T3455" s="14"/>
      <c r="U3455" s="14"/>
      <c r="V3455" s="14"/>
      <c r="W3455" s="14"/>
    </row>
    <row r="3456" ht="31.5" customHeight="1">
      <c r="A3456" s="158"/>
      <c r="B3456" s="159"/>
      <c r="C3456" s="160"/>
      <c r="D3456" s="130"/>
      <c r="E3456" s="130"/>
      <c r="F3456" s="161"/>
      <c r="G3456" s="164"/>
      <c r="H3456" s="76" t="b">
        <v>0</v>
      </c>
      <c r="I3456" s="76" t="b">
        <v>0</v>
      </c>
      <c r="J3456" s="76" t="b">
        <v>0</v>
      </c>
      <c r="K3456" s="76" t="b">
        <v>0</v>
      </c>
      <c r="L3456" s="76" t="b">
        <v>0</v>
      </c>
      <c r="M3456" s="76" t="b">
        <v>0</v>
      </c>
      <c r="N3456" s="76" t="b">
        <v>0</v>
      </c>
      <c r="O3456" s="76" t="b">
        <v>0</v>
      </c>
      <c r="P3456" s="76" t="b">
        <v>0</v>
      </c>
      <c r="Q3456" s="76" t="b">
        <v>0</v>
      </c>
      <c r="R3456" s="14"/>
      <c r="S3456" s="14"/>
      <c r="T3456" s="14"/>
      <c r="U3456" s="14"/>
      <c r="V3456" s="14"/>
      <c r="W3456" s="14"/>
    </row>
    <row r="3457" ht="31.5" customHeight="1">
      <c r="A3457" s="158"/>
      <c r="B3457" s="159"/>
      <c r="C3457" s="160"/>
      <c r="D3457" s="130"/>
      <c r="E3457" s="130"/>
      <c r="F3457" s="161"/>
      <c r="G3457" s="164"/>
      <c r="H3457" s="76" t="b">
        <v>0</v>
      </c>
      <c r="I3457" s="76" t="b">
        <v>0</v>
      </c>
      <c r="J3457" s="76" t="b">
        <v>0</v>
      </c>
      <c r="K3457" s="76" t="b">
        <v>0</v>
      </c>
      <c r="L3457" s="76" t="b">
        <v>0</v>
      </c>
      <c r="M3457" s="76" t="b">
        <v>0</v>
      </c>
      <c r="N3457" s="76" t="b">
        <v>0</v>
      </c>
      <c r="O3457" s="76" t="b">
        <v>0</v>
      </c>
      <c r="P3457" s="76" t="b">
        <v>0</v>
      </c>
      <c r="Q3457" s="76" t="b">
        <v>0</v>
      </c>
      <c r="R3457" s="14"/>
      <c r="S3457" s="14"/>
      <c r="T3457" s="14"/>
      <c r="U3457" s="14"/>
      <c r="V3457" s="14"/>
      <c r="W3457" s="14"/>
    </row>
    <row r="3458" ht="31.5" customHeight="1">
      <c r="A3458" s="158"/>
      <c r="B3458" s="159"/>
      <c r="C3458" s="160"/>
      <c r="D3458" s="130"/>
      <c r="E3458" s="130"/>
      <c r="F3458" s="161"/>
      <c r="G3458" s="164"/>
      <c r="H3458" s="76" t="b">
        <v>0</v>
      </c>
      <c r="I3458" s="76" t="b">
        <v>0</v>
      </c>
      <c r="J3458" s="76" t="b">
        <v>0</v>
      </c>
      <c r="K3458" s="76" t="b">
        <v>0</v>
      </c>
      <c r="L3458" s="76" t="b">
        <v>0</v>
      </c>
      <c r="M3458" s="76" t="b">
        <v>0</v>
      </c>
      <c r="N3458" s="76" t="b">
        <v>0</v>
      </c>
      <c r="O3458" s="76" t="b">
        <v>0</v>
      </c>
      <c r="P3458" s="76" t="b">
        <v>0</v>
      </c>
      <c r="Q3458" s="76" t="b">
        <v>0</v>
      </c>
      <c r="R3458" s="14"/>
      <c r="S3458" s="14"/>
      <c r="T3458" s="14"/>
      <c r="U3458" s="14"/>
      <c r="V3458" s="14"/>
      <c r="W3458" s="14"/>
    </row>
    <row r="3459" ht="31.5" customHeight="1">
      <c r="A3459" s="158"/>
      <c r="B3459" s="159"/>
      <c r="C3459" s="160"/>
      <c r="D3459" s="130"/>
      <c r="E3459" s="130"/>
      <c r="F3459" s="161"/>
      <c r="G3459" s="164"/>
      <c r="H3459" s="76" t="b">
        <v>0</v>
      </c>
      <c r="I3459" s="76" t="b">
        <v>0</v>
      </c>
      <c r="J3459" s="76" t="b">
        <v>0</v>
      </c>
      <c r="K3459" s="76" t="b">
        <v>0</v>
      </c>
      <c r="L3459" s="76" t="b">
        <v>0</v>
      </c>
      <c r="M3459" s="76" t="b">
        <v>0</v>
      </c>
      <c r="N3459" s="76" t="b">
        <v>0</v>
      </c>
      <c r="O3459" s="76" t="b">
        <v>0</v>
      </c>
      <c r="P3459" s="76" t="b">
        <v>0</v>
      </c>
      <c r="Q3459" s="76" t="b">
        <v>0</v>
      </c>
      <c r="R3459" s="14"/>
      <c r="S3459" s="14"/>
      <c r="T3459" s="14"/>
      <c r="U3459" s="14"/>
      <c r="V3459" s="14"/>
      <c r="W3459" s="14"/>
    </row>
    <row r="3460" ht="31.5" customHeight="1">
      <c r="A3460" s="158"/>
      <c r="B3460" s="159"/>
      <c r="C3460" s="160"/>
      <c r="D3460" s="130"/>
      <c r="E3460" s="130"/>
      <c r="F3460" s="161"/>
      <c r="G3460" s="164"/>
      <c r="H3460" s="76" t="b">
        <v>0</v>
      </c>
      <c r="I3460" s="76" t="b">
        <v>0</v>
      </c>
      <c r="J3460" s="76" t="b">
        <v>0</v>
      </c>
      <c r="K3460" s="76" t="b">
        <v>0</v>
      </c>
      <c r="L3460" s="76" t="b">
        <v>0</v>
      </c>
      <c r="M3460" s="76" t="b">
        <v>0</v>
      </c>
      <c r="N3460" s="76" t="b">
        <v>0</v>
      </c>
      <c r="O3460" s="76" t="b">
        <v>0</v>
      </c>
      <c r="P3460" s="76" t="b">
        <v>0</v>
      </c>
      <c r="Q3460" s="76" t="b">
        <v>0</v>
      </c>
      <c r="R3460" s="14"/>
      <c r="S3460" s="14"/>
      <c r="T3460" s="14"/>
      <c r="U3460" s="14"/>
      <c r="V3460" s="14"/>
      <c r="W3460" s="14"/>
    </row>
    <row r="3461" ht="31.5" customHeight="1">
      <c r="A3461" s="158"/>
      <c r="B3461" s="159"/>
      <c r="C3461" s="160"/>
      <c r="D3461" s="130"/>
      <c r="E3461" s="130"/>
      <c r="F3461" s="161"/>
      <c r="G3461" s="164"/>
      <c r="H3461" s="76" t="b">
        <v>0</v>
      </c>
      <c r="I3461" s="76" t="b">
        <v>0</v>
      </c>
      <c r="J3461" s="76" t="b">
        <v>0</v>
      </c>
      <c r="K3461" s="76" t="b">
        <v>0</v>
      </c>
      <c r="L3461" s="76" t="b">
        <v>0</v>
      </c>
      <c r="M3461" s="76" t="b">
        <v>0</v>
      </c>
      <c r="N3461" s="76" t="b">
        <v>0</v>
      </c>
      <c r="O3461" s="76" t="b">
        <v>0</v>
      </c>
      <c r="P3461" s="76" t="b">
        <v>0</v>
      </c>
      <c r="Q3461" s="76" t="b">
        <v>0</v>
      </c>
      <c r="R3461" s="14"/>
      <c r="S3461" s="14"/>
      <c r="T3461" s="14"/>
      <c r="U3461" s="14"/>
      <c r="V3461" s="14"/>
      <c r="W3461" s="14"/>
    </row>
    <row r="3462" ht="31.5" customHeight="1">
      <c r="A3462" s="158"/>
      <c r="B3462" s="159"/>
      <c r="C3462" s="160"/>
      <c r="D3462" s="130"/>
      <c r="E3462" s="130"/>
      <c r="F3462" s="161"/>
      <c r="G3462" s="164"/>
      <c r="H3462" s="76" t="b">
        <v>0</v>
      </c>
      <c r="I3462" s="76" t="b">
        <v>0</v>
      </c>
      <c r="J3462" s="76" t="b">
        <v>0</v>
      </c>
      <c r="K3462" s="76" t="b">
        <v>0</v>
      </c>
      <c r="L3462" s="76" t="b">
        <v>0</v>
      </c>
      <c r="M3462" s="76" t="b">
        <v>0</v>
      </c>
      <c r="N3462" s="76" t="b">
        <v>0</v>
      </c>
      <c r="O3462" s="76" t="b">
        <v>0</v>
      </c>
      <c r="P3462" s="76" t="b">
        <v>0</v>
      </c>
      <c r="Q3462" s="76" t="b">
        <v>0</v>
      </c>
      <c r="R3462" s="14"/>
      <c r="S3462" s="14"/>
      <c r="T3462" s="14"/>
      <c r="U3462" s="14"/>
      <c r="V3462" s="14"/>
      <c r="W3462" s="14"/>
    </row>
    <row r="3463" ht="31.5" customHeight="1">
      <c r="A3463" s="158"/>
      <c r="B3463" s="159"/>
      <c r="C3463" s="160"/>
      <c r="D3463" s="130"/>
      <c r="E3463" s="130"/>
      <c r="F3463" s="161"/>
      <c r="G3463" s="164"/>
      <c r="H3463" s="76" t="b">
        <v>0</v>
      </c>
      <c r="I3463" s="76" t="b">
        <v>0</v>
      </c>
      <c r="J3463" s="76" t="b">
        <v>0</v>
      </c>
      <c r="K3463" s="76" t="b">
        <v>0</v>
      </c>
      <c r="L3463" s="76" t="b">
        <v>0</v>
      </c>
      <c r="M3463" s="76" t="b">
        <v>0</v>
      </c>
      <c r="N3463" s="76" t="b">
        <v>0</v>
      </c>
      <c r="O3463" s="76" t="b">
        <v>0</v>
      </c>
      <c r="P3463" s="76" t="b">
        <v>0</v>
      </c>
      <c r="Q3463" s="76" t="b">
        <v>0</v>
      </c>
      <c r="R3463" s="14"/>
      <c r="S3463" s="14"/>
      <c r="T3463" s="14"/>
      <c r="U3463" s="14"/>
      <c r="V3463" s="14"/>
      <c r="W3463" s="14"/>
    </row>
    <row r="3464" ht="31.5" customHeight="1">
      <c r="A3464" s="158"/>
      <c r="B3464" s="159"/>
      <c r="C3464" s="160"/>
      <c r="D3464" s="130"/>
      <c r="E3464" s="130"/>
      <c r="F3464" s="161"/>
      <c r="G3464" s="164"/>
      <c r="H3464" s="76" t="b">
        <v>0</v>
      </c>
      <c r="I3464" s="76" t="b">
        <v>0</v>
      </c>
      <c r="J3464" s="76" t="b">
        <v>0</v>
      </c>
      <c r="K3464" s="76" t="b">
        <v>0</v>
      </c>
      <c r="L3464" s="76" t="b">
        <v>0</v>
      </c>
      <c r="M3464" s="76" t="b">
        <v>0</v>
      </c>
      <c r="N3464" s="76" t="b">
        <v>0</v>
      </c>
      <c r="O3464" s="76" t="b">
        <v>0</v>
      </c>
      <c r="P3464" s="76" t="b">
        <v>0</v>
      </c>
      <c r="Q3464" s="76" t="b">
        <v>0</v>
      </c>
      <c r="R3464" s="14"/>
      <c r="S3464" s="14"/>
      <c r="T3464" s="14"/>
      <c r="U3464" s="14"/>
      <c r="V3464" s="14"/>
      <c r="W3464" s="14"/>
    </row>
    <row r="3465" ht="31.5" customHeight="1">
      <c r="A3465" s="158"/>
      <c r="B3465" s="159"/>
      <c r="C3465" s="160"/>
      <c r="D3465" s="130"/>
      <c r="E3465" s="130"/>
      <c r="F3465" s="161"/>
      <c r="G3465" s="164"/>
      <c r="H3465" s="76" t="b">
        <v>0</v>
      </c>
      <c r="I3465" s="76" t="b">
        <v>0</v>
      </c>
      <c r="J3465" s="76" t="b">
        <v>0</v>
      </c>
      <c r="K3465" s="76" t="b">
        <v>0</v>
      </c>
      <c r="L3465" s="76" t="b">
        <v>0</v>
      </c>
      <c r="M3465" s="76" t="b">
        <v>0</v>
      </c>
      <c r="N3465" s="76" t="b">
        <v>0</v>
      </c>
      <c r="O3465" s="76" t="b">
        <v>0</v>
      </c>
      <c r="P3465" s="76" t="b">
        <v>0</v>
      </c>
      <c r="Q3465" s="76" t="b">
        <v>0</v>
      </c>
      <c r="R3465" s="14"/>
      <c r="S3465" s="14"/>
      <c r="T3465" s="14"/>
      <c r="U3465" s="14"/>
      <c r="V3465" s="14"/>
      <c r="W3465" s="14"/>
    </row>
    <row r="3466" ht="31.5" customHeight="1">
      <c r="A3466" s="158"/>
      <c r="B3466" s="159"/>
      <c r="C3466" s="160"/>
      <c r="D3466" s="130"/>
      <c r="E3466" s="130"/>
      <c r="F3466" s="161"/>
      <c r="G3466" s="164"/>
      <c r="H3466" s="76" t="b">
        <v>0</v>
      </c>
      <c r="I3466" s="76" t="b">
        <v>0</v>
      </c>
      <c r="J3466" s="76" t="b">
        <v>0</v>
      </c>
      <c r="K3466" s="76" t="b">
        <v>0</v>
      </c>
      <c r="L3466" s="76" t="b">
        <v>0</v>
      </c>
      <c r="M3466" s="76" t="b">
        <v>0</v>
      </c>
      <c r="N3466" s="76" t="b">
        <v>0</v>
      </c>
      <c r="O3466" s="76" t="b">
        <v>0</v>
      </c>
      <c r="P3466" s="76" t="b">
        <v>0</v>
      </c>
      <c r="Q3466" s="76" t="b">
        <v>0</v>
      </c>
      <c r="R3466" s="14"/>
      <c r="S3466" s="14"/>
      <c r="T3466" s="14"/>
      <c r="U3466" s="14"/>
      <c r="V3466" s="14"/>
      <c r="W3466" s="14"/>
    </row>
    <row r="3467" ht="31.5" customHeight="1">
      <c r="A3467" s="158"/>
      <c r="B3467" s="159"/>
      <c r="C3467" s="160"/>
      <c r="D3467" s="130"/>
      <c r="E3467" s="130"/>
      <c r="F3467" s="161"/>
      <c r="G3467" s="164"/>
      <c r="H3467" s="76" t="b">
        <v>0</v>
      </c>
      <c r="I3467" s="76" t="b">
        <v>0</v>
      </c>
      <c r="J3467" s="76" t="b">
        <v>0</v>
      </c>
      <c r="K3467" s="76" t="b">
        <v>0</v>
      </c>
      <c r="L3467" s="76" t="b">
        <v>0</v>
      </c>
      <c r="M3467" s="76" t="b">
        <v>0</v>
      </c>
      <c r="N3467" s="76" t="b">
        <v>0</v>
      </c>
      <c r="O3467" s="76" t="b">
        <v>0</v>
      </c>
      <c r="P3467" s="76" t="b">
        <v>0</v>
      </c>
      <c r="Q3467" s="76" t="b">
        <v>0</v>
      </c>
      <c r="R3467" s="14"/>
      <c r="S3467" s="14"/>
      <c r="T3467" s="14"/>
      <c r="U3467" s="14"/>
      <c r="V3467" s="14"/>
      <c r="W3467" s="14"/>
    </row>
    <row r="3468" ht="31.5" customHeight="1">
      <c r="A3468" s="158"/>
      <c r="B3468" s="159"/>
      <c r="C3468" s="160"/>
      <c r="D3468" s="130"/>
      <c r="E3468" s="130"/>
      <c r="F3468" s="161"/>
      <c r="G3468" s="164"/>
      <c r="H3468" s="76" t="b">
        <v>0</v>
      </c>
      <c r="I3468" s="76" t="b">
        <v>0</v>
      </c>
      <c r="J3468" s="76" t="b">
        <v>0</v>
      </c>
      <c r="K3468" s="76" t="b">
        <v>0</v>
      </c>
      <c r="L3468" s="76" t="b">
        <v>0</v>
      </c>
      <c r="M3468" s="76" t="b">
        <v>0</v>
      </c>
      <c r="N3468" s="76" t="b">
        <v>0</v>
      </c>
      <c r="O3468" s="76" t="b">
        <v>0</v>
      </c>
      <c r="P3468" s="76" t="b">
        <v>0</v>
      </c>
      <c r="Q3468" s="76" t="b">
        <v>0</v>
      </c>
      <c r="R3468" s="14"/>
      <c r="S3468" s="14"/>
      <c r="T3468" s="14"/>
      <c r="U3468" s="14"/>
      <c r="V3468" s="14"/>
      <c r="W3468" s="14"/>
    </row>
    <row r="3469" ht="31.5" customHeight="1">
      <c r="A3469" s="158"/>
      <c r="B3469" s="159"/>
      <c r="C3469" s="160"/>
      <c r="D3469" s="130"/>
      <c r="E3469" s="130"/>
      <c r="F3469" s="161"/>
      <c r="G3469" s="164"/>
      <c r="H3469" s="76" t="b">
        <v>0</v>
      </c>
      <c r="I3469" s="76" t="b">
        <v>0</v>
      </c>
      <c r="J3469" s="76" t="b">
        <v>0</v>
      </c>
      <c r="K3469" s="76" t="b">
        <v>0</v>
      </c>
      <c r="L3469" s="76" t="b">
        <v>0</v>
      </c>
      <c r="M3469" s="76" t="b">
        <v>0</v>
      </c>
      <c r="N3469" s="76" t="b">
        <v>0</v>
      </c>
      <c r="O3469" s="76" t="b">
        <v>0</v>
      </c>
      <c r="P3469" s="76" t="b">
        <v>0</v>
      </c>
      <c r="Q3469" s="76" t="b">
        <v>0</v>
      </c>
      <c r="R3469" s="14"/>
      <c r="S3469" s="14"/>
      <c r="T3469" s="14"/>
      <c r="U3469" s="14"/>
      <c r="V3469" s="14"/>
      <c r="W3469" s="14"/>
    </row>
    <row r="3470" ht="31.5" customHeight="1">
      <c r="A3470" s="158"/>
      <c r="B3470" s="159"/>
      <c r="C3470" s="160"/>
      <c r="D3470" s="130"/>
      <c r="E3470" s="130"/>
      <c r="F3470" s="161"/>
      <c r="G3470" s="164"/>
      <c r="H3470" s="76" t="b">
        <v>0</v>
      </c>
      <c r="I3470" s="76" t="b">
        <v>0</v>
      </c>
      <c r="J3470" s="76" t="b">
        <v>0</v>
      </c>
      <c r="K3470" s="76" t="b">
        <v>0</v>
      </c>
      <c r="L3470" s="76" t="b">
        <v>0</v>
      </c>
      <c r="M3470" s="76" t="b">
        <v>0</v>
      </c>
      <c r="N3470" s="76" t="b">
        <v>0</v>
      </c>
      <c r="O3470" s="76" t="b">
        <v>0</v>
      </c>
      <c r="P3470" s="76" t="b">
        <v>0</v>
      </c>
      <c r="Q3470" s="76" t="b">
        <v>0</v>
      </c>
      <c r="R3470" s="14"/>
      <c r="S3470" s="14"/>
      <c r="T3470" s="14"/>
      <c r="U3470" s="14"/>
      <c r="V3470" s="14"/>
      <c r="W3470" s="14"/>
    </row>
    <row r="3471" ht="31.5" customHeight="1">
      <c r="A3471" s="158"/>
      <c r="B3471" s="159"/>
      <c r="C3471" s="160"/>
      <c r="D3471" s="130"/>
      <c r="E3471" s="130"/>
      <c r="F3471" s="161"/>
      <c r="G3471" s="164"/>
      <c r="H3471" s="76" t="b">
        <v>0</v>
      </c>
      <c r="I3471" s="76" t="b">
        <v>0</v>
      </c>
      <c r="J3471" s="76" t="b">
        <v>0</v>
      </c>
      <c r="K3471" s="76" t="b">
        <v>0</v>
      </c>
      <c r="L3471" s="76" t="b">
        <v>0</v>
      </c>
      <c r="M3471" s="76" t="b">
        <v>0</v>
      </c>
      <c r="N3471" s="76" t="b">
        <v>0</v>
      </c>
      <c r="O3471" s="76" t="b">
        <v>0</v>
      </c>
      <c r="P3471" s="76" t="b">
        <v>0</v>
      </c>
      <c r="Q3471" s="76" t="b">
        <v>0</v>
      </c>
      <c r="R3471" s="14"/>
      <c r="S3471" s="14"/>
      <c r="T3471" s="14"/>
      <c r="U3471" s="14"/>
      <c r="V3471" s="14"/>
      <c r="W3471" s="14"/>
    </row>
    <row r="3472" ht="31.5" customHeight="1">
      <c r="A3472" s="158"/>
      <c r="B3472" s="159"/>
      <c r="C3472" s="160"/>
      <c r="D3472" s="130"/>
      <c r="E3472" s="130"/>
      <c r="F3472" s="161"/>
      <c r="G3472" s="164"/>
      <c r="H3472" s="76" t="b">
        <v>0</v>
      </c>
      <c r="I3472" s="76" t="b">
        <v>0</v>
      </c>
      <c r="J3472" s="76" t="b">
        <v>0</v>
      </c>
      <c r="K3472" s="76" t="b">
        <v>0</v>
      </c>
      <c r="L3472" s="76" t="b">
        <v>0</v>
      </c>
      <c r="M3472" s="76" t="b">
        <v>0</v>
      </c>
      <c r="N3472" s="76" t="b">
        <v>0</v>
      </c>
      <c r="O3472" s="76" t="b">
        <v>0</v>
      </c>
      <c r="P3472" s="76" t="b">
        <v>0</v>
      </c>
      <c r="Q3472" s="76" t="b">
        <v>0</v>
      </c>
      <c r="R3472" s="14"/>
      <c r="S3472" s="14"/>
      <c r="T3472" s="14"/>
      <c r="U3472" s="14"/>
      <c r="V3472" s="14"/>
      <c r="W3472" s="14"/>
    </row>
    <row r="3473" ht="31.5" customHeight="1">
      <c r="A3473" s="158"/>
      <c r="B3473" s="159"/>
      <c r="C3473" s="160"/>
      <c r="D3473" s="130"/>
      <c r="E3473" s="130"/>
      <c r="F3473" s="161"/>
      <c r="G3473" s="164"/>
      <c r="H3473" s="76" t="b">
        <v>0</v>
      </c>
      <c r="I3473" s="76" t="b">
        <v>0</v>
      </c>
      <c r="J3473" s="76" t="b">
        <v>0</v>
      </c>
      <c r="K3473" s="76" t="b">
        <v>0</v>
      </c>
      <c r="L3473" s="76" t="b">
        <v>0</v>
      </c>
      <c r="M3473" s="76" t="b">
        <v>0</v>
      </c>
      <c r="N3473" s="76" t="b">
        <v>0</v>
      </c>
      <c r="O3473" s="76" t="b">
        <v>0</v>
      </c>
      <c r="P3473" s="76" t="b">
        <v>0</v>
      </c>
      <c r="Q3473" s="76" t="b">
        <v>0</v>
      </c>
      <c r="R3473" s="14"/>
      <c r="S3473" s="14"/>
      <c r="T3473" s="14"/>
      <c r="U3473" s="14"/>
      <c r="V3473" s="14"/>
      <c r="W3473" s="14"/>
    </row>
    <row r="3474" ht="31.5" customHeight="1">
      <c r="A3474" s="158"/>
      <c r="B3474" s="159"/>
      <c r="C3474" s="160"/>
      <c r="D3474" s="130"/>
      <c r="E3474" s="130"/>
      <c r="F3474" s="161"/>
      <c r="G3474" s="164"/>
      <c r="H3474" s="76" t="b">
        <v>0</v>
      </c>
      <c r="I3474" s="76" t="b">
        <v>0</v>
      </c>
      <c r="J3474" s="76" t="b">
        <v>0</v>
      </c>
      <c r="K3474" s="76" t="b">
        <v>0</v>
      </c>
      <c r="L3474" s="76" t="b">
        <v>0</v>
      </c>
      <c r="M3474" s="76" t="b">
        <v>0</v>
      </c>
      <c r="N3474" s="76" t="b">
        <v>0</v>
      </c>
      <c r="O3474" s="76" t="b">
        <v>0</v>
      </c>
      <c r="P3474" s="76" t="b">
        <v>0</v>
      </c>
      <c r="Q3474" s="76" t="b">
        <v>0</v>
      </c>
      <c r="R3474" s="14"/>
      <c r="S3474" s="14"/>
      <c r="T3474" s="14"/>
      <c r="U3474" s="14"/>
      <c r="V3474" s="14"/>
      <c r="W3474" s="14"/>
    </row>
    <row r="3475" ht="31.5" customHeight="1">
      <c r="A3475" s="158"/>
      <c r="B3475" s="159"/>
      <c r="C3475" s="160"/>
      <c r="D3475" s="130"/>
      <c r="E3475" s="130"/>
      <c r="F3475" s="161"/>
      <c r="G3475" s="164"/>
      <c r="H3475" s="76" t="b">
        <v>0</v>
      </c>
      <c r="I3475" s="76" t="b">
        <v>0</v>
      </c>
      <c r="J3475" s="76" t="b">
        <v>0</v>
      </c>
      <c r="K3475" s="76" t="b">
        <v>0</v>
      </c>
      <c r="L3475" s="76" t="b">
        <v>0</v>
      </c>
      <c r="M3475" s="76" t="b">
        <v>0</v>
      </c>
      <c r="N3475" s="76" t="b">
        <v>0</v>
      </c>
      <c r="O3475" s="76" t="b">
        <v>0</v>
      </c>
      <c r="P3475" s="76" t="b">
        <v>0</v>
      </c>
      <c r="Q3475" s="76" t="b">
        <v>0</v>
      </c>
      <c r="R3475" s="14"/>
      <c r="S3475" s="14"/>
      <c r="T3475" s="14"/>
      <c r="U3475" s="14"/>
      <c r="V3475" s="14"/>
      <c r="W3475" s="14"/>
    </row>
    <row r="3476" ht="31.5" customHeight="1">
      <c r="A3476" s="158"/>
      <c r="B3476" s="159"/>
      <c r="C3476" s="160"/>
      <c r="D3476" s="130"/>
      <c r="E3476" s="130"/>
      <c r="F3476" s="161"/>
      <c r="G3476" s="164"/>
      <c r="H3476" s="76" t="b">
        <v>0</v>
      </c>
      <c r="I3476" s="76" t="b">
        <v>0</v>
      </c>
      <c r="J3476" s="76" t="b">
        <v>0</v>
      </c>
      <c r="K3476" s="76" t="b">
        <v>0</v>
      </c>
      <c r="L3476" s="76" t="b">
        <v>0</v>
      </c>
      <c r="M3476" s="76" t="b">
        <v>0</v>
      </c>
      <c r="N3476" s="76" t="b">
        <v>0</v>
      </c>
      <c r="O3476" s="76" t="b">
        <v>0</v>
      </c>
      <c r="P3476" s="76" t="b">
        <v>0</v>
      </c>
      <c r="Q3476" s="76" t="b">
        <v>0</v>
      </c>
      <c r="R3476" s="14"/>
      <c r="S3476" s="14"/>
      <c r="T3476" s="14"/>
      <c r="U3476" s="14"/>
      <c r="V3476" s="14"/>
      <c r="W3476" s="14"/>
    </row>
    <row r="3477" ht="31.5" customHeight="1">
      <c r="A3477" s="158"/>
      <c r="B3477" s="159"/>
      <c r="C3477" s="160"/>
      <c r="D3477" s="130"/>
      <c r="E3477" s="130"/>
      <c r="F3477" s="161"/>
      <c r="G3477" s="164"/>
      <c r="H3477" s="76" t="b">
        <v>0</v>
      </c>
      <c r="I3477" s="76" t="b">
        <v>0</v>
      </c>
      <c r="J3477" s="76" t="b">
        <v>0</v>
      </c>
      <c r="K3477" s="76" t="b">
        <v>0</v>
      </c>
      <c r="L3477" s="76" t="b">
        <v>0</v>
      </c>
      <c r="M3477" s="76" t="b">
        <v>0</v>
      </c>
      <c r="N3477" s="76" t="b">
        <v>0</v>
      </c>
      <c r="O3477" s="76" t="b">
        <v>0</v>
      </c>
      <c r="P3477" s="76" t="b">
        <v>0</v>
      </c>
      <c r="Q3477" s="76" t="b">
        <v>0</v>
      </c>
      <c r="R3477" s="14"/>
      <c r="S3477" s="14"/>
      <c r="T3477" s="14"/>
      <c r="U3477" s="14"/>
      <c r="V3477" s="14"/>
      <c r="W3477" s="14"/>
    </row>
    <row r="3478" ht="31.5" customHeight="1">
      <c r="A3478" s="158"/>
      <c r="B3478" s="159"/>
      <c r="C3478" s="160"/>
      <c r="D3478" s="130"/>
      <c r="E3478" s="130"/>
      <c r="F3478" s="161"/>
      <c r="G3478" s="164"/>
      <c r="H3478" s="76" t="b">
        <v>0</v>
      </c>
      <c r="I3478" s="76" t="b">
        <v>0</v>
      </c>
      <c r="J3478" s="76" t="b">
        <v>0</v>
      </c>
      <c r="K3478" s="76" t="b">
        <v>0</v>
      </c>
      <c r="L3478" s="76" t="b">
        <v>0</v>
      </c>
      <c r="M3478" s="76" t="b">
        <v>0</v>
      </c>
      <c r="N3478" s="76" t="b">
        <v>0</v>
      </c>
      <c r="O3478" s="76" t="b">
        <v>0</v>
      </c>
      <c r="P3478" s="76" t="b">
        <v>0</v>
      </c>
      <c r="Q3478" s="76" t="b">
        <v>0</v>
      </c>
      <c r="R3478" s="14"/>
      <c r="S3478" s="14"/>
      <c r="T3478" s="14"/>
      <c r="U3478" s="14"/>
      <c r="V3478" s="14"/>
      <c r="W3478" s="14"/>
    </row>
    <row r="3479" ht="31.5" customHeight="1">
      <c r="A3479" s="158"/>
      <c r="B3479" s="159"/>
      <c r="C3479" s="160"/>
      <c r="D3479" s="130"/>
      <c r="E3479" s="130"/>
      <c r="F3479" s="161"/>
      <c r="G3479" s="164"/>
      <c r="H3479" s="76" t="b">
        <v>0</v>
      </c>
      <c r="I3479" s="76" t="b">
        <v>0</v>
      </c>
      <c r="J3479" s="76" t="b">
        <v>0</v>
      </c>
      <c r="K3479" s="76" t="b">
        <v>0</v>
      </c>
      <c r="L3479" s="76" t="b">
        <v>0</v>
      </c>
      <c r="M3479" s="76" t="b">
        <v>0</v>
      </c>
      <c r="N3479" s="76" t="b">
        <v>0</v>
      </c>
      <c r="O3479" s="76" t="b">
        <v>0</v>
      </c>
      <c r="P3479" s="76" t="b">
        <v>0</v>
      </c>
      <c r="Q3479" s="76" t="b">
        <v>0</v>
      </c>
      <c r="R3479" s="14"/>
      <c r="S3479" s="14"/>
      <c r="T3479" s="14"/>
      <c r="U3479" s="14"/>
      <c r="V3479" s="14"/>
      <c r="W3479" s="14"/>
    </row>
    <row r="3480" ht="31.5" customHeight="1">
      <c r="A3480" s="158"/>
      <c r="B3480" s="159"/>
      <c r="C3480" s="160"/>
      <c r="D3480" s="130"/>
      <c r="E3480" s="130"/>
      <c r="F3480" s="161"/>
      <c r="G3480" s="164"/>
      <c r="H3480" s="76" t="b">
        <v>0</v>
      </c>
      <c r="I3480" s="76" t="b">
        <v>0</v>
      </c>
      <c r="J3480" s="76" t="b">
        <v>0</v>
      </c>
      <c r="K3480" s="76" t="b">
        <v>0</v>
      </c>
      <c r="L3480" s="76" t="b">
        <v>0</v>
      </c>
      <c r="M3480" s="76" t="b">
        <v>0</v>
      </c>
      <c r="N3480" s="76" t="b">
        <v>0</v>
      </c>
      <c r="O3480" s="76" t="b">
        <v>0</v>
      </c>
      <c r="P3480" s="76" t="b">
        <v>0</v>
      </c>
      <c r="Q3480" s="76" t="b">
        <v>0</v>
      </c>
      <c r="R3480" s="14"/>
      <c r="S3480" s="14"/>
      <c r="T3480" s="14"/>
      <c r="U3480" s="14"/>
      <c r="V3480" s="14"/>
      <c r="W3480" s="14"/>
    </row>
    <row r="3481" ht="31.5" customHeight="1">
      <c r="A3481" s="158"/>
      <c r="B3481" s="159"/>
      <c r="C3481" s="160"/>
      <c r="D3481" s="130"/>
      <c r="E3481" s="130"/>
      <c r="F3481" s="161"/>
      <c r="G3481" s="164"/>
      <c r="H3481" s="76" t="b">
        <v>0</v>
      </c>
      <c r="I3481" s="76" t="b">
        <v>0</v>
      </c>
      <c r="J3481" s="76" t="b">
        <v>0</v>
      </c>
      <c r="K3481" s="76" t="b">
        <v>0</v>
      </c>
      <c r="L3481" s="76" t="b">
        <v>0</v>
      </c>
      <c r="M3481" s="76" t="b">
        <v>0</v>
      </c>
      <c r="N3481" s="76" t="b">
        <v>0</v>
      </c>
      <c r="O3481" s="76" t="b">
        <v>0</v>
      </c>
      <c r="P3481" s="76" t="b">
        <v>0</v>
      </c>
      <c r="Q3481" s="76" t="b">
        <v>0</v>
      </c>
      <c r="R3481" s="14"/>
      <c r="S3481" s="14"/>
      <c r="T3481" s="14"/>
      <c r="U3481" s="14"/>
      <c r="V3481" s="14"/>
      <c r="W3481" s="14"/>
    </row>
    <row r="3482" ht="31.5" customHeight="1">
      <c r="A3482" s="158"/>
      <c r="B3482" s="159"/>
      <c r="C3482" s="160"/>
      <c r="D3482" s="130"/>
      <c r="E3482" s="130"/>
      <c r="F3482" s="161"/>
      <c r="G3482" s="164"/>
      <c r="H3482" s="76" t="b">
        <v>0</v>
      </c>
      <c r="I3482" s="76" t="b">
        <v>0</v>
      </c>
      <c r="J3482" s="76" t="b">
        <v>0</v>
      </c>
      <c r="K3482" s="76" t="b">
        <v>0</v>
      </c>
      <c r="L3482" s="76" t="b">
        <v>0</v>
      </c>
      <c r="M3482" s="76" t="b">
        <v>0</v>
      </c>
      <c r="N3482" s="76" t="b">
        <v>0</v>
      </c>
      <c r="O3482" s="76" t="b">
        <v>0</v>
      </c>
      <c r="P3482" s="76" t="b">
        <v>0</v>
      </c>
      <c r="Q3482" s="76" t="b">
        <v>0</v>
      </c>
      <c r="R3482" s="14"/>
      <c r="S3482" s="14"/>
      <c r="T3482" s="14"/>
      <c r="U3482" s="14"/>
      <c r="V3482" s="14"/>
      <c r="W3482" s="14"/>
    </row>
    <row r="3483" ht="31.5" customHeight="1">
      <c r="A3483" s="158"/>
      <c r="B3483" s="159"/>
      <c r="C3483" s="160"/>
      <c r="D3483" s="130"/>
      <c r="E3483" s="130"/>
      <c r="F3483" s="161"/>
      <c r="G3483" s="164"/>
      <c r="H3483" s="76" t="b">
        <v>0</v>
      </c>
      <c r="I3483" s="76" t="b">
        <v>0</v>
      </c>
      <c r="J3483" s="76" t="b">
        <v>0</v>
      </c>
      <c r="K3483" s="76" t="b">
        <v>0</v>
      </c>
      <c r="L3483" s="76" t="b">
        <v>0</v>
      </c>
      <c r="M3483" s="76" t="b">
        <v>0</v>
      </c>
      <c r="N3483" s="76" t="b">
        <v>0</v>
      </c>
      <c r="O3483" s="76" t="b">
        <v>0</v>
      </c>
      <c r="P3483" s="76" t="b">
        <v>0</v>
      </c>
      <c r="Q3483" s="76" t="b">
        <v>0</v>
      </c>
      <c r="R3483" s="14"/>
      <c r="S3483" s="14"/>
      <c r="T3483" s="14"/>
      <c r="U3483" s="14"/>
      <c r="V3483" s="14"/>
      <c r="W3483" s="14"/>
    </row>
    <row r="3484" ht="31.5" customHeight="1">
      <c r="A3484" s="158"/>
      <c r="B3484" s="159"/>
      <c r="C3484" s="160"/>
      <c r="D3484" s="130"/>
      <c r="E3484" s="130"/>
      <c r="F3484" s="161"/>
      <c r="G3484" s="164"/>
      <c r="H3484" s="76" t="b">
        <v>0</v>
      </c>
      <c r="I3484" s="76" t="b">
        <v>0</v>
      </c>
      <c r="J3484" s="76" t="b">
        <v>0</v>
      </c>
      <c r="K3484" s="76" t="b">
        <v>0</v>
      </c>
      <c r="L3484" s="76" t="b">
        <v>0</v>
      </c>
      <c r="M3484" s="76" t="b">
        <v>0</v>
      </c>
      <c r="N3484" s="76" t="b">
        <v>0</v>
      </c>
      <c r="O3484" s="76" t="b">
        <v>0</v>
      </c>
      <c r="P3484" s="76" t="b">
        <v>0</v>
      </c>
      <c r="Q3484" s="76" t="b">
        <v>0</v>
      </c>
      <c r="R3484" s="14"/>
      <c r="S3484" s="14"/>
      <c r="T3484" s="14"/>
      <c r="U3484" s="14"/>
      <c r="V3484" s="14"/>
      <c r="W3484" s="14"/>
    </row>
    <row r="3485" ht="31.5" customHeight="1">
      <c r="A3485" s="158"/>
      <c r="B3485" s="159"/>
      <c r="C3485" s="160"/>
      <c r="D3485" s="130"/>
      <c r="E3485" s="130"/>
      <c r="F3485" s="161"/>
      <c r="G3485" s="164"/>
      <c r="H3485" s="76" t="b">
        <v>0</v>
      </c>
      <c r="I3485" s="76" t="b">
        <v>0</v>
      </c>
      <c r="J3485" s="76" t="b">
        <v>0</v>
      </c>
      <c r="K3485" s="76" t="b">
        <v>0</v>
      </c>
      <c r="L3485" s="76" t="b">
        <v>0</v>
      </c>
      <c r="M3485" s="76" t="b">
        <v>0</v>
      </c>
      <c r="N3485" s="76" t="b">
        <v>0</v>
      </c>
      <c r="O3485" s="76" t="b">
        <v>0</v>
      </c>
      <c r="P3485" s="76" t="b">
        <v>0</v>
      </c>
      <c r="Q3485" s="76" t="b">
        <v>0</v>
      </c>
      <c r="R3485" s="14"/>
      <c r="S3485" s="14"/>
      <c r="T3485" s="14"/>
      <c r="U3485" s="14"/>
      <c r="V3485" s="14"/>
      <c r="W3485" s="14"/>
    </row>
    <row r="3486" ht="31.5" customHeight="1">
      <c r="A3486" s="158"/>
      <c r="B3486" s="159"/>
      <c r="C3486" s="160"/>
      <c r="D3486" s="130"/>
      <c r="E3486" s="130"/>
      <c r="F3486" s="161"/>
      <c r="G3486" s="164"/>
      <c r="H3486" s="76" t="b">
        <v>0</v>
      </c>
      <c r="I3486" s="76" t="b">
        <v>0</v>
      </c>
      <c r="J3486" s="76" t="b">
        <v>0</v>
      </c>
      <c r="K3486" s="76" t="b">
        <v>0</v>
      </c>
      <c r="L3486" s="76" t="b">
        <v>0</v>
      </c>
      <c r="M3486" s="76" t="b">
        <v>0</v>
      </c>
      <c r="N3486" s="76" t="b">
        <v>0</v>
      </c>
      <c r="O3486" s="76" t="b">
        <v>0</v>
      </c>
      <c r="P3486" s="76" t="b">
        <v>0</v>
      </c>
      <c r="Q3486" s="76" t="b">
        <v>0</v>
      </c>
      <c r="R3486" s="14"/>
      <c r="S3486" s="14"/>
      <c r="T3486" s="14"/>
      <c r="U3486" s="14"/>
      <c r="V3486" s="14"/>
      <c r="W3486" s="14"/>
    </row>
    <row r="3487" ht="31.5" customHeight="1">
      <c r="A3487" s="158"/>
      <c r="B3487" s="159"/>
      <c r="C3487" s="160"/>
      <c r="D3487" s="130"/>
      <c r="E3487" s="130"/>
      <c r="F3487" s="161"/>
      <c r="G3487" s="164"/>
      <c r="H3487" s="76" t="b">
        <v>0</v>
      </c>
      <c r="I3487" s="76" t="b">
        <v>0</v>
      </c>
      <c r="J3487" s="76" t="b">
        <v>0</v>
      </c>
      <c r="K3487" s="76" t="b">
        <v>0</v>
      </c>
      <c r="L3487" s="76" t="b">
        <v>0</v>
      </c>
      <c r="M3487" s="76" t="b">
        <v>0</v>
      </c>
      <c r="N3487" s="76" t="b">
        <v>0</v>
      </c>
      <c r="O3487" s="76" t="b">
        <v>0</v>
      </c>
      <c r="P3487" s="76" t="b">
        <v>0</v>
      </c>
      <c r="Q3487" s="76" t="b">
        <v>0</v>
      </c>
      <c r="R3487" s="14"/>
      <c r="S3487" s="14"/>
      <c r="T3487" s="14"/>
      <c r="U3487" s="14"/>
      <c r="V3487" s="14"/>
      <c r="W3487" s="14"/>
    </row>
    <row r="3488" ht="31.5" customHeight="1">
      <c r="A3488" s="158"/>
      <c r="B3488" s="159"/>
      <c r="C3488" s="160"/>
      <c r="D3488" s="130"/>
      <c r="E3488" s="130"/>
      <c r="F3488" s="161"/>
      <c r="G3488" s="164"/>
      <c r="H3488" s="76" t="b">
        <v>0</v>
      </c>
      <c r="I3488" s="76" t="b">
        <v>0</v>
      </c>
      <c r="J3488" s="76" t="b">
        <v>0</v>
      </c>
      <c r="K3488" s="76" t="b">
        <v>0</v>
      </c>
      <c r="L3488" s="76" t="b">
        <v>0</v>
      </c>
      <c r="M3488" s="76" t="b">
        <v>0</v>
      </c>
      <c r="N3488" s="76" t="b">
        <v>0</v>
      </c>
      <c r="O3488" s="76" t="b">
        <v>0</v>
      </c>
      <c r="P3488" s="76" t="b">
        <v>0</v>
      </c>
      <c r="Q3488" s="76" t="b">
        <v>0</v>
      </c>
      <c r="R3488" s="14"/>
      <c r="S3488" s="14"/>
      <c r="T3488" s="14"/>
      <c r="U3488" s="14"/>
      <c r="V3488" s="14"/>
      <c r="W3488" s="14"/>
    </row>
    <row r="3489" ht="31.5" customHeight="1">
      <c r="A3489" s="158"/>
      <c r="B3489" s="159"/>
      <c r="C3489" s="160"/>
      <c r="D3489" s="130"/>
      <c r="E3489" s="130"/>
      <c r="F3489" s="161"/>
      <c r="G3489" s="164"/>
      <c r="H3489" s="76" t="b">
        <v>0</v>
      </c>
      <c r="I3489" s="76" t="b">
        <v>0</v>
      </c>
      <c r="J3489" s="76" t="b">
        <v>0</v>
      </c>
      <c r="K3489" s="76" t="b">
        <v>0</v>
      </c>
      <c r="L3489" s="76" t="b">
        <v>0</v>
      </c>
      <c r="M3489" s="76" t="b">
        <v>0</v>
      </c>
      <c r="N3489" s="76" t="b">
        <v>0</v>
      </c>
      <c r="O3489" s="76" t="b">
        <v>0</v>
      </c>
      <c r="P3489" s="76" t="b">
        <v>0</v>
      </c>
      <c r="Q3489" s="76" t="b">
        <v>0</v>
      </c>
      <c r="R3489" s="14"/>
      <c r="S3489" s="14"/>
      <c r="T3489" s="14"/>
      <c r="U3489" s="14"/>
      <c r="V3489" s="14"/>
      <c r="W3489" s="14"/>
    </row>
    <row r="3490" ht="31.5" customHeight="1">
      <c r="A3490" s="158"/>
      <c r="B3490" s="159"/>
      <c r="C3490" s="160"/>
      <c r="D3490" s="130"/>
      <c r="E3490" s="130"/>
      <c r="F3490" s="161"/>
      <c r="G3490" s="164"/>
      <c r="H3490" s="76" t="b">
        <v>0</v>
      </c>
      <c r="I3490" s="76" t="b">
        <v>0</v>
      </c>
      <c r="J3490" s="76" t="b">
        <v>0</v>
      </c>
      <c r="K3490" s="76" t="b">
        <v>0</v>
      </c>
      <c r="L3490" s="76" t="b">
        <v>0</v>
      </c>
      <c r="M3490" s="76" t="b">
        <v>0</v>
      </c>
      <c r="N3490" s="76" t="b">
        <v>0</v>
      </c>
      <c r="O3490" s="76" t="b">
        <v>0</v>
      </c>
      <c r="P3490" s="76" t="b">
        <v>0</v>
      </c>
      <c r="Q3490" s="76" t="b">
        <v>0</v>
      </c>
      <c r="R3490" s="14"/>
      <c r="S3490" s="14"/>
      <c r="T3490" s="14"/>
      <c r="U3490" s="14"/>
      <c r="V3490" s="14"/>
      <c r="W3490" s="14"/>
    </row>
    <row r="3491" ht="31.5" customHeight="1">
      <c r="A3491" s="158"/>
      <c r="B3491" s="159"/>
      <c r="C3491" s="160"/>
      <c r="D3491" s="130"/>
      <c r="E3491" s="130"/>
      <c r="F3491" s="161"/>
      <c r="G3491" s="164"/>
      <c r="H3491" s="76" t="b">
        <v>0</v>
      </c>
      <c r="I3491" s="76" t="b">
        <v>0</v>
      </c>
      <c r="J3491" s="76" t="b">
        <v>0</v>
      </c>
      <c r="K3491" s="76" t="b">
        <v>0</v>
      </c>
      <c r="L3491" s="76" t="b">
        <v>0</v>
      </c>
      <c r="M3491" s="76" t="b">
        <v>0</v>
      </c>
      <c r="N3491" s="76" t="b">
        <v>0</v>
      </c>
      <c r="O3491" s="76" t="b">
        <v>0</v>
      </c>
      <c r="P3491" s="76" t="b">
        <v>0</v>
      </c>
      <c r="Q3491" s="76" t="b">
        <v>0</v>
      </c>
      <c r="R3491" s="14"/>
      <c r="S3491" s="14"/>
      <c r="T3491" s="14"/>
      <c r="U3491" s="14"/>
      <c r="V3491" s="14"/>
      <c r="W3491" s="14"/>
    </row>
    <row r="3492" ht="31.5" customHeight="1">
      <c r="A3492" s="158"/>
      <c r="B3492" s="159"/>
      <c r="C3492" s="160"/>
      <c r="D3492" s="130"/>
      <c r="E3492" s="130"/>
      <c r="F3492" s="161"/>
      <c r="G3492" s="164"/>
      <c r="H3492" s="76" t="b">
        <v>0</v>
      </c>
      <c r="I3492" s="76" t="b">
        <v>0</v>
      </c>
      <c r="J3492" s="76" t="b">
        <v>0</v>
      </c>
      <c r="K3492" s="76" t="b">
        <v>0</v>
      </c>
      <c r="L3492" s="76" t="b">
        <v>0</v>
      </c>
      <c r="M3492" s="76" t="b">
        <v>0</v>
      </c>
      <c r="N3492" s="76" t="b">
        <v>0</v>
      </c>
      <c r="O3492" s="76" t="b">
        <v>0</v>
      </c>
      <c r="P3492" s="76" t="b">
        <v>0</v>
      </c>
      <c r="Q3492" s="76" t="b">
        <v>0</v>
      </c>
      <c r="R3492" s="14"/>
      <c r="S3492" s="14"/>
      <c r="T3492" s="14"/>
      <c r="U3492" s="14"/>
      <c r="V3492" s="14"/>
      <c r="W3492" s="14"/>
    </row>
    <row r="3493" ht="31.5" customHeight="1">
      <c r="A3493" s="158"/>
      <c r="B3493" s="159"/>
      <c r="C3493" s="160"/>
      <c r="D3493" s="130"/>
      <c r="E3493" s="130"/>
      <c r="F3493" s="161"/>
      <c r="G3493" s="164"/>
      <c r="H3493" s="76" t="b">
        <v>0</v>
      </c>
      <c r="I3493" s="76" t="b">
        <v>0</v>
      </c>
      <c r="J3493" s="76" t="b">
        <v>0</v>
      </c>
      <c r="K3493" s="76" t="b">
        <v>0</v>
      </c>
      <c r="L3493" s="76" t="b">
        <v>0</v>
      </c>
      <c r="M3493" s="76" t="b">
        <v>0</v>
      </c>
      <c r="N3493" s="76" t="b">
        <v>0</v>
      </c>
      <c r="O3493" s="76" t="b">
        <v>0</v>
      </c>
      <c r="P3493" s="76" t="b">
        <v>0</v>
      </c>
      <c r="Q3493" s="76" t="b">
        <v>0</v>
      </c>
      <c r="R3493" s="14"/>
      <c r="S3493" s="14"/>
      <c r="T3493" s="14"/>
      <c r="U3493" s="14"/>
      <c r="V3493" s="14"/>
      <c r="W3493" s="14"/>
    </row>
    <row r="3494" ht="31.5" customHeight="1">
      <c r="A3494" s="158"/>
      <c r="B3494" s="159"/>
      <c r="C3494" s="160"/>
      <c r="D3494" s="130"/>
      <c r="E3494" s="130"/>
      <c r="F3494" s="161"/>
      <c r="G3494" s="164"/>
      <c r="H3494" s="76" t="b">
        <v>0</v>
      </c>
      <c r="I3494" s="76" t="b">
        <v>0</v>
      </c>
      <c r="J3494" s="76" t="b">
        <v>0</v>
      </c>
      <c r="K3494" s="76" t="b">
        <v>0</v>
      </c>
      <c r="L3494" s="76" t="b">
        <v>0</v>
      </c>
      <c r="M3494" s="76" t="b">
        <v>0</v>
      </c>
      <c r="N3494" s="76" t="b">
        <v>0</v>
      </c>
      <c r="O3494" s="76" t="b">
        <v>0</v>
      </c>
      <c r="P3494" s="76" t="b">
        <v>0</v>
      </c>
      <c r="Q3494" s="76" t="b">
        <v>0</v>
      </c>
      <c r="R3494" s="14"/>
      <c r="S3494" s="14"/>
      <c r="T3494" s="14"/>
      <c r="U3494" s="14"/>
      <c r="V3494" s="14"/>
      <c r="W3494" s="14"/>
    </row>
    <row r="3495" ht="31.5" customHeight="1">
      <c r="A3495" s="158"/>
      <c r="B3495" s="159"/>
      <c r="C3495" s="160"/>
      <c r="D3495" s="130"/>
      <c r="E3495" s="130"/>
      <c r="F3495" s="161"/>
      <c r="G3495" s="164"/>
      <c r="H3495" s="76" t="b">
        <v>0</v>
      </c>
      <c r="I3495" s="76" t="b">
        <v>0</v>
      </c>
      <c r="J3495" s="76" t="b">
        <v>0</v>
      </c>
      <c r="K3495" s="76" t="b">
        <v>0</v>
      </c>
      <c r="L3495" s="76" t="b">
        <v>0</v>
      </c>
      <c r="M3495" s="76" t="b">
        <v>0</v>
      </c>
      <c r="N3495" s="76" t="b">
        <v>0</v>
      </c>
      <c r="O3495" s="76" t="b">
        <v>0</v>
      </c>
      <c r="P3495" s="76" t="b">
        <v>0</v>
      </c>
      <c r="Q3495" s="76" t="b">
        <v>0</v>
      </c>
      <c r="R3495" s="14"/>
      <c r="S3495" s="14"/>
      <c r="T3495" s="14"/>
      <c r="U3495" s="14"/>
      <c r="V3495" s="14"/>
      <c r="W3495" s="14"/>
    </row>
    <row r="3496" ht="31.5" customHeight="1">
      <c r="A3496" s="158"/>
      <c r="B3496" s="159"/>
      <c r="C3496" s="160"/>
      <c r="D3496" s="130"/>
      <c r="E3496" s="130"/>
      <c r="F3496" s="161"/>
      <c r="G3496" s="164"/>
      <c r="H3496" s="76" t="b">
        <v>0</v>
      </c>
      <c r="I3496" s="76" t="b">
        <v>0</v>
      </c>
      <c r="J3496" s="76" t="b">
        <v>0</v>
      </c>
      <c r="K3496" s="76" t="b">
        <v>0</v>
      </c>
      <c r="L3496" s="76" t="b">
        <v>0</v>
      </c>
      <c r="M3496" s="76" t="b">
        <v>0</v>
      </c>
      <c r="N3496" s="76" t="b">
        <v>0</v>
      </c>
      <c r="O3496" s="76" t="b">
        <v>0</v>
      </c>
      <c r="P3496" s="76" t="b">
        <v>0</v>
      </c>
      <c r="Q3496" s="76" t="b">
        <v>0</v>
      </c>
      <c r="R3496" s="14"/>
      <c r="S3496" s="14"/>
      <c r="T3496" s="14"/>
      <c r="U3496" s="14"/>
      <c r="V3496" s="14"/>
      <c r="W3496" s="14"/>
    </row>
    <row r="3497" ht="31.5" customHeight="1">
      <c r="A3497" s="158"/>
      <c r="B3497" s="159"/>
      <c r="C3497" s="160"/>
      <c r="D3497" s="130"/>
      <c r="E3497" s="130"/>
      <c r="F3497" s="161"/>
      <c r="G3497" s="164"/>
      <c r="H3497" s="76" t="b">
        <v>0</v>
      </c>
      <c r="I3497" s="76" t="b">
        <v>0</v>
      </c>
      <c r="J3497" s="76" t="b">
        <v>0</v>
      </c>
      <c r="K3497" s="76" t="b">
        <v>0</v>
      </c>
      <c r="L3497" s="76" t="b">
        <v>0</v>
      </c>
      <c r="M3497" s="76" t="b">
        <v>0</v>
      </c>
      <c r="N3497" s="76" t="b">
        <v>0</v>
      </c>
      <c r="O3497" s="76" t="b">
        <v>0</v>
      </c>
      <c r="P3497" s="76" t="b">
        <v>0</v>
      </c>
      <c r="Q3497" s="76" t="b">
        <v>0</v>
      </c>
      <c r="R3497" s="14"/>
      <c r="S3497" s="14"/>
      <c r="T3497" s="14"/>
      <c r="U3497" s="14"/>
      <c r="V3497" s="14"/>
      <c r="W3497" s="14"/>
    </row>
    <row r="3498" ht="31.5" customHeight="1">
      <c r="A3498" s="158"/>
      <c r="B3498" s="159"/>
      <c r="C3498" s="160"/>
      <c r="D3498" s="130"/>
      <c r="E3498" s="130"/>
      <c r="F3498" s="161"/>
      <c r="G3498" s="164"/>
      <c r="H3498" s="76" t="b">
        <v>0</v>
      </c>
      <c r="I3498" s="76" t="b">
        <v>0</v>
      </c>
      <c r="J3498" s="76" t="b">
        <v>0</v>
      </c>
      <c r="K3498" s="76" t="b">
        <v>0</v>
      </c>
      <c r="L3498" s="76" t="b">
        <v>0</v>
      </c>
      <c r="M3498" s="76" t="b">
        <v>0</v>
      </c>
      <c r="N3498" s="76" t="b">
        <v>0</v>
      </c>
      <c r="O3498" s="76" t="b">
        <v>0</v>
      </c>
      <c r="P3498" s="76" t="b">
        <v>0</v>
      </c>
      <c r="Q3498" s="76" t="b">
        <v>0</v>
      </c>
      <c r="R3498" s="14"/>
      <c r="S3498" s="14"/>
      <c r="T3498" s="14"/>
      <c r="U3498" s="14"/>
      <c r="V3498" s="14"/>
      <c r="W3498" s="14"/>
    </row>
    <row r="3499" ht="31.5" customHeight="1">
      <c r="A3499" s="158"/>
      <c r="B3499" s="159"/>
      <c r="C3499" s="160"/>
      <c r="D3499" s="130"/>
      <c r="E3499" s="130"/>
      <c r="F3499" s="161"/>
      <c r="G3499" s="164"/>
      <c r="H3499" s="76" t="b">
        <v>1</v>
      </c>
      <c r="I3499" s="76" t="b">
        <v>0</v>
      </c>
      <c r="J3499" s="76" t="b">
        <v>0</v>
      </c>
      <c r="K3499" s="76" t="b">
        <v>0</v>
      </c>
      <c r="L3499" s="76" t="b">
        <v>0</v>
      </c>
      <c r="M3499" s="76" t="b">
        <v>0</v>
      </c>
      <c r="N3499" s="76" t="b">
        <v>0</v>
      </c>
      <c r="O3499" s="76" t="b">
        <v>0</v>
      </c>
      <c r="P3499" s="76" t="b">
        <v>0</v>
      </c>
      <c r="Q3499" s="76" t="b">
        <v>0</v>
      </c>
      <c r="R3499" s="14"/>
      <c r="S3499" s="14"/>
      <c r="T3499" s="14"/>
      <c r="U3499" s="14"/>
      <c r="V3499" s="14"/>
      <c r="W3499" s="14"/>
    </row>
    <row r="3500" ht="31.5" customHeight="1">
      <c r="A3500" s="158"/>
      <c r="B3500" s="159"/>
      <c r="C3500" s="160"/>
      <c r="D3500" s="130"/>
      <c r="E3500" s="130"/>
      <c r="F3500" s="161"/>
      <c r="G3500" s="164"/>
      <c r="H3500" s="76" t="b">
        <v>1</v>
      </c>
      <c r="I3500" s="76" t="b">
        <v>0</v>
      </c>
      <c r="J3500" s="76" t="b">
        <v>0</v>
      </c>
      <c r="K3500" s="76" t="b">
        <v>0</v>
      </c>
      <c r="L3500" s="76" t="b">
        <v>0</v>
      </c>
      <c r="M3500" s="76" t="b">
        <v>0</v>
      </c>
      <c r="N3500" s="76" t="b">
        <v>0</v>
      </c>
      <c r="O3500" s="76" t="b">
        <v>0</v>
      </c>
      <c r="P3500" s="76" t="b">
        <v>0</v>
      </c>
      <c r="Q3500" s="76" t="b">
        <v>0</v>
      </c>
      <c r="R3500" s="14"/>
      <c r="S3500" s="14"/>
      <c r="T3500" s="14"/>
      <c r="U3500" s="14"/>
      <c r="V3500" s="14"/>
      <c r="W3500" s="14"/>
    </row>
    <row r="3501" ht="31.5" customHeight="1">
      <c r="A3501" s="158"/>
      <c r="B3501" s="159"/>
      <c r="C3501" s="160"/>
      <c r="D3501" s="130"/>
      <c r="E3501" s="130"/>
      <c r="F3501" s="161"/>
      <c r="G3501" s="164"/>
      <c r="H3501" s="76" t="b">
        <v>1</v>
      </c>
      <c r="I3501" s="76" t="b">
        <v>0</v>
      </c>
      <c r="J3501" s="76" t="b">
        <v>0</v>
      </c>
      <c r="K3501" s="76" t="b">
        <v>0</v>
      </c>
      <c r="L3501" s="76" t="b">
        <v>0</v>
      </c>
      <c r="M3501" s="76" t="b">
        <v>0</v>
      </c>
      <c r="N3501" s="76" t="b">
        <v>0</v>
      </c>
      <c r="O3501" s="76" t="b">
        <v>0</v>
      </c>
      <c r="P3501" s="76" t="b">
        <v>0</v>
      </c>
      <c r="Q3501" s="76" t="b">
        <v>0</v>
      </c>
      <c r="R3501" s="14"/>
      <c r="S3501" s="14"/>
      <c r="T3501" s="14"/>
      <c r="U3501" s="14"/>
      <c r="V3501" s="14"/>
      <c r="W3501" s="14"/>
    </row>
    <row r="3502" ht="31.5" customHeight="1">
      <c r="A3502" s="158"/>
      <c r="B3502" s="159"/>
      <c r="C3502" s="160"/>
      <c r="D3502" s="130"/>
      <c r="E3502" s="130"/>
      <c r="F3502" s="161"/>
      <c r="G3502" s="164"/>
      <c r="H3502" s="76" t="b">
        <v>1</v>
      </c>
      <c r="I3502" s="76" t="b">
        <v>0</v>
      </c>
      <c r="J3502" s="76" t="b">
        <v>0</v>
      </c>
      <c r="K3502" s="76" t="b">
        <v>0</v>
      </c>
      <c r="L3502" s="76" t="b">
        <v>0</v>
      </c>
      <c r="M3502" s="76" t="b">
        <v>0</v>
      </c>
      <c r="N3502" s="76" t="b">
        <v>0</v>
      </c>
      <c r="O3502" s="76" t="b">
        <v>0</v>
      </c>
      <c r="P3502" s="76" t="b">
        <v>0</v>
      </c>
      <c r="Q3502" s="76" t="b">
        <v>0</v>
      </c>
      <c r="R3502" s="14"/>
      <c r="S3502" s="14"/>
      <c r="T3502" s="14"/>
      <c r="U3502" s="14"/>
      <c r="V3502" s="14"/>
      <c r="W3502" s="14"/>
    </row>
    <row r="3503" ht="31.5" customHeight="1">
      <c r="A3503" s="158"/>
      <c r="B3503" s="159"/>
      <c r="C3503" s="160"/>
      <c r="D3503" s="130"/>
      <c r="E3503" s="130"/>
      <c r="F3503" s="161"/>
      <c r="G3503" s="164"/>
      <c r="H3503" s="76" t="b">
        <v>1</v>
      </c>
      <c r="I3503" s="76" t="b">
        <v>0</v>
      </c>
      <c r="J3503" s="76" t="b">
        <v>0</v>
      </c>
      <c r="K3503" s="76" t="b">
        <v>0</v>
      </c>
      <c r="L3503" s="76" t="b">
        <v>0</v>
      </c>
      <c r="M3503" s="76" t="b">
        <v>0</v>
      </c>
      <c r="N3503" s="76" t="b">
        <v>0</v>
      </c>
      <c r="O3503" s="76" t="b">
        <v>0</v>
      </c>
      <c r="P3503" s="76" t="b">
        <v>0</v>
      </c>
      <c r="Q3503" s="76" t="b">
        <v>0</v>
      </c>
      <c r="R3503" s="14"/>
      <c r="S3503" s="14"/>
      <c r="T3503" s="14"/>
      <c r="U3503" s="14"/>
      <c r="V3503" s="14"/>
      <c r="W3503" s="14"/>
    </row>
    <row r="3504" ht="31.5" customHeight="1">
      <c r="A3504" s="158"/>
      <c r="B3504" s="159"/>
      <c r="C3504" s="160"/>
      <c r="D3504" s="130"/>
      <c r="E3504" s="130"/>
      <c r="F3504" s="161"/>
      <c r="G3504" s="164"/>
      <c r="H3504" s="76" t="b">
        <v>1</v>
      </c>
      <c r="I3504" s="76" t="b">
        <v>0</v>
      </c>
      <c r="J3504" s="76" t="b">
        <v>0</v>
      </c>
      <c r="K3504" s="76" t="b">
        <v>0</v>
      </c>
      <c r="L3504" s="76" t="b">
        <v>0</v>
      </c>
      <c r="M3504" s="76" t="b">
        <v>0</v>
      </c>
      <c r="N3504" s="76" t="b">
        <v>0</v>
      </c>
      <c r="O3504" s="76" t="b">
        <v>0</v>
      </c>
      <c r="P3504" s="76" t="b">
        <v>0</v>
      </c>
      <c r="Q3504" s="76" t="b">
        <v>0</v>
      </c>
      <c r="R3504" s="14"/>
      <c r="S3504" s="14"/>
      <c r="T3504" s="14"/>
      <c r="U3504" s="14"/>
      <c r="V3504" s="14"/>
      <c r="W3504" s="14"/>
    </row>
    <row r="3505" ht="31.5" customHeight="1">
      <c r="A3505" s="158"/>
      <c r="B3505" s="159"/>
      <c r="C3505" s="160"/>
      <c r="D3505" s="130"/>
      <c r="E3505" s="130"/>
      <c r="F3505" s="161"/>
      <c r="G3505" s="164"/>
      <c r="H3505" s="76" t="b">
        <v>1</v>
      </c>
      <c r="I3505" s="76" t="b">
        <v>0</v>
      </c>
      <c r="J3505" s="76" t="b">
        <v>0</v>
      </c>
      <c r="K3505" s="76" t="b">
        <v>0</v>
      </c>
      <c r="L3505" s="76" t="b">
        <v>0</v>
      </c>
      <c r="M3505" s="76" t="b">
        <v>0</v>
      </c>
      <c r="N3505" s="76" t="b">
        <v>0</v>
      </c>
      <c r="O3505" s="76" t="b">
        <v>0</v>
      </c>
      <c r="P3505" s="76" t="b">
        <v>0</v>
      </c>
      <c r="Q3505" s="76" t="b">
        <v>0</v>
      </c>
      <c r="R3505" s="14"/>
      <c r="S3505" s="14"/>
      <c r="T3505" s="14"/>
      <c r="U3505" s="14"/>
      <c r="V3505" s="14"/>
      <c r="W3505" s="14"/>
    </row>
    <row r="3506" ht="31.5" customHeight="1">
      <c r="A3506" s="158"/>
      <c r="B3506" s="159"/>
      <c r="C3506" s="160"/>
      <c r="D3506" s="130"/>
      <c r="E3506" s="130"/>
      <c r="F3506" s="161"/>
      <c r="G3506" s="164"/>
      <c r="H3506" s="76" t="b">
        <v>1</v>
      </c>
      <c r="I3506" s="76" t="b">
        <v>0</v>
      </c>
      <c r="J3506" s="76" t="b">
        <v>0</v>
      </c>
      <c r="K3506" s="76" t="b">
        <v>0</v>
      </c>
      <c r="L3506" s="76" t="b">
        <v>0</v>
      </c>
      <c r="M3506" s="76" t="b">
        <v>0</v>
      </c>
      <c r="N3506" s="76" t="b">
        <v>0</v>
      </c>
      <c r="O3506" s="76" t="b">
        <v>0</v>
      </c>
      <c r="P3506" s="76" t="b">
        <v>0</v>
      </c>
      <c r="Q3506" s="76" t="b">
        <v>0</v>
      </c>
      <c r="R3506" s="14"/>
      <c r="S3506" s="14"/>
      <c r="T3506" s="14"/>
      <c r="U3506" s="14"/>
      <c r="V3506" s="14"/>
      <c r="W3506" s="14"/>
    </row>
    <row r="3507" ht="31.5" customHeight="1">
      <c r="A3507" s="158"/>
      <c r="B3507" s="159"/>
      <c r="C3507" s="160"/>
      <c r="D3507" s="130"/>
      <c r="E3507" s="130"/>
      <c r="F3507" s="161"/>
      <c r="G3507" s="164"/>
      <c r="H3507" s="76" t="b">
        <v>1</v>
      </c>
      <c r="I3507" s="76" t="b">
        <v>0</v>
      </c>
      <c r="J3507" s="76" t="b">
        <v>0</v>
      </c>
      <c r="K3507" s="76" t="b">
        <v>0</v>
      </c>
      <c r="L3507" s="76" t="b">
        <v>0</v>
      </c>
      <c r="M3507" s="76" t="b">
        <v>0</v>
      </c>
      <c r="N3507" s="76" t="b">
        <v>0</v>
      </c>
      <c r="O3507" s="76" t="b">
        <v>0</v>
      </c>
      <c r="P3507" s="76" t="b">
        <v>0</v>
      </c>
      <c r="Q3507" s="76" t="b">
        <v>0</v>
      </c>
      <c r="R3507" s="14"/>
      <c r="S3507" s="14"/>
      <c r="T3507" s="14"/>
      <c r="U3507" s="14"/>
      <c r="V3507" s="14"/>
      <c r="W3507" s="14"/>
    </row>
    <row r="3508" ht="31.5" customHeight="1">
      <c r="A3508" s="158"/>
      <c r="B3508" s="159"/>
      <c r="C3508" s="160"/>
      <c r="D3508" s="130"/>
      <c r="E3508" s="130"/>
      <c r="F3508" s="161"/>
      <c r="G3508" s="164"/>
      <c r="H3508" s="76" t="b">
        <v>1</v>
      </c>
      <c r="I3508" s="76" t="b">
        <v>0</v>
      </c>
      <c r="J3508" s="76" t="b">
        <v>0</v>
      </c>
      <c r="K3508" s="76" t="b">
        <v>0</v>
      </c>
      <c r="L3508" s="76" t="b">
        <v>0</v>
      </c>
      <c r="M3508" s="76" t="b">
        <v>0</v>
      </c>
      <c r="N3508" s="76" t="b">
        <v>0</v>
      </c>
      <c r="O3508" s="76" t="b">
        <v>0</v>
      </c>
      <c r="P3508" s="76" t="b">
        <v>0</v>
      </c>
      <c r="Q3508" s="76" t="b">
        <v>0</v>
      </c>
      <c r="R3508" s="14"/>
      <c r="S3508" s="14"/>
      <c r="T3508" s="14"/>
      <c r="U3508" s="14"/>
      <c r="V3508" s="14"/>
      <c r="W3508" s="14"/>
    </row>
    <row r="3509" ht="31.5" customHeight="1">
      <c r="A3509" s="158"/>
      <c r="B3509" s="159"/>
      <c r="C3509" s="160"/>
      <c r="D3509" s="130"/>
      <c r="E3509" s="130"/>
      <c r="F3509" s="161"/>
      <c r="G3509" s="164"/>
      <c r="H3509" s="76" t="b">
        <v>1</v>
      </c>
      <c r="I3509" s="76" t="b">
        <v>0</v>
      </c>
      <c r="J3509" s="76" t="b">
        <v>0</v>
      </c>
      <c r="K3509" s="76" t="b">
        <v>0</v>
      </c>
      <c r="L3509" s="76" t="b">
        <v>0</v>
      </c>
      <c r="M3509" s="76" t="b">
        <v>0</v>
      </c>
      <c r="N3509" s="76" t="b">
        <v>0</v>
      </c>
      <c r="O3509" s="76" t="b">
        <v>0</v>
      </c>
      <c r="P3509" s="76" t="b">
        <v>0</v>
      </c>
      <c r="Q3509" s="76" t="b">
        <v>0</v>
      </c>
      <c r="R3509" s="14"/>
      <c r="S3509" s="14"/>
      <c r="T3509" s="14"/>
      <c r="U3509" s="14"/>
      <c r="V3509" s="14"/>
      <c r="W3509" s="14"/>
    </row>
    <row r="3510" ht="31.5" customHeight="1">
      <c r="A3510" s="158"/>
      <c r="B3510" s="159"/>
      <c r="C3510" s="160"/>
      <c r="D3510" s="130"/>
      <c r="E3510" s="130"/>
      <c r="F3510" s="161"/>
      <c r="G3510" s="164"/>
      <c r="H3510" s="76" t="b">
        <v>1</v>
      </c>
      <c r="I3510" s="76" t="b">
        <v>0</v>
      </c>
      <c r="J3510" s="76" t="b">
        <v>0</v>
      </c>
      <c r="K3510" s="76" t="b">
        <v>0</v>
      </c>
      <c r="L3510" s="76" t="b">
        <v>0</v>
      </c>
      <c r="M3510" s="76" t="b">
        <v>0</v>
      </c>
      <c r="N3510" s="76" t="b">
        <v>0</v>
      </c>
      <c r="O3510" s="76" t="b">
        <v>0</v>
      </c>
      <c r="P3510" s="76" t="b">
        <v>0</v>
      </c>
      <c r="Q3510" s="76" t="b">
        <v>0</v>
      </c>
      <c r="R3510" s="14"/>
      <c r="S3510" s="14"/>
      <c r="T3510" s="14"/>
      <c r="U3510" s="14"/>
      <c r="V3510" s="14"/>
      <c r="W3510" s="14"/>
    </row>
    <row r="3511" ht="31.5" customHeight="1">
      <c r="A3511" s="158"/>
      <c r="B3511" s="159"/>
      <c r="C3511" s="160"/>
      <c r="D3511" s="130"/>
      <c r="E3511" s="130"/>
      <c r="F3511" s="161"/>
      <c r="G3511" s="164"/>
      <c r="H3511" s="76" t="b">
        <v>1</v>
      </c>
      <c r="I3511" s="76" t="b">
        <v>0</v>
      </c>
      <c r="J3511" s="76" t="b">
        <v>0</v>
      </c>
      <c r="K3511" s="76" t="b">
        <v>0</v>
      </c>
      <c r="L3511" s="76" t="b">
        <v>0</v>
      </c>
      <c r="M3511" s="76" t="b">
        <v>0</v>
      </c>
      <c r="N3511" s="76" t="b">
        <v>0</v>
      </c>
      <c r="O3511" s="76" t="b">
        <v>0</v>
      </c>
      <c r="P3511" s="76" t="b">
        <v>0</v>
      </c>
      <c r="Q3511" s="76" t="b">
        <v>0</v>
      </c>
      <c r="R3511" s="14"/>
      <c r="S3511" s="14"/>
      <c r="T3511" s="14"/>
      <c r="U3511" s="14"/>
      <c r="V3511" s="14"/>
      <c r="W3511" s="14"/>
    </row>
    <row r="3512" ht="31.5" customHeight="1">
      <c r="A3512" s="158"/>
      <c r="B3512" s="159"/>
      <c r="C3512" s="160"/>
      <c r="D3512" s="130"/>
      <c r="E3512" s="130"/>
      <c r="F3512" s="161"/>
      <c r="G3512" s="164"/>
      <c r="H3512" s="76" t="b">
        <v>1</v>
      </c>
      <c r="I3512" s="76" t="b">
        <v>0</v>
      </c>
      <c r="J3512" s="76" t="b">
        <v>0</v>
      </c>
      <c r="K3512" s="76" t="b">
        <v>0</v>
      </c>
      <c r="L3512" s="76" t="b">
        <v>0</v>
      </c>
      <c r="M3512" s="76" t="b">
        <v>0</v>
      </c>
      <c r="N3512" s="76" t="b">
        <v>0</v>
      </c>
      <c r="O3512" s="76" t="b">
        <v>0</v>
      </c>
      <c r="P3512" s="76" t="b">
        <v>0</v>
      </c>
      <c r="Q3512" s="76" t="b">
        <v>0</v>
      </c>
      <c r="R3512" s="14"/>
      <c r="S3512" s="14"/>
      <c r="T3512" s="14"/>
      <c r="U3512" s="14"/>
      <c r="V3512" s="14"/>
      <c r="W3512" s="14"/>
    </row>
    <row r="3513" ht="31.5" customHeight="1">
      <c r="A3513" s="158"/>
      <c r="B3513" s="159"/>
      <c r="C3513" s="160"/>
      <c r="D3513" s="130"/>
      <c r="E3513" s="130"/>
      <c r="F3513" s="161"/>
      <c r="G3513" s="164"/>
      <c r="H3513" s="76" t="b">
        <v>1</v>
      </c>
      <c r="I3513" s="76" t="b">
        <v>0</v>
      </c>
      <c r="J3513" s="76" t="b">
        <v>0</v>
      </c>
      <c r="K3513" s="76" t="b">
        <v>0</v>
      </c>
      <c r="L3513" s="76" t="b">
        <v>0</v>
      </c>
      <c r="M3513" s="76" t="b">
        <v>0</v>
      </c>
      <c r="N3513" s="76" t="b">
        <v>0</v>
      </c>
      <c r="O3513" s="76" t="b">
        <v>0</v>
      </c>
      <c r="P3513" s="76" t="b">
        <v>0</v>
      </c>
      <c r="Q3513" s="76" t="b">
        <v>0</v>
      </c>
      <c r="R3513" s="14"/>
      <c r="S3513" s="14"/>
      <c r="T3513" s="14"/>
      <c r="U3513" s="14"/>
      <c r="V3513" s="14"/>
      <c r="W3513" s="14"/>
    </row>
    <row r="3514" ht="31.5" customHeight="1">
      <c r="A3514" s="158"/>
      <c r="B3514" s="159"/>
      <c r="C3514" s="160"/>
      <c r="D3514" s="130"/>
      <c r="E3514" s="130"/>
      <c r="F3514" s="161"/>
      <c r="G3514" s="164"/>
      <c r="H3514" s="76" t="b">
        <v>1</v>
      </c>
      <c r="I3514" s="76" t="b">
        <v>0</v>
      </c>
      <c r="J3514" s="76" t="b">
        <v>0</v>
      </c>
      <c r="K3514" s="76" t="b">
        <v>0</v>
      </c>
      <c r="L3514" s="76" t="b">
        <v>0</v>
      </c>
      <c r="M3514" s="76" t="b">
        <v>0</v>
      </c>
      <c r="N3514" s="76" t="b">
        <v>0</v>
      </c>
      <c r="O3514" s="76" t="b">
        <v>0</v>
      </c>
      <c r="P3514" s="76" t="b">
        <v>0</v>
      </c>
      <c r="Q3514" s="76" t="b">
        <v>0</v>
      </c>
      <c r="R3514" s="14"/>
      <c r="S3514" s="14"/>
      <c r="T3514" s="14"/>
      <c r="U3514" s="14"/>
      <c r="V3514" s="14"/>
      <c r="W3514" s="14"/>
    </row>
    <row r="3515" ht="31.5" customHeight="1">
      <c r="A3515" s="158"/>
      <c r="B3515" s="159"/>
      <c r="C3515" s="160"/>
      <c r="D3515" s="130"/>
      <c r="E3515" s="130"/>
      <c r="F3515" s="161"/>
      <c r="G3515" s="164"/>
      <c r="H3515" s="76" t="b">
        <v>1</v>
      </c>
      <c r="I3515" s="76" t="b">
        <v>0</v>
      </c>
      <c r="J3515" s="76" t="b">
        <v>0</v>
      </c>
      <c r="K3515" s="76" t="b">
        <v>0</v>
      </c>
      <c r="L3515" s="76" t="b">
        <v>0</v>
      </c>
      <c r="M3515" s="76" t="b">
        <v>0</v>
      </c>
      <c r="N3515" s="76" t="b">
        <v>0</v>
      </c>
      <c r="O3515" s="76" t="b">
        <v>0</v>
      </c>
      <c r="P3515" s="76" t="b">
        <v>0</v>
      </c>
      <c r="Q3515" s="76" t="b">
        <v>0</v>
      </c>
      <c r="R3515" s="14"/>
      <c r="S3515" s="14"/>
      <c r="T3515" s="14"/>
      <c r="U3515" s="14"/>
      <c r="V3515" s="14"/>
      <c r="W3515" s="14"/>
    </row>
    <row r="3516" ht="31.5" customHeight="1">
      <c r="A3516" s="158"/>
      <c r="B3516" s="159"/>
      <c r="C3516" s="160"/>
      <c r="D3516" s="130"/>
      <c r="E3516" s="130"/>
      <c r="F3516" s="161"/>
      <c r="G3516" s="164"/>
      <c r="H3516" s="76" t="b">
        <v>1</v>
      </c>
      <c r="I3516" s="76" t="b">
        <v>0</v>
      </c>
      <c r="J3516" s="76" t="b">
        <v>0</v>
      </c>
      <c r="K3516" s="76" t="b">
        <v>0</v>
      </c>
      <c r="L3516" s="76" t="b">
        <v>0</v>
      </c>
      <c r="M3516" s="76" t="b">
        <v>0</v>
      </c>
      <c r="N3516" s="76" t="b">
        <v>0</v>
      </c>
      <c r="O3516" s="76" t="b">
        <v>0</v>
      </c>
      <c r="P3516" s="76" t="b">
        <v>0</v>
      </c>
      <c r="Q3516" s="76" t="b">
        <v>0</v>
      </c>
      <c r="R3516" s="14"/>
      <c r="S3516" s="14"/>
      <c r="T3516" s="14"/>
      <c r="U3516" s="14"/>
      <c r="V3516" s="14"/>
      <c r="W3516" s="14"/>
    </row>
    <row r="3517" ht="31.5" customHeight="1">
      <c r="A3517" s="158"/>
      <c r="B3517" s="159"/>
      <c r="C3517" s="160"/>
      <c r="D3517" s="130"/>
      <c r="E3517" s="130"/>
      <c r="F3517" s="161"/>
      <c r="G3517" s="164"/>
      <c r="H3517" s="76" t="b">
        <v>1</v>
      </c>
      <c r="I3517" s="76" t="b">
        <v>0</v>
      </c>
      <c r="J3517" s="76" t="b">
        <v>0</v>
      </c>
      <c r="K3517" s="76" t="b">
        <v>0</v>
      </c>
      <c r="L3517" s="76" t="b">
        <v>0</v>
      </c>
      <c r="M3517" s="76" t="b">
        <v>0</v>
      </c>
      <c r="N3517" s="76" t="b">
        <v>0</v>
      </c>
      <c r="O3517" s="76" t="b">
        <v>0</v>
      </c>
      <c r="P3517" s="76" t="b">
        <v>0</v>
      </c>
      <c r="Q3517" s="76" t="b">
        <v>0</v>
      </c>
      <c r="R3517" s="14"/>
      <c r="S3517" s="14"/>
      <c r="T3517" s="14"/>
      <c r="U3517" s="14"/>
      <c r="V3517" s="14"/>
      <c r="W3517" s="14"/>
    </row>
    <row r="3518" ht="31.5" customHeight="1">
      <c r="A3518" s="158"/>
      <c r="B3518" s="159"/>
      <c r="C3518" s="160"/>
      <c r="D3518" s="130"/>
      <c r="E3518" s="130"/>
      <c r="F3518" s="161"/>
      <c r="G3518" s="164"/>
      <c r="H3518" s="76" t="b">
        <v>1</v>
      </c>
      <c r="I3518" s="76" t="b">
        <v>0</v>
      </c>
      <c r="J3518" s="76" t="b">
        <v>0</v>
      </c>
      <c r="K3518" s="76" t="b">
        <v>0</v>
      </c>
      <c r="L3518" s="76" t="b">
        <v>0</v>
      </c>
      <c r="M3518" s="76" t="b">
        <v>0</v>
      </c>
      <c r="N3518" s="76" t="b">
        <v>0</v>
      </c>
      <c r="O3518" s="76" t="b">
        <v>0</v>
      </c>
      <c r="P3518" s="76" t="b">
        <v>0</v>
      </c>
      <c r="Q3518" s="76" t="b">
        <v>0</v>
      </c>
      <c r="R3518" s="14"/>
      <c r="S3518" s="14"/>
      <c r="T3518" s="14"/>
      <c r="U3518" s="14"/>
      <c r="V3518" s="14"/>
      <c r="W3518" s="14"/>
    </row>
    <row r="3519" ht="31.5" customHeight="1">
      <c r="A3519" s="158"/>
      <c r="B3519" s="159"/>
      <c r="C3519" s="160"/>
      <c r="D3519" s="130"/>
      <c r="E3519" s="130"/>
      <c r="F3519" s="161"/>
      <c r="G3519" s="164"/>
      <c r="H3519" s="76" t="b">
        <v>1</v>
      </c>
      <c r="I3519" s="76" t="b">
        <v>0</v>
      </c>
      <c r="J3519" s="76" t="b">
        <v>0</v>
      </c>
      <c r="K3519" s="76" t="b">
        <v>0</v>
      </c>
      <c r="L3519" s="76" t="b">
        <v>0</v>
      </c>
      <c r="M3519" s="76" t="b">
        <v>0</v>
      </c>
      <c r="N3519" s="76" t="b">
        <v>0</v>
      </c>
      <c r="O3519" s="76" t="b">
        <v>0</v>
      </c>
      <c r="P3519" s="76" t="b">
        <v>0</v>
      </c>
      <c r="Q3519" s="76" t="b">
        <v>0</v>
      </c>
      <c r="R3519" s="14"/>
      <c r="S3519" s="14"/>
      <c r="T3519" s="14"/>
      <c r="U3519" s="14"/>
      <c r="V3519" s="14"/>
      <c r="W3519" s="14"/>
    </row>
    <row r="3520" ht="31.5" customHeight="1">
      <c r="A3520" s="158"/>
      <c r="B3520" s="159"/>
      <c r="C3520" s="160"/>
      <c r="D3520" s="130"/>
      <c r="E3520" s="130"/>
      <c r="F3520" s="161"/>
      <c r="G3520" s="164"/>
      <c r="H3520" s="76" t="b">
        <v>1</v>
      </c>
      <c r="I3520" s="76" t="b">
        <v>0</v>
      </c>
      <c r="J3520" s="76" t="b">
        <v>0</v>
      </c>
      <c r="K3520" s="76" t="b">
        <v>0</v>
      </c>
      <c r="L3520" s="76" t="b">
        <v>0</v>
      </c>
      <c r="M3520" s="76" t="b">
        <v>0</v>
      </c>
      <c r="N3520" s="76" t="b">
        <v>0</v>
      </c>
      <c r="O3520" s="76" t="b">
        <v>0</v>
      </c>
      <c r="P3520" s="76" t="b">
        <v>0</v>
      </c>
      <c r="Q3520" s="76" t="b">
        <v>0</v>
      </c>
      <c r="R3520" s="14"/>
      <c r="S3520" s="14"/>
      <c r="T3520" s="14"/>
      <c r="U3520" s="14"/>
      <c r="V3520" s="14"/>
      <c r="W3520" s="14"/>
    </row>
    <row r="3521" ht="31.5" customHeight="1">
      <c r="A3521" s="158"/>
      <c r="B3521" s="159"/>
      <c r="C3521" s="160"/>
      <c r="D3521" s="130"/>
      <c r="E3521" s="130"/>
      <c r="F3521" s="161"/>
      <c r="G3521" s="164"/>
      <c r="H3521" s="76" t="b">
        <v>1</v>
      </c>
      <c r="I3521" s="76" t="b">
        <v>0</v>
      </c>
      <c r="J3521" s="76" t="b">
        <v>0</v>
      </c>
      <c r="K3521" s="76" t="b">
        <v>0</v>
      </c>
      <c r="L3521" s="76" t="b">
        <v>0</v>
      </c>
      <c r="M3521" s="76" t="b">
        <v>0</v>
      </c>
      <c r="N3521" s="76" t="b">
        <v>0</v>
      </c>
      <c r="O3521" s="76" t="b">
        <v>0</v>
      </c>
      <c r="P3521" s="76" t="b">
        <v>0</v>
      </c>
      <c r="Q3521" s="76" t="b">
        <v>0</v>
      </c>
      <c r="R3521" s="14"/>
      <c r="S3521" s="14"/>
      <c r="T3521" s="14"/>
      <c r="U3521" s="14"/>
      <c r="V3521" s="14"/>
      <c r="W3521" s="14"/>
    </row>
    <row r="3522" ht="31.5" customHeight="1">
      <c r="A3522" s="158"/>
      <c r="B3522" s="159"/>
      <c r="C3522" s="160"/>
      <c r="D3522" s="130"/>
      <c r="E3522" s="130"/>
      <c r="F3522" s="161"/>
      <c r="G3522" s="164"/>
      <c r="H3522" s="76" t="b">
        <v>1</v>
      </c>
      <c r="I3522" s="76" t="b">
        <v>0</v>
      </c>
      <c r="J3522" s="76" t="b">
        <v>0</v>
      </c>
      <c r="K3522" s="76" t="b">
        <v>0</v>
      </c>
      <c r="L3522" s="76" t="b">
        <v>0</v>
      </c>
      <c r="M3522" s="76" t="b">
        <v>0</v>
      </c>
      <c r="N3522" s="76" t="b">
        <v>0</v>
      </c>
      <c r="O3522" s="76" t="b">
        <v>0</v>
      </c>
      <c r="P3522" s="76" t="b">
        <v>0</v>
      </c>
      <c r="Q3522" s="76" t="b">
        <v>0</v>
      </c>
      <c r="R3522" s="14"/>
      <c r="S3522" s="14"/>
      <c r="T3522" s="14"/>
      <c r="U3522" s="14"/>
      <c r="V3522" s="14"/>
      <c r="W3522" s="14"/>
    </row>
    <row r="3523" ht="31.5" customHeight="1">
      <c r="A3523" s="158"/>
      <c r="B3523" s="159"/>
      <c r="C3523" s="160"/>
      <c r="D3523" s="130"/>
      <c r="E3523" s="130"/>
      <c r="F3523" s="161"/>
      <c r="G3523" s="164"/>
      <c r="H3523" s="76" t="b">
        <v>1</v>
      </c>
      <c r="I3523" s="76" t="b">
        <v>0</v>
      </c>
      <c r="J3523" s="76" t="b">
        <v>0</v>
      </c>
      <c r="K3523" s="76" t="b">
        <v>0</v>
      </c>
      <c r="L3523" s="76" t="b">
        <v>0</v>
      </c>
      <c r="M3523" s="76" t="b">
        <v>0</v>
      </c>
      <c r="N3523" s="76" t="b">
        <v>0</v>
      </c>
      <c r="O3523" s="76" t="b">
        <v>0</v>
      </c>
      <c r="P3523" s="76" t="b">
        <v>0</v>
      </c>
      <c r="Q3523" s="76" t="b">
        <v>0</v>
      </c>
      <c r="R3523" s="14"/>
      <c r="S3523" s="14"/>
      <c r="T3523" s="14"/>
      <c r="U3523" s="14"/>
      <c r="V3523" s="14"/>
      <c r="W3523" s="14"/>
    </row>
    <row r="3524" ht="31.5" customHeight="1">
      <c r="A3524" s="158"/>
      <c r="B3524" s="159"/>
      <c r="C3524" s="160"/>
      <c r="D3524" s="130"/>
      <c r="E3524" s="130"/>
      <c r="F3524" s="161"/>
      <c r="G3524" s="164"/>
      <c r="H3524" s="76" t="b">
        <v>1</v>
      </c>
      <c r="I3524" s="76" t="b">
        <v>0</v>
      </c>
      <c r="J3524" s="76" t="b">
        <v>0</v>
      </c>
      <c r="K3524" s="76" t="b">
        <v>0</v>
      </c>
      <c r="L3524" s="76" t="b">
        <v>0</v>
      </c>
      <c r="M3524" s="76" t="b">
        <v>0</v>
      </c>
      <c r="N3524" s="76" t="b">
        <v>0</v>
      </c>
      <c r="O3524" s="76" t="b">
        <v>0</v>
      </c>
      <c r="P3524" s="76" t="b">
        <v>0</v>
      </c>
      <c r="Q3524" s="76" t="b">
        <v>0</v>
      </c>
      <c r="R3524" s="14"/>
      <c r="S3524" s="14"/>
      <c r="T3524" s="14"/>
      <c r="U3524" s="14"/>
      <c r="V3524" s="14"/>
      <c r="W3524" s="14"/>
    </row>
    <row r="3525" ht="31.5" customHeight="1">
      <c r="A3525" s="158"/>
      <c r="B3525" s="159"/>
      <c r="C3525" s="160"/>
      <c r="D3525" s="130"/>
      <c r="E3525" s="130"/>
      <c r="F3525" s="161"/>
      <c r="G3525" s="164"/>
      <c r="H3525" s="76" t="b">
        <v>1</v>
      </c>
      <c r="I3525" s="76" t="b">
        <v>0</v>
      </c>
      <c r="J3525" s="76" t="b">
        <v>0</v>
      </c>
      <c r="K3525" s="76" t="b">
        <v>0</v>
      </c>
      <c r="L3525" s="76" t="b">
        <v>0</v>
      </c>
      <c r="M3525" s="76" t="b">
        <v>0</v>
      </c>
      <c r="N3525" s="76" t="b">
        <v>0</v>
      </c>
      <c r="O3525" s="76" t="b">
        <v>0</v>
      </c>
      <c r="P3525" s="76" t="b">
        <v>0</v>
      </c>
      <c r="Q3525" s="76" t="b">
        <v>0</v>
      </c>
      <c r="R3525" s="14"/>
      <c r="S3525" s="14"/>
      <c r="T3525" s="14"/>
      <c r="U3525" s="14"/>
      <c r="V3525" s="14"/>
      <c r="W3525" s="14"/>
    </row>
    <row r="3526" ht="31.5" customHeight="1">
      <c r="A3526" s="158"/>
      <c r="B3526" s="159"/>
      <c r="C3526" s="160"/>
      <c r="D3526" s="130"/>
      <c r="E3526" s="130"/>
      <c r="F3526" s="161"/>
      <c r="G3526" s="164"/>
      <c r="H3526" s="76" t="b">
        <v>1</v>
      </c>
      <c r="I3526" s="76" t="b">
        <v>0</v>
      </c>
      <c r="J3526" s="76" t="b">
        <v>0</v>
      </c>
      <c r="K3526" s="76" t="b">
        <v>0</v>
      </c>
      <c r="L3526" s="76" t="b">
        <v>0</v>
      </c>
      <c r="M3526" s="76" t="b">
        <v>0</v>
      </c>
      <c r="N3526" s="76" t="b">
        <v>0</v>
      </c>
      <c r="O3526" s="76" t="b">
        <v>0</v>
      </c>
      <c r="P3526" s="76" t="b">
        <v>0</v>
      </c>
      <c r="Q3526" s="76" t="b">
        <v>0</v>
      </c>
      <c r="R3526" s="14"/>
      <c r="S3526" s="14"/>
      <c r="T3526" s="14"/>
      <c r="U3526" s="14"/>
      <c r="V3526" s="14"/>
      <c r="W3526" s="14"/>
    </row>
    <row r="3527" ht="31.5" customHeight="1">
      <c r="A3527" s="158"/>
      <c r="B3527" s="159"/>
      <c r="C3527" s="160"/>
      <c r="D3527" s="130"/>
      <c r="E3527" s="130"/>
      <c r="F3527" s="161"/>
      <c r="G3527" s="164"/>
      <c r="H3527" s="76" t="b">
        <v>1</v>
      </c>
      <c r="I3527" s="76" t="b">
        <v>0</v>
      </c>
      <c r="J3527" s="76" t="b">
        <v>0</v>
      </c>
      <c r="K3527" s="76" t="b">
        <v>0</v>
      </c>
      <c r="L3527" s="76" t="b">
        <v>0</v>
      </c>
      <c r="M3527" s="76" t="b">
        <v>0</v>
      </c>
      <c r="N3527" s="76" t="b">
        <v>0</v>
      </c>
      <c r="O3527" s="76" t="b">
        <v>0</v>
      </c>
      <c r="P3527" s="76" t="b">
        <v>0</v>
      </c>
      <c r="Q3527" s="76" t="b">
        <v>0</v>
      </c>
      <c r="R3527" s="14"/>
      <c r="S3527" s="14"/>
      <c r="T3527" s="14"/>
      <c r="U3527" s="14"/>
      <c r="V3527" s="14"/>
      <c r="W3527" s="14"/>
    </row>
    <row r="3528" ht="31.5" customHeight="1">
      <c r="A3528" s="158"/>
      <c r="B3528" s="159"/>
      <c r="C3528" s="160"/>
      <c r="D3528" s="130"/>
      <c r="E3528" s="130"/>
      <c r="F3528" s="161"/>
      <c r="G3528" s="164"/>
      <c r="H3528" s="76" t="b">
        <v>1</v>
      </c>
      <c r="I3528" s="76" t="b">
        <v>0</v>
      </c>
      <c r="J3528" s="76" t="b">
        <v>0</v>
      </c>
      <c r="K3528" s="76" t="b">
        <v>0</v>
      </c>
      <c r="L3528" s="76" t="b">
        <v>0</v>
      </c>
      <c r="M3528" s="76" t="b">
        <v>0</v>
      </c>
      <c r="N3528" s="76" t="b">
        <v>0</v>
      </c>
      <c r="O3528" s="76" t="b">
        <v>0</v>
      </c>
      <c r="P3528" s="76" t="b">
        <v>0</v>
      </c>
      <c r="Q3528" s="76" t="b">
        <v>0</v>
      </c>
      <c r="R3528" s="14"/>
      <c r="S3528" s="14"/>
      <c r="T3528" s="14"/>
      <c r="U3528" s="14"/>
      <c r="V3528" s="14"/>
      <c r="W3528" s="14"/>
    </row>
    <row r="3529" ht="31.5" customHeight="1">
      <c r="A3529" s="158"/>
      <c r="B3529" s="159"/>
      <c r="C3529" s="160"/>
      <c r="D3529" s="130"/>
      <c r="E3529" s="130"/>
      <c r="F3529" s="161"/>
      <c r="G3529" s="164"/>
      <c r="H3529" s="76" t="b">
        <v>1</v>
      </c>
      <c r="I3529" s="76" t="b">
        <v>0</v>
      </c>
      <c r="J3529" s="76" t="b">
        <v>0</v>
      </c>
      <c r="K3529" s="76" t="b">
        <v>0</v>
      </c>
      <c r="L3529" s="76" t="b">
        <v>0</v>
      </c>
      <c r="M3529" s="76" t="b">
        <v>0</v>
      </c>
      <c r="N3529" s="76" t="b">
        <v>0</v>
      </c>
      <c r="O3529" s="76" t="b">
        <v>0</v>
      </c>
      <c r="P3529" s="76" t="b">
        <v>0</v>
      </c>
      <c r="Q3529" s="76" t="b">
        <v>0</v>
      </c>
      <c r="R3529" s="14"/>
      <c r="S3529" s="14"/>
      <c r="T3529" s="14"/>
      <c r="U3529" s="14"/>
      <c r="V3529" s="14"/>
      <c r="W3529" s="14"/>
    </row>
    <row r="3530" ht="31.5" customHeight="1">
      <c r="A3530" s="158"/>
      <c r="B3530" s="159"/>
      <c r="C3530" s="160"/>
      <c r="D3530" s="130"/>
      <c r="E3530" s="130"/>
      <c r="F3530" s="161"/>
      <c r="G3530" s="164"/>
      <c r="H3530" s="76" t="b">
        <v>1</v>
      </c>
      <c r="I3530" s="76" t="b">
        <v>0</v>
      </c>
      <c r="J3530" s="76" t="b">
        <v>0</v>
      </c>
      <c r="K3530" s="76" t="b">
        <v>0</v>
      </c>
      <c r="L3530" s="76" t="b">
        <v>0</v>
      </c>
      <c r="M3530" s="76" t="b">
        <v>0</v>
      </c>
      <c r="N3530" s="76" t="b">
        <v>0</v>
      </c>
      <c r="O3530" s="76" t="b">
        <v>0</v>
      </c>
      <c r="P3530" s="76" t="b">
        <v>0</v>
      </c>
      <c r="Q3530" s="76" t="b">
        <v>0</v>
      </c>
      <c r="R3530" s="14"/>
      <c r="S3530" s="14"/>
      <c r="T3530" s="14"/>
      <c r="U3530" s="14"/>
      <c r="V3530" s="14"/>
      <c r="W3530" s="14"/>
    </row>
    <row r="3531" ht="31.5" customHeight="1">
      <c r="A3531" s="158"/>
      <c r="B3531" s="159"/>
      <c r="C3531" s="160"/>
      <c r="D3531" s="130"/>
      <c r="E3531" s="130"/>
      <c r="F3531" s="161"/>
      <c r="G3531" s="164"/>
      <c r="H3531" s="76" t="b">
        <v>1</v>
      </c>
      <c r="I3531" s="76" t="b">
        <v>0</v>
      </c>
      <c r="J3531" s="76" t="b">
        <v>0</v>
      </c>
      <c r="K3531" s="76" t="b">
        <v>0</v>
      </c>
      <c r="L3531" s="76" t="b">
        <v>0</v>
      </c>
      <c r="M3531" s="76" t="b">
        <v>0</v>
      </c>
      <c r="N3531" s="76" t="b">
        <v>0</v>
      </c>
      <c r="O3531" s="76" t="b">
        <v>0</v>
      </c>
      <c r="P3531" s="76" t="b">
        <v>0</v>
      </c>
      <c r="Q3531" s="76" t="b">
        <v>0</v>
      </c>
      <c r="R3531" s="14"/>
      <c r="S3531" s="14"/>
      <c r="T3531" s="14"/>
      <c r="U3531" s="14"/>
      <c r="V3531" s="14"/>
      <c r="W3531" s="14"/>
    </row>
    <row r="3532" ht="31.5" customHeight="1">
      <c r="A3532" s="158"/>
      <c r="B3532" s="159"/>
      <c r="C3532" s="160"/>
      <c r="D3532" s="130"/>
      <c r="E3532" s="130"/>
      <c r="F3532" s="161"/>
      <c r="G3532" s="164"/>
      <c r="H3532" s="76" t="b">
        <v>1</v>
      </c>
      <c r="I3532" s="76" t="b">
        <v>0</v>
      </c>
      <c r="J3532" s="76" t="b">
        <v>0</v>
      </c>
      <c r="K3532" s="76" t="b">
        <v>0</v>
      </c>
      <c r="L3532" s="76" t="b">
        <v>0</v>
      </c>
      <c r="M3532" s="76" t="b">
        <v>0</v>
      </c>
      <c r="N3532" s="76" t="b">
        <v>0</v>
      </c>
      <c r="O3532" s="76" t="b">
        <v>0</v>
      </c>
      <c r="P3532" s="76" t="b">
        <v>0</v>
      </c>
      <c r="Q3532" s="76" t="b">
        <v>0</v>
      </c>
      <c r="R3532" s="14"/>
      <c r="S3532" s="14"/>
      <c r="T3532" s="14"/>
      <c r="U3532" s="14"/>
      <c r="V3532" s="14"/>
      <c r="W3532" s="14"/>
    </row>
    <row r="3533" ht="31.5" customHeight="1">
      <c r="A3533" s="158"/>
      <c r="B3533" s="159"/>
      <c r="C3533" s="160"/>
      <c r="D3533" s="130"/>
      <c r="E3533" s="130"/>
      <c r="F3533" s="161"/>
      <c r="G3533" s="164"/>
      <c r="H3533" s="76" t="b">
        <v>1</v>
      </c>
      <c r="I3533" s="76" t="b">
        <v>0</v>
      </c>
      <c r="J3533" s="76" t="b">
        <v>0</v>
      </c>
      <c r="K3533" s="76" t="b">
        <v>0</v>
      </c>
      <c r="L3533" s="76" t="b">
        <v>0</v>
      </c>
      <c r="M3533" s="76" t="b">
        <v>0</v>
      </c>
      <c r="N3533" s="76" t="b">
        <v>0</v>
      </c>
      <c r="O3533" s="76" t="b">
        <v>0</v>
      </c>
      <c r="P3533" s="76" t="b">
        <v>0</v>
      </c>
      <c r="Q3533" s="76" t="b">
        <v>0</v>
      </c>
      <c r="R3533" s="14"/>
      <c r="S3533" s="14"/>
      <c r="T3533" s="14"/>
      <c r="U3533" s="14"/>
      <c r="V3533" s="14"/>
      <c r="W3533" s="14"/>
    </row>
    <row r="3534" ht="31.5" customHeight="1">
      <c r="A3534" s="158"/>
      <c r="B3534" s="159"/>
      <c r="C3534" s="160"/>
      <c r="D3534" s="130"/>
      <c r="E3534" s="130"/>
      <c r="F3534" s="161"/>
      <c r="G3534" s="164"/>
      <c r="H3534" s="76" t="b">
        <v>1</v>
      </c>
      <c r="I3534" s="76" t="b">
        <v>0</v>
      </c>
      <c r="J3534" s="76" t="b">
        <v>0</v>
      </c>
      <c r="K3534" s="76" t="b">
        <v>0</v>
      </c>
      <c r="L3534" s="76" t="b">
        <v>0</v>
      </c>
      <c r="M3534" s="76" t="b">
        <v>0</v>
      </c>
      <c r="N3534" s="76" t="b">
        <v>0</v>
      </c>
      <c r="O3534" s="76" t="b">
        <v>0</v>
      </c>
      <c r="P3534" s="76" t="b">
        <v>0</v>
      </c>
      <c r="Q3534" s="76" t="b">
        <v>0</v>
      </c>
      <c r="R3534" s="14"/>
      <c r="S3534" s="14"/>
      <c r="T3534" s="14"/>
      <c r="U3534" s="14"/>
      <c r="V3534" s="14"/>
      <c r="W3534" s="14"/>
    </row>
    <row r="3535" ht="31.5" customHeight="1">
      <c r="A3535" s="158"/>
      <c r="B3535" s="159"/>
      <c r="C3535" s="160"/>
      <c r="D3535" s="130"/>
      <c r="E3535" s="130"/>
      <c r="F3535" s="161"/>
      <c r="G3535" s="164"/>
      <c r="H3535" s="76" t="b">
        <v>1</v>
      </c>
      <c r="I3535" s="76" t="b">
        <v>0</v>
      </c>
      <c r="J3535" s="76" t="b">
        <v>0</v>
      </c>
      <c r="K3535" s="76" t="b">
        <v>0</v>
      </c>
      <c r="L3535" s="76" t="b">
        <v>0</v>
      </c>
      <c r="M3535" s="76" t="b">
        <v>0</v>
      </c>
      <c r="N3535" s="76" t="b">
        <v>0</v>
      </c>
      <c r="O3535" s="76" t="b">
        <v>0</v>
      </c>
      <c r="P3535" s="76" t="b">
        <v>0</v>
      </c>
      <c r="Q3535" s="76" t="b">
        <v>0</v>
      </c>
      <c r="R3535" s="14"/>
      <c r="S3535" s="14"/>
      <c r="T3535" s="14"/>
      <c r="U3535" s="14"/>
      <c r="V3535" s="14"/>
      <c r="W3535" s="14"/>
    </row>
    <row r="3536" ht="31.5" customHeight="1">
      <c r="A3536" s="158"/>
      <c r="B3536" s="159"/>
      <c r="C3536" s="160"/>
      <c r="D3536" s="130"/>
      <c r="E3536" s="130"/>
      <c r="F3536" s="161"/>
      <c r="G3536" s="164"/>
      <c r="H3536" s="76" t="b">
        <v>1</v>
      </c>
      <c r="I3536" s="76" t="b">
        <v>0</v>
      </c>
      <c r="J3536" s="76" t="b">
        <v>0</v>
      </c>
      <c r="K3536" s="76" t="b">
        <v>0</v>
      </c>
      <c r="L3536" s="76" t="b">
        <v>0</v>
      </c>
      <c r="M3536" s="76" t="b">
        <v>0</v>
      </c>
      <c r="N3536" s="76" t="b">
        <v>0</v>
      </c>
      <c r="O3536" s="76" t="b">
        <v>0</v>
      </c>
      <c r="P3536" s="76" t="b">
        <v>0</v>
      </c>
      <c r="Q3536" s="76" t="b">
        <v>0</v>
      </c>
      <c r="R3536" s="14"/>
      <c r="S3536" s="14"/>
      <c r="T3536" s="14"/>
      <c r="U3536" s="14"/>
      <c r="V3536" s="14"/>
      <c r="W3536" s="14"/>
    </row>
    <row r="3537" ht="31.5" customHeight="1">
      <c r="A3537" s="158"/>
      <c r="B3537" s="159"/>
      <c r="C3537" s="160"/>
      <c r="D3537" s="130"/>
      <c r="E3537" s="130"/>
      <c r="F3537" s="161"/>
      <c r="G3537" s="164"/>
      <c r="H3537" s="76" t="b">
        <v>1</v>
      </c>
      <c r="I3537" s="76" t="b">
        <v>0</v>
      </c>
      <c r="J3537" s="76" t="b">
        <v>0</v>
      </c>
      <c r="K3537" s="76" t="b">
        <v>0</v>
      </c>
      <c r="L3537" s="76" t="b">
        <v>0</v>
      </c>
      <c r="M3537" s="76" t="b">
        <v>0</v>
      </c>
      <c r="N3537" s="76" t="b">
        <v>0</v>
      </c>
      <c r="O3537" s="76" t="b">
        <v>0</v>
      </c>
      <c r="P3537" s="76" t="b">
        <v>0</v>
      </c>
      <c r="Q3537" s="76" t="b">
        <v>0</v>
      </c>
      <c r="R3537" s="14"/>
      <c r="S3537" s="14"/>
      <c r="T3537" s="14"/>
      <c r="U3537" s="14"/>
      <c r="V3537" s="14"/>
      <c r="W3537" s="14"/>
    </row>
    <row r="3538" ht="31.5" customHeight="1">
      <c r="A3538" s="158"/>
      <c r="B3538" s="159"/>
      <c r="C3538" s="160"/>
      <c r="D3538" s="130"/>
      <c r="E3538" s="130"/>
      <c r="F3538" s="161"/>
      <c r="G3538" s="164"/>
      <c r="H3538" s="76" t="b">
        <v>1</v>
      </c>
      <c r="I3538" s="76" t="b">
        <v>0</v>
      </c>
      <c r="J3538" s="76" t="b">
        <v>0</v>
      </c>
      <c r="K3538" s="76" t="b">
        <v>0</v>
      </c>
      <c r="L3538" s="76" t="b">
        <v>0</v>
      </c>
      <c r="M3538" s="76" t="b">
        <v>0</v>
      </c>
      <c r="N3538" s="76" t="b">
        <v>0</v>
      </c>
      <c r="O3538" s="76" t="b">
        <v>0</v>
      </c>
      <c r="P3538" s="76" t="b">
        <v>0</v>
      </c>
      <c r="Q3538" s="76" t="b">
        <v>0</v>
      </c>
      <c r="R3538" s="14"/>
      <c r="S3538" s="14"/>
      <c r="T3538" s="14"/>
      <c r="U3538" s="14"/>
      <c r="V3538" s="14"/>
      <c r="W3538" s="14"/>
    </row>
    <row r="3539" ht="31.5" customHeight="1">
      <c r="A3539" s="158"/>
      <c r="B3539" s="159"/>
      <c r="C3539" s="160"/>
      <c r="D3539" s="130"/>
      <c r="E3539" s="130"/>
      <c r="F3539" s="161"/>
      <c r="G3539" s="164"/>
      <c r="H3539" s="76" t="b">
        <v>1</v>
      </c>
      <c r="I3539" s="76" t="b">
        <v>0</v>
      </c>
      <c r="J3539" s="76" t="b">
        <v>0</v>
      </c>
      <c r="K3539" s="76" t="b">
        <v>0</v>
      </c>
      <c r="L3539" s="76" t="b">
        <v>0</v>
      </c>
      <c r="M3539" s="76" t="b">
        <v>0</v>
      </c>
      <c r="N3539" s="76" t="b">
        <v>0</v>
      </c>
      <c r="O3539" s="76" t="b">
        <v>0</v>
      </c>
      <c r="P3539" s="76" t="b">
        <v>0</v>
      </c>
      <c r="Q3539" s="76" t="b">
        <v>0</v>
      </c>
      <c r="R3539" s="14"/>
      <c r="S3539" s="14"/>
      <c r="T3539" s="14"/>
      <c r="U3539" s="14"/>
      <c r="V3539" s="14"/>
      <c r="W3539" s="14"/>
    </row>
    <row r="3540" ht="31.5" customHeight="1">
      <c r="A3540" s="158"/>
      <c r="B3540" s="159"/>
      <c r="C3540" s="160"/>
      <c r="D3540" s="130"/>
      <c r="E3540" s="130"/>
      <c r="F3540" s="161"/>
      <c r="G3540" s="164"/>
      <c r="H3540" s="76" t="b">
        <v>1</v>
      </c>
      <c r="I3540" s="76" t="b">
        <v>0</v>
      </c>
      <c r="J3540" s="76" t="b">
        <v>0</v>
      </c>
      <c r="K3540" s="76" t="b">
        <v>0</v>
      </c>
      <c r="L3540" s="76" t="b">
        <v>0</v>
      </c>
      <c r="M3540" s="76" t="b">
        <v>0</v>
      </c>
      <c r="N3540" s="76" t="b">
        <v>0</v>
      </c>
      <c r="O3540" s="76" t="b">
        <v>0</v>
      </c>
      <c r="P3540" s="76" t="b">
        <v>0</v>
      </c>
      <c r="Q3540" s="76" t="b">
        <v>0</v>
      </c>
      <c r="R3540" s="14"/>
      <c r="S3540" s="14"/>
      <c r="T3540" s="14"/>
      <c r="U3540" s="14"/>
      <c r="V3540" s="14"/>
      <c r="W3540" s="14"/>
    </row>
    <row r="3541" ht="31.5" customHeight="1">
      <c r="A3541" s="158"/>
      <c r="B3541" s="159"/>
      <c r="C3541" s="160"/>
      <c r="D3541" s="130"/>
      <c r="E3541" s="130"/>
      <c r="F3541" s="161"/>
      <c r="G3541" s="164"/>
      <c r="H3541" s="76" t="b">
        <v>1</v>
      </c>
      <c r="I3541" s="76" t="b">
        <v>0</v>
      </c>
      <c r="J3541" s="76" t="b">
        <v>0</v>
      </c>
      <c r="K3541" s="76" t="b">
        <v>0</v>
      </c>
      <c r="L3541" s="76" t="b">
        <v>0</v>
      </c>
      <c r="M3541" s="76" t="b">
        <v>0</v>
      </c>
      <c r="N3541" s="76" t="b">
        <v>0</v>
      </c>
      <c r="O3541" s="76" t="b">
        <v>0</v>
      </c>
      <c r="P3541" s="76" t="b">
        <v>0</v>
      </c>
      <c r="Q3541" s="76" t="b">
        <v>0</v>
      </c>
      <c r="R3541" s="14"/>
      <c r="S3541" s="14"/>
      <c r="T3541" s="14"/>
      <c r="U3541" s="14"/>
      <c r="V3541" s="14"/>
      <c r="W3541" s="14"/>
    </row>
    <row r="3542" ht="31.5" customHeight="1">
      <c r="A3542" s="158"/>
      <c r="B3542" s="159"/>
      <c r="C3542" s="160"/>
      <c r="D3542" s="130"/>
      <c r="E3542" s="130"/>
      <c r="F3542" s="161"/>
      <c r="G3542" s="164"/>
      <c r="H3542" s="76" t="b">
        <v>1</v>
      </c>
      <c r="I3542" s="76" t="b">
        <v>0</v>
      </c>
      <c r="J3542" s="76" t="b">
        <v>0</v>
      </c>
      <c r="K3542" s="76" t="b">
        <v>0</v>
      </c>
      <c r="L3542" s="76" t="b">
        <v>0</v>
      </c>
      <c r="M3542" s="76" t="b">
        <v>0</v>
      </c>
      <c r="N3542" s="76" t="b">
        <v>0</v>
      </c>
      <c r="O3542" s="76" t="b">
        <v>0</v>
      </c>
      <c r="P3542" s="76" t="b">
        <v>0</v>
      </c>
      <c r="Q3542" s="76" t="b">
        <v>0</v>
      </c>
      <c r="R3542" s="14"/>
      <c r="S3542" s="14"/>
      <c r="T3542" s="14"/>
      <c r="U3542" s="14"/>
      <c r="V3542" s="14"/>
      <c r="W3542" s="14"/>
    </row>
    <row r="3543" ht="31.5" customHeight="1">
      <c r="A3543" s="158"/>
      <c r="B3543" s="159"/>
      <c r="C3543" s="160"/>
      <c r="D3543" s="130"/>
      <c r="E3543" s="130"/>
      <c r="F3543" s="161"/>
      <c r="G3543" s="164"/>
      <c r="H3543" s="76" t="b">
        <v>1</v>
      </c>
      <c r="I3543" s="76" t="b">
        <v>0</v>
      </c>
      <c r="J3543" s="76" t="b">
        <v>0</v>
      </c>
      <c r="K3543" s="76" t="b">
        <v>0</v>
      </c>
      <c r="L3543" s="76" t="b">
        <v>0</v>
      </c>
      <c r="M3543" s="76" t="b">
        <v>0</v>
      </c>
      <c r="N3543" s="76" t="b">
        <v>0</v>
      </c>
      <c r="O3543" s="76" t="b">
        <v>0</v>
      </c>
      <c r="P3543" s="76" t="b">
        <v>0</v>
      </c>
      <c r="Q3543" s="76" t="b">
        <v>0</v>
      </c>
      <c r="R3543" s="14"/>
      <c r="S3543" s="14"/>
      <c r="T3543" s="14"/>
      <c r="U3543" s="14"/>
      <c r="V3543" s="14"/>
      <c r="W3543" s="14"/>
    </row>
    <row r="3544" ht="31.5" customHeight="1">
      <c r="A3544" s="158"/>
      <c r="B3544" s="159"/>
      <c r="C3544" s="160"/>
      <c r="D3544" s="130"/>
      <c r="E3544" s="130"/>
      <c r="F3544" s="161"/>
      <c r="G3544" s="164"/>
      <c r="H3544" s="76" t="b">
        <v>1</v>
      </c>
      <c r="I3544" s="76" t="b">
        <v>0</v>
      </c>
      <c r="J3544" s="76" t="b">
        <v>0</v>
      </c>
      <c r="K3544" s="76" t="b">
        <v>0</v>
      </c>
      <c r="L3544" s="76" t="b">
        <v>0</v>
      </c>
      <c r="M3544" s="76" t="b">
        <v>0</v>
      </c>
      <c r="N3544" s="76" t="b">
        <v>0</v>
      </c>
      <c r="O3544" s="76" t="b">
        <v>0</v>
      </c>
      <c r="P3544" s="76" t="b">
        <v>0</v>
      </c>
      <c r="Q3544" s="76" t="b">
        <v>0</v>
      </c>
      <c r="R3544" s="14"/>
      <c r="S3544" s="14"/>
      <c r="T3544" s="14"/>
      <c r="U3544" s="14"/>
      <c r="V3544" s="14"/>
      <c r="W3544" s="14"/>
    </row>
    <row r="3545" ht="31.5" customHeight="1">
      <c r="A3545" s="158"/>
      <c r="B3545" s="159"/>
      <c r="C3545" s="160"/>
      <c r="D3545" s="130"/>
      <c r="E3545" s="130"/>
      <c r="F3545" s="161"/>
      <c r="G3545" s="164"/>
      <c r="H3545" s="76" t="b">
        <v>1</v>
      </c>
      <c r="I3545" s="76" t="b">
        <v>0</v>
      </c>
      <c r="J3545" s="76" t="b">
        <v>0</v>
      </c>
      <c r="K3545" s="76" t="b">
        <v>0</v>
      </c>
      <c r="L3545" s="76" t="b">
        <v>0</v>
      </c>
      <c r="M3545" s="76" t="b">
        <v>0</v>
      </c>
      <c r="N3545" s="76" t="b">
        <v>0</v>
      </c>
      <c r="O3545" s="76" t="b">
        <v>0</v>
      </c>
      <c r="P3545" s="76" t="b">
        <v>0</v>
      </c>
      <c r="Q3545" s="76" t="b">
        <v>0</v>
      </c>
      <c r="R3545" s="14"/>
      <c r="S3545" s="14"/>
      <c r="T3545" s="14"/>
      <c r="U3545" s="14"/>
      <c r="V3545" s="14"/>
      <c r="W3545" s="14"/>
    </row>
    <row r="3546" ht="31.5" customHeight="1">
      <c r="A3546" s="158"/>
      <c r="B3546" s="159"/>
      <c r="C3546" s="160"/>
      <c r="D3546" s="130"/>
      <c r="E3546" s="130"/>
      <c r="F3546" s="161"/>
      <c r="G3546" s="164"/>
      <c r="H3546" s="76" t="b">
        <v>1</v>
      </c>
      <c r="I3546" s="76" t="b">
        <v>0</v>
      </c>
      <c r="J3546" s="76" t="b">
        <v>0</v>
      </c>
      <c r="K3546" s="76" t="b">
        <v>0</v>
      </c>
      <c r="L3546" s="76" t="b">
        <v>0</v>
      </c>
      <c r="M3546" s="76" t="b">
        <v>0</v>
      </c>
      <c r="N3546" s="76" t="b">
        <v>0</v>
      </c>
      <c r="O3546" s="76" t="b">
        <v>0</v>
      </c>
      <c r="P3546" s="76" t="b">
        <v>0</v>
      </c>
      <c r="Q3546" s="76" t="b">
        <v>0</v>
      </c>
      <c r="R3546" s="14"/>
      <c r="S3546" s="14"/>
      <c r="T3546" s="14"/>
      <c r="U3546" s="14"/>
      <c r="V3546" s="14"/>
      <c r="W3546" s="14"/>
    </row>
    <row r="3547" ht="31.5" customHeight="1">
      <c r="A3547" s="158"/>
      <c r="B3547" s="159"/>
      <c r="C3547" s="160"/>
      <c r="D3547" s="130"/>
      <c r="E3547" s="130"/>
      <c r="F3547" s="161"/>
      <c r="G3547" s="164"/>
      <c r="H3547" s="76" t="b">
        <v>1</v>
      </c>
      <c r="I3547" s="76" t="b">
        <v>0</v>
      </c>
      <c r="J3547" s="76" t="b">
        <v>0</v>
      </c>
      <c r="K3547" s="76" t="b">
        <v>0</v>
      </c>
      <c r="L3547" s="76" t="b">
        <v>0</v>
      </c>
      <c r="M3547" s="76" t="b">
        <v>0</v>
      </c>
      <c r="N3547" s="76" t="b">
        <v>0</v>
      </c>
      <c r="O3547" s="76" t="b">
        <v>0</v>
      </c>
      <c r="P3547" s="76" t="b">
        <v>0</v>
      </c>
      <c r="Q3547" s="76" t="b">
        <v>0</v>
      </c>
      <c r="R3547" s="14"/>
      <c r="S3547" s="14"/>
      <c r="T3547" s="14"/>
      <c r="U3547" s="14"/>
      <c r="V3547" s="14"/>
      <c r="W3547" s="14"/>
    </row>
    <row r="3548" ht="31.5" customHeight="1">
      <c r="A3548" s="158"/>
      <c r="B3548" s="159"/>
      <c r="C3548" s="160"/>
      <c r="D3548" s="130"/>
      <c r="E3548" s="130"/>
      <c r="F3548" s="161"/>
      <c r="G3548" s="164"/>
      <c r="H3548" s="76" t="b">
        <v>1</v>
      </c>
      <c r="I3548" s="76" t="b">
        <v>0</v>
      </c>
      <c r="J3548" s="76" t="b">
        <v>0</v>
      </c>
      <c r="K3548" s="76" t="b">
        <v>0</v>
      </c>
      <c r="L3548" s="76" t="b">
        <v>0</v>
      </c>
      <c r="M3548" s="76" t="b">
        <v>0</v>
      </c>
      <c r="N3548" s="76" t="b">
        <v>0</v>
      </c>
      <c r="O3548" s="76" t="b">
        <v>0</v>
      </c>
      <c r="P3548" s="76" t="b">
        <v>0</v>
      </c>
      <c r="Q3548" s="76" t="b">
        <v>0</v>
      </c>
      <c r="R3548" s="14"/>
      <c r="S3548" s="14"/>
      <c r="T3548" s="14"/>
      <c r="U3548" s="14"/>
      <c r="V3548" s="14"/>
      <c r="W3548" s="14"/>
    </row>
    <row r="3549" ht="31.5" customHeight="1">
      <c r="A3549" s="158"/>
      <c r="B3549" s="159"/>
      <c r="C3549" s="160"/>
      <c r="D3549" s="130"/>
      <c r="E3549" s="130"/>
      <c r="F3549" s="161"/>
      <c r="G3549" s="164"/>
      <c r="H3549" s="76" t="b">
        <v>1</v>
      </c>
      <c r="I3549" s="76" t="b">
        <v>0</v>
      </c>
      <c r="J3549" s="76" t="b">
        <v>0</v>
      </c>
      <c r="K3549" s="76" t="b">
        <v>0</v>
      </c>
      <c r="L3549" s="76" t="b">
        <v>0</v>
      </c>
      <c r="M3549" s="76" t="b">
        <v>0</v>
      </c>
      <c r="N3549" s="76" t="b">
        <v>0</v>
      </c>
      <c r="O3549" s="76" t="b">
        <v>0</v>
      </c>
      <c r="P3549" s="76" t="b">
        <v>0</v>
      </c>
      <c r="Q3549" s="76" t="b">
        <v>0</v>
      </c>
      <c r="R3549" s="14"/>
      <c r="S3549" s="14"/>
      <c r="T3549" s="14"/>
      <c r="U3549" s="14"/>
      <c r="V3549" s="14"/>
      <c r="W3549" s="14"/>
    </row>
    <row r="3550" ht="31.5" customHeight="1">
      <c r="A3550" s="158"/>
      <c r="B3550" s="159"/>
      <c r="C3550" s="160"/>
      <c r="D3550" s="130"/>
      <c r="E3550" s="130"/>
      <c r="F3550" s="161"/>
      <c r="G3550" s="164"/>
      <c r="H3550" s="76" t="b">
        <v>1</v>
      </c>
      <c r="I3550" s="76" t="b">
        <v>0</v>
      </c>
      <c r="J3550" s="76" t="b">
        <v>0</v>
      </c>
      <c r="K3550" s="76" t="b">
        <v>0</v>
      </c>
      <c r="L3550" s="76" t="b">
        <v>0</v>
      </c>
      <c r="M3550" s="76" t="b">
        <v>0</v>
      </c>
      <c r="N3550" s="76" t="b">
        <v>0</v>
      </c>
      <c r="O3550" s="76" t="b">
        <v>0</v>
      </c>
      <c r="P3550" s="76" t="b">
        <v>0</v>
      </c>
      <c r="Q3550" s="76" t="b">
        <v>0</v>
      </c>
      <c r="R3550" s="14"/>
      <c r="S3550" s="14"/>
      <c r="T3550" s="14"/>
      <c r="U3550" s="14"/>
      <c r="V3550" s="14"/>
      <c r="W3550" s="14"/>
    </row>
    <row r="3551" ht="31.5" customHeight="1">
      <c r="A3551" s="158"/>
      <c r="B3551" s="159"/>
      <c r="C3551" s="160"/>
      <c r="D3551" s="130"/>
      <c r="E3551" s="130"/>
      <c r="F3551" s="161"/>
      <c r="G3551" s="164"/>
      <c r="H3551" s="76" t="b">
        <v>1</v>
      </c>
      <c r="I3551" s="76" t="b">
        <v>0</v>
      </c>
      <c r="J3551" s="76" t="b">
        <v>0</v>
      </c>
      <c r="K3551" s="76" t="b">
        <v>0</v>
      </c>
      <c r="L3551" s="76" t="b">
        <v>0</v>
      </c>
      <c r="M3551" s="76" t="b">
        <v>0</v>
      </c>
      <c r="N3551" s="76" t="b">
        <v>0</v>
      </c>
      <c r="O3551" s="76" t="b">
        <v>0</v>
      </c>
      <c r="P3551" s="76" t="b">
        <v>0</v>
      </c>
      <c r="Q3551" s="76" t="b">
        <v>0</v>
      </c>
      <c r="R3551" s="14"/>
      <c r="S3551" s="14"/>
      <c r="T3551" s="14"/>
      <c r="U3551" s="14"/>
      <c r="V3551" s="14"/>
      <c r="W3551" s="14"/>
    </row>
    <row r="3552" ht="31.5" customHeight="1">
      <c r="A3552" s="158"/>
      <c r="B3552" s="159"/>
      <c r="C3552" s="160"/>
      <c r="D3552" s="130"/>
      <c r="E3552" s="130"/>
      <c r="F3552" s="161"/>
      <c r="G3552" s="164"/>
      <c r="H3552" s="76" t="b">
        <v>1</v>
      </c>
      <c r="I3552" s="76" t="b">
        <v>0</v>
      </c>
      <c r="J3552" s="76" t="b">
        <v>0</v>
      </c>
      <c r="K3552" s="76" t="b">
        <v>0</v>
      </c>
      <c r="L3552" s="76" t="b">
        <v>0</v>
      </c>
      <c r="M3552" s="76" t="b">
        <v>0</v>
      </c>
      <c r="N3552" s="76" t="b">
        <v>0</v>
      </c>
      <c r="O3552" s="76" t="b">
        <v>0</v>
      </c>
      <c r="P3552" s="76" t="b">
        <v>0</v>
      </c>
      <c r="Q3552" s="76" t="b">
        <v>0</v>
      </c>
      <c r="R3552" s="14"/>
      <c r="S3552" s="14"/>
      <c r="T3552" s="14"/>
      <c r="U3552" s="14"/>
      <c r="V3552" s="14"/>
      <c r="W3552" s="14"/>
    </row>
    <row r="3553" ht="31.5" customHeight="1">
      <c r="A3553" s="158"/>
      <c r="B3553" s="159"/>
      <c r="C3553" s="160"/>
      <c r="D3553" s="130"/>
      <c r="E3553" s="130"/>
      <c r="F3553" s="161"/>
      <c r="G3553" s="164"/>
      <c r="H3553" s="76" t="b">
        <v>1</v>
      </c>
      <c r="I3553" s="76" t="b">
        <v>0</v>
      </c>
      <c r="J3553" s="76" t="b">
        <v>0</v>
      </c>
      <c r="K3553" s="76" t="b">
        <v>0</v>
      </c>
      <c r="L3553" s="76" t="b">
        <v>0</v>
      </c>
      <c r="M3553" s="76" t="b">
        <v>0</v>
      </c>
      <c r="N3553" s="76" t="b">
        <v>0</v>
      </c>
      <c r="O3553" s="76" t="b">
        <v>0</v>
      </c>
      <c r="P3553" s="76" t="b">
        <v>0</v>
      </c>
      <c r="Q3553" s="76" t="b">
        <v>0</v>
      </c>
      <c r="R3553" s="14"/>
      <c r="S3553" s="14"/>
      <c r="T3553" s="14"/>
      <c r="U3553" s="14"/>
      <c r="V3553" s="14"/>
      <c r="W3553" s="14"/>
    </row>
    <row r="3554" ht="31.5" customHeight="1">
      <c r="A3554" s="158"/>
      <c r="B3554" s="159"/>
      <c r="C3554" s="160"/>
      <c r="D3554" s="130"/>
      <c r="E3554" s="130"/>
      <c r="F3554" s="161"/>
      <c r="G3554" s="164"/>
      <c r="H3554" s="76" t="b">
        <v>1</v>
      </c>
      <c r="I3554" s="76" t="b">
        <v>0</v>
      </c>
      <c r="J3554" s="76" t="b">
        <v>0</v>
      </c>
      <c r="K3554" s="76" t="b">
        <v>0</v>
      </c>
      <c r="L3554" s="76" t="b">
        <v>0</v>
      </c>
      <c r="M3554" s="76" t="b">
        <v>0</v>
      </c>
      <c r="N3554" s="76" t="b">
        <v>0</v>
      </c>
      <c r="O3554" s="76" t="b">
        <v>0</v>
      </c>
      <c r="P3554" s="76" t="b">
        <v>0</v>
      </c>
      <c r="Q3554" s="76" t="b">
        <v>0</v>
      </c>
      <c r="R3554" s="14"/>
      <c r="S3554" s="14"/>
      <c r="T3554" s="14"/>
      <c r="U3554" s="14"/>
      <c r="V3554" s="14"/>
      <c r="W3554" s="14"/>
    </row>
    <row r="3555" ht="31.5" customHeight="1">
      <c r="A3555" s="158"/>
      <c r="B3555" s="159"/>
      <c r="C3555" s="160"/>
      <c r="D3555" s="130"/>
      <c r="E3555" s="130"/>
      <c r="F3555" s="161"/>
      <c r="G3555" s="164"/>
      <c r="H3555" s="76" t="b">
        <v>1</v>
      </c>
      <c r="I3555" s="76" t="b">
        <v>0</v>
      </c>
      <c r="J3555" s="76" t="b">
        <v>0</v>
      </c>
      <c r="K3555" s="76" t="b">
        <v>0</v>
      </c>
      <c r="L3555" s="76" t="b">
        <v>0</v>
      </c>
      <c r="M3555" s="76" t="b">
        <v>0</v>
      </c>
      <c r="N3555" s="76" t="b">
        <v>0</v>
      </c>
      <c r="O3555" s="76" t="b">
        <v>0</v>
      </c>
      <c r="P3555" s="76" t="b">
        <v>0</v>
      </c>
      <c r="Q3555" s="76" t="b">
        <v>0</v>
      </c>
      <c r="R3555" s="14"/>
      <c r="S3555" s="14"/>
      <c r="T3555" s="14"/>
      <c r="U3555" s="14"/>
      <c r="V3555" s="14"/>
      <c r="W3555" s="14"/>
    </row>
    <row r="3556" ht="31.5" customHeight="1">
      <c r="A3556" s="158"/>
      <c r="B3556" s="159"/>
      <c r="C3556" s="160"/>
      <c r="D3556" s="130"/>
      <c r="E3556" s="130"/>
      <c r="F3556" s="161"/>
      <c r="G3556" s="164"/>
      <c r="H3556" s="76" t="b">
        <v>1</v>
      </c>
      <c r="I3556" s="76" t="b">
        <v>0</v>
      </c>
      <c r="J3556" s="76" t="b">
        <v>0</v>
      </c>
      <c r="K3556" s="76" t="b">
        <v>0</v>
      </c>
      <c r="L3556" s="76" t="b">
        <v>0</v>
      </c>
      <c r="M3556" s="76" t="b">
        <v>0</v>
      </c>
      <c r="N3556" s="76" t="b">
        <v>0</v>
      </c>
      <c r="O3556" s="76" t="b">
        <v>0</v>
      </c>
      <c r="P3556" s="76" t="b">
        <v>0</v>
      </c>
      <c r="Q3556" s="76" t="b">
        <v>0</v>
      </c>
      <c r="R3556" s="14"/>
      <c r="S3556" s="14"/>
      <c r="T3556" s="14"/>
      <c r="U3556" s="14"/>
      <c r="V3556" s="14"/>
      <c r="W3556" s="14"/>
    </row>
    <row r="3557" ht="31.5" customHeight="1">
      <c r="A3557" s="158"/>
      <c r="B3557" s="159"/>
      <c r="C3557" s="160"/>
      <c r="D3557" s="130"/>
      <c r="E3557" s="130"/>
      <c r="F3557" s="161"/>
      <c r="G3557" s="164"/>
      <c r="H3557" s="76" t="b">
        <v>1</v>
      </c>
      <c r="I3557" s="76" t="b">
        <v>0</v>
      </c>
      <c r="J3557" s="76" t="b">
        <v>0</v>
      </c>
      <c r="K3557" s="76" t="b">
        <v>0</v>
      </c>
      <c r="L3557" s="76" t="b">
        <v>0</v>
      </c>
      <c r="M3557" s="76" t="b">
        <v>0</v>
      </c>
      <c r="N3557" s="76" t="b">
        <v>0</v>
      </c>
      <c r="O3557" s="76" t="b">
        <v>0</v>
      </c>
      <c r="P3557" s="76" t="b">
        <v>0</v>
      </c>
      <c r="Q3557" s="76" t="b">
        <v>0</v>
      </c>
      <c r="R3557" s="14"/>
      <c r="S3557" s="14"/>
      <c r="T3557" s="14"/>
      <c r="U3557" s="14"/>
      <c r="V3557" s="14"/>
      <c r="W3557" s="14"/>
    </row>
    <row r="3558" ht="31.5" customHeight="1">
      <c r="A3558" s="158"/>
      <c r="B3558" s="159"/>
      <c r="C3558" s="160"/>
      <c r="D3558" s="130"/>
      <c r="E3558" s="130"/>
      <c r="F3558" s="161"/>
      <c r="G3558" s="164"/>
      <c r="H3558" s="76" t="b">
        <v>1</v>
      </c>
      <c r="I3558" s="76" t="b">
        <v>0</v>
      </c>
      <c r="J3558" s="76" t="b">
        <v>0</v>
      </c>
      <c r="K3558" s="76" t="b">
        <v>0</v>
      </c>
      <c r="L3558" s="76" t="b">
        <v>0</v>
      </c>
      <c r="M3558" s="76" t="b">
        <v>0</v>
      </c>
      <c r="N3558" s="76" t="b">
        <v>0</v>
      </c>
      <c r="O3558" s="76" t="b">
        <v>0</v>
      </c>
      <c r="P3558" s="76" t="b">
        <v>0</v>
      </c>
      <c r="Q3558" s="76" t="b">
        <v>0</v>
      </c>
      <c r="R3558" s="14"/>
      <c r="S3558" s="14"/>
      <c r="T3558" s="14"/>
      <c r="U3558" s="14"/>
      <c r="V3558" s="14"/>
      <c r="W3558" s="14"/>
    </row>
    <row r="3559" ht="31.5" customHeight="1">
      <c r="A3559" s="158"/>
      <c r="B3559" s="159"/>
      <c r="C3559" s="160"/>
      <c r="D3559" s="130"/>
      <c r="E3559" s="130"/>
      <c r="F3559" s="161"/>
      <c r="G3559" s="164"/>
      <c r="H3559" s="76" t="b">
        <v>1</v>
      </c>
      <c r="I3559" s="76" t="b">
        <v>0</v>
      </c>
      <c r="J3559" s="76" t="b">
        <v>0</v>
      </c>
      <c r="K3559" s="76" t="b">
        <v>0</v>
      </c>
      <c r="L3559" s="76" t="b">
        <v>0</v>
      </c>
      <c r="M3559" s="76" t="b">
        <v>0</v>
      </c>
      <c r="N3559" s="76" t="b">
        <v>0</v>
      </c>
      <c r="O3559" s="76" t="b">
        <v>0</v>
      </c>
      <c r="P3559" s="76" t="b">
        <v>0</v>
      </c>
      <c r="Q3559" s="76" t="b">
        <v>0</v>
      </c>
      <c r="R3559" s="14"/>
      <c r="S3559" s="14"/>
      <c r="T3559" s="14"/>
      <c r="U3559" s="14"/>
      <c r="V3559" s="14"/>
      <c r="W3559" s="14"/>
    </row>
    <row r="3560" ht="31.5" customHeight="1">
      <c r="A3560" s="158"/>
      <c r="B3560" s="159"/>
      <c r="C3560" s="160"/>
      <c r="D3560" s="130"/>
      <c r="E3560" s="130"/>
      <c r="F3560" s="161"/>
      <c r="G3560" s="164"/>
      <c r="H3560" s="76" t="b">
        <v>1</v>
      </c>
      <c r="I3560" s="76" t="b">
        <v>0</v>
      </c>
      <c r="J3560" s="76" t="b">
        <v>0</v>
      </c>
      <c r="K3560" s="76" t="b">
        <v>0</v>
      </c>
      <c r="L3560" s="76" t="b">
        <v>0</v>
      </c>
      <c r="M3560" s="76" t="b">
        <v>0</v>
      </c>
      <c r="N3560" s="76" t="b">
        <v>0</v>
      </c>
      <c r="O3560" s="76" t="b">
        <v>0</v>
      </c>
      <c r="P3560" s="76" t="b">
        <v>0</v>
      </c>
      <c r="Q3560" s="76" t="b">
        <v>0</v>
      </c>
      <c r="R3560" s="14"/>
      <c r="S3560" s="14"/>
      <c r="T3560" s="14"/>
      <c r="U3560" s="14"/>
      <c r="V3560" s="14"/>
      <c r="W3560" s="14"/>
    </row>
    <row r="3561" ht="31.5" customHeight="1">
      <c r="A3561" s="158"/>
      <c r="B3561" s="159"/>
      <c r="C3561" s="160"/>
      <c r="D3561" s="130"/>
      <c r="E3561" s="130"/>
      <c r="F3561" s="161"/>
      <c r="G3561" s="164"/>
      <c r="H3561" s="76" t="b">
        <v>1</v>
      </c>
      <c r="I3561" s="76" t="b">
        <v>0</v>
      </c>
      <c r="J3561" s="76" t="b">
        <v>0</v>
      </c>
      <c r="K3561" s="76" t="b">
        <v>0</v>
      </c>
      <c r="L3561" s="76" t="b">
        <v>0</v>
      </c>
      <c r="M3561" s="76" t="b">
        <v>0</v>
      </c>
      <c r="N3561" s="76" t="b">
        <v>0</v>
      </c>
      <c r="O3561" s="76" t="b">
        <v>0</v>
      </c>
      <c r="P3561" s="76" t="b">
        <v>0</v>
      </c>
      <c r="Q3561" s="76" t="b">
        <v>0</v>
      </c>
      <c r="R3561" s="14"/>
      <c r="S3561" s="14"/>
      <c r="T3561" s="14"/>
      <c r="U3561" s="14"/>
      <c r="V3561" s="14"/>
      <c r="W3561" s="14"/>
    </row>
    <row r="3562" ht="31.5" customHeight="1">
      <c r="A3562" s="158"/>
      <c r="B3562" s="159"/>
      <c r="C3562" s="160"/>
      <c r="D3562" s="130"/>
      <c r="E3562" s="130"/>
      <c r="F3562" s="161"/>
      <c r="G3562" s="164"/>
      <c r="H3562" s="76" t="b">
        <v>1</v>
      </c>
      <c r="I3562" s="76" t="b">
        <v>0</v>
      </c>
      <c r="J3562" s="76" t="b">
        <v>0</v>
      </c>
      <c r="K3562" s="76" t="b">
        <v>0</v>
      </c>
      <c r="L3562" s="76" t="b">
        <v>0</v>
      </c>
      <c r="M3562" s="76" t="b">
        <v>0</v>
      </c>
      <c r="N3562" s="76" t="b">
        <v>0</v>
      </c>
      <c r="O3562" s="76" t="b">
        <v>0</v>
      </c>
      <c r="P3562" s="76" t="b">
        <v>0</v>
      </c>
      <c r="Q3562" s="76" t="b">
        <v>0</v>
      </c>
      <c r="R3562" s="14"/>
      <c r="S3562" s="14"/>
      <c r="T3562" s="14"/>
      <c r="U3562" s="14"/>
      <c r="V3562" s="14"/>
      <c r="W3562" s="14"/>
    </row>
    <row r="3563" ht="31.5" customHeight="1">
      <c r="A3563" s="158"/>
      <c r="B3563" s="159"/>
      <c r="C3563" s="160"/>
      <c r="D3563" s="130"/>
      <c r="E3563" s="130"/>
      <c r="F3563" s="161"/>
      <c r="G3563" s="164"/>
      <c r="H3563" s="76" t="b">
        <v>1</v>
      </c>
      <c r="I3563" s="76" t="b">
        <v>0</v>
      </c>
      <c r="J3563" s="76" t="b">
        <v>0</v>
      </c>
      <c r="K3563" s="76" t="b">
        <v>0</v>
      </c>
      <c r="L3563" s="76" t="b">
        <v>0</v>
      </c>
      <c r="M3563" s="76" t="b">
        <v>0</v>
      </c>
      <c r="N3563" s="76" t="b">
        <v>0</v>
      </c>
      <c r="O3563" s="76" t="b">
        <v>0</v>
      </c>
      <c r="P3563" s="76" t="b">
        <v>0</v>
      </c>
      <c r="Q3563" s="76" t="b">
        <v>0</v>
      </c>
      <c r="R3563" s="14"/>
      <c r="S3563" s="14"/>
      <c r="T3563" s="14"/>
      <c r="U3563" s="14"/>
      <c r="V3563" s="14"/>
      <c r="W3563" s="14"/>
    </row>
    <row r="3564" ht="31.5" customHeight="1">
      <c r="A3564" s="158"/>
      <c r="B3564" s="159"/>
      <c r="C3564" s="160"/>
      <c r="D3564" s="130"/>
      <c r="E3564" s="130"/>
      <c r="F3564" s="161"/>
      <c r="G3564" s="164"/>
      <c r="H3564" s="76" t="b">
        <v>1</v>
      </c>
      <c r="I3564" s="76" t="b">
        <v>0</v>
      </c>
      <c r="J3564" s="76" t="b">
        <v>0</v>
      </c>
      <c r="K3564" s="76" t="b">
        <v>0</v>
      </c>
      <c r="L3564" s="76" t="b">
        <v>0</v>
      </c>
      <c r="M3564" s="76" t="b">
        <v>0</v>
      </c>
      <c r="N3564" s="76" t="b">
        <v>0</v>
      </c>
      <c r="O3564" s="76" t="b">
        <v>0</v>
      </c>
      <c r="P3564" s="76" t="b">
        <v>0</v>
      </c>
      <c r="Q3564" s="76" t="b">
        <v>0</v>
      </c>
      <c r="R3564" s="14"/>
      <c r="S3564" s="14"/>
      <c r="T3564" s="14"/>
      <c r="U3564" s="14"/>
      <c r="V3564" s="14"/>
      <c r="W3564" s="14"/>
    </row>
    <row r="3565" ht="31.5" customHeight="1">
      <c r="A3565" s="158"/>
      <c r="B3565" s="159"/>
      <c r="C3565" s="160"/>
      <c r="D3565" s="130"/>
      <c r="E3565" s="130"/>
      <c r="F3565" s="161"/>
      <c r="G3565" s="164"/>
      <c r="H3565" s="76" t="b">
        <v>1</v>
      </c>
      <c r="I3565" s="76" t="b">
        <v>0</v>
      </c>
      <c r="J3565" s="76" t="b">
        <v>0</v>
      </c>
      <c r="K3565" s="76" t="b">
        <v>0</v>
      </c>
      <c r="L3565" s="76" t="b">
        <v>0</v>
      </c>
      <c r="M3565" s="76" t="b">
        <v>0</v>
      </c>
      <c r="N3565" s="76" t="b">
        <v>0</v>
      </c>
      <c r="O3565" s="76" t="b">
        <v>0</v>
      </c>
      <c r="P3565" s="76" t="b">
        <v>0</v>
      </c>
      <c r="Q3565" s="76" t="b">
        <v>0</v>
      </c>
      <c r="R3565" s="14"/>
      <c r="S3565" s="14"/>
      <c r="T3565" s="14"/>
      <c r="U3565" s="14"/>
      <c r="V3565" s="14"/>
      <c r="W3565" s="14"/>
    </row>
    <row r="3566" ht="31.5" customHeight="1">
      <c r="A3566" s="158"/>
      <c r="B3566" s="159"/>
      <c r="C3566" s="160"/>
      <c r="D3566" s="130"/>
      <c r="E3566" s="130"/>
      <c r="F3566" s="161"/>
      <c r="G3566" s="164"/>
      <c r="H3566" s="76" t="b">
        <v>1</v>
      </c>
      <c r="I3566" s="76" t="b">
        <v>0</v>
      </c>
      <c r="J3566" s="76" t="b">
        <v>0</v>
      </c>
      <c r="K3566" s="76" t="b">
        <v>0</v>
      </c>
      <c r="L3566" s="76" t="b">
        <v>0</v>
      </c>
      <c r="M3566" s="76" t="b">
        <v>0</v>
      </c>
      <c r="N3566" s="76" t="b">
        <v>0</v>
      </c>
      <c r="O3566" s="76" t="b">
        <v>0</v>
      </c>
      <c r="P3566" s="76" t="b">
        <v>0</v>
      </c>
      <c r="Q3566" s="76" t="b">
        <v>0</v>
      </c>
      <c r="R3566" s="14"/>
      <c r="S3566" s="14"/>
      <c r="T3566" s="14"/>
      <c r="U3566" s="14"/>
      <c r="V3566" s="14"/>
      <c r="W3566" s="14"/>
    </row>
    <row r="3567" ht="31.5" customHeight="1">
      <c r="A3567" s="158"/>
      <c r="B3567" s="159"/>
      <c r="C3567" s="160"/>
      <c r="D3567" s="130"/>
      <c r="E3567" s="130"/>
      <c r="F3567" s="161"/>
      <c r="G3567" s="164"/>
      <c r="H3567" s="76" t="b">
        <v>1</v>
      </c>
      <c r="I3567" s="76" t="b">
        <v>0</v>
      </c>
      <c r="J3567" s="76" t="b">
        <v>0</v>
      </c>
      <c r="K3567" s="76" t="b">
        <v>0</v>
      </c>
      <c r="L3567" s="76" t="b">
        <v>0</v>
      </c>
      <c r="M3567" s="76" t="b">
        <v>0</v>
      </c>
      <c r="N3567" s="76" t="b">
        <v>0</v>
      </c>
      <c r="O3567" s="76" t="b">
        <v>0</v>
      </c>
      <c r="P3567" s="76" t="b">
        <v>0</v>
      </c>
      <c r="Q3567" s="76" t="b">
        <v>0</v>
      </c>
      <c r="R3567" s="14"/>
      <c r="S3567" s="14"/>
      <c r="T3567" s="14"/>
      <c r="U3567" s="14"/>
      <c r="V3567" s="14"/>
      <c r="W3567" s="14"/>
    </row>
    <row r="3568" ht="31.5" customHeight="1">
      <c r="A3568" s="158"/>
      <c r="B3568" s="159"/>
      <c r="C3568" s="160"/>
      <c r="D3568" s="130"/>
      <c r="E3568" s="130"/>
      <c r="F3568" s="161"/>
      <c r="G3568" s="164"/>
      <c r="H3568" s="76" t="b">
        <v>1</v>
      </c>
      <c r="I3568" s="76" t="b">
        <v>0</v>
      </c>
      <c r="J3568" s="76" t="b">
        <v>0</v>
      </c>
      <c r="K3568" s="76" t="b">
        <v>0</v>
      </c>
      <c r="L3568" s="76" t="b">
        <v>0</v>
      </c>
      <c r="M3568" s="76" t="b">
        <v>0</v>
      </c>
      <c r="N3568" s="76" t="b">
        <v>0</v>
      </c>
      <c r="O3568" s="76" t="b">
        <v>0</v>
      </c>
      <c r="P3568" s="76" t="b">
        <v>0</v>
      </c>
      <c r="Q3568" s="76" t="b">
        <v>0</v>
      </c>
      <c r="R3568" s="14"/>
      <c r="S3568" s="14"/>
      <c r="T3568" s="14"/>
      <c r="U3568" s="14"/>
      <c r="V3568" s="14"/>
      <c r="W3568" s="14"/>
    </row>
    <row r="3569" ht="31.5" customHeight="1">
      <c r="A3569" s="158"/>
      <c r="B3569" s="159"/>
      <c r="C3569" s="160"/>
      <c r="D3569" s="130"/>
      <c r="E3569" s="130"/>
      <c r="F3569" s="161"/>
      <c r="G3569" s="164"/>
      <c r="H3569" s="76" t="b">
        <v>1</v>
      </c>
      <c r="I3569" s="76" t="b">
        <v>0</v>
      </c>
      <c r="J3569" s="76" t="b">
        <v>0</v>
      </c>
      <c r="K3569" s="76" t="b">
        <v>0</v>
      </c>
      <c r="L3569" s="76" t="b">
        <v>0</v>
      </c>
      <c r="M3569" s="76" t="b">
        <v>0</v>
      </c>
      <c r="N3569" s="76" t="b">
        <v>0</v>
      </c>
      <c r="O3569" s="76" t="b">
        <v>0</v>
      </c>
      <c r="P3569" s="76" t="b">
        <v>0</v>
      </c>
      <c r="Q3569" s="76" t="b">
        <v>0</v>
      </c>
      <c r="R3569" s="14"/>
      <c r="S3569" s="14"/>
      <c r="T3569" s="14"/>
      <c r="U3569" s="14"/>
      <c r="V3569" s="14"/>
      <c r="W3569" s="14"/>
    </row>
    <row r="3570" ht="31.5" customHeight="1">
      <c r="A3570" s="158"/>
      <c r="B3570" s="159"/>
      <c r="C3570" s="160"/>
      <c r="D3570" s="130"/>
      <c r="E3570" s="130"/>
      <c r="F3570" s="161"/>
      <c r="G3570" s="164"/>
      <c r="H3570" s="76" t="b">
        <v>1</v>
      </c>
      <c r="I3570" s="76" t="b">
        <v>0</v>
      </c>
      <c r="J3570" s="76" t="b">
        <v>0</v>
      </c>
      <c r="K3570" s="76" t="b">
        <v>0</v>
      </c>
      <c r="L3570" s="76" t="b">
        <v>0</v>
      </c>
      <c r="M3570" s="76" t="b">
        <v>0</v>
      </c>
      <c r="N3570" s="76" t="b">
        <v>0</v>
      </c>
      <c r="O3570" s="76" t="b">
        <v>0</v>
      </c>
      <c r="P3570" s="76" t="b">
        <v>0</v>
      </c>
      <c r="Q3570" s="76" t="b">
        <v>0</v>
      </c>
      <c r="R3570" s="14"/>
      <c r="S3570" s="14"/>
      <c r="T3570" s="14"/>
      <c r="U3570" s="14"/>
      <c r="V3570" s="14"/>
      <c r="W3570" s="14"/>
    </row>
    <row r="3571" ht="31.5" customHeight="1">
      <c r="A3571" s="158"/>
      <c r="B3571" s="159"/>
      <c r="C3571" s="160"/>
      <c r="D3571" s="130"/>
      <c r="E3571" s="130"/>
      <c r="F3571" s="161"/>
      <c r="G3571" s="164"/>
      <c r="H3571" s="76" t="b">
        <v>1</v>
      </c>
      <c r="I3571" s="76" t="b">
        <v>0</v>
      </c>
      <c r="J3571" s="76" t="b">
        <v>0</v>
      </c>
      <c r="K3571" s="76" t="b">
        <v>0</v>
      </c>
      <c r="L3571" s="76" t="b">
        <v>0</v>
      </c>
      <c r="M3571" s="76" t="b">
        <v>0</v>
      </c>
      <c r="N3571" s="76" t="b">
        <v>0</v>
      </c>
      <c r="O3571" s="76" t="b">
        <v>0</v>
      </c>
      <c r="P3571" s="76" t="b">
        <v>0</v>
      </c>
      <c r="Q3571" s="76" t="b">
        <v>0</v>
      </c>
      <c r="R3571" s="14"/>
      <c r="S3571" s="14"/>
      <c r="T3571" s="14"/>
      <c r="U3571" s="14"/>
      <c r="V3571" s="14"/>
      <c r="W3571" s="14"/>
    </row>
    <row r="3572" ht="31.5" customHeight="1">
      <c r="A3572" s="158"/>
      <c r="B3572" s="159"/>
      <c r="C3572" s="160"/>
      <c r="D3572" s="130"/>
      <c r="E3572" s="130"/>
      <c r="F3572" s="161"/>
      <c r="G3572" s="164"/>
      <c r="H3572" s="76" t="b">
        <v>1</v>
      </c>
      <c r="I3572" s="76" t="b">
        <v>0</v>
      </c>
      <c r="J3572" s="76" t="b">
        <v>0</v>
      </c>
      <c r="K3572" s="76" t="b">
        <v>0</v>
      </c>
      <c r="L3572" s="76" t="b">
        <v>0</v>
      </c>
      <c r="M3572" s="76" t="b">
        <v>0</v>
      </c>
      <c r="N3572" s="76" t="b">
        <v>0</v>
      </c>
      <c r="O3572" s="76" t="b">
        <v>0</v>
      </c>
      <c r="P3572" s="76" t="b">
        <v>0</v>
      </c>
      <c r="Q3572" s="76" t="b">
        <v>0</v>
      </c>
      <c r="R3572" s="14"/>
      <c r="S3572" s="14"/>
      <c r="T3572" s="14"/>
      <c r="U3572" s="14"/>
      <c r="V3572" s="14"/>
      <c r="W3572" s="14"/>
    </row>
    <row r="3573" ht="31.5" customHeight="1">
      <c r="A3573" s="158"/>
      <c r="B3573" s="159"/>
      <c r="C3573" s="160"/>
      <c r="D3573" s="130"/>
      <c r="E3573" s="130"/>
      <c r="F3573" s="161"/>
      <c r="G3573" s="164"/>
      <c r="H3573" s="76" t="b">
        <v>1</v>
      </c>
      <c r="I3573" s="76" t="b">
        <v>0</v>
      </c>
      <c r="J3573" s="76" t="b">
        <v>0</v>
      </c>
      <c r="K3573" s="76" t="b">
        <v>0</v>
      </c>
      <c r="L3573" s="76" t="b">
        <v>0</v>
      </c>
      <c r="M3573" s="76" t="b">
        <v>0</v>
      </c>
      <c r="N3573" s="76" t="b">
        <v>0</v>
      </c>
      <c r="O3573" s="76" t="b">
        <v>0</v>
      </c>
      <c r="P3573" s="76" t="b">
        <v>0</v>
      </c>
      <c r="Q3573" s="76" t="b">
        <v>0</v>
      </c>
      <c r="R3573" s="14"/>
      <c r="S3573" s="14"/>
      <c r="T3573" s="14"/>
      <c r="U3573" s="14"/>
      <c r="V3573" s="14"/>
      <c r="W3573" s="14"/>
    </row>
    <row r="3574" ht="31.5" customHeight="1">
      <c r="A3574" s="158"/>
      <c r="B3574" s="159"/>
      <c r="C3574" s="160"/>
      <c r="D3574" s="130"/>
      <c r="E3574" s="130"/>
      <c r="F3574" s="161"/>
      <c r="G3574" s="164"/>
      <c r="H3574" s="76" t="b">
        <v>1</v>
      </c>
      <c r="I3574" s="76" t="b">
        <v>0</v>
      </c>
      <c r="J3574" s="76" t="b">
        <v>0</v>
      </c>
      <c r="K3574" s="76" t="b">
        <v>0</v>
      </c>
      <c r="L3574" s="76" t="b">
        <v>0</v>
      </c>
      <c r="M3574" s="76" t="b">
        <v>0</v>
      </c>
      <c r="N3574" s="76" t="b">
        <v>0</v>
      </c>
      <c r="O3574" s="76" t="b">
        <v>0</v>
      </c>
      <c r="P3574" s="76" t="b">
        <v>0</v>
      </c>
      <c r="Q3574" s="76" t="b">
        <v>0</v>
      </c>
      <c r="R3574" s="14"/>
      <c r="S3574" s="14"/>
      <c r="T3574" s="14"/>
      <c r="U3574" s="14"/>
      <c r="V3574" s="14"/>
      <c r="W3574" s="14"/>
    </row>
    <row r="3575" ht="31.5" customHeight="1">
      <c r="A3575" s="158"/>
      <c r="B3575" s="159"/>
      <c r="C3575" s="160"/>
      <c r="D3575" s="130"/>
      <c r="E3575" s="130"/>
      <c r="F3575" s="161"/>
      <c r="G3575" s="164"/>
      <c r="H3575" s="76" t="b">
        <v>1</v>
      </c>
      <c r="I3575" s="76" t="b">
        <v>0</v>
      </c>
      <c r="J3575" s="76" t="b">
        <v>0</v>
      </c>
      <c r="K3575" s="76" t="b">
        <v>0</v>
      </c>
      <c r="L3575" s="76" t="b">
        <v>0</v>
      </c>
      <c r="M3575" s="76" t="b">
        <v>0</v>
      </c>
      <c r="N3575" s="76" t="b">
        <v>0</v>
      </c>
      <c r="O3575" s="76" t="b">
        <v>0</v>
      </c>
      <c r="P3575" s="76" t="b">
        <v>0</v>
      </c>
      <c r="Q3575" s="76" t="b">
        <v>0</v>
      </c>
      <c r="R3575" s="14"/>
      <c r="S3575" s="14"/>
      <c r="T3575" s="14"/>
      <c r="U3575" s="14"/>
      <c r="V3575" s="14"/>
      <c r="W3575" s="14"/>
    </row>
    <row r="3576" ht="31.5" customHeight="1">
      <c r="A3576" s="158"/>
      <c r="B3576" s="159"/>
      <c r="C3576" s="160"/>
      <c r="D3576" s="130"/>
      <c r="E3576" s="130"/>
      <c r="F3576" s="161"/>
      <c r="G3576" s="164"/>
      <c r="H3576" s="76" t="b">
        <v>1</v>
      </c>
      <c r="I3576" s="76" t="b">
        <v>0</v>
      </c>
      <c r="J3576" s="76" t="b">
        <v>0</v>
      </c>
      <c r="K3576" s="76" t="b">
        <v>0</v>
      </c>
      <c r="L3576" s="76" t="b">
        <v>0</v>
      </c>
      <c r="M3576" s="76" t="b">
        <v>0</v>
      </c>
      <c r="N3576" s="76" t="b">
        <v>0</v>
      </c>
      <c r="O3576" s="76" t="b">
        <v>0</v>
      </c>
      <c r="P3576" s="76" t="b">
        <v>0</v>
      </c>
      <c r="Q3576" s="76" t="b">
        <v>0</v>
      </c>
      <c r="R3576" s="14"/>
      <c r="S3576" s="14"/>
      <c r="T3576" s="14"/>
      <c r="U3576" s="14"/>
      <c r="V3576" s="14"/>
      <c r="W3576" s="14"/>
    </row>
    <row r="3577" ht="31.5" customHeight="1">
      <c r="A3577" s="158"/>
      <c r="B3577" s="159"/>
      <c r="C3577" s="160"/>
      <c r="D3577" s="130"/>
      <c r="E3577" s="130"/>
      <c r="F3577" s="161"/>
      <c r="G3577" s="164"/>
      <c r="H3577" s="76" t="b">
        <v>1</v>
      </c>
      <c r="I3577" s="76" t="b">
        <v>0</v>
      </c>
      <c r="J3577" s="76" t="b">
        <v>0</v>
      </c>
      <c r="K3577" s="76" t="b">
        <v>0</v>
      </c>
      <c r="L3577" s="76" t="b">
        <v>0</v>
      </c>
      <c r="M3577" s="76" t="b">
        <v>0</v>
      </c>
      <c r="N3577" s="76" t="b">
        <v>0</v>
      </c>
      <c r="O3577" s="76" t="b">
        <v>0</v>
      </c>
      <c r="P3577" s="76" t="b">
        <v>0</v>
      </c>
      <c r="Q3577" s="76" t="b">
        <v>0</v>
      </c>
      <c r="R3577" s="14"/>
      <c r="S3577" s="14"/>
      <c r="T3577" s="14"/>
      <c r="U3577" s="14"/>
      <c r="V3577" s="14"/>
      <c r="W3577" s="14"/>
    </row>
    <row r="3578" ht="31.5" customHeight="1">
      <c r="A3578" s="158"/>
      <c r="B3578" s="159"/>
      <c r="C3578" s="160"/>
      <c r="D3578" s="130"/>
      <c r="E3578" s="130"/>
      <c r="F3578" s="161"/>
      <c r="G3578" s="164"/>
      <c r="H3578" s="76" t="b">
        <v>1</v>
      </c>
      <c r="I3578" s="76" t="b">
        <v>0</v>
      </c>
      <c r="J3578" s="76" t="b">
        <v>0</v>
      </c>
      <c r="K3578" s="76" t="b">
        <v>0</v>
      </c>
      <c r="L3578" s="76" t="b">
        <v>0</v>
      </c>
      <c r="M3578" s="76" t="b">
        <v>0</v>
      </c>
      <c r="N3578" s="76" t="b">
        <v>0</v>
      </c>
      <c r="O3578" s="76" t="b">
        <v>0</v>
      </c>
      <c r="P3578" s="76" t="b">
        <v>0</v>
      </c>
      <c r="Q3578" s="76" t="b">
        <v>0</v>
      </c>
      <c r="R3578" s="14"/>
      <c r="S3578" s="14"/>
      <c r="T3578" s="14"/>
      <c r="U3578" s="14"/>
      <c r="V3578" s="14"/>
      <c r="W3578" s="14"/>
    </row>
    <row r="3579" ht="31.5" customHeight="1">
      <c r="A3579" s="158"/>
      <c r="B3579" s="159"/>
      <c r="C3579" s="160"/>
      <c r="D3579" s="130"/>
      <c r="E3579" s="130"/>
      <c r="F3579" s="161"/>
      <c r="G3579" s="164"/>
      <c r="H3579" s="76" t="b">
        <v>1</v>
      </c>
      <c r="I3579" s="76" t="b">
        <v>0</v>
      </c>
      <c r="J3579" s="76" t="b">
        <v>0</v>
      </c>
      <c r="K3579" s="76" t="b">
        <v>0</v>
      </c>
      <c r="L3579" s="76" t="b">
        <v>0</v>
      </c>
      <c r="M3579" s="76" t="b">
        <v>0</v>
      </c>
      <c r="N3579" s="76" t="b">
        <v>0</v>
      </c>
      <c r="O3579" s="76" t="b">
        <v>0</v>
      </c>
      <c r="P3579" s="76" t="b">
        <v>0</v>
      </c>
      <c r="Q3579" s="76" t="b">
        <v>0</v>
      </c>
      <c r="R3579" s="14"/>
      <c r="S3579" s="14"/>
      <c r="T3579" s="14"/>
      <c r="U3579" s="14"/>
      <c r="V3579" s="14"/>
      <c r="W3579" s="14"/>
    </row>
    <row r="3580" ht="31.5" customHeight="1">
      <c r="A3580" s="158"/>
      <c r="B3580" s="159"/>
      <c r="C3580" s="160"/>
      <c r="D3580" s="130"/>
      <c r="E3580" s="130"/>
      <c r="F3580" s="161"/>
      <c r="G3580" s="164"/>
      <c r="H3580" s="76" t="b">
        <v>1</v>
      </c>
      <c r="I3580" s="76" t="b">
        <v>0</v>
      </c>
      <c r="J3580" s="76" t="b">
        <v>0</v>
      </c>
      <c r="K3580" s="76" t="b">
        <v>0</v>
      </c>
      <c r="L3580" s="76" t="b">
        <v>0</v>
      </c>
      <c r="M3580" s="76" t="b">
        <v>0</v>
      </c>
      <c r="N3580" s="76" t="b">
        <v>0</v>
      </c>
      <c r="O3580" s="76" t="b">
        <v>0</v>
      </c>
      <c r="P3580" s="76" t="b">
        <v>0</v>
      </c>
      <c r="Q3580" s="76" t="b">
        <v>0</v>
      </c>
      <c r="R3580" s="14"/>
      <c r="S3580" s="14"/>
      <c r="T3580" s="14"/>
      <c r="U3580" s="14"/>
      <c r="V3580" s="14"/>
      <c r="W3580" s="14"/>
    </row>
    <row r="3581" ht="31.5" customHeight="1">
      <c r="A3581" s="158"/>
      <c r="B3581" s="159"/>
      <c r="C3581" s="160"/>
      <c r="D3581" s="130"/>
      <c r="E3581" s="130"/>
      <c r="F3581" s="161"/>
      <c r="G3581" s="164"/>
      <c r="H3581" s="76" t="b">
        <v>1</v>
      </c>
      <c r="I3581" s="76" t="b">
        <v>0</v>
      </c>
      <c r="J3581" s="76" t="b">
        <v>0</v>
      </c>
      <c r="K3581" s="76" t="b">
        <v>0</v>
      </c>
      <c r="L3581" s="76" t="b">
        <v>0</v>
      </c>
      <c r="M3581" s="76" t="b">
        <v>0</v>
      </c>
      <c r="N3581" s="76" t="b">
        <v>0</v>
      </c>
      <c r="O3581" s="76" t="b">
        <v>0</v>
      </c>
      <c r="P3581" s="76" t="b">
        <v>0</v>
      </c>
      <c r="Q3581" s="76" t="b">
        <v>0</v>
      </c>
      <c r="R3581" s="14"/>
      <c r="S3581" s="14"/>
      <c r="T3581" s="14"/>
      <c r="U3581" s="14"/>
      <c r="V3581" s="14"/>
      <c r="W3581" s="14"/>
    </row>
    <row r="3582" ht="31.5" customHeight="1">
      <c r="A3582" s="158"/>
      <c r="B3582" s="159"/>
      <c r="C3582" s="160"/>
      <c r="D3582" s="130"/>
      <c r="E3582" s="130"/>
      <c r="F3582" s="161"/>
      <c r="G3582" s="164"/>
      <c r="H3582" s="76" t="b">
        <v>1</v>
      </c>
      <c r="I3582" s="76" t="b">
        <v>0</v>
      </c>
      <c r="J3582" s="76" t="b">
        <v>0</v>
      </c>
      <c r="K3582" s="76" t="b">
        <v>0</v>
      </c>
      <c r="L3582" s="76" t="b">
        <v>0</v>
      </c>
      <c r="M3582" s="76" t="b">
        <v>0</v>
      </c>
      <c r="N3582" s="76" t="b">
        <v>0</v>
      </c>
      <c r="O3582" s="76" t="b">
        <v>0</v>
      </c>
      <c r="P3582" s="76" t="b">
        <v>0</v>
      </c>
      <c r="Q3582" s="76" t="b">
        <v>0</v>
      </c>
      <c r="R3582" s="14"/>
      <c r="S3582" s="14"/>
      <c r="T3582" s="14"/>
      <c r="U3582" s="14"/>
      <c r="V3582" s="14"/>
      <c r="W3582" s="14"/>
    </row>
    <row r="3583" ht="31.5" customHeight="1">
      <c r="A3583" s="158"/>
      <c r="B3583" s="159"/>
      <c r="C3583" s="160"/>
      <c r="D3583" s="130"/>
      <c r="E3583" s="130"/>
      <c r="F3583" s="161"/>
      <c r="G3583" s="164"/>
      <c r="H3583" s="76" t="b">
        <v>1</v>
      </c>
      <c r="I3583" s="76" t="b">
        <v>0</v>
      </c>
      <c r="J3583" s="76" t="b">
        <v>0</v>
      </c>
      <c r="K3583" s="76" t="b">
        <v>0</v>
      </c>
      <c r="L3583" s="76" t="b">
        <v>0</v>
      </c>
      <c r="M3583" s="76" t="b">
        <v>0</v>
      </c>
      <c r="N3583" s="76" t="b">
        <v>0</v>
      </c>
      <c r="O3583" s="76" t="b">
        <v>0</v>
      </c>
      <c r="P3583" s="76" t="b">
        <v>0</v>
      </c>
      <c r="Q3583" s="76" t="b">
        <v>0</v>
      </c>
      <c r="R3583" s="14"/>
      <c r="S3583" s="14"/>
      <c r="T3583" s="14"/>
      <c r="U3583" s="14"/>
      <c r="V3583" s="14"/>
      <c r="W3583" s="14"/>
    </row>
    <row r="3584" ht="31.5" customHeight="1">
      <c r="A3584" s="158"/>
      <c r="B3584" s="159"/>
      <c r="C3584" s="160"/>
      <c r="D3584" s="130"/>
      <c r="E3584" s="130"/>
      <c r="F3584" s="161"/>
      <c r="G3584" s="164"/>
      <c r="H3584" s="76" t="b">
        <v>1</v>
      </c>
      <c r="I3584" s="76" t="b">
        <v>0</v>
      </c>
      <c r="J3584" s="76" t="b">
        <v>0</v>
      </c>
      <c r="K3584" s="76" t="b">
        <v>0</v>
      </c>
      <c r="L3584" s="76" t="b">
        <v>0</v>
      </c>
      <c r="M3584" s="76" t="b">
        <v>0</v>
      </c>
      <c r="N3584" s="76" t="b">
        <v>0</v>
      </c>
      <c r="O3584" s="76" t="b">
        <v>0</v>
      </c>
      <c r="P3584" s="76" t="b">
        <v>0</v>
      </c>
      <c r="Q3584" s="76" t="b">
        <v>0</v>
      </c>
      <c r="R3584" s="14"/>
      <c r="S3584" s="14"/>
      <c r="T3584" s="14"/>
      <c r="U3584" s="14"/>
      <c r="V3584" s="14"/>
      <c r="W3584" s="14"/>
    </row>
    <row r="3585" ht="31.5" customHeight="1">
      <c r="A3585" s="158"/>
      <c r="B3585" s="159"/>
      <c r="C3585" s="160"/>
      <c r="D3585" s="130"/>
      <c r="E3585" s="130"/>
      <c r="F3585" s="161"/>
      <c r="G3585" s="164"/>
      <c r="H3585" s="76" t="b">
        <v>1</v>
      </c>
      <c r="I3585" s="76" t="b">
        <v>0</v>
      </c>
      <c r="J3585" s="76" t="b">
        <v>0</v>
      </c>
      <c r="K3585" s="76" t="b">
        <v>0</v>
      </c>
      <c r="L3585" s="76" t="b">
        <v>0</v>
      </c>
      <c r="M3585" s="76" t="b">
        <v>0</v>
      </c>
      <c r="N3585" s="76" t="b">
        <v>0</v>
      </c>
      <c r="O3585" s="76" t="b">
        <v>0</v>
      </c>
      <c r="P3585" s="76" t="b">
        <v>0</v>
      </c>
      <c r="Q3585" s="76" t="b">
        <v>0</v>
      </c>
      <c r="R3585" s="14"/>
      <c r="S3585" s="14"/>
      <c r="T3585" s="14"/>
      <c r="U3585" s="14"/>
      <c r="V3585" s="14"/>
      <c r="W3585" s="14"/>
    </row>
    <row r="3586" ht="31.5" customHeight="1">
      <c r="A3586" s="158"/>
      <c r="B3586" s="159"/>
      <c r="C3586" s="160"/>
      <c r="D3586" s="130"/>
      <c r="E3586" s="130"/>
      <c r="F3586" s="161"/>
      <c r="G3586" s="164"/>
      <c r="H3586" s="76" t="b">
        <v>1</v>
      </c>
      <c r="I3586" s="76" t="b">
        <v>0</v>
      </c>
      <c r="J3586" s="76" t="b">
        <v>0</v>
      </c>
      <c r="K3586" s="76" t="b">
        <v>0</v>
      </c>
      <c r="L3586" s="76" t="b">
        <v>0</v>
      </c>
      <c r="M3586" s="76" t="b">
        <v>0</v>
      </c>
      <c r="N3586" s="76" t="b">
        <v>0</v>
      </c>
      <c r="O3586" s="76" t="b">
        <v>0</v>
      </c>
      <c r="P3586" s="76" t="b">
        <v>0</v>
      </c>
      <c r="Q3586" s="76" t="b">
        <v>0</v>
      </c>
      <c r="R3586" s="14"/>
      <c r="S3586" s="14"/>
      <c r="T3586" s="14"/>
      <c r="U3586" s="14"/>
      <c r="V3586" s="14"/>
      <c r="W3586" s="14"/>
    </row>
    <row r="3587" ht="31.5" customHeight="1">
      <c r="A3587" s="158"/>
      <c r="B3587" s="159"/>
      <c r="C3587" s="160"/>
      <c r="D3587" s="130"/>
      <c r="E3587" s="130"/>
      <c r="F3587" s="161"/>
      <c r="G3587" s="164"/>
      <c r="H3587" s="76" t="b">
        <v>1</v>
      </c>
      <c r="I3587" s="76" t="b">
        <v>0</v>
      </c>
      <c r="J3587" s="76" t="b">
        <v>0</v>
      </c>
      <c r="K3587" s="76" t="b">
        <v>0</v>
      </c>
      <c r="L3587" s="76" t="b">
        <v>0</v>
      </c>
      <c r="M3587" s="76" t="b">
        <v>0</v>
      </c>
      <c r="N3587" s="76" t="b">
        <v>0</v>
      </c>
      <c r="O3587" s="76" t="b">
        <v>0</v>
      </c>
      <c r="P3587" s="76" t="b">
        <v>0</v>
      </c>
      <c r="Q3587" s="76" t="b">
        <v>0</v>
      </c>
      <c r="R3587" s="14"/>
      <c r="S3587" s="14"/>
      <c r="T3587" s="14"/>
      <c r="U3587" s="14"/>
      <c r="V3587" s="14"/>
      <c r="W3587" s="14"/>
    </row>
    <row r="3588" ht="31.5" customHeight="1">
      <c r="A3588" s="158"/>
      <c r="B3588" s="159"/>
      <c r="C3588" s="160"/>
      <c r="D3588" s="130"/>
      <c r="E3588" s="130"/>
      <c r="F3588" s="161"/>
      <c r="G3588" s="164"/>
      <c r="H3588" s="76" t="b">
        <v>1</v>
      </c>
      <c r="I3588" s="76" t="b">
        <v>0</v>
      </c>
      <c r="J3588" s="76" t="b">
        <v>0</v>
      </c>
      <c r="K3588" s="76" t="b">
        <v>0</v>
      </c>
      <c r="L3588" s="76" t="b">
        <v>0</v>
      </c>
      <c r="M3588" s="76" t="b">
        <v>0</v>
      </c>
      <c r="N3588" s="76" t="b">
        <v>0</v>
      </c>
      <c r="O3588" s="76" t="b">
        <v>0</v>
      </c>
      <c r="P3588" s="76" t="b">
        <v>0</v>
      </c>
      <c r="Q3588" s="76" t="b">
        <v>0</v>
      </c>
      <c r="R3588" s="14"/>
      <c r="S3588" s="14"/>
      <c r="T3588" s="14"/>
      <c r="U3588" s="14"/>
      <c r="V3588" s="14"/>
      <c r="W3588" s="14"/>
    </row>
    <row r="3589" ht="31.5" customHeight="1">
      <c r="A3589" s="158"/>
      <c r="B3589" s="159"/>
      <c r="C3589" s="160"/>
      <c r="D3589" s="130"/>
      <c r="E3589" s="130"/>
      <c r="F3589" s="161"/>
      <c r="G3589" s="164"/>
      <c r="H3589" s="76" t="b">
        <v>1</v>
      </c>
      <c r="I3589" s="76" t="b">
        <v>0</v>
      </c>
      <c r="J3589" s="76" t="b">
        <v>0</v>
      </c>
      <c r="K3589" s="76" t="b">
        <v>0</v>
      </c>
      <c r="L3589" s="76" t="b">
        <v>0</v>
      </c>
      <c r="M3589" s="76" t="b">
        <v>0</v>
      </c>
      <c r="N3589" s="76" t="b">
        <v>0</v>
      </c>
      <c r="O3589" s="76" t="b">
        <v>0</v>
      </c>
      <c r="P3589" s="76" t="b">
        <v>0</v>
      </c>
      <c r="Q3589" s="76" t="b">
        <v>0</v>
      </c>
      <c r="R3589" s="14"/>
      <c r="S3589" s="14"/>
      <c r="T3589" s="14"/>
      <c r="U3589" s="14"/>
      <c r="V3589" s="14"/>
      <c r="W3589" s="14"/>
    </row>
    <row r="3590" ht="31.5" customHeight="1">
      <c r="A3590" s="158"/>
      <c r="B3590" s="159"/>
      <c r="C3590" s="160"/>
      <c r="D3590" s="130"/>
      <c r="E3590" s="130"/>
      <c r="F3590" s="161"/>
      <c r="G3590" s="164"/>
      <c r="H3590" s="76" t="b">
        <v>1</v>
      </c>
      <c r="I3590" s="76" t="b">
        <v>0</v>
      </c>
      <c r="J3590" s="76" t="b">
        <v>0</v>
      </c>
      <c r="K3590" s="76" t="b">
        <v>0</v>
      </c>
      <c r="L3590" s="76" t="b">
        <v>0</v>
      </c>
      <c r="M3590" s="76" t="b">
        <v>0</v>
      </c>
      <c r="N3590" s="76" t="b">
        <v>0</v>
      </c>
      <c r="O3590" s="76" t="b">
        <v>0</v>
      </c>
      <c r="P3590" s="76" t="b">
        <v>0</v>
      </c>
      <c r="Q3590" s="76" t="b">
        <v>0</v>
      </c>
      <c r="R3590" s="14"/>
      <c r="S3590" s="14"/>
      <c r="T3590" s="14"/>
      <c r="U3590" s="14"/>
      <c r="V3590" s="14"/>
      <c r="W3590" s="14"/>
    </row>
    <row r="3591" ht="31.5" customHeight="1">
      <c r="A3591" s="158"/>
      <c r="B3591" s="159"/>
      <c r="C3591" s="160"/>
      <c r="D3591" s="130"/>
      <c r="E3591" s="130"/>
      <c r="F3591" s="161"/>
      <c r="G3591" s="164"/>
      <c r="H3591" s="76" t="b">
        <v>1</v>
      </c>
      <c r="I3591" s="76" t="b">
        <v>0</v>
      </c>
      <c r="J3591" s="76" t="b">
        <v>0</v>
      </c>
      <c r="K3591" s="76" t="b">
        <v>0</v>
      </c>
      <c r="L3591" s="76" t="b">
        <v>0</v>
      </c>
      <c r="M3591" s="76" t="b">
        <v>0</v>
      </c>
      <c r="N3591" s="76" t="b">
        <v>0</v>
      </c>
      <c r="O3591" s="76" t="b">
        <v>0</v>
      </c>
      <c r="P3591" s="76" t="b">
        <v>0</v>
      </c>
      <c r="Q3591" s="76" t="b">
        <v>0</v>
      </c>
      <c r="R3591" s="14"/>
      <c r="S3591" s="14"/>
      <c r="T3591" s="14"/>
      <c r="U3591" s="14"/>
      <c r="V3591" s="14"/>
      <c r="W3591" s="14"/>
    </row>
    <row r="3592" ht="31.5" customHeight="1">
      <c r="A3592" s="158"/>
      <c r="B3592" s="159"/>
      <c r="C3592" s="160"/>
      <c r="D3592" s="130"/>
      <c r="E3592" s="130"/>
      <c r="F3592" s="161"/>
      <c r="G3592" s="164"/>
      <c r="H3592" s="76" t="b">
        <v>1</v>
      </c>
      <c r="I3592" s="76" t="b">
        <v>0</v>
      </c>
      <c r="J3592" s="76" t="b">
        <v>0</v>
      </c>
      <c r="K3592" s="76" t="b">
        <v>0</v>
      </c>
      <c r="L3592" s="76" t="b">
        <v>0</v>
      </c>
      <c r="M3592" s="76" t="b">
        <v>0</v>
      </c>
      <c r="N3592" s="76" t="b">
        <v>0</v>
      </c>
      <c r="O3592" s="76" t="b">
        <v>0</v>
      </c>
      <c r="P3592" s="76" t="b">
        <v>0</v>
      </c>
      <c r="Q3592" s="76" t="b">
        <v>0</v>
      </c>
      <c r="R3592" s="14"/>
      <c r="S3592" s="14"/>
      <c r="T3592" s="14"/>
      <c r="U3592" s="14"/>
      <c r="V3592" s="14"/>
      <c r="W3592" s="14"/>
    </row>
    <row r="3593" ht="31.5" customHeight="1">
      <c r="A3593" s="158"/>
      <c r="B3593" s="159"/>
      <c r="C3593" s="160"/>
      <c r="D3593" s="130"/>
      <c r="E3593" s="130"/>
      <c r="F3593" s="161"/>
      <c r="G3593" s="164"/>
      <c r="H3593" s="76" t="b">
        <v>1</v>
      </c>
      <c r="I3593" s="76" t="b">
        <v>0</v>
      </c>
      <c r="J3593" s="76" t="b">
        <v>0</v>
      </c>
      <c r="K3593" s="76" t="b">
        <v>0</v>
      </c>
      <c r="L3593" s="76" t="b">
        <v>0</v>
      </c>
      <c r="M3593" s="76" t="b">
        <v>0</v>
      </c>
      <c r="N3593" s="76" t="b">
        <v>0</v>
      </c>
      <c r="O3593" s="76" t="b">
        <v>0</v>
      </c>
      <c r="P3593" s="76" t="b">
        <v>0</v>
      </c>
      <c r="Q3593" s="76" t="b">
        <v>0</v>
      </c>
      <c r="R3593" s="14"/>
      <c r="S3593" s="14"/>
      <c r="T3593" s="14"/>
      <c r="U3593" s="14"/>
      <c r="V3593" s="14"/>
      <c r="W3593" s="14"/>
    </row>
    <row r="3594" ht="31.5" customHeight="1">
      <c r="A3594" s="158"/>
      <c r="B3594" s="159"/>
      <c r="C3594" s="160"/>
      <c r="D3594" s="130"/>
      <c r="E3594" s="130"/>
      <c r="F3594" s="161"/>
      <c r="G3594" s="164"/>
      <c r="H3594" s="76" t="b">
        <v>1</v>
      </c>
      <c r="I3594" s="76" t="b">
        <v>0</v>
      </c>
      <c r="J3594" s="76" t="b">
        <v>0</v>
      </c>
      <c r="K3594" s="76" t="b">
        <v>0</v>
      </c>
      <c r="L3594" s="76" t="b">
        <v>0</v>
      </c>
      <c r="M3594" s="76" t="b">
        <v>0</v>
      </c>
      <c r="N3594" s="76" t="b">
        <v>0</v>
      </c>
      <c r="O3594" s="76" t="b">
        <v>0</v>
      </c>
      <c r="P3594" s="76" t="b">
        <v>0</v>
      </c>
      <c r="Q3594" s="76" t="b">
        <v>0</v>
      </c>
      <c r="R3594" s="14"/>
      <c r="S3594" s="14"/>
      <c r="T3594" s="14"/>
      <c r="U3594" s="14"/>
      <c r="V3594" s="14"/>
      <c r="W3594" s="14"/>
    </row>
    <row r="3595" ht="31.5" customHeight="1">
      <c r="A3595" s="158"/>
      <c r="B3595" s="159"/>
      <c r="C3595" s="160"/>
      <c r="D3595" s="130"/>
      <c r="E3595" s="130"/>
      <c r="F3595" s="161"/>
      <c r="G3595" s="164"/>
      <c r="H3595" s="76" t="b">
        <v>1</v>
      </c>
      <c r="I3595" s="76" t="b">
        <v>0</v>
      </c>
      <c r="J3595" s="76" t="b">
        <v>0</v>
      </c>
      <c r="K3595" s="76" t="b">
        <v>0</v>
      </c>
      <c r="L3595" s="76" t="b">
        <v>0</v>
      </c>
      <c r="M3595" s="76" t="b">
        <v>0</v>
      </c>
      <c r="N3595" s="76" t="b">
        <v>0</v>
      </c>
      <c r="O3595" s="76" t="b">
        <v>0</v>
      </c>
      <c r="P3595" s="76" t="b">
        <v>0</v>
      </c>
      <c r="Q3595" s="76" t="b">
        <v>0</v>
      </c>
      <c r="R3595" s="14"/>
      <c r="S3595" s="14"/>
      <c r="T3595" s="14"/>
      <c r="U3595" s="14"/>
      <c r="V3595" s="14"/>
      <c r="W3595" s="14"/>
    </row>
    <row r="3596" ht="31.5" customHeight="1">
      <c r="A3596" s="158"/>
      <c r="B3596" s="159"/>
      <c r="C3596" s="160"/>
      <c r="D3596" s="130"/>
      <c r="E3596" s="130"/>
      <c r="F3596" s="161"/>
      <c r="G3596" s="164"/>
      <c r="H3596" s="76" t="b">
        <v>1</v>
      </c>
      <c r="I3596" s="76" t="b">
        <v>0</v>
      </c>
      <c r="J3596" s="76" t="b">
        <v>0</v>
      </c>
      <c r="K3596" s="76" t="b">
        <v>0</v>
      </c>
      <c r="L3596" s="76" t="b">
        <v>0</v>
      </c>
      <c r="M3596" s="76" t="b">
        <v>0</v>
      </c>
      <c r="N3596" s="76" t="b">
        <v>0</v>
      </c>
      <c r="O3596" s="76" t="b">
        <v>0</v>
      </c>
      <c r="P3596" s="76" t="b">
        <v>0</v>
      </c>
      <c r="Q3596" s="76" t="b">
        <v>0</v>
      </c>
      <c r="R3596" s="14"/>
      <c r="S3596" s="14"/>
      <c r="T3596" s="14"/>
      <c r="U3596" s="14"/>
      <c r="V3596" s="14"/>
      <c r="W3596" s="14"/>
    </row>
    <row r="3597" ht="31.5" customHeight="1">
      <c r="A3597" s="158"/>
      <c r="B3597" s="159"/>
      <c r="C3597" s="160"/>
      <c r="D3597" s="130"/>
      <c r="E3597" s="130"/>
      <c r="F3597" s="161"/>
      <c r="G3597" s="164"/>
      <c r="H3597" s="76" t="b">
        <v>1</v>
      </c>
      <c r="I3597" s="76" t="b">
        <v>0</v>
      </c>
      <c r="J3597" s="76" t="b">
        <v>0</v>
      </c>
      <c r="K3597" s="76" t="b">
        <v>0</v>
      </c>
      <c r="L3597" s="76" t="b">
        <v>0</v>
      </c>
      <c r="M3597" s="76" t="b">
        <v>0</v>
      </c>
      <c r="N3597" s="76" t="b">
        <v>0</v>
      </c>
      <c r="O3597" s="76" t="b">
        <v>0</v>
      </c>
      <c r="P3597" s="76" t="b">
        <v>0</v>
      </c>
      <c r="Q3597" s="76" t="b">
        <v>0</v>
      </c>
      <c r="R3597" s="14"/>
      <c r="S3597" s="14"/>
      <c r="T3597" s="14"/>
      <c r="U3597" s="14"/>
      <c r="V3597" s="14"/>
      <c r="W3597" s="14"/>
    </row>
    <row r="3598" ht="31.5" customHeight="1">
      <c r="A3598" s="158"/>
      <c r="B3598" s="159"/>
      <c r="C3598" s="160"/>
      <c r="D3598" s="130"/>
      <c r="E3598" s="130"/>
      <c r="F3598" s="161"/>
      <c r="G3598" s="164"/>
      <c r="H3598" s="76" t="b">
        <v>1</v>
      </c>
      <c r="I3598" s="76" t="b">
        <v>0</v>
      </c>
      <c r="J3598" s="76" t="b">
        <v>0</v>
      </c>
      <c r="K3598" s="76" t="b">
        <v>0</v>
      </c>
      <c r="L3598" s="76" t="b">
        <v>0</v>
      </c>
      <c r="M3598" s="76" t="b">
        <v>0</v>
      </c>
      <c r="N3598" s="76" t="b">
        <v>0</v>
      </c>
      <c r="O3598" s="76" t="b">
        <v>0</v>
      </c>
      <c r="P3598" s="76" t="b">
        <v>0</v>
      </c>
      <c r="Q3598" s="76" t="b">
        <v>0</v>
      </c>
      <c r="R3598" s="14"/>
      <c r="S3598" s="14"/>
      <c r="T3598" s="14"/>
      <c r="U3598" s="14"/>
      <c r="V3598" s="14"/>
      <c r="W3598" s="14"/>
    </row>
    <row r="3599" ht="31.5" customHeight="1">
      <c r="A3599" s="158"/>
      <c r="B3599" s="159"/>
      <c r="C3599" s="160"/>
      <c r="D3599" s="130"/>
      <c r="E3599" s="130"/>
      <c r="F3599" s="161"/>
      <c r="G3599" s="164"/>
      <c r="H3599" s="76" t="b">
        <v>1</v>
      </c>
      <c r="I3599" s="76" t="b">
        <v>0</v>
      </c>
      <c r="J3599" s="76" t="b">
        <v>0</v>
      </c>
      <c r="K3599" s="76" t="b">
        <v>0</v>
      </c>
      <c r="L3599" s="76" t="b">
        <v>0</v>
      </c>
      <c r="M3599" s="76" t="b">
        <v>0</v>
      </c>
      <c r="N3599" s="76" t="b">
        <v>0</v>
      </c>
      <c r="O3599" s="76" t="b">
        <v>0</v>
      </c>
      <c r="P3599" s="76" t="b">
        <v>0</v>
      </c>
      <c r="Q3599" s="76" t="b">
        <v>0</v>
      </c>
      <c r="R3599" s="14"/>
      <c r="S3599" s="14"/>
      <c r="T3599" s="14"/>
      <c r="U3599" s="14"/>
      <c r="V3599" s="14"/>
      <c r="W3599" s="14"/>
    </row>
    <row r="3600" ht="31.5" customHeight="1">
      <c r="A3600" s="158"/>
      <c r="B3600" s="159"/>
      <c r="C3600" s="160"/>
      <c r="D3600" s="130"/>
      <c r="E3600" s="130"/>
      <c r="F3600" s="161"/>
      <c r="G3600" s="164"/>
      <c r="H3600" s="76" t="b">
        <v>1</v>
      </c>
      <c r="I3600" s="76" t="b">
        <v>0</v>
      </c>
      <c r="J3600" s="76" t="b">
        <v>0</v>
      </c>
      <c r="K3600" s="76" t="b">
        <v>0</v>
      </c>
      <c r="L3600" s="76" t="b">
        <v>0</v>
      </c>
      <c r="M3600" s="76" t="b">
        <v>0</v>
      </c>
      <c r="N3600" s="76" t="b">
        <v>0</v>
      </c>
      <c r="O3600" s="76" t="b">
        <v>0</v>
      </c>
      <c r="P3600" s="76" t="b">
        <v>0</v>
      </c>
      <c r="Q3600" s="76" t="b">
        <v>0</v>
      </c>
      <c r="R3600" s="14"/>
      <c r="S3600" s="14"/>
      <c r="T3600" s="14"/>
      <c r="U3600" s="14"/>
      <c r="V3600" s="14"/>
      <c r="W3600" s="14"/>
    </row>
    <row r="3601" ht="31.5" customHeight="1">
      <c r="A3601" s="158"/>
      <c r="B3601" s="159"/>
      <c r="C3601" s="160"/>
      <c r="D3601" s="130"/>
      <c r="E3601" s="130"/>
      <c r="F3601" s="161"/>
      <c r="G3601" s="164"/>
      <c r="H3601" s="76" t="b">
        <v>1</v>
      </c>
      <c r="I3601" s="76" t="b">
        <v>0</v>
      </c>
      <c r="J3601" s="76" t="b">
        <v>0</v>
      </c>
      <c r="K3601" s="76" t="b">
        <v>0</v>
      </c>
      <c r="L3601" s="76" t="b">
        <v>0</v>
      </c>
      <c r="M3601" s="76" t="b">
        <v>0</v>
      </c>
      <c r="N3601" s="76" t="b">
        <v>0</v>
      </c>
      <c r="O3601" s="76" t="b">
        <v>0</v>
      </c>
      <c r="P3601" s="76" t="b">
        <v>0</v>
      </c>
      <c r="Q3601" s="76" t="b">
        <v>0</v>
      </c>
      <c r="R3601" s="14"/>
      <c r="S3601" s="14"/>
      <c r="T3601" s="14"/>
      <c r="U3601" s="14"/>
      <c r="V3601" s="14"/>
      <c r="W3601" s="14"/>
    </row>
    <row r="3602" ht="31.5" customHeight="1">
      <c r="A3602" s="158"/>
      <c r="B3602" s="159"/>
      <c r="C3602" s="160"/>
      <c r="D3602" s="130"/>
      <c r="E3602" s="130"/>
      <c r="F3602" s="161"/>
      <c r="G3602" s="164"/>
      <c r="H3602" s="76" t="b">
        <v>1</v>
      </c>
      <c r="I3602" s="76" t="b">
        <v>0</v>
      </c>
      <c r="J3602" s="76" t="b">
        <v>0</v>
      </c>
      <c r="K3602" s="76" t="b">
        <v>0</v>
      </c>
      <c r="L3602" s="76" t="b">
        <v>0</v>
      </c>
      <c r="M3602" s="76" t="b">
        <v>0</v>
      </c>
      <c r="N3602" s="76" t="b">
        <v>0</v>
      </c>
      <c r="O3602" s="76" t="b">
        <v>0</v>
      </c>
      <c r="P3602" s="76" t="b">
        <v>0</v>
      </c>
      <c r="Q3602" s="76" t="b">
        <v>0</v>
      </c>
      <c r="R3602" s="14"/>
      <c r="S3602" s="14"/>
      <c r="T3602" s="14"/>
      <c r="U3602" s="14"/>
      <c r="V3602" s="14"/>
      <c r="W3602" s="14"/>
    </row>
    <row r="3603" ht="31.5" customHeight="1">
      <c r="A3603" s="158"/>
      <c r="B3603" s="159"/>
      <c r="C3603" s="160"/>
      <c r="D3603" s="130"/>
      <c r="E3603" s="130"/>
      <c r="F3603" s="161"/>
      <c r="G3603" s="164"/>
      <c r="H3603" s="76" t="b">
        <v>1</v>
      </c>
      <c r="I3603" s="76" t="b">
        <v>0</v>
      </c>
      <c r="J3603" s="76" t="b">
        <v>0</v>
      </c>
      <c r="K3603" s="76" t="b">
        <v>0</v>
      </c>
      <c r="L3603" s="76" t="b">
        <v>0</v>
      </c>
      <c r="M3603" s="76" t="b">
        <v>0</v>
      </c>
      <c r="N3603" s="76" t="b">
        <v>0</v>
      </c>
      <c r="O3603" s="76" t="b">
        <v>0</v>
      </c>
      <c r="P3603" s="76" t="b">
        <v>0</v>
      </c>
      <c r="Q3603" s="76" t="b">
        <v>0</v>
      </c>
      <c r="R3603" s="14"/>
      <c r="S3603" s="14"/>
      <c r="T3603" s="14"/>
      <c r="U3603" s="14"/>
      <c r="V3603" s="14"/>
      <c r="W3603" s="14"/>
    </row>
    <row r="3604" ht="31.5" customHeight="1">
      <c r="A3604" s="158"/>
      <c r="B3604" s="159"/>
      <c r="C3604" s="160"/>
      <c r="D3604" s="130"/>
      <c r="E3604" s="130"/>
      <c r="F3604" s="161"/>
      <c r="G3604" s="164"/>
      <c r="H3604" s="76" t="b">
        <v>1</v>
      </c>
      <c r="I3604" s="76" t="b">
        <v>0</v>
      </c>
      <c r="J3604" s="76" t="b">
        <v>0</v>
      </c>
      <c r="K3604" s="76" t="b">
        <v>0</v>
      </c>
      <c r="L3604" s="76" t="b">
        <v>0</v>
      </c>
      <c r="M3604" s="76" t="b">
        <v>0</v>
      </c>
      <c r="N3604" s="76" t="b">
        <v>0</v>
      </c>
      <c r="O3604" s="76" t="b">
        <v>0</v>
      </c>
      <c r="P3604" s="76" t="b">
        <v>0</v>
      </c>
      <c r="Q3604" s="76" t="b">
        <v>0</v>
      </c>
      <c r="R3604" s="14"/>
      <c r="S3604" s="14"/>
      <c r="T3604" s="14"/>
      <c r="U3604" s="14"/>
      <c r="V3604" s="14"/>
      <c r="W3604" s="14"/>
    </row>
    <row r="3605" ht="31.5" customHeight="1">
      <c r="A3605" s="158"/>
      <c r="B3605" s="159"/>
      <c r="C3605" s="160"/>
      <c r="D3605" s="130"/>
      <c r="E3605" s="130"/>
      <c r="F3605" s="161"/>
      <c r="G3605" s="164"/>
      <c r="H3605" s="76" t="b">
        <v>1</v>
      </c>
      <c r="I3605" s="76" t="b">
        <v>0</v>
      </c>
      <c r="J3605" s="76" t="b">
        <v>0</v>
      </c>
      <c r="K3605" s="76" t="b">
        <v>0</v>
      </c>
      <c r="L3605" s="76" t="b">
        <v>0</v>
      </c>
      <c r="M3605" s="76" t="b">
        <v>0</v>
      </c>
      <c r="N3605" s="76" t="b">
        <v>0</v>
      </c>
      <c r="O3605" s="76" t="b">
        <v>0</v>
      </c>
      <c r="P3605" s="76" t="b">
        <v>0</v>
      </c>
      <c r="Q3605" s="76" t="b">
        <v>0</v>
      </c>
      <c r="R3605" s="14"/>
      <c r="S3605" s="14"/>
      <c r="T3605" s="14"/>
      <c r="U3605" s="14"/>
      <c r="V3605" s="14"/>
      <c r="W3605" s="14"/>
    </row>
    <row r="3606" ht="31.5" customHeight="1">
      <c r="A3606" s="158"/>
      <c r="B3606" s="159"/>
      <c r="C3606" s="160"/>
      <c r="D3606" s="130"/>
      <c r="E3606" s="130"/>
      <c r="F3606" s="161"/>
      <c r="G3606" s="164"/>
      <c r="H3606" s="76" t="b">
        <v>1</v>
      </c>
      <c r="I3606" s="76" t="b">
        <v>0</v>
      </c>
      <c r="J3606" s="76" t="b">
        <v>0</v>
      </c>
      <c r="K3606" s="76" t="b">
        <v>0</v>
      </c>
      <c r="L3606" s="76" t="b">
        <v>0</v>
      </c>
      <c r="M3606" s="76" t="b">
        <v>0</v>
      </c>
      <c r="N3606" s="76" t="b">
        <v>0</v>
      </c>
      <c r="O3606" s="76" t="b">
        <v>0</v>
      </c>
      <c r="P3606" s="76" t="b">
        <v>0</v>
      </c>
      <c r="Q3606" s="76" t="b">
        <v>0</v>
      </c>
      <c r="R3606" s="14"/>
      <c r="S3606" s="14"/>
      <c r="T3606" s="14"/>
      <c r="U3606" s="14"/>
      <c r="V3606" s="14"/>
      <c r="W3606" s="14"/>
    </row>
    <row r="3607" ht="31.5" customHeight="1">
      <c r="A3607" s="158"/>
      <c r="B3607" s="159"/>
      <c r="C3607" s="160"/>
      <c r="D3607" s="130"/>
      <c r="E3607" s="130"/>
      <c r="F3607" s="161"/>
      <c r="G3607" s="164"/>
      <c r="H3607" s="76" t="b">
        <v>1</v>
      </c>
      <c r="I3607" s="76" t="b">
        <v>0</v>
      </c>
      <c r="J3607" s="76" t="b">
        <v>0</v>
      </c>
      <c r="K3607" s="76" t="b">
        <v>0</v>
      </c>
      <c r="L3607" s="76" t="b">
        <v>0</v>
      </c>
      <c r="M3607" s="76" t="b">
        <v>0</v>
      </c>
      <c r="N3607" s="76" t="b">
        <v>0</v>
      </c>
      <c r="O3607" s="76" t="b">
        <v>0</v>
      </c>
      <c r="P3607" s="76" t="b">
        <v>0</v>
      </c>
      <c r="Q3607" s="76" t="b">
        <v>0</v>
      </c>
      <c r="R3607" s="14"/>
      <c r="S3607" s="14"/>
      <c r="T3607" s="14"/>
      <c r="U3607" s="14"/>
      <c r="V3607" s="14"/>
      <c r="W3607" s="14"/>
    </row>
    <row r="3608" ht="31.5" customHeight="1">
      <c r="A3608" s="158"/>
      <c r="B3608" s="159"/>
      <c r="C3608" s="160"/>
      <c r="D3608" s="130"/>
      <c r="E3608" s="130"/>
      <c r="F3608" s="161"/>
      <c r="G3608" s="164"/>
      <c r="H3608" s="76" t="b">
        <v>0</v>
      </c>
      <c r="I3608" s="76" t="b">
        <v>0</v>
      </c>
      <c r="J3608" s="76" t="b">
        <v>0</v>
      </c>
      <c r="K3608" s="76" t="b">
        <v>0</v>
      </c>
      <c r="L3608" s="76" t="b">
        <v>0</v>
      </c>
      <c r="M3608" s="76" t="b">
        <v>0</v>
      </c>
      <c r="N3608" s="76" t="b">
        <v>0</v>
      </c>
      <c r="O3608" s="76" t="b">
        <v>0</v>
      </c>
      <c r="P3608" s="76" t="b">
        <v>0</v>
      </c>
      <c r="Q3608" s="76" t="b">
        <v>0</v>
      </c>
      <c r="R3608" s="14"/>
      <c r="S3608" s="14"/>
      <c r="T3608" s="14"/>
      <c r="U3608" s="14"/>
      <c r="V3608" s="14"/>
      <c r="W3608" s="14"/>
    </row>
    <row r="3609" ht="31.5" customHeight="1">
      <c r="A3609" s="158"/>
      <c r="B3609" s="159"/>
      <c r="C3609" s="160"/>
      <c r="D3609" s="130"/>
      <c r="E3609" s="130"/>
      <c r="F3609" s="161"/>
      <c r="G3609" s="164"/>
      <c r="H3609" s="76" t="b">
        <v>0</v>
      </c>
      <c r="I3609" s="76" t="b">
        <v>0</v>
      </c>
      <c r="J3609" s="76" t="b">
        <v>0</v>
      </c>
      <c r="K3609" s="76" t="b">
        <v>0</v>
      </c>
      <c r="L3609" s="76" t="b">
        <v>0</v>
      </c>
      <c r="M3609" s="76" t="b">
        <v>0</v>
      </c>
      <c r="N3609" s="76" t="b">
        <v>0</v>
      </c>
      <c r="O3609" s="76" t="b">
        <v>0</v>
      </c>
      <c r="P3609" s="76" t="b">
        <v>0</v>
      </c>
      <c r="Q3609" s="76" t="b">
        <v>0</v>
      </c>
      <c r="R3609" s="14"/>
      <c r="S3609" s="14"/>
      <c r="T3609" s="14"/>
      <c r="U3609" s="14"/>
      <c r="V3609" s="14"/>
      <c r="W3609" s="14"/>
    </row>
    <row r="3610" ht="31.5" customHeight="1">
      <c r="A3610" s="158"/>
      <c r="B3610" s="159"/>
      <c r="C3610" s="160"/>
      <c r="D3610" s="130"/>
      <c r="E3610" s="130"/>
      <c r="F3610" s="161"/>
      <c r="G3610" s="164"/>
      <c r="H3610" s="76" t="b">
        <v>0</v>
      </c>
      <c r="I3610" s="76" t="b">
        <v>0</v>
      </c>
      <c r="J3610" s="76" t="b">
        <v>0</v>
      </c>
      <c r="K3610" s="76" t="b">
        <v>0</v>
      </c>
      <c r="L3610" s="76" t="b">
        <v>0</v>
      </c>
      <c r="M3610" s="76" t="b">
        <v>0</v>
      </c>
      <c r="N3610" s="76" t="b">
        <v>0</v>
      </c>
      <c r="O3610" s="76" t="b">
        <v>0</v>
      </c>
      <c r="P3610" s="76" t="b">
        <v>0</v>
      </c>
      <c r="Q3610" s="76" t="b">
        <v>0</v>
      </c>
      <c r="R3610" s="14"/>
      <c r="S3610" s="14"/>
      <c r="T3610" s="14"/>
      <c r="U3610" s="14"/>
      <c r="V3610" s="14"/>
      <c r="W3610" s="14"/>
    </row>
    <row r="3611" ht="31.5" customHeight="1">
      <c r="A3611" s="158"/>
      <c r="B3611" s="159"/>
      <c r="C3611" s="160"/>
      <c r="D3611" s="130"/>
      <c r="E3611" s="130"/>
      <c r="F3611" s="161"/>
      <c r="G3611" s="164"/>
      <c r="H3611" s="76" t="b">
        <v>0</v>
      </c>
      <c r="I3611" s="76" t="b">
        <v>0</v>
      </c>
      <c r="J3611" s="76" t="b">
        <v>0</v>
      </c>
      <c r="K3611" s="76" t="b">
        <v>0</v>
      </c>
      <c r="L3611" s="76" t="b">
        <v>0</v>
      </c>
      <c r="M3611" s="76" t="b">
        <v>0</v>
      </c>
      <c r="N3611" s="76" t="b">
        <v>0</v>
      </c>
      <c r="O3611" s="76" t="b">
        <v>0</v>
      </c>
      <c r="P3611" s="76" t="b">
        <v>0</v>
      </c>
      <c r="Q3611" s="76" t="b">
        <v>0</v>
      </c>
      <c r="R3611" s="14"/>
      <c r="S3611" s="14"/>
      <c r="T3611" s="14"/>
      <c r="U3611" s="14"/>
      <c r="V3611" s="14"/>
      <c r="W3611" s="14"/>
    </row>
    <row r="3612" ht="31.5" customHeight="1">
      <c r="A3612" s="158"/>
      <c r="B3612" s="159"/>
      <c r="C3612" s="160"/>
      <c r="D3612" s="130"/>
      <c r="E3612" s="130"/>
      <c r="F3612" s="161"/>
      <c r="G3612" s="164"/>
      <c r="H3612" s="76" t="b">
        <v>0</v>
      </c>
      <c r="I3612" s="76" t="b">
        <v>0</v>
      </c>
      <c r="J3612" s="76" t="b">
        <v>0</v>
      </c>
      <c r="K3612" s="76" t="b">
        <v>0</v>
      </c>
      <c r="L3612" s="76" t="b">
        <v>0</v>
      </c>
      <c r="M3612" s="76" t="b">
        <v>0</v>
      </c>
      <c r="N3612" s="76" t="b">
        <v>0</v>
      </c>
      <c r="O3612" s="76" t="b">
        <v>0</v>
      </c>
      <c r="P3612" s="76" t="b">
        <v>0</v>
      </c>
      <c r="Q3612" s="76" t="b">
        <v>0</v>
      </c>
      <c r="R3612" s="14"/>
      <c r="S3612" s="14"/>
      <c r="T3612" s="14"/>
      <c r="U3612" s="14"/>
      <c r="V3612" s="14"/>
      <c r="W3612" s="14"/>
    </row>
    <row r="3613" ht="31.5" customHeight="1">
      <c r="A3613" s="158"/>
      <c r="B3613" s="159"/>
      <c r="C3613" s="160"/>
      <c r="D3613" s="130"/>
      <c r="E3613" s="130"/>
      <c r="F3613" s="161"/>
      <c r="G3613" s="164"/>
      <c r="H3613" s="76" t="b">
        <v>0</v>
      </c>
      <c r="I3613" s="76" t="b">
        <v>0</v>
      </c>
      <c r="J3613" s="76" t="b">
        <v>0</v>
      </c>
      <c r="K3613" s="76" t="b">
        <v>0</v>
      </c>
      <c r="L3613" s="76" t="b">
        <v>0</v>
      </c>
      <c r="M3613" s="76" t="b">
        <v>0</v>
      </c>
      <c r="N3613" s="76" t="b">
        <v>0</v>
      </c>
      <c r="O3613" s="76" t="b">
        <v>0</v>
      </c>
      <c r="P3613" s="76" t="b">
        <v>0</v>
      </c>
      <c r="Q3613" s="76" t="b">
        <v>0</v>
      </c>
      <c r="R3613" s="14"/>
      <c r="S3613" s="14"/>
      <c r="T3613" s="14"/>
      <c r="U3613" s="14"/>
      <c r="V3613" s="14"/>
      <c r="W3613" s="14"/>
    </row>
    <row r="3614" ht="31.5" customHeight="1">
      <c r="A3614" s="158"/>
      <c r="B3614" s="159"/>
      <c r="C3614" s="160"/>
      <c r="D3614" s="130"/>
      <c r="E3614" s="130"/>
      <c r="F3614" s="161"/>
      <c r="G3614" s="164"/>
      <c r="H3614" s="76" t="b">
        <v>0</v>
      </c>
      <c r="I3614" s="76" t="b">
        <v>0</v>
      </c>
      <c r="J3614" s="76" t="b">
        <v>0</v>
      </c>
      <c r="K3614" s="76" t="b">
        <v>0</v>
      </c>
      <c r="L3614" s="76" t="b">
        <v>0</v>
      </c>
      <c r="M3614" s="76" t="b">
        <v>0</v>
      </c>
      <c r="N3614" s="76" t="b">
        <v>0</v>
      </c>
      <c r="O3614" s="76" t="b">
        <v>0</v>
      </c>
      <c r="P3614" s="76" t="b">
        <v>0</v>
      </c>
      <c r="Q3614" s="76" t="b">
        <v>0</v>
      </c>
      <c r="R3614" s="14"/>
      <c r="S3614" s="14"/>
      <c r="T3614" s="14"/>
      <c r="U3614" s="14"/>
      <c r="V3614" s="14"/>
      <c r="W3614" s="14"/>
    </row>
    <row r="3615" ht="31.5" customHeight="1">
      <c r="A3615" s="158"/>
      <c r="B3615" s="159"/>
      <c r="C3615" s="160"/>
      <c r="D3615" s="130"/>
      <c r="E3615" s="130"/>
      <c r="F3615" s="161"/>
      <c r="G3615" s="164"/>
      <c r="H3615" s="76" t="b">
        <v>0</v>
      </c>
      <c r="I3615" s="76" t="b">
        <v>0</v>
      </c>
      <c r="J3615" s="76" t="b">
        <v>0</v>
      </c>
      <c r="K3615" s="76" t="b">
        <v>0</v>
      </c>
      <c r="L3615" s="76" t="b">
        <v>0</v>
      </c>
      <c r="M3615" s="76" t="b">
        <v>0</v>
      </c>
      <c r="N3615" s="76" t="b">
        <v>0</v>
      </c>
      <c r="O3615" s="76" t="b">
        <v>0</v>
      </c>
      <c r="P3615" s="76" t="b">
        <v>0</v>
      </c>
      <c r="Q3615" s="76" t="b">
        <v>0</v>
      </c>
      <c r="R3615" s="14"/>
      <c r="S3615" s="14"/>
      <c r="T3615" s="14"/>
      <c r="U3615" s="14"/>
      <c r="V3615" s="14"/>
      <c r="W3615" s="14"/>
    </row>
    <row r="3616" ht="31.5" customHeight="1">
      <c r="A3616" s="158"/>
      <c r="B3616" s="159"/>
      <c r="C3616" s="160"/>
      <c r="D3616" s="130"/>
      <c r="E3616" s="130"/>
      <c r="F3616" s="161"/>
      <c r="G3616" s="164"/>
      <c r="H3616" s="76" t="b">
        <v>0</v>
      </c>
      <c r="I3616" s="76" t="b">
        <v>0</v>
      </c>
      <c r="J3616" s="76" t="b">
        <v>0</v>
      </c>
      <c r="K3616" s="76" t="b">
        <v>0</v>
      </c>
      <c r="L3616" s="76" t="b">
        <v>0</v>
      </c>
      <c r="M3616" s="76" t="b">
        <v>0</v>
      </c>
      <c r="N3616" s="76" t="b">
        <v>0</v>
      </c>
      <c r="O3616" s="76" t="b">
        <v>0</v>
      </c>
      <c r="P3616" s="76" t="b">
        <v>0</v>
      </c>
      <c r="Q3616" s="76" t="b">
        <v>0</v>
      </c>
      <c r="R3616" s="14"/>
      <c r="S3616" s="14"/>
      <c r="T3616" s="14"/>
      <c r="U3616" s="14"/>
      <c r="V3616" s="14"/>
      <c r="W3616" s="14"/>
    </row>
    <row r="3617" ht="31.5" customHeight="1">
      <c r="A3617" s="158"/>
      <c r="B3617" s="159"/>
      <c r="C3617" s="160"/>
      <c r="D3617" s="130"/>
      <c r="E3617" s="130"/>
      <c r="F3617" s="161"/>
      <c r="G3617" s="164"/>
      <c r="H3617" s="76" t="b">
        <v>0</v>
      </c>
      <c r="I3617" s="76" t="b">
        <v>0</v>
      </c>
      <c r="J3617" s="76" t="b">
        <v>0</v>
      </c>
      <c r="K3617" s="76" t="b">
        <v>0</v>
      </c>
      <c r="L3617" s="76" t="b">
        <v>0</v>
      </c>
      <c r="M3617" s="76" t="b">
        <v>0</v>
      </c>
      <c r="N3617" s="76" t="b">
        <v>0</v>
      </c>
      <c r="O3617" s="76" t="b">
        <v>0</v>
      </c>
      <c r="P3617" s="76" t="b">
        <v>0</v>
      </c>
      <c r="Q3617" s="76" t="b">
        <v>0</v>
      </c>
      <c r="R3617" s="14"/>
      <c r="S3617" s="14"/>
      <c r="T3617" s="14"/>
      <c r="U3617" s="14"/>
      <c r="V3617" s="14"/>
      <c r="W3617" s="14"/>
    </row>
    <row r="3618" ht="31.5" customHeight="1">
      <c r="A3618" s="158"/>
      <c r="B3618" s="159"/>
      <c r="C3618" s="160"/>
      <c r="D3618" s="130"/>
      <c r="E3618" s="130"/>
      <c r="F3618" s="161"/>
      <c r="G3618" s="164"/>
      <c r="H3618" s="76" t="b">
        <v>0</v>
      </c>
      <c r="I3618" s="76" t="b">
        <v>0</v>
      </c>
      <c r="J3618" s="76" t="b">
        <v>0</v>
      </c>
      <c r="K3618" s="76" t="b">
        <v>0</v>
      </c>
      <c r="L3618" s="76" t="b">
        <v>0</v>
      </c>
      <c r="M3618" s="76" t="b">
        <v>0</v>
      </c>
      <c r="N3618" s="76" t="b">
        <v>0</v>
      </c>
      <c r="O3618" s="76" t="b">
        <v>0</v>
      </c>
      <c r="P3618" s="76" t="b">
        <v>0</v>
      </c>
      <c r="Q3618" s="76" t="b">
        <v>0</v>
      </c>
      <c r="R3618" s="14"/>
      <c r="S3618" s="14"/>
      <c r="T3618" s="14"/>
      <c r="U3618" s="14"/>
      <c r="V3618" s="14"/>
      <c r="W3618" s="14"/>
    </row>
    <row r="3619" ht="31.5" customHeight="1">
      <c r="A3619" s="158"/>
      <c r="B3619" s="159"/>
      <c r="C3619" s="160"/>
      <c r="D3619" s="130"/>
      <c r="E3619" s="130"/>
      <c r="F3619" s="161"/>
      <c r="G3619" s="164"/>
      <c r="H3619" s="76" t="b">
        <v>0</v>
      </c>
      <c r="I3619" s="76" t="b">
        <v>0</v>
      </c>
      <c r="J3619" s="76" t="b">
        <v>0</v>
      </c>
      <c r="K3619" s="76" t="b">
        <v>0</v>
      </c>
      <c r="L3619" s="76" t="b">
        <v>0</v>
      </c>
      <c r="M3619" s="76" t="b">
        <v>0</v>
      </c>
      <c r="N3619" s="76" t="b">
        <v>0</v>
      </c>
      <c r="O3619" s="76" t="b">
        <v>0</v>
      </c>
      <c r="P3619" s="76" t="b">
        <v>0</v>
      </c>
      <c r="Q3619" s="76" t="b">
        <v>0</v>
      </c>
      <c r="R3619" s="14"/>
      <c r="S3619" s="14"/>
      <c r="T3619" s="14"/>
      <c r="U3619" s="14"/>
      <c r="V3619" s="14"/>
      <c r="W3619" s="14"/>
    </row>
    <row r="3620" ht="31.5" customHeight="1">
      <c r="A3620" s="158"/>
      <c r="B3620" s="159"/>
      <c r="C3620" s="160"/>
      <c r="D3620" s="130"/>
      <c r="E3620" s="130"/>
      <c r="F3620" s="161"/>
      <c r="G3620" s="164"/>
      <c r="H3620" s="76" t="b">
        <v>0</v>
      </c>
      <c r="I3620" s="76" t="b">
        <v>0</v>
      </c>
      <c r="J3620" s="76" t="b">
        <v>0</v>
      </c>
      <c r="K3620" s="76" t="b">
        <v>0</v>
      </c>
      <c r="L3620" s="76" t="b">
        <v>0</v>
      </c>
      <c r="M3620" s="76" t="b">
        <v>0</v>
      </c>
      <c r="N3620" s="76" t="b">
        <v>0</v>
      </c>
      <c r="O3620" s="76" t="b">
        <v>0</v>
      </c>
      <c r="P3620" s="76" t="b">
        <v>0</v>
      </c>
      <c r="Q3620" s="76" t="b">
        <v>0</v>
      </c>
      <c r="R3620" s="14"/>
      <c r="S3620" s="14"/>
      <c r="T3620" s="14"/>
      <c r="U3620" s="14"/>
      <c r="V3620" s="14"/>
      <c r="W3620" s="14"/>
    </row>
    <row r="3621" ht="31.5" customHeight="1">
      <c r="A3621" s="158"/>
      <c r="B3621" s="159"/>
      <c r="C3621" s="160"/>
      <c r="D3621" s="130"/>
      <c r="E3621" s="130"/>
      <c r="F3621" s="161"/>
      <c r="G3621" s="164"/>
      <c r="H3621" s="76" t="b">
        <v>0</v>
      </c>
      <c r="I3621" s="76" t="b">
        <v>0</v>
      </c>
      <c r="J3621" s="76" t="b">
        <v>0</v>
      </c>
      <c r="K3621" s="76" t="b">
        <v>0</v>
      </c>
      <c r="L3621" s="76" t="b">
        <v>0</v>
      </c>
      <c r="M3621" s="76" t="b">
        <v>0</v>
      </c>
      <c r="N3621" s="76" t="b">
        <v>0</v>
      </c>
      <c r="O3621" s="76" t="b">
        <v>0</v>
      </c>
      <c r="P3621" s="76" t="b">
        <v>0</v>
      </c>
      <c r="Q3621" s="76" t="b">
        <v>0</v>
      </c>
      <c r="R3621" s="14"/>
      <c r="S3621" s="14"/>
      <c r="T3621" s="14"/>
      <c r="U3621" s="14"/>
      <c r="V3621" s="14"/>
      <c r="W3621" s="14"/>
    </row>
    <row r="3622" ht="31.5" customHeight="1">
      <c r="A3622" s="158"/>
      <c r="B3622" s="159"/>
      <c r="C3622" s="160"/>
      <c r="D3622" s="130"/>
      <c r="E3622" s="130"/>
      <c r="F3622" s="161"/>
      <c r="G3622" s="164"/>
      <c r="H3622" s="76" t="b">
        <v>0</v>
      </c>
      <c r="I3622" s="76" t="b">
        <v>0</v>
      </c>
      <c r="J3622" s="76" t="b">
        <v>0</v>
      </c>
      <c r="K3622" s="76" t="b">
        <v>0</v>
      </c>
      <c r="L3622" s="76" t="b">
        <v>0</v>
      </c>
      <c r="M3622" s="76" t="b">
        <v>0</v>
      </c>
      <c r="N3622" s="76" t="b">
        <v>0</v>
      </c>
      <c r="O3622" s="76" t="b">
        <v>0</v>
      </c>
      <c r="P3622" s="76" t="b">
        <v>0</v>
      </c>
      <c r="Q3622" s="76" t="b">
        <v>0</v>
      </c>
      <c r="R3622" s="14"/>
      <c r="S3622" s="14"/>
      <c r="T3622" s="14"/>
      <c r="U3622" s="14"/>
      <c r="V3622" s="14"/>
      <c r="W3622" s="14"/>
    </row>
    <row r="3623" ht="31.5" customHeight="1">
      <c r="A3623" s="158"/>
      <c r="B3623" s="159"/>
      <c r="C3623" s="160"/>
      <c r="D3623" s="130"/>
      <c r="E3623" s="130"/>
      <c r="F3623" s="161"/>
      <c r="G3623" s="164"/>
      <c r="H3623" s="76" t="b">
        <v>0</v>
      </c>
      <c r="I3623" s="76" t="b">
        <v>0</v>
      </c>
      <c r="J3623" s="76" t="b">
        <v>0</v>
      </c>
      <c r="K3623" s="76" t="b">
        <v>0</v>
      </c>
      <c r="L3623" s="76" t="b">
        <v>0</v>
      </c>
      <c r="M3623" s="76" t="b">
        <v>0</v>
      </c>
      <c r="N3623" s="76" t="b">
        <v>0</v>
      </c>
      <c r="O3623" s="76" t="b">
        <v>0</v>
      </c>
      <c r="P3623" s="76" t="b">
        <v>0</v>
      </c>
      <c r="Q3623" s="76" t="b">
        <v>0</v>
      </c>
      <c r="R3623" s="14"/>
      <c r="S3623" s="14"/>
      <c r="T3623" s="14"/>
      <c r="U3623" s="14"/>
      <c r="V3623" s="14"/>
      <c r="W3623" s="14"/>
    </row>
    <row r="3624" ht="31.5" customHeight="1">
      <c r="A3624" s="158"/>
      <c r="B3624" s="159"/>
      <c r="C3624" s="160"/>
      <c r="D3624" s="130"/>
      <c r="E3624" s="130"/>
      <c r="F3624" s="161"/>
      <c r="G3624" s="164"/>
      <c r="H3624" s="76" t="b">
        <v>0</v>
      </c>
      <c r="I3624" s="76" t="b">
        <v>0</v>
      </c>
      <c r="J3624" s="76" t="b">
        <v>0</v>
      </c>
      <c r="K3624" s="76" t="b">
        <v>0</v>
      </c>
      <c r="L3624" s="76" t="b">
        <v>0</v>
      </c>
      <c r="M3624" s="76" t="b">
        <v>0</v>
      </c>
      <c r="N3624" s="76" t="b">
        <v>0</v>
      </c>
      <c r="O3624" s="76" t="b">
        <v>0</v>
      </c>
      <c r="P3624" s="76" t="b">
        <v>0</v>
      </c>
      <c r="Q3624" s="76" t="b">
        <v>0</v>
      </c>
      <c r="R3624" s="14"/>
      <c r="S3624" s="14"/>
      <c r="T3624" s="14"/>
      <c r="U3624" s="14"/>
      <c r="V3624" s="14"/>
      <c r="W3624" s="14"/>
    </row>
    <row r="3625" ht="31.5" customHeight="1">
      <c r="A3625" s="158"/>
      <c r="B3625" s="159"/>
      <c r="C3625" s="160"/>
      <c r="D3625" s="130"/>
      <c r="E3625" s="130"/>
      <c r="F3625" s="161"/>
      <c r="G3625" s="164"/>
      <c r="H3625" s="76" t="b">
        <v>0</v>
      </c>
      <c r="I3625" s="76" t="b">
        <v>0</v>
      </c>
      <c r="J3625" s="76" t="b">
        <v>0</v>
      </c>
      <c r="K3625" s="76" t="b">
        <v>0</v>
      </c>
      <c r="L3625" s="76" t="b">
        <v>0</v>
      </c>
      <c r="M3625" s="76" t="b">
        <v>0</v>
      </c>
      <c r="N3625" s="76" t="b">
        <v>0</v>
      </c>
      <c r="O3625" s="76" t="b">
        <v>0</v>
      </c>
      <c r="P3625" s="76" t="b">
        <v>0</v>
      </c>
      <c r="Q3625" s="76" t="b">
        <v>0</v>
      </c>
      <c r="R3625" s="14"/>
      <c r="S3625" s="14"/>
      <c r="T3625" s="14"/>
      <c r="U3625" s="14"/>
      <c r="V3625" s="14"/>
      <c r="W3625" s="14"/>
    </row>
    <row r="3626" ht="31.5" customHeight="1">
      <c r="A3626" s="158"/>
      <c r="B3626" s="159"/>
      <c r="C3626" s="160"/>
      <c r="D3626" s="130"/>
      <c r="E3626" s="130"/>
      <c r="F3626" s="161"/>
      <c r="G3626" s="164"/>
      <c r="H3626" s="76" t="b">
        <v>0</v>
      </c>
      <c r="I3626" s="76" t="b">
        <v>0</v>
      </c>
      <c r="J3626" s="76" t="b">
        <v>0</v>
      </c>
      <c r="K3626" s="76" t="b">
        <v>0</v>
      </c>
      <c r="L3626" s="76" t="b">
        <v>0</v>
      </c>
      <c r="M3626" s="76" t="b">
        <v>0</v>
      </c>
      <c r="N3626" s="76" t="b">
        <v>0</v>
      </c>
      <c r="O3626" s="76" t="b">
        <v>0</v>
      </c>
      <c r="P3626" s="76" t="b">
        <v>0</v>
      </c>
      <c r="Q3626" s="76" t="b">
        <v>0</v>
      </c>
      <c r="R3626" s="14"/>
      <c r="S3626" s="14"/>
      <c r="T3626" s="14"/>
      <c r="U3626" s="14"/>
      <c r="V3626" s="14"/>
      <c r="W3626" s="14"/>
    </row>
    <row r="3627" ht="31.5" customHeight="1">
      <c r="A3627" s="158"/>
      <c r="B3627" s="159"/>
      <c r="C3627" s="160"/>
      <c r="D3627" s="130"/>
      <c r="E3627" s="130"/>
      <c r="F3627" s="161"/>
      <c r="G3627" s="164"/>
      <c r="H3627" s="76" t="b">
        <v>0</v>
      </c>
      <c r="I3627" s="76" t="b">
        <v>0</v>
      </c>
      <c r="J3627" s="76" t="b">
        <v>0</v>
      </c>
      <c r="K3627" s="76" t="b">
        <v>0</v>
      </c>
      <c r="L3627" s="76" t="b">
        <v>0</v>
      </c>
      <c r="M3627" s="76" t="b">
        <v>0</v>
      </c>
      <c r="N3627" s="76" t="b">
        <v>0</v>
      </c>
      <c r="O3627" s="76" t="b">
        <v>0</v>
      </c>
      <c r="P3627" s="76" t="b">
        <v>0</v>
      </c>
      <c r="Q3627" s="76" t="b">
        <v>0</v>
      </c>
      <c r="R3627" s="14"/>
      <c r="S3627" s="14"/>
      <c r="T3627" s="14"/>
      <c r="U3627" s="14"/>
      <c r="V3627" s="14"/>
      <c r="W3627" s="14"/>
    </row>
    <row r="3628" ht="31.5" customHeight="1">
      <c r="A3628" s="158"/>
      <c r="B3628" s="159"/>
      <c r="C3628" s="160"/>
      <c r="D3628" s="130"/>
      <c r="E3628" s="130"/>
      <c r="F3628" s="161"/>
      <c r="G3628" s="164"/>
      <c r="H3628" s="76" t="b">
        <v>0</v>
      </c>
      <c r="I3628" s="76" t="b">
        <v>0</v>
      </c>
      <c r="J3628" s="76" t="b">
        <v>0</v>
      </c>
      <c r="K3628" s="76" t="b">
        <v>0</v>
      </c>
      <c r="L3628" s="76" t="b">
        <v>0</v>
      </c>
      <c r="M3628" s="76" t="b">
        <v>0</v>
      </c>
      <c r="N3628" s="76" t="b">
        <v>0</v>
      </c>
      <c r="O3628" s="76" t="b">
        <v>0</v>
      </c>
      <c r="P3628" s="76" t="b">
        <v>0</v>
      </c>
      <c r="Q3628" s="76" t="b">
        <v>0</v>
      </c>
      <c r="R3628" s="14"/>
      <c r="S3628" s="14"/>
      <c r="T3628" s="14"/>
      <c r="U3628" s="14"/>
      <c r="V3628" s="14"/>
      <c r="W3628" s="14"/>
    </row>
    <row r="3629" ht="31.5" customHeight="1">
      <c r="A3629" s="158"/>
      <c r="B3629" s="159"/>
      <c r="C3629" s="160"/>
      <c r="D3629" s="130"/>
      <c r="E3629" s="130"/>
      <c r="F3629" s="161"/>
      <c r="G3629" s="164"/>
      <c r="H3629" s="76" t="b">
        <v>0</v>
      </c>
      <c r="I3629" s="76" t="b">
        <v>0</v>
      </c>
      <c r="J3629" s="76" t="b">
        <v>0</v>
      </c>
      <c r="K3629" s="76" t="b">
        <v>0</v>
      </c>
      <c r="L3629" s="76" t="b">
        <v>0</v>
      </c>
      <c r="M3629" s="76" t="b">
        <v>0</v>
      </c>
      <c r="N3629" s="76" t="b">
        <v>0</v>
      </c>
      <c r="O3629" s="76" t="b">
        <v>0</v>
      </c>
      <c r="P3629" s="76" t="b">
        <v>0</v>
      </c>
      <c r="Q3629" s="76" t="b">
        <v>0</v>
      </c>
      <c r="R3629" s="14"/>
      <c r="S3629" s="14"/>
      <c r="T3629" s="14"/>
      <c r="U3629" s="14"/>
      <c r="V3629" s="14"/>
      <c r="W3629" s="14"/>
    </row>
    <row r="3630" ht="31.5" customHeight="1">
      <c r="A3630" s="158"/>
      <c r="B3630" s="159"/>
      <c r="C3630" s="160"/>
      <c r="D3630" s="130"/>
      <c r="E3630" s="130"/>
      <c r="F3630" s="161"/>
      <c r="G3630" s="164"/>
      <c r="H3630" s="76" t="b">
        <v>0</v>
      </c>
      <c r="I3630" s="76" t="b">
        <v>0</v>
      </c>
      <c r="J3630" s="76" t="b">
        <v>0</v>
      </c>
      <c r="K3630" s="76" t="b">
        <v>0</v>
      </c>
      <c r="L3630" s="76" t="b">
        <v>0</v>
      </c>
      <c r="M3630" s="76" t="b">
        <v>0</v>
      </c>
      <c r="N3630" s="76" t="b">
        <v>0</v>
      </c>
      <c r="O3630" s="76" t="b">
        <v>0</v>
      </c>
      <c r="P3630" s="76" t="b">
        <v>0</v>
      </c>
      <c r="Q3630" s="76" t="b">
        <v>0</v>
      </c>
      <c r="R3630" s="14"/>
      <c r="S3630" s="14"/>
      <c r="T3630" s="14"/>
      <c r="U3630" s="14"/>
      <c r="V3630" s="14"/>
      <c r="W3630" s="14"/>
    </row>
    <row r="3631" ht="31.5" customHeight="1">
      <c r="A3631" s="158"/>
      <c r="B3631" s="159"/>
      <c r="C3631" s="160"/>
      <c r="D3631" s="130"/>
      <c r="E3631" s="130"/>
      <c r="F3631" s="161"/>
      <c r="G3631" s="164"/>
      <c r="H3631" s="76" t="b">
        <v>0</v>
      </c>
      <c r="I3631" s="76" t="b">
        <v>0</v>
      </c>
      <c r="J3631" s="76" t="b">
        <v>0</v>
      </c>
      <c r="K3631" s="76" t="b">
        <v>0</v>
      </c>
      <c r="L3631" s="76" t="b">
        <v>0</v>
      </c>
      <c r="M3631" s="76" t="b">
        <v>0</v>
      </c>
      <c r="N3631" s="76" t="b">
        <v>0</v>
      </c>
      <c r="O3631" s="76" t="b">
        <v>0</v>
      </c>
      <c r="P3631" s="76" t="b">
        <v>0</v>
      </c>
      <c r="Q3631" s="76" t="b">
        <v>0</v>
      </c>
      <c r="R3631" s="14"/>
      <c r="S3631" s="14"/>
      <c r="T3631" s="14"/>
      <c r="U3631" s="14"/>
      <c r="V3631" s="14"/>
      <c r="W3631" s="14"/>
    </row>
    <row r="3632" ht="31.5" customHeight="1">
      <c r="A3632" s="158"/>
      <c r="B3632" s="159"/>
      <c r="C3632" s="160"/>
      <c r="D3632" s="130"/>
      <c r="E3632" s="130"/>
      <c r="F3632" s="161"/>
      <c r="G3632" s="164"/>
      <c r="H3632" s="76" t="b">
        <v>0</v>
      </c>
      <c r="I3632" s="76" t="b">
        <v>0</v>
      </c>
      <c r="J3632" s="76" t="b">
        <v>0</v>
      </c>
      <c r="K3632" s="76" t="b">
        <v>0</v>
      </c>
      <c r="L3632" s="76" t="b">
        <v>0</v>
      </c>
      <c r="M3632" s="76" t="b">
        <v>0</v>
      </c>
      <c r="N3632" s="76" t="b">
        <v>0</v>
      </c>
      <c r="O3632" s="76" t="b">
        <v>0</v>
      </c>
      <c r="P3632" s="76" t="b">
        <v>0</v>
      </c>
      <c r="Q3632" s="76" t="b">
        <v>0</v>
      </c>
      <c r="R3632" s="14"/>
      <c r="S3632" s="14"/>
      <c r="T3632" s="14"/>
      <c r="U3632" s="14"/>
      <c r="V3632" s="14"/>
      <c r="W3632" s="14"/>
    </row>
    <row r="3633" ht="31.5" customHeight="1">
      <c r="A3633" s="158"/>
      <c r="B3633" s="159"/>
      <c r="C3633" s="160"/>
      <c r="D3633" s="130"/>
      <c r="E3633" s="130"/>
      <c r="F3633" s="161"/>
      <c r="G3633" s="164"/>
      <c r="H3633" s="76" t="b">
        <v>0</v>
      </c>
      <c r="I3633" s="76" t="b">
        <v>0</v>
      </c>
      <c r="J3633" s="76" t="b">
        <v>0</v>
      </c>
      <c r="K3633" s="76" t="b">
        <v>0</v>
      </c>
      <c r="L3633" s="76" t="b">
        <v>0</v>
      </c>
      <c r="M3633" s="76" t="b">
        <v>0</v>
      </c>
      <c r="N3633" s="76" t="b">
        <v>0</v>
      </c>
      <c r="O3633" s="76" t="b">
        <v>0</v>
      </c>
      <c r="P3633" s="76" t="b">
        <v>0</v>
      </c>
      <c r="Q3633" s="76" t="b">
        <v>0</v>
      </c>
      <c r="R3633" s="14"/>
      <c r="S3633" s="14"/>
      <c r="T3633" s="14"/>
      <c r="U3633" s="14"/>
      <c r="V3633" s="14"/>
      <c r="W3633" s="14"/>
    </row>
    <row r="3634" ht="31.5" customHeight="1">
      <c r="A3634" s="158"/>
      <c r="B3634" s="159"/>
      <c r="C3634" s="160"/>
      <c r="D3634" s="130"/>
      <c r="E3634" s="130"/>
      <c r="F3634" s="161"/>
      <c r="G3634" s="164"/>
      <c r="H3634" s="76" t="b">
        <v>0</v>
      </c>
      <c r="I3634" s="76" t="b">
        <v>0</v>
      </c>
      <c r="J3634" s="76" t="b">
        <v>0</v>
      </c>
      <c r="K3634" s="76" t="b">
        <v>0</v>
      </c>
      <c r="L3634" s="76" t="b">
        <v>0</v>
      </c>
      <c r="M3634" s="76" t="b">
        <v>0</v>
      </c>
      <c r="N3634" s="76" t="b">
        <v>0</v>
      </c>
      <c r="O3634" s="76" t="b">
        <v>0</v>
      </c>
      <c r="P3634" s="76" t="b">
        <v>0</v>
      </c>
      <c r="Q3634" s="76" t="b">
        <v>0</v>
      </c>
      <c r="R3634" s="14"/>
      <c r="S3634" s="14"/>
      <c r="T3634" s="14"/>
      <c r="U3634" s="14"/>
      <c r="V3634" s="14"/>
      <c r="W3634" s="14"/>
    </row>
    <row r="3635" ht="31.5" customHeight="1">
      <c r="A3635" s="158"/>
      <c r="B3635" s="159"/>
      <c r="C3635" s="160"/>
      <c r="D3635" s="130"/>
      <c r="E3635" s="130"/>
      <c r="F3635" s="161"/>
      <c r="G3635" s="164"/>
      <c r="H3635" s="76" t="b">
        <v>0</v>
      </c>
      <c r="I3635" s="76" t="b">
        <v>0</v>
      </c>
      <c r="J3635" s="76" t="b">
        <v>0</v>
      </c>
      <c r="K3635" s="76" t="b">
        <v>0</v>
      </c>
      <c r="L3635" s="76" t="b">
        <v>0</v>
      </c>
      <c r="M3635" s="76" t="b">
        <v>0</v>
      </c>
      <c r="N3635" s="76" t="b">
        <v>0</v>
      </c>
      <c r="O3635" s="76" t="b">
        <v>0</v>
      </c>
      <c r="P3635" s="76" t="b">
        <v>0</v>
      </c>
      <c r="Q3635" s="76" t="b">
        <v>0</v>
      </c>
      <c r="R3635" s="14"/>
      <c r="S3635" s="14"/>
      <c r="T3635" s="14"/>
      <c r="U3635" s="14"/>
      <c r="V3635" s="14"/>
      <c r="W3635" s="14"/>
    </row>
    <row r="3636" ht="31.5" customHeight="1">
      <c r="A3636" s="158"/>
      <c r="B3636" s="159"/>
      <c r="C3636" s="160"/>
      <c r="D3636" s="130"/>
      <c r="E3636" s="130"/>
      <c r="F3636" s="161"/>
      <c r="G3636" s="164"/>
      <c r="H3636" s="76" t="b">
        <v>0</v>
      </c>
      <c r="I3636" s="76" t="b">
        <v>0</v>
      </c>
      <c r="J3636" s="76" t="b">
        <v>0</v>
      </c>
      <c r="K3636" s="76" t="b">
        <v>0</v>
      </c>
      <c r="L3636" s="76" t="b">
        <v>0</v>
      </c>
      <c r="M3636" s="76" t="b">
        <v>0</v>
      </c>
      <c r="N3636" s="76" t="b">
        <v>0</v>
      </c>
      <c r="O3636" s="76" t="b">
        <v>0</v>
      </c>
      <c r="P3636" s="76" t="b">
        <v>0</v>
      </c>
      <c r="Q3636" s="76" t="b">
        <v>0</v>
      </c>
      <c r="R3636" s="14"/>
      <c r="S3636" s="14"/>
      <c r="T3636" s="14"/>
      <c r="U3636" s="14"/>
      <c r="V3636" s="14"/>
      <c r="W3636" s="14"/>
    </row>
    <row r="3637" ht="31.5" customHeight="1">
      <c r="A3637" s="158"/>
      <c r="B3637" s="159"/>
      <c r="C3637" s="160"/>
      <c r="D3637" s="130"/>
      <c r="E3637" s="130"/>
      <c r="F3637" s="161"/>
      <c r="G3637" s="164"/>
      <c r="H3637" s="76" t="b">
        <v>0</v>
      </c>
      <c r="I3637" s="76" t="b">
        <v>0</v>
      </c>
      <c r="J3637" s="76" t="b">
        <v>0</v>
      </c>
      <c r="K3637" s="76" t="b">
        <v>0</v>
      </c>
      <c r="L3637" s="76" t="b">
        <v>0</v>
      </c>
      <c r="M3637" s="76" t="b">
        <v>0</v>
      </c>
      <c r="N3637" s="76" t="b">
        <v>0</v>
      </c>
      <c r="O3637" s="76" t="b">
        <v>0</v>
      </c>
      <c r="P3637" s="76" t="b">
        <v>0</v>
      </c>
      <c r="Q3637" s="76" t="b">
        <v>0</v>
      </c>
      <c r="R3637" s="14"/>
      <c r="S3637" s="14"/>
      <c r="T3637" s="14"/>
      <c r="U3637" s="14"/>
      <c r="V3637" s="14"/>
      <c r="W3637" s="14"/>
    </row>
    <row r="3638" ht="31.5" customHeight="1">
      <c r="A3638" s="158"/>
      <c r="B3638" s="159"/>
      <c r="C3638" s="160"/>
      <c r="D3638" s="130"/>
      <c r="E3638" s="130"/>
      <c r="F3638" s="161"/>
      <c r="G3638" s="164"/>
      <c r="H3638" s="76" t="b">
        <v>0</v>
      </c>
      <c r="I3638" s="76" t="b">
        <v>0</v>
      </c>
      <c r="J3638" s="76" t="b">
        <v>0</v>
      </c>
      <c r="K3638" s="76" t="b">
        <v>0</v>
      </c>
      <c r="L3638" s="76" t="b">
        <v>0</v>
      </c>
      <c r="M3638" s="76" t="b">
        <v>0</v>
      </c>
      <c r="N3638" s="76" t="b">
        <v>0</v>
      </c>
      <c r="O3638" s="76" t="b">
        <v>0</v>
      </c>
      <c r="P3638" s="76" t="b">
        <v>0</v>
      </c>
      <c r="Q3638" s="76" t="b">
        <v>0</v>
      </c>
      <c r="R3638" s="14"/>
      <c r="S3638" s="14"/>
      <c r="T3638" s="14"/>
      <c r="U3638" s="14"/>
      <c r="V3638" s="14"/>
      <c r="W3638" s="14"/>
    </row>
    <row r="3639" ht="31.5" customHeight="1">
      <c r="A3639" s="158"/>
      <c r="B3639" s="159"/>
      <c r="C3639" s="160"/>
      <c r="D3639" s="130"/>
      <c r="E3639" s="130"/>
      <c r="F3639" s="161"/>
      <c r="G3639" s="164"/>
      <c r="H3639" s="76" t="b">
        <v>0</v>
      </c>
      <c r="I3639" s="76" t="b">
        <v>0</v>
      </c>
      <c r="J3639" s="76" t="b">
        <v>0</v>
      </c>
      <c r="K3639" s="76" t="b">
        <v>0</v>
      </c>
      <c r="L3639" s="76" t="b">
        <v>0</v>
      </c>
      <c r="M3639" s="76" t="b">
        <v>0</v>
      </c>
      <c r="N3639" s="76" t="b">
        <v>0</v>
      </c>
      <c r="O3639" s="76" t="b">
        <v>0</v>
      </c>
      <c r="P3639" s="76" t="b">
        <v>0</v>
      </c>
      <c r="Q3639" s="76" t="b">
        <v>0</v>
      </c>
      <c r="R3639" s="14"/>
      <c r="S3639" s="14"/>
      <c r="T3639" s="14"/>
      <c r="U3639" s="14"/>
      <c r="V3639" s="14"/>
      <c r="W3639" s="14"/>
    </row>
    <row r="3640" ht="31.5" customHeight="1">
      <c r="A3640" s="158"/>
      <c r="B3640" s="159"/>
      <c r="C3640" s="160"/>
      <c r="D3640" s="130"/>
      <c r="E3640" s="130"/>
      <c r="F3640" s="161"/>
      <c r="G3640" s="164"/>
      <c r="H3640" s="76" t="b">
        <v>0</v>
      </c>
      <c r="I3640" s="76" t="b">
        <v>0</v>
      </c>
      <c r="J3640" s="76" t="b">
        <v>0</v>
      </c>
      <c r="K3640" s="76" t="b">
        <v>0</v>
      </c>
      <c r="L3640" s="76" t="b">
        <v>0</v>
      </c>
      <c r="M3640" s="76" t="b">
        <v>0</v>
      </c>
      <c r="N3640" s="76" t="b">
        <v>0</v>
      </c>
      <c r="O3640" s="76" t="b">
        <v>0</v>
      </c>
      <c r="P3640" s="76" t="b">
        <v>0</v>
      </c>
      <c r="Q3640" s="76" t="b">
        <v>0</v>
      </c>
      <c r="R3640" s="14"/>
      <c r="S3640" s="14"/>
      <c r="T3640" s="14"/>
      <c r="U3640" s="14"/>
      <c r="V3640" s="14"/>
      <c r="W3640" s="14"/>
    </row>
    <row r="3641" ht="31.5" customHeight="1">
      <c r="A3641" s="158"/>
      <c r="B3641" s="159"/>
      <c r="C3641" s="160"/>
      <c r="D3641" s="130"/>
      <c r="E3641" s="130"/>
      <c r="F3641" s="161"/>
      <c r="G3641" s="164"/>
      <c r="H3641" s="76" t="b">
        <v>0</v>
      </c>
      <c r="I3641" s="76" t="b">
        <v>0</v>
      </c>
      <c r="J3641" s="76" t="b">
        <v>0</v>
      </c>
      <c r="K3641" s="76" t="b">
        <v>0</v>
      </c>
      <c r="L3641" s="76" t="b">
        <v>0</v>
      </c>
      <c r="M3641" s="76" t="b">
        <v>0</v>
      </c>
      <c r="N3641" s="76" t="b">
        <v>0</v>
      </c>
      <c r="O3641" s="76" t="b">
        <v>0</v>
      </c>
      <c r="P3641" s="76" t="b">
        <v>0</v>
      </c>
      <c r="Q3641" s="76" t="b">
        <v>0</v>
      </c>
      <c r="R3641" s="14"/>
      <c r="S3641" s="14"/>
      <c r="T3641" s="14"/>
      <c r="U3641" s="14"/>
      <c r="V3641" s="14"/>
      <c r="W3641" s="14"/>
    </row>
    <row r="3642" ht="31.5" customHeight="1">
      <c r="A3642" s="158"/>
      <c r="B3642" s="159"/>
      <c r="C3642" s="160"/>
      <c r="D3642" s="130"/>
      <c r="E3642" s="130"/>
      <c r="F3642" s="161"/>
      <c r="G3642" s="164"/>
      <c r="H3642" s="76" t="b">
        <v>0</v>
      </c>
      <c r="I3642" s="76" t="b">
        <v>0</v>
      </c>
      <c r="J3642" s="76" t="b">
        <v>0</v>
      </c>
      <c r="K3642" s="76" t="b">
        <v>0</v>
      </c>
      <c r="L3642" s="76" t="b">
        <v>0</v>
      </c>
      <c r="M3642" s="76" t="b">
        <v>0</v>
      </c>
      <c r="N3642" s="76" t="b">
        <v>0</v>
      </c>
      <c r="O3642" s="76" t="b">
        <v>0</v>
      </c>
      <c r="P3642" s="76" t="b">
        <v>0</v>
      </c>
      <c r="Q3642" s="76" t="b">
        <v>0</v>
      </c>
      <c r="R3642" s="14"/>
      <c r="S3642" s="14"/>
      <c r="T3642" s="14"/>
      <c r="U3642" s="14"/>
      <c r="V3642" s="14"/>
      <c r="W3642" s="14"/>
    </row>
    <row r="3643" ht="31.5" customHeight="1">
      <c r="A3643" s="158"/>
      <c r="B3643" s="159"/>
      <c r="C3643" s="160"/>
      <c r="D3643" s="130"/>
      <c r="E3643" s="130"/>
      <c r="F3643" s="161"/>
      <c r="G3643" s="164"/>
      <c r="H3643" s="76" t="b">
        <v>0</v>
      </c>
      <c r="I3643" s="76" t="b">
        <v>0</v>
      </c>
      <c r="J3643" s="76" t="b">
        <v>0</v>
      </c>
      <c r="K3643" s="76" t="b">
        <v>0</v>
      </c>
      <c r="L3643" s="76" t="b">
        <v>0</v>
      </c>
      <c r="M3643" s="76" t="b">
        <v>0</v>
      </c>
      <c r="N3643" s="76" t="b">
        <v>0</v>
      </c>
      <c r="O3643" s="76" t="b">
        <v>0</v>
      </c>
      <c r="P3643" s="76" t="b">
        <v>0</v>
      </c>
      <c r="Q3643" s="76" t="b">
        <v>0</v>
      </c>
      <c r="R3643" s="14"/>
      <c r="S3643" s="14"/>
      <c r="T3643" s="14"/>
      <c r="U3643" s="14"/>
      <c r="V3643" s="14"/>
      <c r="W3643" s="14"/>
    </row>
    <row r="3644" ht="31.5" customHeight="1">
      <c r="A3644" s="158"/>
      <c r="B3644" s="159"/>
      <c r="C3644" s="160"/>
      <c r="D3644" s="130"/>
      <c r="E3644" s="130"/>
      <c r="F3644" s="161"/>
      <c r="G3644" s="164"/>
      <c r="H3644" s="76" t="b">
        <v>0</v>
      </c>
      <c r="I3644" s="76" t="b">
        <v>0</v>
      </c>
      <c r="J3644" s="76" t="b">
        <v>0</v>
      </c>
      <c r="K3644" s="76" t="b">
        <v>0</v>
      </c>
      <c r="L3644" s="76" t="b">
        <v>0</v>
      </c>
      <c r="M3644" s="76" t="b">
        <v>0</v>
      </c>
      <c r="N3644" s="76" t="b">
        <v>0</v>
      </c>
      <c r="O3644" s="76" t="b">
        <v>0</v>
      </c>
      <c r="P3644" s="76" t="b">
        <v>0</v>
      </c>
      <c r="Q3644" s="76" t="b">
        <v>0</v>
      </c>
      <c r="R3644" s="14"/>
      <c r="S3644" s="14"/>
      <c r="T3644" s="14"/>
      <c r="U3644" s="14"/>
      <c r="V3644" s="14"/>
      <c r="W3644" s="14"/>
    </row>
    <row r="3645" ht="31.5" customHeight="1">
      <c r="A3645" s="158"/>
      <c r="B3645" s="159"/>
      <c r="C3645" s="160"/>
      <c r="D3645" s="130"/>
      <c r="E3645" s="130"/>
      <c r="F3645" s="161"/>
      <c r="G3645" s="164"/>
      <c r="H3645" s="76" t="b">
        <v>0</v>
      </c>
      <c r="I3645" s="76" t="b">
        <v>0</v>
      </c>
      <c r="J3645" s="76" t="b">
        <v>0</v>
      </c>
      <c r="K3645" s="76" t="b">
        <v>0</v>
      </c>
      <c r="L3645" s="76" t="b">
        <v>0</v>
      </c>
      <c r="M3645" s="76" t="b">
        <v>0</v>
      </c>
      <c r="N3645" s="76" t="b">
        <v>0</v>
      </c>
      <c r="O3645" s="76" t="b">
        <v>0</v>
      </c>
      <c r="P3645" s="76" t="b">
        <v>0</v>
      </c>
      <c r="Q3645" s="76" t="b">
        <v>0</v>
      </c>
      <c r="R3645" s="14"/>
      <c r="S3645" s="14"/>
      <c r="T3645" s="14"/>
      <c r="U3645" s="14"/>
      <c r="V3645" s="14"/>
      <c r="W3645" s="14"/>
    </row>
    <row r="3646" ht="31.5" customHeight="1">
      <c r="A3646" s="158"/>
      <c r="B3646" s="159"/>
      <c r="C3646" s="160"/>
      <c r="D3646" s="130"/>
      <c r="E3646" s="130"/>
      <c r="F3646" s="161"/>
      <c r="G3646" s="164"/>
      <c r="H3646" s="76" t="b">
        <v>0</v>
      </c>
      <c r="I3646" s="76" t="b">
        <v>0</v>
      </c>
      <c r="J3646" s="76" t="b">
        <v>0</v>
      </c>
      <c r="K3646" s="76" t="b">
        <v>0</v>
      </c>
      <c r="L3646" s="76" t="b">
        <v>0</v>
      </c>
      <c r="M3646" s="76" t="b">
        <v>0</v>
      </c>
      <c r="N3646" s="76" t="b">
        <v>0</v>
      </c>
      <c r="O3646" s="76" t="b">
        <v>0</v>
      </c>
      <c r="P3646" s="76" t="b">
        <v>0</v>
      </c>
      <c r="Q3646" s="76" t="b">
        <v>0</v>
      </c>
      <c r="R3646" s="14"/>
      <c r="S3646" s="14"/>
      <c r="T3646" s="14"/>
      <c r="U3646" s="14"/>
      <c r="V3646" s="14"/>
      <c r="W3646" s="14"/>
    </row>
    <row r="3647" ht="31.5" customHeight="1">
      <c r="A3647" s="158"/>
      <c r="B3647" s="159"/>
      <c r="C3647" s="160"/>
      <c r="D3647" s="130"/>
      <c r="E3647" s="130"/>
      <c r="F3647" s="161"/>
      <c r="G3647" s="164"/>
      <c r="H3647" s="76" t="b">
        <v>0</v>
      </c>
      <c r="I3647" s="76" t="b">
        <v>0</v>
      </c>
      <c r="J3647" s="76" t="b">
        <v>0</v>
      </c>
      <c r="K3647" s="76" t="b">
        <v>0</v>
      </c>
      <c r="L3647" s="76" t="b">
        <v>0</v>
      </c>
      <c r="M3647" s="76" t="b">
        <v>0</v>
      </c>
      <c r="N3647" s="76" t="b">
        <v>0</v>
      </c>
      <c r="O3647" s="76" t="b">
        <v>0</v>
      </c>
      <c r="P3647" s="76" t="b">
        <v>0</v>
      </c>
      <c r="Q3647" s="76" t="b">
        <v>0</v>
      </c>
      <c r="R3647" s="14"/>
      <c r="S3647" s="14"/>
      <c r="T3647" s="14"/>
      <c r="U3647" s="14"/>
      <c r="V3647" s="14"/>
      <c r="W3647" s="14"/>
    </row>
    <row r="3648" ht="31.5" customHeight="1">
      <c r="A3648" s="158"/>
      <c r="B3648" s="159"/>
      <c r="C3648" s="160"/>
      <c r="D3648" s="130"/>
      <c r="E3648" s="130"/>
      <c r="F3648" s="161"/>
      <c r="G3648" s="164"/>
      <c r="H3648" s="76" t="b">
        <v>0</v>
      </c>
      <c r="I3648" s="76" t="b">
        <v>0</v>
      </c>
      <c r="J3648" s="76" t="b">
        <v>0</v>
      </c>
      <c r="K3648" s="76" t="b">
        <v>0</v>
      </c>
      <c r="L3648" s="76" t="b">
        <v>0</v>
      </c>
      <c r="M3648" s="76" t="b">
        <v>0</v>
      </c>
      <c r="N3648" s="76" t="b">
        <v>0</v>
      </c>
      <c r="O3648" s="76" t="b">
        <v>0</v>
      </c>
      <c r="P3648" s="76" t="b">
        <v>0</v>
      </c>
      <c r="Q3648" s="76" t="b">
        <v>0</v>
      </c>
      <c r="R3648" s="14"/>
      <c r="S3648" s="14"/>
      <c r="T3648" s="14"/>
      <c r="U3648" s="14"/>
      <c r="V3648" s="14"/>
      <c r="W3648" s="14"/>
    </row>
    <row r="3649" ht="31.5" customHeight="1">
      <c r="A3649" s="158"/>
      <c r="B3649" s="159"/>
      <c r="C3649" s="160"/>
      <c r="D3649" s="130"/>
      <c r="E3649" s="130"/>
      <c r="F3649" s="161"/>
      <c r="G3649" s="164"/>
      <c r="H3649" s="76" t="b">
        <v>0</v>
      </c>
      <c r="I3649" s="76" t="b">
        <v>0</v>
      </c>
      <c r="J3649" s="76" t="b">
        <v>0</v>
      </c>
      <c r="K3649" s="76" t="b">
        <v>0</v>
      </c>
      <c r="L3649" s="76" t="b">
        <v>0</v>
      </c>
      <c r="M3649" s="76" t="b">
        <v>0</v>
      </c>
      <c r="N3649" s="76" t="b">
        <v>0</v>
      </c>
      <c r="O3649" s="76" t="b">
        <v>0</v>
      </c>
      <c r="P3649" s="76" t="b">
        <v>0</v>
      </c>
      <c r="Q3649" s="76" t="b">
        <v>0</v>
      </c>
      <c r="R3649" s="14"/>
      <c r="S3649" s="14"/>
      <c r="T3649" s="14"/>
      <c r="U3649" s="14"/>
      <c r="V3649" s="14"/>
      <c r="W3649" s="14"/>
    </row>
    <row r="3650" ht="31.5" customHeight="1">
      <c r="A3650" s="158"/>
      <c r="B3650" s="159"/>
      <c r="C3650" s="160"/>
      <c r="D3650" s="130"/>
      <c r="E3650" s="130"/>
      <c r="F3650" s="161"/>
      <c r="G3650" s="164"/>
      <c r="H3650" s="76" t="b">
        <v>0</v>
      </c>
      <c r="I3650" s="76" t="b">
        <v>0</v>
      </c>
      <c r="J3650" s="76" t="b">
        <v>0</v>
      </c>
      <c r="K3650" s="76" t="b">
        <v>0</v>
      </c>
      <c r="L3650" s="76" t="b">
        <v>0</v>
      </c>
      <c r="M3650" s="76" t="b">
        <v>0</v>
      </c>
      <c r="N3650" s="76" t="b">
        <v>0</v>
      </c>
      <c r="O3650" s="76" t="b">
        <v>0</v>
      </c>
      <c r="P3650" s="76" t="b">
        <v>0</v>
      </c>
      <c r="Q3650" s="76" t="b">
        <v>0</v>
      </c>
      <c r="R3650" s="14"/>
      <c r="S3650" s="14"/>
      <c r="T3650" s="14"/>
      <c r="U3650" s="14"/>
      <c r="V3650" s="14"/>
      <c r="W3650" s="14"/>
    </row>
    <row r="3651" ht="31.5" customHeight="1">
      <c r="A3651" s="158"/>
      <c r="B3651" s="159"/>
      <c r="C3651" s="160"/>
      <c r="D3651" s="130"/>
      <c r="E3651" s="130"/>
      <c r="F3651" s="161"/>
      <c r="G3651" s="164"/>
      <c r="H3651" s="76" t="b">
        <v>0</v>
      </c>
      <c r="I3651" s="76" t="b">
        <v>0</v>
      </c>
      <c r="J3651" s="76" t="b">
        <v>0</v>
      </c>
      <c r="K3651" s="76" t="b">
        <v>0</v>
      </c>
      <c r="L3651" s="76" t="b">
        <v>0</v>
      </c>
      <c r="M3651" s="76" t="b">
        <v>0</v>
      </c>
      <c r="N3651" s="76" t="b">
        <v>0</v>
      </c>
      <c r="O3651" s="76" t="b">
        <v>0</v>
      </c>
      <c r="P3651" s="76" t="b">
        <v>0</v>
      </c>
      <c r="Q3651" s="76" t="b">
        <v>0</v>
      </c>
      <c r="R3651" s="14"/>
      <c r="S3651" s="14"/>
      <c r="T3651" s="14"/>
      <c r="U3651" s="14"/>
      <c r="V3651" s="14"/>
      <c r="W3651" s="14"/>
    </row>
    <row r="3652" ht="31.5" customHeight="1">
      <c r="A3652" s="158"/>
      <c r="B3652" s="159"/>
      <c r="C3652" s="160"/>
      <c r="D3652" s="130"/>
      <c r="E3652" s="130"/>
      <c r="F3652" s="161"/>
      <c r="G3652" s="164"/>
      <c r="H3652" s="76" t="b">
        <v>1</v>
      </c>
      <c r="I3652" s="76" t="b">
        <v>0</v>
      </c>
      <c r="J3652" s="76" t="b">
        <v>0</v>
      </c>
      <c r="K3652" s="76" t="b">
        <v>0</v>
      </c>
      <c r="L3652" s="76" t="b">
        <v>0</v>
      </c>
      <c r="M3652" s="76" t="b">
        <v>0</v>
      </c>
      <c r="N3652" s="76" t="b">
        <v>0</v>
      </c>
      <c r="O3652" s="76" t="b">
        <v>0</v>
      </c>
      <c r="P3652" s="76" t="b">
        <v>0</v>
      </c>
      <c r="Q3652" s="76" t="b">
        <v>0</v>
      </c>
      <c r="R3652" s="14"/>
      <c r="S3652" s="14"/>
      <c r="T3652" s="14"/>
      <c r="U3652" s="14"/>
      <c r="V3652" s="14"/>
      <c r="W3652" s="14"/>
    </row>
    <row r="3653" ht="31.5" customHeight="1">
      <c r="A3653" s="158"/>
      <c r="B3653" s="159"/>
      <c r="C3653" s="160"/>
      <c r="D3653" s="130"/>
      <c r="E3653" s="130"/>
      <c r="F3653" s="161"/>
      <c r="G3653" s="164"/>
      <c r="H3653" s="76" t="b">
        <v>1</v>
      </c>
      <c r="I3653" s="76" t="b">
        <v>0</v>
      </c>
      <c r="J3653" s="76" t="b">
        <v>0</v>
      </c>
      <c r="K3653" s="76" t="b">
        <v>0</v>
      </c>
      <c r="L3653" s="76" t="b">
        <v>0</v>
      </c>
      <c r="M3653" s="76" t="b">
        <v>0</v>
      </c>
      <c r="N3653" s="76" t="b">
        <v>0</v>
      </c>
      <c r="O3653" s="76" t="b">
        <v>0</v>
      </c>
      <c r="P3653" s="76" t="b">
        <v>0</v>
      </c>
      <c r="Q3653" s="76" t="b">
        <v>0</v>
      </c>
      <c r="R3653" s="14"/>
      <c r="S3653" s="14"/>
      <c r="T3653" s="14"/>
      <c r="U3653" s="14"/>
      <c r="V3653" s="14"/>
      <c r="W3653" s="14"/>
    </row>
    <row r="3654" ht="31.5" customHeight="1">
      <c r="A3654" s="158"/>
      <c r="B3654" s="159"/>
      <c r="C3654" s="160"/>
      <c r="D3654" s="130"/>
      <c r="E3654" s="130"/>
      <c r="F3654" s="161"/>
      <c r="G3654" s="164"/>
      <c r="H3654" s="76" t="b">
        <v>1</v>
      </c>
      <c r="I3654" s="76" t="b">
        <v>0</v>
      </c>
      <c r="J3654" s="76" t="b">
        <v>0</v>
      </c>
      <c r="K3654" s="76" t="b">
        <v>0</v>
      </c>
      <c r="L3654" s="76" t="b">
        <v>0</v>
      </c>
      <c r="M3654" s="76" t="b">
        <v>0</v>
      </c>
      <c r="N3654" s="76" t="b">
        <v>0</v>
      </c>
      <c r="O3654" s="76" t="b">
        <v>0</v>
      </c>
      <c r="P3654" s="76" t="b">
        <v>0</v>
      </c>
      <c r="Q3654" s="76" t="b">
        <v>0</v>
      </c>
      <c r="R3654" s="14"/>
      <c r="S3654" s="14"/>
      <c r="T3654" s="14"/>
      <c r="U3654" s="14"/>
      <c r="V3654" s="14"/>
      <c r="W3654" s="14"/>
    </row>
    <row r="3655" ht="31.5" customHeight="1">
      <c r="A3655" s="158"/>
      <c r="B3655" s="159"/>
      <c r="C3655" s="160"/>
      <c r="D3655" s="130"/>
      <c r="E3655" s="130"/>
      <c r="F3655" s="161"/>
      <c r="G3655" s="164"/>
      <c r="H3655" s="76" t="b">
        <v>1</v>
      </c>
      <c r="I3655" s="76" t="b">
        <v>0</v>
      </c>
      <c r="J3655" s="76" t="b">
        <v>0</v>
      </c>
      <c r="K3655" s="76" t="b">
        <v>0</v>
      </c>
      <c r="L3655" s="76" t="b">
        <v>0</v>
      </c>
      <c r="M3655" s="76" t="b">
        <v>0</v>
      </c>
      <c r="N3655" s="76" t="b">
        <v>0</v>
      </c>
      <c r="O3655" s="76" t="b">
        <v>0</v>
      </c>
      <c r="P3655" s="76" t="b">
        <v>0</v>
      </c>
      <c r="Q3655" s="76" t="b">
        <v>0</v>
      </c>
      <c r="R3655" s="14"/>
      <c r="S3655" s="14"/>
      <c r="T3655" s="14"/>
      <c r="U3655" s="14"/>
      <c r="V3655" s="14"/>
      <c r="W3655" s="14"/>
    </row>
    <row r="3656" ht="31.5" customHeight="1">
      <c r="A3656" s="158"/>
      <c r="B3656" s="159"/>
      <c r="C3656" s="160"/>
      <c r="D3656" s="130"/>
      <c r="E3656" s="130"/>
      <c r="F3656" s="161"/>
      <c r="G3656" s="164"/>
      <c r="H3656" s="76" t="b">
        <v>1</v>
      </c>
      <c r="I3656" s="76" t="b">
        <v>0</v>
      </c>
      <c r="J3656" s="76" t="b">
        <v>0</v>
      </c>
      <c r="K3656" s="76" t="b">
        <v>0</v>
      </c>
      <c r="L3656" s="76" t="b">
        <v>0</v>
      </c>
      <c r="M3656" s="76" t="b">
        <v>0</v>
      </c>
      <c r="N3656" s="76" t="b">
        <v>0</v>
      </c>
      <c r="O3656" s="76" t="b">
        <v>0</v>
      </c>
      <c r="P3656" s="76" t="b">
        <v>0</v>
      </c>
      <c r="Q3656" s="76" t="b">
        <v>0</v>
      </c>
      <c r="R3656" s="14"/>
      <c r="S3656" s="14"/>
      <c r="T3656" s="14"/>
      <c r="U3656" s="14"/>
      <c r="V3656" s="14"/>
      <c r="W3656" s="14"/>
    </row>
    <row r="3657" ht="31.5" customHeight="1">
      <c r="A3657" s="158"/>
      <c r="B3657" s="159"/>
      <c r="C3657" s="160"/>
      <c r="D3657" s="130"/>
      <c r="E3657" s="130"/>
      <c r="F3657" s="161"/>
      <c r="G3657" s="164"/>
      <c r="H3657" s="76" t="b">
        <v>1</v>
      </c>
      <c r="I3657" s="76" t="b">
        <v>0</v>
      </c>
      <c r="J3657" s="76" t="b">
        <v>0</v>
      </c>
      <c r="K3657" s="76" t="b">
        <v>0</v>
      </c>
      <c r="L3657" s="76" t="b">
        <v>0</v>
      </c>
      <c r="M3657" s="76" t="b">
        <v>0</v>
      </c>
      <c r="N3657" s="76" t="b">
        <v>0</v>
      </c>
      <c r="O3657" s="76" t="b">
        <v>0</v>
      </c>
      <c r="P3657" s="76" t="b">
        <v>0</v>
      </c>
      <c r="Q3657" s="76" t="b">
        <v>0</v>
      </c>
      <c r="R3657" s="14"/>
      <c r="S3657" s="14"/>
      <c r="T3657" s="14"/>
      <c r="U3657" s="14"/>
      <c r="V3657" s="14"/>
      <c r="W3657" s="14"/>
    </row>
    <row r="3658" ht="31.5" customHeight="1">
      <c r="A3658" s="158"/>
      <c r="B3658" s="159"/>
      <c r="C3658" s="160"/>
      <c r="D3658" s="130"/>
      <c r="E3658" s="130"/>
      <c r="F3658" s="161"/>
      <c r="G3658" s="164"/>
      <c r="H3658" s="76" t="b">
        <v>1</v>
      </c>
      <c r="I3658" s="76" t="b">
        <v>0</v>
      </c>
      <c r="J3658" s="76" t="b">
        <v>0</v>
      </c>
      <c r="K3658" s="76" t="b">
        <v>0</v>
      </c>
      <c r="L3658" s="76" t="b">
        <v>0</v>
      </c>
      <c r="M3658" s="76" t="b">
        <v>0</v>
      </c>
      <c r="N3658" s="76" t="b">
        <v>0</v>
      </c>
      <c r="O3658" s="76" t="b">
        <v>0</v>
      </c>
      <c r="P3658" s="76" t="b">
        <v>0</v>
      </c>
      <c r="Q3658" s="76" t="b">
        <v>0</v>
      </c>
      <c r="R3658" s="14"/>
      <c r="S3658" s="14"/>
      <c r="T3658" s="14"/>
      <c r="U3658" s="14"/>
      <c r="V3658" s="14"/>
      <c r="W3658" s="14"/>
    </row>
    <row r="3659" ht="31.5" customHeight="1">
      <c r="A3659" s="158"/>
      <c r="B3659" s="159"/>
      <c r="C3659" s="160"/>
      <c r="D3659" s="130"/>
      <c r="E3659" s="130"/>
      <c r="F3659" s="161"/>
      <c r="G3659" s="164"/>
      <c r="H3659" s="76" t="b">
        <v>1</v>
      </c>
      <c r="I3659" s="76" t="b">
        <v>0</v>
      </c>
      <c r="J3659" s="76" t="b">
        <v>0</v>
      </c>
      <c r="K3659" s="76" t="b">
        <v>0</v>
      </c>
      <c r="L3659" s="76" t="b">
        <v>0</v>
      </c>
      <c r="M3659" s="76" t="b">
        <v>0</v>
      </c>
      <c r="N3659" s="76" t="b">
        <v>0</v>
      </c>
      <c r="O3659" s="76" t="b">
        <v>0</v>
      </c>
      <c r="P3659" s="76" t="b">
        <v>0</v>
      </c>
      <c r="Q3659" s="76" t="b">
        <v>0</v>
      </c>
      <c r="R3659" s="14"/>
      <c r="S3659" s="14"/>
      <c r="T3659" s="14"/>
      <c r="U3659" s="14"/>
      <c r="V3659" s="14"/>
      <c r="W3659" s="14"/>
    </row>
    <row r="3660" ht="31.5" customHeight="1">
      <c r="A3660" s="158"/>
      <c r="B3660" s="159"/>
      <c r="C3660" s="160"/>
      <c r="D3660" s="130"/>
      <c r="E3660" s="130"/>
      <c r="F3660" s="161"/>
      <c r="G3660" s="164"/>
      <c r="H3660" s="76" t="b">
        <v>1</v>
      </c>
      <c r="I3660" s="76" t="b">
        <v>0</v>
      </c>
      <c r="J3660" s="76" t="b">
        <v>0</v>
      </c>
      <c r="K3660" s="76" t="b">
        <v>0</v>
      </c>
      <c r="L3660" s="76" t="b">
        <v>0</v>
      </c>
      <c r="M3660" s="76" t="b">
        <v>0</v>
      </c>
      <c r="N3660" s="76" t="b">
        <v>0</v>
      </c>
      <c r="O3660" s="76" t="b">
        <v>0</v>
      </c>
      <c r="P3660" s="76" t="b">
        <v>0</v>
      </c>
      <c r="Q3660" s="76" t="b">
        <v>0</v>
      </c>
      <c r="R3660" s="14"/>
      <c r="S3660" s="14"/>
      <c r="T3660" s="14"/>
      <c r="U3660" s="14"/>
      <c r="V3660" s="14"/>
      <c r="W3660" s="14"/>
    </row>
    <row r="3661" ht="31.5" customHeight="1">
      <c r="A3661" s="158"/>
      <c r="B3661" s="159"/>
      <c r="C3661" s="160"/>
      <c r="D3661" s="130"/>
      <c r="E3661" s="130"/>
      <c r="F3661" s="161"/>
      <c r="G3661" s="164"/>
      <c r="H3661" s="76" t="b">
        <v>1</v>
      </c>
      <c r="I3661" s="76" t="b">
        <v>0</v>
      </c>
      <c r="J3661" s="76" t="b">
        <v>0</v>
      </c>
      <c r="K3661" s="76" t="b">
        <v>0</v>
      </c>
      <c r="L3661" s="76" t="b">
        <v>0</v>
      </c>
      <c r="M3661" s="76" t="b">
        <v>0</v>
      </c>
      <c r="N3661" s="76" t="b">
        <v>0</v>
      </c>
      <c r="O3661" s="76" t="b">
        <v>0</v>
      </c>
      <c r="P3661" s="76" t="b">
        <v>0</v>
      </c>
      <c r="Q3661" s="76" t="b">
        <v>0</v>
      </c>
      <c r="R3661" s="14"/>
      <c r="S3661" s="14"/>
      <c r="T3661" s="14"/>
      <c r="U3661" s="14"/>
      <c r="V3661" s="14"/>
      <c r="W3661" s="14"/>
    </row>
    <row r="3662" ht="31.5" customHeight="1">
      <c r="A3662" s="158"/>
      <c r="B3662" s="159"/>
      <c r="C3662" s="160"/>
      <c r="D3662" s="130"/>
      <c r="E3662" s="130"/>
      <c r="F3662" s="161"/>
      <c r="G3662" s="164"/>
      <c r="H3662" s="76" t="b">
        <v>1</v>
      </c>
      <c r="I3662" s="76" t="b">
        <v>0</v>
      </c>
      <c r="J3662" s="76" t="b">
        <v>0</v>
      </c>
      <c r="K3662" s="76" t="b">
        <v>0</v>
      </c>
      <c r="L3662" s="76" t="b">
        <v>0</v>
      </c>
      <c r="M3662" s="76" t="b">
        <v>0</v>
      </c>
      <c r="N3662" s="76" t="b">
        <v>0</v>
      </c>
      <c r="O3662" s="76" t="b">
        <v>0</v>
      </c>
      <c r="P3662" s="76" t="b">
        <v>0</v>
      </c>
      <c r="Q3662" s="76" t="b">
        <v>0</v>
      </c>
      <c r="R3662" s="14"/>
      <c r="S3662" s="14"/>
      <c r="T3662" s="14"/>
      <c r="U3662" s="14"/>
      <c r="V3662" s="14"/>
      <c r="W3662" s="14"/>
    </row>
    <row r="3663" ht="31.5" customHeight="1">
      <c r="A3663" s="158"/>
      <c r="B3663" s="159"/>
      <c r="C3663" s="160"/>
      <c r="D3663" s="130"/>
      <c r="E3663" s="130"/>
      <c r="F3663" s="161"/>
      <c r="G3663" s="164"/>
      <c r="H3663" s="76" t="b">
        <v>1</v>
      </c>
      <c r="I3663" s="76" t="b">
        <v>0</v>
      </c>
      <c r="J3663" s="76" t="b">
        <v>0</v>
      </c>
      <c r="K3663" s="76" t="b">
        <v>0</v>
      </c>
      <c r="L3663" s="76" t="b">
        <v>0</v>
      </c>
      <c r="M3663" s="76" t="b">
        <v>0</v>
      </c>
      <c r="N3663" s="76" t="b">
        <v>0</v>
      </c>
      <c r="O3663" s="76" t="b">
        <v>0</v>
      </c>
      <c r="P3663" s="76" t="b">
        <v>0</v>
      </c>
      <c r="Q3663" s="76" t="b">
        <v>0</v>
      </c>
      <c r="R3663" s="14"/>
      <c r="S3663" s="14"/>
      <c r="T3663" s="14"/>
      <c r="U3663" s="14"/>
      <c r="V3663" s="14"/>
      <c r="W3663" s="14"/>
    </row>
    <row r="3664" ht="31.5" customHeight="1">
      <c r="A3664" s="158"/>
      <c r="B3664" s="159"/>
      <c r="C3664" s="160"/>
      <c r="D3664" s="130"/>
      <c r="E3664" s="130"/>
      <c r="F3664" s="161"/>
      <c r="G3664" s="164"/>
      <c r="H3664" s="76" t="b">
        <v>1</v>
      </c>
      <c r="I3664" s="76" t="b">
        <v>0</v>
      </c>
      <c r="J3664" s="76" t="b">
        <v>0</v>
      </c>
      <c r="K3664" s="76" t="b">
        <v>0</v>
      </c>
      <c r="L3664" s="76" t="b">
        <v>0</v>
      </c>
      <c r="M3664" s="76" t="b">
        <v>0</v>
      </c>
      <c r="N3664" s="76" t="b">
        <v>0</v>
      </c>
      <c r="O3664" s="76" t="b">
        <v>0</v>
      </c>
      <c r="P3664" s="76" t="b">
        <v>0</v>
      </c>
      <c r="Q3664" s="76" t="b">
        <v>0</v>
      </c>
      <c r="R3664" s="14"/>
      <c r="S3664" s="14"/>
      <c r="T3664" s="14"/>
      <c r="U3664" s="14"/>
      <c r="V3664" s="14"/>
      <c r="W3664" s="14"/>
    </row>
    <row r="3665" ht="31.5" customHeight="1">
      <c r="A3665" s="158"/>
      <c r="B3665" s="159"/>
      <c r="C3665" s="160"/>
      <c r="D3665" s="130"/>
      <c r="E3665" s="130"/>
      <c r="F3665" s="161"/>
      <c r="G3665" s="164"/>
      <c r="H3665" s="76" t="b">
        <v>1</v>
      </c>
      <c r="I3665" s="76" t="b">
        <v>0</v>
      </c>
      <c r="J3665" s="76" t="b">
        <v>0</v>
      </c>
      <c r="K3665" s="76" t="b">
        <v>0</v>
      </c>
      <c r="L3665" s="76" t="b">
        <v>0</v>
      </c>
      <c r="M3665" s="76" t="b">
        <v>0</v>
      </c>
      <c r="N3665" s="76" t="b">
        <v>0</v>
      </c>
      <c r="O3665" s="76" t="b">
        <v>0</v>
      </c>
      <c r="P3665" s="76" t="b">
        <v>0</v>
      </c>
      <c r="Q3665" s="76" t="b">
        <v>0</v>
      </c>
      <c r="R3665" s="14"/>
      <c r="S3665" s="14"/>
      <c r="T3665" s="14"/>
      <c r="U3665" s="14"/>
      <c r="V3665" s="14"/>
      <c r="W3665" s="14"/>
    </row>
    <row r="3666" ht="31.5" customHeight="1">
      <c r="A3666" s="158"/>
      <c r="B3666" s="159"/>
      <c r="C3666" s="160"/>
      <c r="D3666" s="130"/>
      <c r="E3666" s="130"/>
      <c r="F3666" s="161"/>
      <c r="G3666" s="164"/>
      <c r="H3666" s="76" t="b">
        <v>1</v>
      </c>
      <c r="I3666" s="76" t="b">
        <v>0</v>
      </c>
      <c r="J3666" s="76" t="b">
        <v>0</v>
      </c>
      <c r="K3666" s="76" t="b">
        <v>0</v>
      </c>
      <c r="L3666" s="76" t="b">
        <v>0</v>
      </c>
      <c r="M3666" s="76" t="b">
        <v>0</v>
      </c>
      <c r="N3666" s="76" t="b">
        <v>0</v>
      </c>
      <c r="O3666" s="76" t="b">
        <v>0</v>
      </c>
      <c r="P3666" s="76" t="b">
        <v>0</v>
      </c>
      <c r="Q3666" s="76" t="b">
        <v>0</v>
      </c>
      <c r="R3666" s="14"/>
      <c r="S3666" s="14"/>
      <c r="T3666" s="14"/>
      <c r="U3666" s="14"/>
      <c r="V3666" s="14"/>
      <c r="W3666" s="14"/>
    </row>
    <row r="3667" ht="31.5" customHeight="1">
      <c r="A3667" s="158"/>
      <c r="B3667" s="159"/>
      <c r="C3667" s="160"/>
      <c r="D3667" s="130"/>
      <c r="E3667" s="130"/>
      <c r="F3667" s="161"/>
      <c r="G3667" s="164"/>
      <c r="H3667" s="76" t="b">
        <v>1</v>
      </c>
      <c r="I3667" s="76" t="b">
        <v>0</v>
      </c>
      <c r="J3667" s="76" t="b">
        <v>0</v>
      </c>
      <c r="K3667" s="76" t="b">
        <v>0</v>
      </c>
      <c r="L3667" s="76" t="b">
        <v>0</v>
      </c>
      <c r="M3667" s="76" t="b">
        <v>0</v>
      </c>
      <c r="N3667" s="76" t="b">
        <v>0</v>
      </c>
      <c r="O3667" s="76" t="b">
        <v>0</v>
      </c>
      <c r="P3667" s="76" t="b">
        <v>0</v>
      </c>
      <c r="Q3667" s="76" t="b">
        <v>0</v>
      </c>
      <c r="R3667" s="14"/>
      <c r="S3667" s="14"/>
      <c r="T3667" s="14"/>
      <c r="U3667" s="14"/>
      <c r="V3667" s="14"/>
      <c r="W3667" s="14"/>
    </row>
    <row r="3668" ht="31.5" customHeight="1">
      <c r="A3668" s="158"/>
      <c r="B3668" s="159"/>
      <c r="C3668" s="160"/>
      <c r="D3668" s="130"/>
      <c r="E3668" s="130"/>
      <c r="F3668" s="161"/>
      <c r="G3668" s="164"/>
      <c r="H3668" s="76" t="b">
        <v>1</v>
      </c>
      <c r="I3668" s="76" t="b">
        <v>0</v>
      </c>
      <c r="J3668" s="76" t="b">
        <v>0</v>
      </c>
      <c r="K3668" s="76" t="b">
        <v>0</v>
      </c>
      <c r="L3668" s="76" t="b">
        <v>0</v>
      </c>
      <c r="M3668" s="76" t="b">
        <v>0</v>
      </c>
      <c r="N3668" s="76" t="b">
        <v>0</v>
      </c>
      <c r="O3668" s="76" t="b">
        <v>0</v>
      </c>
      <c r="P3668" s="76" t="b">
        <v>0</v>
      </c>
      <c r="Q3668" s="76" t="b">
        <v>0</v>
      </c>
      <c r="R3668" s="14"/>
      <c r="S3668" s="14"/>
      <c r="T3668" s="14"/>
      <c r="U3668" s="14"/>
      <c r="V3668" s="14"/>
      <c r="W3668" s="14"/>
    </row>
    <row r="3669" ht="31.5" customHeight="1">
      <c r="A3669" s="158"/>
      <c r="B3669" s="159"/>
      <c r="C3669" s="160"/>
      <c r="D3669" s="130"/>
      <c r="E3669" s="130"/>
      <c r="F3669" s="161"/>
      <c r="G3669" s="164"/>
      <c r="H3669" s="76" t="b">
        <v>1</v>
      </c>
      <c r="I3669" s="76" t="b">
        <v>0</v>
      </c>
      <c r="J3669" s="76" t="b">
        <v>0</v>
      </c>
      <c r="K3669" s="76" t="b">
        <v>0</v>
      </c>
      <c r="L3669" s="76" t="b">
        <v>0</v>
      </c>
      <c r="M3669" s="76" t="b">
        <v>0</v>
      </c>
      <c r="N3669" s="76" t="b">
        <v>0</v>
      </c>
      <c r="O3669" s="76" t="b">
        <v>0</v>
      </c>
      <c r="P3669" s="76" t="b">
        <v>0</v>
      </c>
      <c r="Q3669" s="76" t="b">
        <v>0</v>
      </c>
      <c r="R3669" s="14"/>
      <c r="S3669" s="14"/>
      <c r="T3669" s="14"/>
      <c r="U3669" s="14"/>
      <c r="V3669" s="14"/>
      <c r="W3669" s="14"/>
    </row>
    <row r="3670" ht="31.5" customHeight="1">
      <c r="A3670" s="158"/>
      <c r="B3670" s="159"/>
      <c r="C3670" s="160"/>
      <c r="D3670" s="130"/>
      <c r="E3670" s="130"/>
      <c r="F3670" s="161"/>
      <c r="G3670" s="164"/>
      <c r="H3670" s="76" t="b">
        <v>1</v>
      </c>
      <c r="I3670" s="76" t="b">
        <v>0</v>
      </c>
      <c r="J3670" s="76" t="b">
        <v>0</v>
      </c>
      <c r="K3670" s="76" t="b">
        <v>0</v>
      </c>
      <c r="L3670" s="76" t="b">
        <v>0</v>
      </c>
      <c r="M3670" s="76" t="b">
        <v>0</v>
      </c>
      <c r="N3670" s="76" t="b">
        <v>0</v>
      </c>
      <c r="O3670" s="76" t="b">
        <v>0</v>
      </c>
      <c r="P3670" s="76" t="b">
        <v>0</v>
      </c>
      <c r="Q3670" s="76" t="b">
        <v>0</v>
      </c>
      <c r="R3670" s="14"/>
      <c r="S3670" s="14"/>
      <c r="T3670" s="14"/>
      <c r="U3670" s="14"/>
      <c r="V3670" s="14"/>
      <c r="W3670" s="14"/>
    </row>
    <row r="3671" ht="31.5" customHeight="1">
      <c r="A3671" s="158"/>
      <c r="B3671" s="159"/>
      <c r="C3671" s="160"/>
      <c r="D3671" s="130"/>
      <c r="E3671" s="130"/>
      <c r="F3671" s="161"/>
      <c r="G3671" s="164"/>
      <c r="H3671" s="76" t="b">
        <v>1</v>
      </c>
      <c r="I3671" s="76" t="b">
        <v>0</v>
      </c>
      <c r="J3671" s="76" t="b">
        <v>0</v>
      </c>
      <c r="K3671" s="76" t="b">
        <v>0</v>
      </c>
      <c r="L3671" s="76" t="b">
        <v>0</v>
      </c>
      <c r="M3671" s="76" t="b">
        <v>0</v>
      </c>
      <c r="N3671" s="76" t="b">
        <v>0</v>
      </c>
      <c r="O3671" s="76" t="b">
        <v>0</v>
      </c>
      <c r="P3671" s="76" t="b">
        <v>0</v>
      </c>
      <c r="Q3671" s="76" t="b">
        <v>0</v>
      </c>
      <c r="R3671" s="14"/>
      <c r="S3671" s="14"/>
      <c r="T3671" s="14"/>
      <c r="U3671" s="14"/>
      <c r="V3671" s="14"/>
      <c r="W3671" s="14"/>
    </row>
    <row r="3672" ht="31.5" customHeight="1">
      <c r="A3672" s="158"/>
      <c r="B3672" s="159"/>
      <c r="C3672" s="160"/>
      <c r="D3672" s="130"/>
      <c r="E3672" s="130"/>
      <c r="F3672" s="161"/>
      <c r="G3672" s="164"/>
      <c r="H3672" s="76" t="b">
        <v>1</v>
      </c>
      <c r="I3672" s="76" t="b">
        <v>0</v>
      </c>
      <c r="J3672" s="76" t="b">
        <v>0</v>
      </c>
      <c r="K3672" s="76" t="b">
        <v>0</v>
      </c>
      <c r="L3672" s="76" t="b">
        <v>0</v>
      </c>
      <c r="M3672" s="76" t="b">
        <v>0</v>
      </c>
      <c r="N3672" s="76" t="b">
        <v>0</v>
      </c>
      <c r="O3672" s="76" t="b">
        <v>0</v>
      </c>
      <c r="P3672" s="76" t="b">
        <v>0</v>
      </c>
      <c r="Q3672" s="76" t="b">
        <v>0</v>
      </c>
      <c r="R3672" s="14"/>
      <c r="S3672" s="14"/>
      <c r="T3672" s="14"/>
      <c r="U3672" s="14"/>
      <c r="V3672" s="14"/>
      <c r="W3672" s="14"/>
    </row>
    <row r="3673" ht="31.5" customHeight="1">
      <c r="A3673" s="158"/>
      <c r="B3673" s="159"/>
      <c r="C3673" s="160"/>
      <c r="D3673" s="130"/>
      <c r="E3673" s="130"/>
      <c r="F3673" s="161"/>
      <c r="G3673" s="164"/>
      <c r="H3673" s="76" t="b">
        <v>1</v>
      </c>
      <c r="I3673" s="76" t="b">
        <v>0</v>
      </c>
      <c r="J3673" s="76" t="b">
        <v>0</v>
      </c>
      <c r="K3673" s="76" t="b">
        <v>0</v>
      </c>
      <c r="L3673" s="76" t="b">
        <v>0</v>
      </c>
      <c r="M3673" s="76" t="b">
        <v>0</v>
      </c>
      <c r="N3673" s="76" t="b">
        <v>0</v>
      </c>
      <c r="O3673" s="76" t="b">
        <v>0</v>
      </c>
      <c r="P3673" s="76" t="b">
        <v>0</v>
      </c>
      <c r="Q3673" s="76" t="b">
        <v>0</v>
      </c>
      <c r="R3673" s="14"/>
      <c r="S3673" s="14"/>
      <c r="T3673" s="14"/>
      <c r="U3673" s="14"/>
      <c r="V3673" s="14"/>
      <c r="W3673" s="14"/>
    </row>
    <row r="3674" ht="31.5" customHeight="1">
      <c r="A3674" s="158"/>
      <c r="B3674" s="159"/>
      <c r="C3674" s="160"/>
      <c r="D3674" s="130"/>
      <c r="E3674" s="130"/>
      <c r="F3674" s="161"/>
      <c r="G3674" s="164"/>
      <c r="H3674" s="76" t="b">
        <v>1</v>
      </c>
      <c r="I3674" s="76" t="b">
        <v>0</v>
      </c>
      <c r="J3674" s="76" t="b">
        <v>0</v>
      </c>
      <c r="K3674" s="76" t="b">
        <v>0</v>
      </c>
      <c r="L3674" s="76" t="b">
        <v>0</v>
      </c>
      <c r="M3674" s="76" t="b">
        <v>0</v>
      </c>
      <c r="N3674" s="76" t="b">
        <v>0</v>
      </c>
      <c r="O3674" s="76" t="b">
        <v>0</v>
      </c>
      <c r="P3674" s="76" t="b">
        <v>0</v>
      </c>
      <c r="Q3674" s="76" t="b">
        <v>0</v>
      </c>
      <c r="R3674" s="14"/>
      <c r="S3674" s="14"/>
      <c r="T3674" s="14"/>
      <c r="U3674" s="14"/>
      <c r="V3674" s="14"/>
      <c r="W3674" s="14"/>
    </row>
    <row r="3675" ht="31.5" customHeight="1">
      <c r="A3675" s="158"/>
      <c r="B3675" s="159"/>
      <c r="C3675" s="160"/>
      <c r="D3675" s="130"/>
      <c r="E3675" s="130"/>
      <c r="F3675" s="161"/>
      <c r="G3675" s="164"/>
      <c r="H3675" s="76" t="b">
        <v>1</v>
      </c>
      <c r="I3675" s="76" t="b">
        <v>0</v>
      </c>
      <c r="J3675" s="76" t="b">
        <v>0</v>
      </c>
      <c r="K3675" s="76" t="b">
        <v>0</v>
      </c>
      <c r="L3675" s="76" t="b">
        <v>0</v>
      </c>
      <c r="M3675" s="76" t="b">
        <v>0</v>
      </c>
      <c r="N3675" s="76" t="b">
        <v>0</v>
      </c>
      <c r="O3675" s="76" t="b">
        <v>0</v>
      </c>
      <c r="P3675" s="76" t="b">
        <v>0</v>
      </c>
      <c r="Q3675" s="76" t="b">
        <v>0</v>
      </c>
      <c r="R3675" s="14"/>
      <c r="S3675" s="14"/>
      <c r="T3675" s="14"/>
      <c r="U3675" s="14"/>
      <c r="V3675" s="14"/>
      <c r="W3675" s="14"/>
    </row>
    <row r="3676" ht="31.5" customHeight="1">
      <c r="A3676" s="158"/>
      <c r="B3676" s="159"/>
      <c r="C3676" s="160"/>
      <c r="D3676" s="130"/>
      <c r="E3676" s="130"/>
      <c r="F3676" s="161"/>
      <c r="G3676" s="164"/>
      <c r="H3676" s="76" t="b">
        <v>1</v>
      </c>
      <c r="I3676" s="76" t="b">
        <v>0</v>
      </c>
      <c r="J3676" s="76" t="b">
        <v>0</v>
      </c>
      <c r="K3676" s="76" t="b">
        <v>0</v>
      </c>
      <c r="L3676" s="76" t="b">
        <v>0</v>
      </c>
      <c r="M3676" s="76" t="b">
        <v>0</v>
      </c>
      <c r="N3676" s="76" t="b">
        <v>0</v>
      </c>
      <c r="O3676" s="76" t="b">
        <v>0</v>
      </c>
      <c r="P3676" s="76" t="b">
        <v>0</v>
      </c>
      <c r="Q3676" s="76" t="b">
        <v>0</v>
      </c>
      <c r="R3676" s="14"/>
      <c r="S3676" s="14"/>
      <c r="T3676" s="14"/>
      <c r="U3676" s="14"/>
      <c r="V3676" s="14"/>
      <c r="W3676" s="14"/>
    </row>
    <row r="3677" ht="31.5" customHeight="1">
      <c r="A3677" s="158"/>
      <c r="B3677" s="159"/>
      <c r="C3677" s="160"/>
      <c r="D3677" s="130"/>
      <c r="E3677" s="130"/>
      <c r="F3677" s="161"/>
      <c r="G3677" s="164"/>
      <c r="H3677" s="76" t="b">
        <v>1</v>
      </c>
      <c r="I3677" s="76" t="b">
        <v>0</v>
      </c>
      <c r="J3677" s="76" t="b">
        <v>0</v>
      </c>
      <c r="K3677" s="76" t="b">
        <v>0</v>
      </c>
      <c r="L3677" s="76" t="b">
        <v>0</v>
      </c>
      <c r="M3677" s="76" t="b">
        <v>0</v>
      </c>
      <c r="N3677" s="76" t="b">
        <v>0</v>
      </c>
      <c r="O3677" s="76" t="b">
        <v>0</v>
      </c>
      <c r="P3677" s="76" t="b">
        <v>0</v>
      </c>
      <c r="Q3677" s="76" t="b">
        <v>0</v>
      </c>
      <c r="R3677" s="14"/>
      <c r="S3677" s="14"/>
      <c r="T3677" s="14"/>
      <c r="U3677" s="14"/>
      <c r="V3677" s="14"/>
      <c r="W3677" s="14"/>
    </row>
    <row r="3678" ht="31.5" customHeight="1">
      <c r="A3678" s="158"/>
      <c r="B3678" s="159"/>
      <c r="C3678" s="160"/>
      <c r="D3678" s="130"/>
      <c r="E3678" s="130"/>
      <c r="F3678" s="161"/>
      <c r="G3678" s="164"/>
      <c r="H3678" s="76" t="b">
        <v>1</v>
      </c>
      <c r="I3678" s="76" t="b">
        <v>0</v>
      </c>
      <c r="J3678" s="76" t="b">
        <v>0</v>
      </c>
      <c r="K3678" s="76" t="b">
        <v>0</v>
      </c>
      <c r="L3678" s="76" t="b">
        <v>0</v>
      </c>
      <c r="M3678" s="76" t="b">
        <v>0</v>
      </c>
      <c r="N3678" s="76" t="b">
        <v>0</v>
      </c>
      <c r="O3678" s="76" t="b">
        <v>0</v>
      </c>
      <c r="P3678" s="76" t="b">
        <v>0</v>
      </c>
      <c r="Q3678" s="76" t="b">
        <v>0</v>
      </c>
      <c r="R3678" s="14"/>
      <c r="S3678" s="14"/>
      <c r="T3678" s="14"/>
      <c r="U3678" s="14"/>
      <c r="V3678" s="14"/>
      <c r="W3678" s="14"/>
    </row>
    <row r="3679" ht="31.5" customHeight="1">
      <c r="A3679" s="158"/>
      <c r="B3679" s="159"/>
      <c r="C3679" s="160"/>
      <c r="D3679" s="130"/>
      <c r="E3679" s="130"/>
      <c r="F3679" s="161"/>
      <c r="G3679" s="164"/>
      <c r="H3679" s="76" t="b">
        <v>1</v>
      </c>
      <c r="I3679" s="76" t="b">
        <v>0</v>
      </c>
      <c r="J3679" s="76" t="b">
        <v>0</v>
      </c>
      <c r="K3679" s="76" t="b">
        <v>0</v>
      </c>
      <c r="L3679" s="76" t="b">
        <v>0</v>
      </c>
      <c r="M3679" s="76" t="b">
        <v>0</v>
      </c>
      <c r="N3679" s="76" t="b">
        <v>0</v>
      </c>
      <c r="O3679" s="76" t="b">
        <v>0</v>
      </c>
      <c r="P3679" s="76" t="b">
        <v>0</v>
      </c>
      <c r="Q3679" s="76" t="b">
        <v>0</v>
      </c>
      <c r="R3679" s="14"/>
      <c r="S3679" s="14"/>
      <c r="T3679" s="14"/>
      <c r="U3679" s="14"/>
      <c r="V3679" s="14"/>
      <c r="W3679" s="14"/>
    </row>
    <row r="3680" ht="31.5" customHeight="1">
      <c r="A3680" s="158"/>
      <c r="B3680" s="159"/>
      <c r="C3680" s="160"/>
      <c r="D3680" s="130"/>
      <c r="E3680" s="130"/>
      <c r="F3680" s="161"/>
      <c r="G3680" s="164"/>
      <c r="H3680" s="76" t="b">
        <v>1</v>
      </c>
      <c r="I3680" s="76" t="b">
        <v>0</v>
      </c>
      <c r="J3680" s="76" t="b">
        <v>0</v>
      </c>
      <c r="K3680" s="76" t="b">
        <v>0</v>
      </c>
      <c r="L3680" s="76" t="b">
        <v>0</v>
      </c>
      <c r="M3680" s="76" t="b">
        <v>0</v>
      </c>
      <c r="N3680" s="76" t="b">
        <v>0</v>
      </c>
      <c r="O3680" s="76" t="b">
        <v>0</v>
      </c>
      <c r="P3680" s="76" t="b">
        <v>0</v>
      </c>
      <c r="Q3680" s="76" t="b">
        <v>0</v>
      </c>
      <c r="R3680" s="14"/>
      <c r="S3680" s="14"/>
      <c r="T3680" s="14"/>
      <c r="U3680" s="14"/>
      <c r="V3680" s="14"/>
      <c r="W3680" s="14"/>
    </row>
    <row r="3681" ht="31.5" customHeight="1">
      <c r="A3681" s="158"/>
      <c r="B3681" s="159"/>
      <c r="C3681" s="160"/>
      <c r="D3681" s="130"/>
      <c r="E3681" s="130"/>
      <c r="F3681" s="161"/>
      <c r="G3681" s="164"/>
      <c r="H3681" s="76" t="b">
        <v>1</v>
      </c>
      <c r="I3681" s="76" t="b">
        <v>0</v>
      </c>
      <c r="J3681" s="76" t="b">
        <v>0</v>
      </c>
      <c r="K3681" s="76" t="b">
        <v>0</v>
      </c>
      <c r="L3681" s="76" t="b">
        <v>0</v>
      </c>
      <c r="M3681" s="76" t="b">
        <v>0</v>
      </c>
      <c r="N3681" s="76" t="b">
        <v>0</v>
      </c>
      <c r="O3681" s="76" t="b">
        <v>0</v>
      </c>
      <c r="P3681" s="76" t="b">
        <v>0</v>
      </c>
      <c r="Q3681" s="76" t="b">
        <v>0</v>
      </c>
      <c r="R3681" s="14"/>
      <c r="S3681" s="14"/>
      <c r="T3681" s="14"/>
      <c r="U3681" s="14"/>
      <c r="V3681" s="14"/>
      <c r="W3681" s="14"/>
    </row>
    <row r="3682" ht="31.5" customHeight="1">
      <c r="A3682" s="158"/>
      <c r="B3682" s="159"/>
      <c r="C3682" s="160"/>
      <c r="D3682" s="130"/>
      <c r="E3682" s="130"/>
      <c r="F3682" s="161"/>
      <c r="G3682" s="164"/>
      <c r="H3682" s="76" t="b">
        <v>1</v>
      </c>
      <c r="I3682" s="76" t="b">
        <v>0</v>
      </c>
      <c r="J3682" s="76" t="b">
        <v>0</v>
      </c>
      <c r="K3682" s="76" t="b">
        <v>0</v>
      </c>
      <c r="L3682" s="76" t="b">
        <v>0</v>
      </c>
      <c r="M3682" s="76" t="b">
        <v>0</v>
      </c>
      <c r="N3682" s="76" t="b">
        <v>0</v>
      </c>
      <c r="O3682" s="76" t="b">
        <v>0</v>
      </c>
      <c r="P3682" s="76" t="b">
        <v>0</v>
      </c>
      <c r="Q3682" s="76" t="b">
        <v>0</v>
      </c>
      <c r="R3682" s="14"/>
      <c r="S3682" s="14"/>
      <c r="T3682" s="14"/>
      <c r="U3682" s="14"/>
      <c r="V3682" s="14"/>
      <c r="W3682" s="14"/>
    </row>
    <row r="3683" ht="31.5" customHeight="1">
      <c r="A3683" s="158"/>
      <c r="B3683" s="159"/>
      <c r="C3683" s="160"/>
      <c r="D3683" s="130"/>
      <c r="E3683" s="130"/>
      <c r="F3683" s="161"/>
      <c r="G3683" s="164"/>
      <c r="H3683" s="76" t="b">
        <v>1</v>
      </c>
      <c r="I3683" s="76" t="b">
        <v>0</v>
      </c>
      <c r="J3683" s="76" t="b">
        <v>0</v>
      </c>
      <c r="K3683" s="76" t="b">
        <v>0</v>
      </c>
      <c r="L3683" s="76" t="b">
        <v>0</v>
      </c>
      <c r="M3683" s="76" t="b">
        <v>0</v>
      </c>
      <c r="N3683" s="76" t="b">
        <v>0</v>
      </c>
      <c r="O3683" s="76" t="b">
        <v>0</v>
      </c>
      <c r="P3683" s="76" t="b">
        <v>0</v>
      </c>
      <c r="Q3683" s="76" t="b">
        <v>0</v>
      </c>
      <c r="R3683" s="14"/>
      <c r="S3683" s="14"/>
      <c r="T3683" s="14"/>
      <c r="U3683" s="14"/>
      <c r="V3683" s="14"/>
      <c r="W3683" s="14"/>
    </row>
    <row r="3684" ht="31.5" customHeight="1">
      <c r="A3684" s="158"/>
      <c r="B3684" s="159"/>
      <c r="C3684" s="160"/>
      <c r="D3684" s="130"/>
      <c r="E3684" s="130"/>
      <c r="F3684" s="161"/>
      <c r="G3684" s="164"/>
      <c r="H3684" s="76" t="b">
        <v>1</v>
      </c>
      <c r="I3684" s="76" t="b">
        <v>0</v>
      </c>
      <c r="J3684" s="76" t="b">
        <v>0</v>
      </c>
      <c r="K3684" s="76" t="b">
        <v>0</v>
      </c>
      <c r="L3684" s="76" t="b">
        <v>0</v>
      </c>
      <c r="M3684" s="76" t="b">
        <v>0</v>
      </c>
      <c r="N3684" s="76" t="b">
        <v>0</v>
      </c>
      <c r="O3684" s="76" t="b">
        <v>0</v>
      </c>
      <c r="P3684" s="76" t="b">
        <v>0</v>
      </c>
      <c r="Q3684" s="76" t="b">
        <v>0</v>
      </c>
      <c r="R3684" s="14"/>
      <c r="S3684" s="14"/>
      <c r="T3684" s="14"/>
      <c r="U3684" s="14"/>
      <c r="V3684" s="14"/>
      <c r="W3684" s="14"/>
    </row>
    <row r="3685" ht="31.5" customHeight="1">
      <c r="A3685" s="158"/>
      <c r="B3685" s="159"/>
      <c r="C3685" s="160"/>
      <c r="D3685" s="130"/>
      <c r="E3685" s="130"/>
      <c r="F3685" s="161"/>
      <c r="G3685" s="164"/>
      <c r="H3685" s="76" t="b">
        <v>1</v>
      </c>
      <c r="I3685" s="76" t="b">
        <v>0</v>
      </c>
      <c r="J3685" s="76" t="b">
        <v>0</v>
      </c>
      <c r="K3685" s="76" t="b">
        <v>0</v>
      </c>
      <c r="L3685" s="76" t="b">
        <v>0</v>
      </c>
      <c r="M3685" s="76" t="b">
        <v>0</v>
      </c>
      <c r="N3685" s="76" t="b">
        <v>0</v>
      </c>
      <c r="O3685" s="76" t="b">
        <v>0</v>
      </c>
      <c r="P3685" s="76" t="b">
        <v>0</v>
      </c>
      <c r="Q3685" s="76" t="b">
        <v>0</v>
      </c>
      <c r="R3685" s="14"/>
      <c r="S3685" s="14"/>
      <c r="T3685" s="14"/>
      <c r="U3685" s="14"/>
      <c r="V3685" s="14"/>
      <c r="W3685" s="14"/>
    </row>
    <row r="3686" ht="31.5" customHeight="1">
      <c r="A3686" s="158"/>
      <c r="B3686" s="159"/>
      <c r="C3686" s="160"/>
      <c r="D3686" s="130"/>
      <c r="E3686" s="130"/>
      <c r="F3686" s="161"/>
      <c r="G3686" s="164"/>
      <c r="H3686" s="76" t="b">
        <v>1</v>
      </c>
      <c r="I3686" s="76" t="b">
        <v>0</v>
      </c>
      <c r="J3686" s="76" t="b">
        <v>0</v>
      </c>
      <c r="K3686" s="76" t="b">
        <v>0</v>
      </c>
      <c r="L3686" s="76" t="b">
        <v>0</v>
      </c>
      <c r="M3686" s="76" t="b">
        <v>0</v>
      </c>
      <c r="N3686" s="76" t="b">
        <v>0</v>
      </c>
      <c r="O3686" s="76" t="b">
        <v>0</v>
      </c>
      <c r="P3686" s="76" t="b">
        <v>0</v>
      </c>
      <c r="Q3686" s="76" t="b">
        <v>0</v>
      </c>
      <c r="R3686" s="14"/>
      <c r="S3686" s="14"/>
      <c r="T3686" s="14"/>
      <c r="U3686" s="14"/>
      <c r="V3686" s="14"/>
      <c r="W3686" s="14"/>
    </row>
    <row r="3687" ht="31.5" customHeight="1">
      <c r="A3687" s="158"/>
      <c r="B3687" s="159"/>
      <c r="C3687" s="160"/>
      <c r="D3687" s="130"/>
      <c r="E3687" s="130"/>
      <c r="F3687" s="161"/>
      <c r="G3687" s="164"/>
      <c r="H3687" s="76" t="b">
        <v>1</v>
      </c>
      <c r="I3687" s="76" t="b">
        <v>0</v>
      </c>
      <c r="J3687" s="76" t="b">
        <v>0</v>
      </c>
      <c r="K3687" s="76" t="b">
        <v>0</v>
      </c>
      <c r="L3687" s="76" t="b">
        <v>0</v>
      </c>
      <c r="M3687" s="76" t="b">
        <v>0</v>
      </c>
      <c r="N3687" s="76" t="b">
        <v>0</v>
      </c>
      <c r="O3687" s="76" t="b">
        <v>0</v>
      </c>
      <c r="P3687" s="76" t="b">
        <v>0</v>
      </c>
      <c r="Q3687" s="76" t="b">
        <v>0</v>
      </c>
      <c r="R3687" s="14"/>
      <c r="S3687" s="14"/>
      <c r="T3687" s="14"/>
      <c r="U3687" s="14"/>
      <c r="V3687" s="14"/>
      <c r="W3687" s="14"/>
    </row>
    <row r="3688" ht="31.5" customHeight="1">
      <c r="A3688" s="158"/>
      <c r="B3688" s="159"/>
      <c r="C3688" s="160"/>
      <c r="D3688" s="130"/>
      <c r="E3688" s="130"/>
      <c r="F3688" s="161"/>
      <c r="G3688" s="164"/>
      <c r="H3688" s="76" t="b">
        <v>1</v>
      </c>
      <c r="I3688" s="76" t="b">
        <v>0</v>
      </c>
      <c r="J3688" s="76" t="b">
        <v>0</v>
      </c>
      <c r="K3688" s="76" t="b">
        <v>0</v>
      </c>
      <c r="L3688" s="76" t="b">
        <v>0</v>
      </c>
      <c r="M3688" s="76" t="b">
        <v>0</v>
      </c>
      <c r="N3688" s="76" t="b">
        <v>0</v>
      </c>
      <c r="O3688" s="76" t="b">
        <v>0</v>
      </c>
      <c r="P3688" s="76" t="b">
        <v>0</v>
      </c>
      <c r="Q3688" s="76" t="b">
        <v>0</v>
      </c>
      <c r="R3688" s="14"/>
      <c r="S3688" s="14"/>
      <c r="T3688" s="14"/>
      <c r="U3688" s="14"/>
      <c r="V3688" s="14"/>
      <c r="W3688" s="14"/>
    </row>
    <row r="3689" ht="31.5" customHeight="1">
      <c r="A3689" s="158"/>
      <c r="B3689" s="159"/>
      <c r="C3689" s="160"/>
      <c r="D3689" s="130"/>
      <c r="E3689" s="130"/>
      <c r="F3689" s="161"/>
      <c r="G3689" s="164"/>
      <c r="H3689" s="76" t="b">
        <v>1</v>
      </c>
      <c r="I3689" s="76" t="b">
        <v>0</v>
      </c>
      <c r="J3689" s="76" t="b">
        <v>0</v>
      </c>
      <c r="K3689" s="76" t="b">
        <v>0</v>
      </c>
      <c r="L3689" s="76" t="b">
        <v>0</v>
      </c>
      <c r="M3689" s="76" t="b">
        <v>0</v>
      </c>
      <c r="N3689" s="76" t="b">
        <v>0</v>
      </c>
      <c r="O3689" s="76" t="b">
        <v>0</v>
      </c>
      <c r="P3689" s="76" t="b">
        <v>0</v>
      </c>
      <c r="Q3689" s="76" t="b">
        <v>0</v>
      </c>
      <c r="R3689" s="14"/>
      <c r="S3689" s="14"/>
      <c r="T3689" s="14"/>
      <c r="U3689" s="14"/>
      <c r="V3689" s="14"/>
      <c r="W3689" s="14"/>
    </row>
    <row r="3690" ht="31.5" customHeight="1">
      <c r="A3690" s="158"/>
      <c r="B3690" s="159"/>
      <c r="C3690" s="160"/>
      <c r="D3690" s="130"/>
      <c r="E3690" s="130"/>
      <c r="F3690" s="161"/>
      <c r="G3690" s="164"/>
      <c r="H3690" s="76" t="b">
        <v>1</v>
      </c>
      <c r="I3690" s="76" t="b">
        <v>0</v>
      </c>
      <c r="J3690" s="76" t="b">
        <v>0</v>
      </c>
      <c r="K3690" s="76" t="b">
        <v>0</v>
      </c>
      <c r="L3690" s="76" t="b">
        <v>0</v>
      </c>
      <c r="M3690" s="76" t="b">
        <v>0</v>
      </c>
      <c r="N3690" s="76" t="b">
        <v>0</v>
      </c>
      <c r="O3690" s="76" t="b">
        <v>0</v>
      </c>
      <c r="P3690" s="76" t="b">
        <v>0</v>
      </c>
      <c r="Q3690" s="76" t="b">
        <v>0</v>
      </c>
      <c r="R3690" s="14"/>
      <c r="S3690" s="14"/>
      <c r="T3690" s="14"/>
      <c r="U3690" s="14"/>
      <c r="V3690" s="14"/>
      <c r="W3690" s="14"/>
    </row>
    <row r="3691" ht="31.5" customHeight="1">
      <c r="A3691" s="158"/>
      <c r="B3691" s="159"/>
      <c r="C3691" s="160"/>
      <c r="D3691" s="130"/>
      <c r="E3691" s="130"/>
      <c r="F3691" s="161"/>
      <c r="G3691" s="164"/>
      <c r="H3691" s="76" t="b">
        <v>1</v>
      </c>
      <c r="I3691" s="76" t="b">
        <v>0</v>
      </c>
      <c r="J3691" s="76" t="b">
        <v>0</v>
      </c>
      <c r="K3691" s="76" t="b">
        <v>0</v>
      </c>
      <c r="L3691" s="76" t="b">
        <v>0</v>
      </c>
      <c r="M3691" s="76" t="b">
        <v>0</v>
      </c>
      <c r="N3691" s="76" t="b">
        <v>0</v>
      </c>
      <c r="O3691" s="76" t="b">
        <v>0</v>
      </c>
      <c r="P3691" s="76" t="b">
        <v>0</v>
      </c>
      <c r="Q3691" s="76" t="b">
        <v>0</v>
      </c>
      <c r="R3691" s="14"/>
      <c r="S3691" s="14"/>
      <c r="T3691" s="14"/>
      <c r="U3691" s="14"/>
      <c r="V3691" s="14"/>
      <c r="W3691" s="14"/>
    </row>
    <row r="3692" ht="31.5" customHeight="1">
      <c r="A3692" s="158"/>
      <c r="B3692" s="159"/>
      <c r="C3692" s="160"/>
      <c r="D3692" s="130"/>
      <c r="E3692" s="130"/>
      <c r="F3692" s="161"/>
      <c r="G3692" s="164"/>
      <c r="H3692" s="76" t="b">
        <v>1</v>
      </c>
      <c r="I3692" s="76" t="b">
        <v>0</v>
      </c>
      <c r="J3692" s="76" t="b">
        <v>0</v>
      </c>
      <c r="K3692" s="76" t="b">
        <v>0</v>
      </c>
      <c r="L3692" s="76" t="b">
        <v>0</v>
      </c>
      <c r="M3692" s="76" t="b">
        <v>0</v>
      </c>
      <c r="N3692" s="76" t="b">
        <v>0</v>
      </c>
      <c r="O3692" s="76" t="b">
        <v>0</v>
      </c>
      <c r="P3692" s="76" t="b">
        <v>0</v>
      </c>
      <c r="Q3692" s="76" t="b">
        <v>0</v>
      </c>
      <c r="R3692" s="14"/>
      <c r="S3692" s="14"/>
      <c r="T3692" s="14"/>
      <c r="U3692" s="14"/>
      <c r="V3692" s="14"/>
      <c r="W3692" s="14"/>
    </row>
    <row r="3693" ht="31.5" customHeight="1">
      <c r="A3693" s="158"/>
      <c r="B3693" s="159"/>
      <c r="C3693" s="160"/>
      <c r="D3693" s="130"/>
      <c r="E3693" s="130"/>
      <c r="F3693" s="161"/>
      <c r="G3693" s="164"/>
      <c r="H3693" s="76" t="b">
        <v>1</v>
      </c>
      <c r="I3693" s="76" t="b">
        <v>0</v>
      </c>
      <c r="J3693" s="76" t="b">
        <v>0</v>
      </c>
      <c r="K3693" s="76" t="b">
        <v>0</v>
      </c>
      <c r="L3693" s="76" t="b">
        <v>0</v>
      </c>
      <c r="M3693" s="76" t="b">
        <v>0</v>
      </c>
      <c r="N3693" s="76" t="b">
        <v>0</v>
      </c>
      <c r="O3693" s="76" t="b">
        <v>0</v>
      </c>
      <c r="P3693" s="76" t="b">
        <v>0</v>
      </c>
      <c r="Q3693" s="76" t="b">
        <v>0</v>
      </c>
      <c r="R3693" s="14"/>
      <c r="S3693" s="14"/>
      <c r="T3693" s="14"/>
      <c r="U3693" s="14"/>
      <c r="V3693" s="14"/>
      <c r="W3693" s="14"/>
    </row>
    <row r="3694" ht="31.5" customHeight="1">
      <c r="A3694" s="158"/>
      <c r="B3694" s="159"/>
      <c r="C3694" s="160"/>
      <c r="D3694" s="130"/>
      <c r="E3694" s="130"/>
      <c r="F3694" s="161"/>
      <c r="G3694" s="164"/>
      <c r="H3694" s="76" t="b">
        <v>1</v>
      </c>
      <c r="I3694" s="76" t="b">
        <v>0</v>
      </c>
      <c r="J3694" s="76" t="b">
        <v>0</v>
      </c>
      <c r="K3694" s="76" t="b">
        <v>0</v>
      </c>
      <c r="L3694" s="76" t="b">
        <v>0</v>
      </c>
      <c r="M3694" s="76" t="b">
        <v>0</v>
      </c>
      <c r="N3694" s="76" t="b">
        <v>0</v>
      </c>
      <c r="O3694" s="76" t="b">
        <v>0</v>
      </c>
      <c r="P3694" s="76" t="b">
        <v>0</v>
      </c>
      <c r="Q3694" s="76" t="b">
        <v>0</v>
      </c>
      <c r="R3694" s="14"/>
      <c r="S3694" s="14"/>
      <c r="T3694" s="14"/>
      <c r="U3694" s="14"/>
      <c r="V3694" s="14"/>
      <c r="W3694" s="14"/>
    </row>
    <row r="3695" ht="31.5" customHeight="1">
      <c r="A3695" s="158"/>
      <c r="B3695" s="159"/>
      <c r="C3695" s="160"/>
      <c r="D3695" s="130"/>
      <c r="E3695" s="130"/>
      <c r="F3695" s="161"/>
      <c r="G3695" s="164"/>
      <c r="H3695" s="76" t="b">
        <v>1</v>
      </c>
      <c r="I3695" s="76" t="b">
        <v>0</v>
      </c>
      <c r="J3695" s="76" t="b">
        <v>0</v>
      </c>
      <c r="K3695" s="76" t="b">
        <v>0</v>
      </c>
      <c r="L3695" s="76" t="b">
        <v>0</v>
      </c>
      <c r="M3695" s="76" t="b">
        <v>0</v>
      </c>
      <c r="N3695" s="76" t="b">
        <v>0</v>
      </c>
      <c r="O3695" s="76" t="b">
        <v>0</v>
      </c>
      <c r="P3695" s="76" t="b">
        <v>0</v>
      </c>
      <c r="Q3695" s="76" t="b">
        <v>0</v>
      </c>
      <c r="R3695" s="14"/>
      <c r="S3695" s="14"/>
      <c r="T3695" s="14"/>
      <c r="U3695" s="14"/>
      <c r="V3695" s="14"/>
      <c r="W3695" s="14"/>
    </row>
    <row r="3696" ht="31.5" customHeight="1">
      <c r="A3696" s="158"/>
      <c r="B3696" s="159"/>
      <c r="C3696" s="160"/>
      <c r="D3696" s="130"/>
      <c r="E3696" s="130"/>
      <c r="F3696" s="161"/>
      <c r="G3696" s="164"/>
      <c r="H3696" s="76" t="b">
        <v>1</v>
      </c>
      <c r="I3696" s="76" t="b">
        <v>0</v>
      </c>
      <c r="J3696" s="76" t="b">
        <v>0</v>
      </c>
      <c r="K3696" s="76" t="b">
        <v>0</v>
      </c>
      <c r="L3696" s="76" t="b">
        <v>0</v>
      </c>
      <c r="M3696" s="76" t="b">
        <v>0</v>
      </c>
      <c r="N3696" s="76" t="b">
        <v>0</v>
      </c>
      <c r="O3696" s="76" t="b">
        <v>0</v>
      </c>
      <c r="P3696" s="76" t="b">
        <v>0</v>
      </c>
      <c r="Q3696" s="76" t="b">
        <v>0</v>
      </c>
      <c r="R3696" s="14"/>
      <c r="S3696" s="14"/>
      <c r="T3696" s="14"/>
      <c r="U3696" s="14"/>
      <c r="V3696" s="14"/>
      <c r="W3696" s="14"/>
    </row>
    <row r="3697" ht="31.5" customHeight="1">
      <c r="A3697" s="158"/>
      <c r="B3697" s="159"/>
      <c r="C3697" s="160"/>
      <c r="D3697" s="130"/>
      <c r="E3697" s="130"/>
      <c r="F3697" s="161"/>
      <c r="G3697" s="164"/>
      <c r="H3697" s="76" t="b">
        <v>1</v>
      </c>
      <c r="I3697" s="76" t="b">
        <v>0</v>
      </c>
      <c r="J3697" s="76" t="b">
        <v>0</v>
      </c>
      <c r="K3697" s="76" t="b">
        <v>0</v>
      </c>
      <c r="L3697" s="76" t="b">
        <v>0</v>
      </c>
      <c r="M3697" s="76" t="b">
        <v>0</v>
      </c>
      <c r="N3697" s="76" t="b">
        <v>0</v>
      </c>
      <c r="O3697" s="76" t="b">
        <v>0</v>
      </c>
      <c r="P3697" s="76" t="b">
        <v>0</v>
      </c>
      <c r="Q3697" s="76" t="b">
        <v>0</v>
      </c>
      <c r="R3697" s="14"/>
      <c r="S3697" s="14"/>
      <c r="T3697" s="14"/>
      <c r="U3697" s="14"/>
      <c r="V3697" s="14"/>
      <c r="W3697" s="14"/>
    </row>
    <row r="3698" ht="31.5" customHeight="1">
      <c r="A3698" s="158"/>
      <c r="B3698" s="159"/>
      <c r="C3698" s="160"/>
      <c r="D3698" s="130"/>
      <c r="E3698" s="130"/>
      <c r="F3698" s="161"/>
      <c r="G3698" s="164"/>
      <c r="H3698" s="76" t="b">
        <v>1</v>
      </c>
      <c r="I3698" s="76" t="b">
        <v>0</v>
      </c>
      <c r="J3698" s="76" t="b">
        <v>0</v>
      </c>
      <c r="K3698" s="76" t="b">
        <v>0</v>
      </c>
      <c r="L3698" s="76" t="b">
        <v>0</v>
      </c>
      <c r="M3698" s="76" t="b">
        <v>0</v>
      </c>
      <c r="N3698" s="76" t="b">
        <v>0</v>
      </c>
      <c r="O3698" s="76" t="b">
        <v>0</v>
      </c>
      <c r="P3698" s="76" t="b">
        <v>0</v>
      </c>
      <c r="Q3698" s="76" t="b">
        <v>0</v>
      </c>
      <c r="R3698" s="14"/>
      <c r="S3698" s="14"/>
      <c r="T3698" s="14"/>
      <c r="U3698" s="14"/>
      <c r="V3698" s="14"/>
      <c r="W3698" s="14"/>
    </row>
    <row r="3699" ht="31.5" customHeight="1">
      <c r="A3699" s="158"/>
      <c r="B3699" s="159"/>
      <c r="C3699" s="160"/>
      <c r="D3699" s="130"/>
      <c r="E3699" s="130"/>
      <c r="F3699" s="161"/>
      <c r="G3699" s="164"/>
      <c r="H3699" s="76" t="b">
        <v>1</v>
      </c>
      <c r="I3699" s="76" t="b">
        <v>0</v>
      </c>
      <c r="J3699" s="76" t="b">
        <v>0</v>
      </c>
      <c r="K3699" s="76" t="b">
        <v>0</v>
      </c>
      <c r="L3699" s="76" t="b">
        <v>0</v>
      </c>
      <c r="M3699" s="76" t="b">
        <v>0</v>
      </c>
      <c r="N3699" s="76" t="b">
        <v>0</v>
      </c>
      <c r="O3699" s="76" t="b">
        <v>0</v>
      </c>
      <c r="P3699" s="76" t="b">
        <v>0</v>
      </c>
      <c r="Q3699" s="76" t="b">
        <v>0</v>
      </c>
      <c r="R3699" s="14"/>
      <c r="S3699" s="14"/>
      <c r="T3699" s="14"/>
      <c r="U3699" s="14"/>
      <c r="V3699" s="14"/>
      <c r="W3699" s="14"/>
    </row>
    <row r="3700" ht="31.5" customHeight="1">
      <c r="A3700" s="158"/>
      <c r="B3700" s="159"/>
      <c r="C3700" s="160"/>
      <c r="D3700" s="130"/>
      <c r="E3700" s="130"/>
      <c r="F3700" s="161"/>
      <c r="G3700" s="164"/>
      <c r="H3700" s="76" t="b">
        <v>1</v>
      </c>
      <c r="I3700" s="76" t="b">
        <v>0</v>
      </c>
      <c r="J3700" s="76" t="b">
        <v>0</v>
      </c>
      <c r="K3700" s="76" t="b">
        <v>0</v>
      </c>
      <c r="L3700" s="76" t="b">
        <v>0</v>
      </c>
      <c r="M3700" s="76" t="b">
        <v>0</v>
      </c>
      <c r="N3700" s="76" t="b">
        <v>0</v>
      </c>
      <c r="O3700" s="76" t="b">
        <v>0</v>
      </c>
      <c r="P3700" s="76" t="b">
        <v>0</v>
      </c>
      <c r="Q3700" s="76" t="b">
        <v>0</v>
      </c>
      <c r="R3700" s="14"/>
      <c r="S3700" s="14"/>
      <c r="T3700" s="14"/>
      <c r="U3700" s="14"/>
      <c r="V3700" s="14"/>
      <c r="W3700" s="14"/>
    </row>
    <row r="3701" ht="31.5" customHeight="1">
      <c r="A3701" s="158"/>
      <c r="B3701" s="159"/>
      <c r="C3701" s="160"/>
      <c r="D3701" s="130"/>
      <c r="E3701" s="130"/>
      <c r="F3701" s="161"/>
      <c r="G3701" s="164"/>
      <c r="H3701" s="76" t="b">
        <v>1</v>
      </c>
      <c r="I3701" s="76" t="b">
        <v>0</v>
      </c>
      <c r="J3701" s="76" t="b">
        <v>0</v>
      </c>
      <c r="K3701" s="76" t="b">
        <v>0</v>
      </c>
      <c r="L3701" s="76" t="b">
        <v>0</v>
      </c>
      <c r="M3701" s="76" t="b">
        <v>0</v>
      </c>
      <c r="N3701" s="76" t="b">
        <v>0</v>
      </c>
      <c r="O3701" s="76" t="b">
        <v>0</v>
      </c>
      <c r="P3701" s="76" t="b">
        <v>0</v>
      </c>
      <c r="Q3701" s="76" t="b">
        <v>0</v>
      </c>
      <c r="R3701" s="14"/>
      <c r="S3701" s="14"/>
      <c r="T3701" s="14"/>
      <c r="U3701" s="14"/>
      <c r="V3701" s="14"/>
      <c r="W3701" s="14"/>
    </row>
    <row r="3702" ht="31.5" customHeight="1">
      <c r="A3702" s="158"/>
      <c r="B3702" s="159"/>
      <c r="C3702" s="160"/>
      <c r="D3702" s="130"/>
      <c r="E3702" s="130"/>
      <c r="F3702" s="161"/>
      <c r="G3702" s="164"/>
      <c r="H3702" s="76" t="b">
        <v>1</v>
      </c>
      <c r="I3702" s="76" t="b">
        <v>0</v>
      </c>
      <c r="J3702" s="76" t="b">
        <v>0</v>
      </c>
      <c r="K3702" s="76" t="b">
        <v>0</v>
      </c>
      <c r="L3702" s="76" t="b">
        <v>0</v>
      </c>
      <c r="M3702" s="76" t="b">
        <v>0</v>
      </c>
      <c r="N3702" s="76" t="b">
        <v>0</v>
      </c>
      <c r="O3702" s="76" t="b">
        <v>0</v>
      </c>
      <c r="P3702" s="76" t="b">
        <v>0</v>
      </c>
      <c r="Q3702" s="76" t="b">
        <v>0</v>
      </c>
      <c r="R3702" s="14"/>
      <c r="S3702" s="14"/>
      <c r="T3702" s="14"/>
      <c r="U3702" s="14"/>
      <c r="V3702" s="14"/>
      <c r="W3702" s="14"/>
    </row>
    <row r="3703" ht="31.5" customHeight="1">
      <c r="A3703" s="158"/>
      <c r="B3703" s="159"/>
      <c r="C3703" s="160"/>
      <c r="D3703" s="130"/>
      <c r="E3703" s="130"/>
      <c r="F3703" s="161"/>
      <c r="G3703" s="164"/>
      <c r="H3703" s="76" t="b">
        <v>1</v>
      </c>
      <c r="I3703" s="76" t="b">
        <v>0</v>
      </c>
      <c r="J3703" s="76" t="b">
        <v>0</v>
      </c>
      <c r="K3703" s="76" t="b">
        <v>0</v>
      </c>
      <c r="L3703" s="76" t="b">
        <v>0</v>
      </c>
      <c r="M3703" s="76" t="b">
        <v>0</v>
      </c>
      <c r="N3703" s="76" t="b">
        <v>0</v>
      </c>
      <c r="O3703" s="76" t="b">
        <v>0</v>
      </c>
      <c r="P3703" s="76" t="b">
        <v>0</v>
      </c>
      <c r="Q3703" s="76" t="b">
        <v>0</v>
      </c>
      <c r="R3703" s="14"/>
      <c r="S3703" s="14"/>
      <c r="T3703" s="14"/>
      <c r="U3703" s="14"/>
      <c r="V3703" s="14"/>
      <c r="W3703" s="14"/>
    </row>
    <row r="3704" ht="31.5" customHeight="1">
      <c r="A3704" s="158"/>
      <c r="B3704" s="159"/>
      <c r="C3704" s="160"/>
      <c r="D3704" s="130"/>
      <c r="E3704" s="130"/>
      <c r="F3704" s="161"/>
      <c r="G3704" s="164"/>
      <c r="H3704" s="76" t="b">
        <v>1</v>
      </c>
      <c r="I3704" s="76" t="b">
        <v>0</v>
      </c>
      <c r="J3704" s="76" t="b">
        <v>0</v>
      </c>
      <c r="K3704" s="76" t="b">
        <v>0</v>
      </c>
      <c r="L3704" s="76" t="b">
        <v>0</v>
      </c>
      <c r="M3704" s="76" t="b">
        <v>0</v>
      </c>
      <c r="N3704" s="76" t="b">
        <v>0</v>
      </c>
      <c r="O3704" s="76" t="b">
        <v>0</v>
      </c>
      <c r="P3704" s="76" t="b">
        <v>0</v>
      </c>
      <c r="Q3704" s="76" t="b">
        <v>0</v>
      </c>
      <c r="R3704" s="14"/>
      <c r="S3704" s="14"/>
      <c r="T3704" s="14"/>
      <c r="U3704" s="14"/>
      <c r="V3704" s="14"/>
      <c r="W3704" s="14"/>
    </row>
    <row r="3705" ht="31.5" customHeight="1">
      <c r="A3705" s="158"/>
      <c r="B3705" s="159"/>
      <c r="C3705" s="160"/>
      <c r="D3705" s="130"/>
      <c r="E3705" s="130"/>
      <c r="F3705" s="161"/>
      <c r="G3705" s="164"/>
      <c r="H3705" s="76" t="b">
        <v>1</v>
      </c>
      <c r="I3705" s="76" t="b">
        <v>0</v>
      </c>
      <c r="J3705" s="76" t="b">
        <v>0</v>
      </c>
      <c r="K3705" s="76" t="b">
        <v>0</v>
      </c>
      <c r="L3705" s="76" t="b">
        <v>0</v>
      </c>
      <c r="M3705" s="76" t="b">
        <v>0</v>
      </c>
      <c r="N3705" s="76" t="b">
        <v>0</v>
      </c>
      <c r="O3705" s="76" t="b">
        <v>0</v>
      </c>
      <c r="P3705" s="76" t="b">
        <v>0</v>
      </c>
      <c r="Q3705" s="76" t="b">
        <v>0</v>
      </c>
      <c r="R3705" s="14"/>
      <c r="S3705" s="14"/>
      <c r="T3705" s="14"/>
      <c r="U3705" s="14"/>
      <c r="V3705" s="14"/>
      <c r="W3705" s="14"/>
    </row>
    <row r="3706" ht="31.5" customHeight="1">
      <c r="A3706" s="158"/>
      <c r="B3706" s="159"/>
      <c r="C3706" s="160"/>
      <c r="D3706" s="130"/>
      <c r="E3706" s="130"/>
      <c r="F3706" s="161"/>
      <c r="G3706" s="164"/>
      <c r="H3706" s="76" t="b">
        <v>1</v>
      </c>
      <c r="I3706" s="76" t="b">
        <v>0</v>
      </c>
      <c r="J3706" s="76" t="b">
        <v>0</v>
      </c>
      <c r="K3706" s="76" t="b">
        <v>0</v>
      </c>
      <c r="L3706" s="76" t="b">
        <v>0</v>
      </c>
      <c r="M3706" s="76" t="b">
        <v>0</v>
      </c>
      <c r="N3706" s="76" t="b">
        <v>0</v>
      </c>
      <c r="O3706" s="76" t="b">
        <v>0</v>
      </c>
      <c r="P3706" s="76" t="b">
        <v>0</v>
      </c>
      <c r="Q3706" s="76" t="b">
        <v>0</v>
      </c>
      <c r="R3706" s="14"/>
      <c r="S3706" s="14"/>
      <c r="T3706" s="14"/>
      <c r="U3706" s="14"/>
      <c r="V3706" s="14"/>
      <c r="W3706" s="14"/>
    </row>
    <row r="3707" ht="31.5" customHeight="1">
      <c r="A3707" s="158"/>
      <c r="B3707" s="159"/>
      <c r="C3707" s="160"/>
      <c r="D3707" s="130"/>
      <c r="E3707" s="130"/>
      <c r="F3707" s="161"/>
      <c r="G3707" s="164"/>
      <c r="H3707" s="76" t="b">
        <v>1</v>
      </c>
      <c r="I3707" s="76" t="b">
        <v>0</v>
      </c>
      <c r="J3707" s="76" t="b">
        <v>0</v>
      </c>
      <c r="K3707" s="76" t="b">
        <v>0</v>
      </c>
      <c r="L3707" s="76" t="b">
        <v>0</v>
      </c>
      <c r="M3707" s="76" t="b">
        <v>0</v>
      </c>
      <c r="N3707" s="76" t="b">
        <v>0</v>
      </c>
      <c r="O3707" s="76" t="b">
        <v>0</v>
      </c>
      <c r="P3707" s="76" t="b">
        <v>0</v>
      </c>
      <c r="Q3707" s="76" t="b">
        <v>0</v>
      </c>
      <c r="R3707" s="14"/>
      <c r="S3707" s="14"/>
      <c r="T3707" s="14"/>
      <c r="U3707" s="14"/>
      <c r="V3707" s="14"/>
      <c r="W3707" s="14"/>
    </row>
    <row r="3708" ht="31.5" customHeight="1">
      <c r="A3708" s="158"/>
      <c r="B3708" s="159"/>
      <c r="C3708" s="160"/>
      <c r="D3708" s="130"/>
      <c r="E3708" s="130"/>
      <c r="F3708" s="161"/>
      <c r="G3708" s="164"/>
      <c r="H3708" s="76" t="b">
        <v>1</v>
      </c>
      <c r="I3708" s="76" t="b">
        <v>0</v>
      </c>
      <c r="J3708" s="76" t="b">
        <v>0</v>
      </c>
      <c r="K3708" s="76" t="b">
        <v>0</v>
      </c>
      <c r="L3708" s="76" t="b">
        <v>0</v>
      </c>
      <c r="M3708" s="76" t="b">
        <v>0</v>
      </c>
      <c r="N3708" s="76" t="b">
        <v>0</v>
      </c>
      <c r="O3708" s="76" t="b">
        <v>0</v>
      </c>
      <c r="P3708" s="76" t="b">
        <v>0</v>
      </c>
      <c r="Q3708" s="76" t="b">
        <v>0</v>
      </c>
      <c r="R3708" s="14"/>
      <c r="S3708" s="14"/>
      <c r="T3708" s="14"/>
      <c r="U3708" s="14"/>
      <c r="V3708" s="14"/>
      <c r="W3708" s="14"/>
    </row>
    <row r="3709" ht="31.5" customHeight="1">
      <c r="A3709" s="158"/>
      <c r="B3709" s="159"/>
      <c r="C3709" s="160"/>
      <c r="D3709" s="130"/>
      <c r="E3709" s="130"/>
      <c r="F3709" s="161"/>
      <c r="G3709" s="164"/>
      <c r="H3709" s="76" t="b">
        <v>1</v>
      </c>
      <c r="I3709" s="76" t="b">
        <v>0</v>
      </c>
      <c r="J3709" s="76" t="b">
        <v>0</v>
      </c>
      <c r="K3709" s="76" t="b">
        <v>0</v>
      </c>
      <c r="L3709" s="76" t="b">
        <v>0</v>
      </c>
      <c r="M3709" s="76" t="b">
        <v>0</v>
      </c>
      <c r="N3709" s="76" t="b">
        <v>0</v>
      </c>
      <c r="O3709" s="76" t="b">
        <v>0</v>
      </c>
      <c r="P3709" s="76" t="b">
        <v>0</v>
      </c>
      <c r="Q3709" s="76" t="b">
        <v>0</v>
      </c>
      <c r="R3709" s="14"/>
      <c r="S3709" s="14"/>
      <c r="T3709" s="14"/>
      <c r="U3709" s="14"/>
      <c r="V3709" s="14"/>
      <c r="W3709" s="14"/>
    </row>
    <row r="3710" ht="31.5" customHeight="1">
      <c r="A3710" s="158"/>
      <c r="B3710" s="159"/>
      <c r="C3710" s="160"/>
      <c r="D3710" s="130"/>
      <c r="E3710" s="130"/>
      <c r="F3710" s="161"/>
      <c r="G3710" s="164"/>
      <c r="H3710" s="76" t="b">
        <v>1</v>
      </c>
      <c r="I3710" s="76" t="b">
        <v>0</v>
      </c>
      <c r="J3710" s="76" t="b">
        <v>0</v>
      </c>
      <c r="K3710" s="76" t="b">
        <v>0</v>
      </c>
      <c r="L3710" s="76" t="b">
        <v>0</v>
      </c>
      <c r="M3710" s="76" t="b">
        <v>0</v>
      </c>
      <c r="N3710" s="76" t="b">
        <v>0</v>
      </c>
      <c r="O3710" s="76" t="b">
        <v>0</v>
      </c>
      <c r="P3710" s="76" t="b">
        <v>0</v>
      </c>
      <c r="Q3710" s="76" t="b">
        <v>0</v>
      </c>
      <c r="R3710" s="14"/>
      <c r="S3710" s="14"/>
      <c r="T3710" s="14"/>
      <c r="U3710" s="14"/>
      <c r="V3710" s="14"/>
      <c r="W3710" s="14"/>
    </row>
    <row r="3711" ht="31.5" customHeight="1">
      <c r="A3711" s="158"/>
      <c r="B3711" s="159"/>
      <c r="C3711" s="160"/>
      <c r="D3711" s="130"/>
      <c r="E3711" s="130"/>
      <c r="F3711" s="161"/>
      <c r="G3711" s="164"/>
      <c r="H3711" s="76" t="b">
        <v>1</v>
      </c>
      <c r="I3711" s="76" t="b">
        <v>0</v>
      </c>
      <c r="J3711" s="76" t="b">
        <v>0</v>
      </c>
      <c r="K3711" s="76" t="b">
        <v>0</v>
      </c>
      <c r="L3711" s="76" t="b">
        <v>0</v>
      </c>
      <c r="M3711" s="76" t="b">
        <v>0</v>
      </c>
      <c r="N3711" s="76" t="b">
        <v>0</v>
      </c>
      <c r="O3711" s="76" t="b">
        <v>0</v>
      </c>
      <c r="P3711" s="76" t="b">
        <v>0</v>
      </c>
      <c r="Q3711" s="76" t="b">
        <v>0</v>
      </c>
      <c r="R3711" s="14"/>
      <c r="S3711" s="14"/>
      <c r="T3711" s="14"/>
      <c r="U3711" s="14"/>
      <c r="V3711" s="14"/>
      <c r="W3711" s="14"/>
    </row>
    <row r="3712" ht="31.5" customHeight="1">
      <c r="A3712" s="158"/>
      <c r="B3712" s="159"/>
      <c r="C3712" s="160"/>
      <c r="D3712" s="130"/>
      <c r="E3712" s="130"/>
      <c r="F3712" s="161"/>
      <c r="G3712" s="164"/>
      <c r="H3712" s="76" t="b">
        <v>1</v>
      </c>
      <c r="I3712" s="76" t="b">
        <v>0</v>
      </c>
      <c r="J3712" s="76" t="b">
        <v>0</v>
      </c>
      <c r="K3712" s="76" t="b">
        <v>0</v>
      </c>
      <c r="L3712" s="76" t="b">
        <v>0</v>
      </c>
      <c r="M3712" s="76" t="b">
        <v>0</v>
      </c>
      <c r="N3712" s="76" t="b">
        <v>0</v>
      </c>
      <c r="O3712" s="76" t="b">
        <v>0</v>
      </c>
      <c r="P3712" s="76" t="b">
        <v>0</v>
      </c>
      <c r="Q3712" s="76" t="b">
        <v>0</v>
      </c>
      <c r="R3712" s="14"/>
      <c r="S3712" s="14"/>
      <c r="T3712" s="14"/>
      <c r="U3712" s="14"/>
      <c r="V3712" s="14"/>
      <c r="W3712" s="14"/>
    </row>
    <row r="3713" ht="31.5" customHeight="1">
      <c r="A3713" s="158"/>
      <c r="B3713" s="159"/>
      <c r="C3713" s="160"/>
      <c r="D3713" s="130"/>
      <c r="E3713" s="130"/>
      <c r="F3713" s="161"/>
      <c r="G3713" s="164"/>
      <c r="H3713" s="76" t="b">
        <v>1</v>
      </c>
      <c r="I3713" s="76" t="b">
        <v>0</v>
      </c>
      <c r="J3713" s="76" t="b">
        <v>0</v>
      </c>
      <c r="K3713" s="76" t="b">
        <v>0</v>
      </c>
      <c r="L3713" s="76" t="b">
        <v>0</v>
      </c>
      <c r="M3713" s="76" t="b">
        <v>0</v>
      </c>
      <c r="N3713" s="76" t="b">
        <v>0</v>
      </c>
      <c r="O3713" s="76" t="b">
        <v>0</v>
      </c>
      <c r="P3713" s="76" t="b">
        <v>0</v>
      </c>
      <c r="Q3713" s="76" t="b">
        <v>0</v>
      </c>
      <c r="R3713" s="14"/>
      <c r="S3713" s="14"/>
      <c r="T3713" s="14"/>
      <c r="U3713" s="14"/>
      <c r="V3713" s="14"/>
      <c r="W3713" s="14"/>
    </row>
    <row r="3714" ht="31.5" customHeight="1">
      <c r="A3714" s="158"/>
      <c r="B3714" s="159"/>
      <c r="C3714" s="160"/>
      <c r="D3714" s="130"/>
      <c r="E3714" s="130"/>
      <c r="F3714" s="161"/>
      <c r="G3714" s="164"/>
      <c r="H3714" s="76" t="b">
        <v>1</v>
      </c>
      <c r="I3714" s="76" t="b">
        <v>0</v>
      </c>
      <c r="J3714" s="76" t="b">
        <v>0</v>
      </c>
      <c r="K3714" s="76" t="b">
        <v>0</v>
      </c>
      <c r="L3714" s="76" t="b">
        <v>0</v>
      </c>
      <c r="M3714" s="76" t="b">
        <v>0</v>
      </c>
      <c r="N3714" s="76" t="b">
        <v>0</v>
      </c>
      <c r="O3714" s="76" t="b">
        <v>0</v>
      </c>
      <c r="P3714" s="76" t="b">
        <v>0</v>
      </c>
      <c r="Q3714" s="76" t="b">
        <v>0</v>
      </c>
      <c r="R3714" s="14"/>
      <c r="S3714" s="14"/>
      <c r="T3714" s="14"/>
      <c r="U3714" s="14"/>
      <c r="V3714" s="14"/>
      <c r="W3714" s="14"/>
    </row>
    <row r="3715" ht="31.5" customHeight="1">
      <c r="A3715" s="158"/>
      <c r="B3715" s="159"/>
      <c r="C3715" s="160"/>
      <c r="D3715" s="130"/>
      <c r="E3715" s="130"/>
      <c r="F3715" s="161"/>
      <c r="G3715" s="164"/>
      <c r="H3715" s="76" t="b">
        <v>1</v>
      </c>
      <c r="I3715" s="76" t="b">
        <v>0</v>
      </c>
      <c r="J3715" s="76" t="b">
        <v>0</v>
      </c>
      <c r="K3715" s="76" t="b">
        <v>0</v>
      </c>
      <c r="L3715" s="76" t="b">
        <v>0</v>
      </c>
      <c r="M3715" s="76" t="b">
        <v>0</v>
      </c>
      <c r="N3715" s="76" t="b">
        <v>0</v>
      </c>
      <c r="O3715" s="76" t="b">
        <v>0</v>
      </c>
      <c r="P3715" s="76" t="b">
        <v>0</v>
      </c>
      <c r="Q3715" s="76" t="b">
        <v>0</v>
      </c>
      <c r="R3715" s="14"/>
      <c r="S3715" s="14"/>
      <c r="T3715" s="14"/>
      <c r="U3715" s="14"/>
      <c r="V3715" s="14"/>
      <c r="W3715" s="14"/>
    </row>
    <row r="3716" ht="31.5" customHeight="1">
      <c r="A3716" s="158"/>
      <c r="B3716" s="159"/>
      <c r="C3716" s="160"/>
      <c r="D3716" s="130"/>
      <c r="E3716" s="130"/>
      <c r="F3716" s="161"/>
      <c r="G3716" s="164"/>
      <c r="H3716" s="76" t="b">
        <v>1</v>
      </c>
      <c r="I3716" s="76" t="b">
        <v>0</v>
      </c>
      <c r="J3716" s="76" t="b">
        <v>0</v>
      </c>
      <c r="K3716" s="76" t="b">
        <v>0</v>
      </c>
      <c r="L3716" s="76" t="b">
        <v>0</v>
      </c>
      <c r="M3716" s="76" t="b">
        <v>0</v>
      </c>
      <c r="N3716" s="76" t="b">
        <v>0</v>
      </c>
      <c r="O3716" s="76" t="b">
        <v>0</v>
      </c>
      <c r="P3716" s="76" t="b">
        <v>0</v>
      </c>
      <c r="Q3716" s="76" t="b">
        <v>0</v>
      </c>
      <c r="R3716" s="14"/>
      <c r="S3716" s="14"/>
      <c r="T3716" s="14"/>
      <c r="U3716" s="14"/>
      <c r="V3716" s="14"/>
      <c r="W3716" s="14"/>
    </row>
    <row r="3717" ht="31.5" customHeight="1">
      <c r="A3717" s="158"/>
      <c r="B3717" s="159"/>
      <c r="C3717" s="160"/>
      <c r="D3717" s="130"/>
      <c r="E3717" s="130"/>
      <c r="F3717" s="161"/>
      <c r="G3717" s="164"/>
      <c r="H3717" s="76" t="b">
        <v>1</v>
      </c>
      <c r="I3717" s="76" t="b">
        <v>0</v>
      </c>
      <c r="J3717" s="76" t="b">
        <v>0</v>
      </c>
      <c r="K3717" s="76" t="b">
        <v>0</v>
      </c>
      <c r="L3717" s="76" t="b">
        <v>0</v>
      </c>
      <c r="M3717" s="76" t="b">
        <v>0</v>
      </c>
      <c r="N3717" s="76" t="b">
        <v>0</v>
      </c>
      <c r="O3717" s="76" t="b">
        <v>0</v>
      </c>
      <c r="P3717" s="76" t="b">
        <v>0</v>
      </c>
      <c r="Q3717" s="76" t="b">
        <v>0</v>
      </c>
      <c r="R3717" s="14"/>
      <c r="S3717" s="14"/>
      <c r="T3717" s="14"/>
      <c r="U3717" s="14"/>
      <c r="V3717" s="14"/>
      <c r="W3717" s="14"/>
    </row>
    <row r="3718" ht="31.5" customHeight="1">
      <c r="A3718" s="158"/>
      <c r="B3718" s="159"/>
      <c r="C3718" s="160"/>
      <c r="D3718" s="130"/>
      <c r="E3718" s="130"/>
      <c r="F3718" s="161"/>
      <c r="G3718" s="164"/>
      <c r="H3718" s="76" t="b">
        <v>1</v>
      </c>
      <c r="I3718" s="76" t="b">
        <v>0</v>
      </c>
      <c r="J3718" s="76" t="b">
        <v>0</v>
      </c>
      <c r="K3718" s="76" t="b">
        <v>0</v>
      </c>
      <c r="L3718" s="76" t="b">
        <v>0</v>
      </c>
      <c r="M3718" s="76" t="b">
        <v>0</v>
      </c>
      <c r="N3718" s="76" t="b">
        <v>0</v>
      </c>
      <c r="O3718" s="76" t="b">
        <v>0</v>
      </c>
      <c r="P3718" s="76" t="b">
        <v>0</v>
      </c>
      <c r="Q3718" s="76" t="b">
        <v>0</v>
      </c>
      <c r="R3718" s="14"/>
      <c r="S3718" s="14"/>
      <c r="T3718" s="14"/>
      <c r="U3718" s="14"/>
      <c r="V3718" s="14"/>
      <c r="W3718" s="14"/>
    </row>
    <row r="3719" ht="31.5" customHeight="1">
      <c r="A3719" s="158"/>
      <c r="B3719" s="159"/>
      <c r="C3719" s="160"/>
      <c r="D3719" s="130"/>
      <c r="E3719" s="130"/>
      <c r="F3719" s="161"/>
      <c r="G3719" s="164"/>
      <c r="H3719" s="76" t="b">
        <v>1</v>
      </c>
      <c r="I3719" s="76" t="b">
        <v>0</v>
      </c>
      <c r="J3719" s="76" t="b">
        <v>0</v>
      </c>
      <c r="K3719" s="76" t="b">
        <v>0</v>
      </c>
      <c r="L3719" s="76" t="b">
        <v>0</v>
      </c>
      <c r="M3719" s="76" t="b">
        <v>0</v>
      </c>
      <c r="N3719" s="76" t="b">
        <v>0</v>
      </c>
      <c r="O3719" s="76" t="b">
        <v>0</v>
      </c>
      <c r="P3719" s="76" t="b">
        <v>0</v>
      </c>
      <c r="Q3719" s="76" t="b">
        <v>0</v>
      </c>
      <c r="R3719" s="14"/>
      <c r="S3719" s="14"/>
      <c r="T3719" s="14"/>
      <c r="U3719" s="14"/>
      <c r="V3719" s="14"/>
      <c r="W3719" s="14"/>
    </row>
    <row r="3720" ht="31.5" customHeight="1">
      <c r="A3720" s="158"/>
      <c r="B3720" s="159"/>
      <c r="C3720" s="160"/>
      <c r="D3720" s="130"/>
      <c r="E3720" s="130"/>
      <c r="F3720" s="161"/>
      <c r="G3720" s="164"/>
      <c r="H3720" s="76" t="b">
        <v>1</v>
      </c>
      <c r="I3720" s="76" t="b">
        <v>0</v>
      </c>
      <c r="J3720" s="76" t="b">
        <v>0</v>
      </c>
      <c r="K3720" s="76" t="b">
        <v>0</v>
      </c>
      <c r="L3720" s="76" t="b">
        <v>0</v>
      </c>
      <c r="M3720" s="76" t="b">
        <v>0</v>
      </c>
      <c r="N3720" s="76" t="b">
        <v>0</v>
      </c>
      <c r="O3720" s="76" t="b">
        <v>0</v>
      </c>
      <c r="P3720" s="76" t="b">
        <v>0</v>
      </c>
      <c r="Q3720" s="76" t="b">
        <v>0</v>
      </c>
      <c r="R3720" s="14"/>
      <c r="S3720" s="14"/>
      <c r="T3720" s="14"/>
      <c r="U3720" s="14"/>
      <c r="V3720" s="14"/>
      <c r="W3720" s="14"/>
    </row>
    <row r="3721" ht="31.5" customHeight="1">
      <c r="A3721" s="158"/>
      <c r="B3721" s="159"/>
      <c r="C3721" s="160"/>
      <c r="D3721" s="130"/>
      <c r="E3721" s="130"/>
      <c r="F3721" s="161"/>
      <c r="G3721" s="164"/>
      <c r="H3721" s="76" t="b">
        <v>1</v>
      </c>
      <c r="I3721" s="76" t="b">
        <v>0</v>
      </c>
      <c r="J3721" s="76" t="b">
        <v>0</v>
      </c>
      <c r="K3721" s="76" t="b">
        <v>0</v>
      </c>
      <c r="L3721" s="76" t="b">
        <v>0</v>
      </c>
      <c r="M3721" s="76" t="b">
        <v>0</v>
      </c>
      <c r="N3721" s="76" t="b">
        <v>0</v>
      </c>
      <c r="O3721" s="76" t="b">
        <v>0</v>
      </c>
      <c r="P3721" s="76" t="b">
        <v>0</v>
      </c>
      <c r="Q3721" s="76" t="b">
        <v>0</v>
      </c>
      <c r="R3721" s="14"/>
      <c r="S3721" s="14"/>
      <c r="T3721" s="14"/>
      <c r="U3721" s="14"/>
      <c r="V3721" s="14"/>
      <c r="W3721" s="14"/>
    </row>
    <row r="3722" ht="31.5" customHeight="1">
      <c r="A3722" s="158"/>
      <c r="B3722" s="159"/>
      <c r="C3722" s="160"/>
      <c r="D3722" s="130"/>
      <c r="E3722" s="130"/>
      <c r="F3722" s="161"/>
      <c r="G3722" s="164"/>
      <c r="H3722" s="76" t="b">
        <v>1</v>
      </c>
      <c r="I3722" s="76" t="b">
        <v>0</v>
      </c>
      <c r="J3722" s="76" t="b">
        <v>0</v>
      </c>
      <c r="K3722" s="76" t="b">
        <v>0</v>
      </c>
      <c r="L3722" s="76" t="b">
        <v>0</v>
      </c>
      <c r="M3722" s="76" t="b">
        <v>0</v>
      </c>
      <c r="N3722" s="76" t="b">
        <v>0</v>
      </c>
      <c r="O3722" s="76" t="b">
        <v>0</v>
      </c>
      <c r="P3722" s="76" t="b">
        <v>0</v>
      </c>
      <c r="Q3722" s="76" t="b">
        <v>0</v>
      </c>
      <c r="R3722" s="14"/>
      <c r="S3722" s="14"/>
      <c r="T3722" s="14"/>
      <c r="U3722" s="14"/>
      <c r="V3722" s="14"/>
      <c r="W3722" s="14"/>
    </row>
    <row r="3723" ht="31.5" customHeight="1">
      <c r="A3723" s="158"/>
      <c r="B3723" s="159"/>
      <c r="C3723" s="160"/>
      <c r="D3723" s="130"/>
      <c r="E3723" s="130"/>
      <c r="F3723" s="161"/>
      <c r="G3723" s="164"/>
      <c r="H3723" s="76" t="b">
        <v>1</v>
      </c>
      <c r="I3723" s="76" t="b">
        <v>0</v>
      </c>
      <c r="J3723" s="76" t="b">
        <v>0</v>
      </c>
      <c r="K3723" s="76" t="b">
        <v>0</v>
      </c>
      <c r="L3723" s="76" t="b">
        <v>0</v>
      </c>
      <c r="M3723" s="76" t="b">
        <v>0</v>
      </c>
      <c r="N3723" s="76" t="b">
        <v>0</v>
      </c>
      <c r="O3723" s="76" t="b">
        <v>0</v>
      </c>
      <c r="P3723" s="76" t="b">
        <v>0</v>
      </c>
      <c r="Q3723" s="76" t="b">
        <v>0</v>
      </c>
      <c r="R3723" s="14"/>
      <c r="S3723" s="14"/>
      <c r="T3723" s="14"/>
      <c r="U3723" s="14"/>
      <c r="V3723" s="14"/>
      <c r="W3723" s="14"/>
    </row>
    <row r="3724" ht="31.5" customHeight="1">
      <c r="A3724" s="158"/>
      <c r="B3724" s="159"/>
      <c r="C3724" s="160"/>
      <c r="D3724" s="130"/>
      <c r="E3724" s="130"/>
      <c r="F3724" s="161"/>
      <c r="G3724" s="164"/>
      <c r="H3724" s="76" t="b">
        <v>1</v>
      </c>
      <c r="I3724" s="76" t="b">
        <v>0</v>
      </c>
      <c r="J3724" s="76" t="b">
        <v>0</v>
      </c>
      <c r="K3724" s="76" t="b">
        <v>0</v>
      </c>
      <c r="L3724" s="76" t="b">
        <v>0</v>
      </c>
      <c r="M3724" s="76" t="b">
        <v>0</v>
      </c>
      <c r="N3724" s="76" t="b">
        <v>0</v>
      </c>
      <c r="O3724" s="76" t="b">
        <v>0</v>
      </c>
      <c r="P3724" s="76" t="b">
        <v>0</v>
      </c>
      <c r="Q3724" s="76" t="b">
        <v>0</v>
      </c>
      <c r="R3724" s="14"/>
      <c r="S3724" s="14"/>
      <c r="T3724" s="14"/>
      <c r="U3724" s="14"/>
      <c r="V3724" s="14"/>
      <c r="W3724" s="14"/>
    </row>
    <row r="3725" ht="31.5" customHeight="1">
      <c r="A3725" s="158"/>
      <c r="B3725" s="159"/>
      <c r="C3725" s="160"/>
      <c r="D3725" s="130"/>
      <c r="E3725" s="130"/>
      <c r="F3725" s="161"/>
      <c r="G3725" s="164"/>
      <c r="H3725" s="76" t="b">
        <v>1</v>
      </c>
      <c r="I3725" s="76" t="b">
        <v>0</v>
      </c>
      <c r="J3725" s="76" t="b">
        <v>0</v>
      </c>
      <c r="K3725" s="76" t="b">
        <v>0</v>
      </c>
      <c r="L3725" s="76" t="b">
        <v>0</v>
      </c>
      <c r="M3725" s="76" t="b">
        <v>0</v>
      </c>
      <c r="N3725" s="76" t="b">
        <v>0</v>
      </c>
      <c r="O3725" s="76" t="b">
        <v>0</v>
      </c>
      <c r="P3725" s="76" t="b">
        <v>0</v>
      </c>
      <c r="Q3725" s="76" t="b">
        <v>0</v>
      </c>
      <c r="R3725" s="14"/>
      <c r="S3725" s="14"/>
      <c r="T3725" s="14"/>
      <c r="U3725" s="14"/>
      <c r="V3725" s="14"/>
      <c r="W3725" s="14"/>
    </row>
    <row r="3726" ht="31.5" customHeight="1">
      <c r="A3726" s="158"/>
      <c r="B3726" s="159"/>
      <c r="C3726" s="160"/>
      <c r="D3726" s="130"/>
      <c r="E3726" s="130"/>
      <c r="F3726" s="161"/>
      <c r="G3726" s="164"/>
      <c r="H3726" s="76" t="b">
        <v>1</v>
      </c>
      <c r="I3726" s="76" t="b">
        <v>0</v>
      </c>
      <c r="J3726" s="76" t="b">
        <v>0</v>
      </c>
      <c r="K3726" s="76" t="b">
        <v>0</v>
      </c>
      <c r="L3726" s="76" t="b">
        <v>0</v>
      </c>
      <c r="M3726" s="76" t="b">
        <v>0</v>
      </c>
      <c r="N3726" s="76" t="b">
        <v>0</v>
      </c>
      <c r="O3726" s="76" t="b">
        <v>0</v>
      </c>
      <c r="P3726" s="76" t="b">
        <v>0</v>
      </c>
      <c r="Q3726" s="76" t="b">
        <v>0</v>
      </c>
      <c r="R3726" s="14"/>
      <c r="S3726" s="14"/>
      <c r="T3726" s="14"/>
      <c r="U3726" s="14"/>
      <c r="V3726" s="14"/>
      <c r="W3726" s="14"/>
    </row>
    <row r="3727" ht="31.5" customHeight="1">
      <c r="A3727" s="158"/>
      <c r="B3727" s="159"/>
      <c r="C3727" s="160"/>
      <c r="D3727" s="130"/>
      <c r="E3727" s="130"/>
      <c r="F3727" s="161"/>
      <c r="G3727" s="164"/>
      <c r="H3727" s="76" t="b">
        <v>1</v>
      </c>
      <c r="I3727" s="76" t="b">
        <v>0</v>
      </c>
      <c r="J3727" s="76" t="b">
        <v>0</v>
      </c>
      <c r="K3727" s="76" t="b">
        <v>0</v>
      </c>
      <c r="L3727" s="76" t="b">
        <v>0</v>
      </c>
      <c r="M3727" s="76" t="b">
        <v>0</v>
      </c>
      <c r="N3727" s="76" t="b">
        <v>0</v>
      </c>
      <c r="O3727" s="76" t="b">
        <v>0</v>
      </c>
      <c r="P3727" s="76" t="b">
        <v>0</v>
      </c>
      <c r="Q3727" s="76" t="b">
        <v>0</v>
      </c>
      <c r="R3727" s="14"/>
      <c r="S3727" s="14"/>
      <c r="T3727" s="14"/>
      <c r="U3727" s="14"/>
      <c r="V3727" s="14"/>
      <c r="W3727" s="14"/>
    </row>
    <row r="3728" ht="31.5" customHeight="1">
      <c r="A3728" s="158"/>
      <c r="B3728" s="159"/>
      <c r="C3728" s="160"/>
      <c r="D3728" s="130"/>
      <c r="E3728" s="130"/>
      <c r="F3728" s="161"/>
      <c r="G3728" s="164"/>
      <c r="H3728" s="76" t="b">
        <v>1</v>
      </c>
      <c r="I3728" s="76" t="b">
        <v>0</v>
      </c>
      <c r="J3728" s="76" t="b">
        <v>0</v>
      </c>
      <c r="K3728" s="76" t="b">
        <v>0</v>
      </c>
      <c r="L3728" s="76" t="b">
        <v>0</v>
      </c>
      <c r="M3728" s="76" t="b">
        <v>0</v>
      </c>
      <c r="N3728" s="76" t="b">
        <v>0</v>
      </c>
      <c r="O3728" s="76" t="b">
        <v>0</v>
      </c>
      <c r="P3728" s="76" t="b">
        <v>0</v>
      </c>
      <c r="Q3728" s="76" t="b">
        <v>0</v>
      </c>
      <c r="R3728" s="14"/>
      <c r="S3728" s="14"/>
      <c r="T3728" s="14"/>
      <c r="U3728" s="14"/>
      <c r="V3728" s="14"/>
      <c r="W3728" s="14"/>
    </row>
    <row r="3729" ht="31.5" customHeight="1">
      <c r="A3729" s="158"/>
      <c r="B3729" s="159"/>
      <c r="C3729" s="160"/>
      <c r="D3729" s="130"/>
      <c r="E3729" s="130"/>
      <c r="F3729" s="161"/>
      <c r="G3729" s="164"/>
      <c r="H3729" s="76" t="b">
        <v>1</v>
      </c>
      <c r="I3729" s="76" t="b">
        <v>0</v>
      </c>
      <c r="J3729" s="76" t="b">
        <v>0</v>
      </c>
      <c r="K3729" s="76" t="b">
        <v>0</v>
      </c>
      <c r="L3729" s="76" t="b">
        <v>0</v>
      </c>
      <c r="M3729" s="76" t="b">
        <v>0</v>
      </c>
      <c r="N3729" s="76" t="b">
        <v>0</v>
      </c>
      <c r="O3729" s="76" t="b">
        <v>0</v>
      </c>
      <c r="P3729" s="76" t="b">
        <v>0</v>
      </c>
      <c r="Q3729" s="76" t="b">
        <v>0</v>
      </c>
      <c r="R3729" s="14"/>
      <c r="S3729" s="14"/>
      <c r="T3729" s="14"/>
      <c r="U3729" s="14"/>
      <c r="V3729" s="14"/>
      <c r="W3729" s="14"/>
    </row>
    <row r="3730" ht="31.5" customHeight="1">
      <c r="A3730" s="158"/>
      <c r="B3730" s="159"/>
      <c r="C3730" s="160"/>
      <c r="D3730" s="130"/>
      <c r="E3730" s="130"/>
      <c r="F3730" s="161"/>
      <c r="G3730" s="164"/>
      <c r="H3730" s="76" t="b">
        <v>1</v>
      </c>
      <c r="I3730" s="76" t="b">
        <v>0</v>
      </c>
      <c r="J3730" s="76" t="b">
        <v>0</v>
      </c>
      <c r="K3730" s="76" t="b">
        <v>0</v>
      </c>
      <c r="L3730" s="76" t="b">
        <v>0</v>
      </c>
      <c r="M3730" s="76" t="b">
        <v>0</v>
      </c>
      <c r="N3730" s="76" t="b">
        <v>0</v>
      </c>
      <c r="O3730" s="76" t="b">
        <v>0</v>
      </c>
      <c r="P3730" s="76" t="b">
        <v>0</v>
      </c>
      <c r="Q3730" s="76" t="b">
        <v>0</v>
      </c>
      <c r="R3730" s="14"/>
      <c r="S3730" s="14"/>
      <c r="T3730" s="14"/>
      <c r="U3730" s="14"/>
      <c r="V3730" s="14"/>
      <c r="W3730" s="14"/>
    </row>
    <row r="3731" ht="31.5" customHeight="1">
      <c r="A3731" s="158"/>
      <c r="B3731" s="159"/>
      <c r="C3731" s="160"/>
      <c r="D3731" s="130"/>
      <c r="E3731" s="130"/>
      <c r="F3731" s="161"/>
      <c r="G3731" s="164"/>
      <c r="H3731" s="76" t="b">
        <v>1</v>
      </c>
      <c r="I3731" s="76" t="b">
        <v>0</v>
      </c>
      <c r="J3731" s="76" t="b">
        <v>0</v>
      </c>
      <c r="K3731" s="76" t="b">
        <v>0</v>
      </c>
      <c r="L3731" s="76" t="b">
        <v>0</v>
      </c>
      <c r="M3731" s="76" t="b">
        <v>0</v>
      </c>
      <c r="N3731" s="76" t="b">
        <v>0</v>
      </c>
      <c r="O3731" s="76" t="b">
        <v>0</v>
      </c>
      <c r="P3731" s="76" t="b">
        <v>0</v>
      </c>
      <c r="Q3731" s="76" t="b">
        <v>0</v>
      </c>
      <c r="R3731" s="14"/>
      <c r="S3731" s="14"/>
      <c r="T3731" s="14"/>
      <c r="U3731" s="14"/>
      <c r="V3731" s="14"/>
      <c r="W3731" s="14"/>
    </row>
    <row r="3732" ht="31.5" customHeight="1">
      <c r="A3732" s="158"/>
      <c r="B3732" s="159"/>
      <c r="C3732" s="160"/>
      <c r="D3732" s="130"/>
      <c r="E3732" s="130"/>
      <c r="F3732" s="161"/>
      <c r="G3732" s="164"/>
      <c r="H3732" s="76" t="b">
        <v>1</v>
      </c>
      <c r="I3732" s="76" t="b">
        <v>0</v>
      </c>
      <c r="J3732" s="76" t="b">
        <v>0</v>
      </c>
      <c r="K3732" s="76" t="b">
        <v>0</v>
      </c>
      <c r="L3732" s="76" t="b">
        <v>0</v>
      </c>
      <c r="M3732" s="76" t="b">
        <v>0</v>
      </c>
      <c r="N3732" s="76" t="b">
        <v>0</v>
      </c>
      <c r="O3732" s="76" t="b">
        <v>0</v>
      </c>
      <c r="P3732" s="76" t="b">
        <v>0</v>
      </c>
      <c r="Q3732" s="76" t="b">
        <v>0</v>
      </c>
      <c r="R3732" s="14"/>
      <c r="S3732" s="14"/>
      <c r="T3732" s="14"/>
      <c r="U3732" s="14"/>
      <c r="V3732" s="14"/>
      <c r="W3732" s="14"/>
    </row>
    <row r="3733" ht="31.5" customHeight="1">
      <c r="A3733" s="158"/>
      <c r="B3733" s="159"/>
      <c r="C3733" s="160"/>
      <c r="D3733" s="130"/>
      <c r="E3733" s="130"/>
      <c r="F3733" s="161"/>
      <c r="G3733" s="164"/>
      <c r="H3733" s="76" t="b">
        <v>1</v>
      </c>
      <c r="I3733" s="76" t="b">
        <v>0</v>
      </c>
      <c r="J3733" s="76" t="b">
        <v>0</v>
      </c>
      <c r="K3733" s="76" t="b">
        <v>0</v>
      </c>
      <c r="L3733" s="76" t="b">
        <v>0</v>
      </c>
      <c r="M3733" s="76" t="b">
        <v>0</v>
      </c>
      <c r="N3733" s="76" t="b">
        <v>0</v>
      </c>
      <c r="O3733" s="76" t="b">
        <v>0</v>
      </c>
      <c r="P3733" s="76" t="b">
        <v>0</v>
      </c>
      <c r="Q3733" s="76" t="b">
        <v>0</v>
      </c>
      <c r="R3733" s="14"/>
      <c r="S3733" s="14"/>
      <c r="T3733" s="14"/>
      <c r="U3733" s="14"/>
      <c r="V3733" s="14"/>
      <c r="W3733" s="14"/>
    </row>
    <row r="3734" ht="31.5" customHeight="1">
      <c r="A3734" s="158"/>
      <c r="B3734" s="159"/>
      <c r="C3734" s="160"/>
      <c r="D3734" s="130"/>
      <c r="E3734" s="130"/>
      <c r="F3734" s="161"/>
      <c r="G3734" s="164"/>
      <c r="H3734" s="76" t="b">
        <v>1</v>
      </c>
      <c r="I3734" s="76" t="b">
        <v>0</v>
      </c>
      <c r="J3734" s="76" t="b">
        <v>0</v>
      </c>
      <c r="K3734" s="76" t="b">
        <v>0</v>
      </c>
      <c r="L3734" s="76" t="b">
        <v>0</v>
      </c>
      <c r="M3734" s="76" t="b">
        <v>0</v>
      </c>
      <c r="N3734" s="76" t="b">
        <v>0</v>
      </c>
      <c r="O3734" s="76" t="b">
        <v>0</v>
      </c>
      <c r="P3734" s="76" t="b">
        <v>0</v>
      </c>
      <c r="Q3734" s="76" t="b">
        <v>0</v>
      </c>
      <c r="R3734" s="14"/>
      <c r="S3734" s="14"/>
      <c r="T3734" s="14"/>
      <c r="U3734" s="14"/>
      <c r="V3734" s="14"/>
      <c r="W3734" s="14"/>
    </row>
    <row r="3735" ht="31.5" customHeight="1">
      <c r="A3735" s="158"/>
      <c r="B3735" s="159"/>
      <c r="C3735" s="160"/>
      <c r="D3735" s="130"/>
      <c r="E3735" s="130"/>
      <c r="F3735" s="161"/>
      <c r="G3735" s="164"/>
      <c r="H3735" s="76" t="b">
        <v>1</v>
      </c>
      <c r="I3735" s="76" t="b">
        <v>0</v>
      </c>
      <c r="J3735" s="76" t="b">
        <v>0</v>
      </c>
      <c r="K3735" s="76" t="b">
        <v>0</v>
      </c>
      <c r="L3735" s="76" t="b">
        <v>0</v>
      </c>
      <c r="M3735" s="76" t="b">
        <v>0</v>
      </c>
      <c r="N3735" s="76" t="b">
        <v>0</v>
      </c>
      <c r="O3735" s="76" t="b">
        <v>0</v>
      </c>
      <c r="P3735" s="76" t="b">
        <v>0</v>
      </c>
      <c r="Q3735" s="76" t="b">
        <v>0</v>
      </c>
      <c r="R3735" s="14"/>
      <c r="S3735" s="14"/>
      <c r="T3735" s="14"/>
      <c r="U3735" s="14"/>
      <c r="V3735" s="14"/>
      <c r="W3735" s="14"/>
    </row>
    <row r="3736" ht="31.5" customHeight="1">
      <c r="A3736" s="158"/>
      <c r="B3736" s="159"/>
      <c r="C3736" s="160"/>
      <c r="D3736" s="130"/>
      <c r="E3736" s="130"/>
      <c r="F3736" s="161"/>
      <c r="G3736" s="164"/>
      <c r="H3736" s="76" t="b">
        <v>1</v>
      </c>
      <c r="I3736" s="76" t="b">
        <v>0</v>
      </c>
      <c r="J3736" s="76" t="b">
        <v>0</v>
      </c>
      <c r="K3736" s="76" t="b">
        <v>0</v>
      </c>
      <c r="L3736" s="76" t="b">
        <v>0</v>
      </c>
      <c r="M3736" s="76" t="b">
        <v>0</v>
      </c>
      <c r="N3736" s="76" t="b">
        <v>0</v>
      </c>
      <c r="O3736" s="76" t="b">
        <v>0</v>
      </c>
      <c r="P3736" s="76" t="b">
        <v>0</v>
      </c>
      <c r="Q3736" s="76" t="b">
        <v>0</v>
      </c>
      <c r="R3736" s="14"/>
      <c r="S3736" s="14"/>
      <c r="T3736" s="14"/>
      <c r="U3736" s="14"/>
      <c r="V3736" s="14"/>
      <c r="W3736" s="14"/>
    </row>
    <row r="3737" ht="31.5" customHeight="1">
      <c r="A3737" s="158"/>
      <c r="B3737" s="159"/>
      <c r="C3737" s="160"/>
      <c r="D3737" s="130"/>
      <c r="E3737" s="130"/>
      <c r="F3737" s="161"/>
      <c r="G3737" s="164"/>
      <c r="H3737" s="76" t="b">
        <v>1</v>
      </c>
      <c r="I3737" s="76" t="b">
        <v>0</v>
      </c>
      <c r="J3737" s="76" t="b">
        <v>0</v>
      </c>
      <c r="K3737" s="76" t="b">
        <v>0</v>
      </c>
      <c r="L3737" s="76" t="b">
        <v>0</v>
      </c>
      <c r="M3737" s="76" t="b">
        <v>0</v>
      </c>
      <c r="N3737" s="76" t="b">
        <v>0</v>
      </c>
      <c r="O3737" s="76" t="b">
        <v>0</v>
      </c>
      <c r="P3737" s="76" t="b">
        <v>0</v>
      </c>
      <c r="Q3737" s="76" t="b">
        <v>0</v>
      </c>
      <c r="R3737" s="14"/>
      <c r="S3737" s="14"/>
      <c r="T3737" s="14"/>
      <c r="U3737" s="14"/>
      <c r="V3737" s="14"/>
      <c r="W3737" s="14"/>
    </row>
    <row r="3738" ht="31.5" customHeight="1">
      <c r="A3738" s="158"/>
      <c r="B3738" s="159"/>
      <c r="C3738" s="160"/>
      <c r="D3738" s="130"/>
      <c r="E3738" s="130"/>
      <c r="F3738" s="161"/>
      <c r="G3738" s="164"/>
      <c r="H3738" s="76" t="b">
        <v>1</v>
      </c>
      <c r="I3738" s="76" t="b">
        <v>0</v>
      </c>
      <c r="J3738" s="76" t="b">
        <v>0</v>
      </c>
      <c r="K3738" s="76" t="b">
        <v>0</v>
      </c>
      <c r="L3738" s="76" t="b">
        <v>0</v>
      </c>
      <c r="M3738" s="76" t="b">
        <v>0</v>
      </c>
      <c r="N3738" s="76" t="b">
        <v>0</v>
      </c>
      <c r="O3738" s="76" t="b">
        <v>0</v>
      </c>
      <c r="P3738" s="76" t="b">
        <v>0</v>
      </c>
      <c r="Q3738" s="76" t="b">
        <v>0</v>
      </c>
      <c r="R3738" s="14"/>
      <c r="S3738" s="14"/>
      <c r="T3738" s="14"/>
      <c r="U3738" s="14"/>
      <c r="V3738" s="14"/>
      <c r="W3738" s="14"/>
    </row>
    <row r="3739" ht="31.5" customHeight="1">
      <c r="A3739" s="158"/>
      <c r="B3739" s="159"/>
      <c r="C3739" s="160"/>
      <c r="D3739" s="130"/>
      <c r="E3739" s="130"/>
      <c r="F3739" s="161"/>
      <c r="G3739" s="164"/>
      <c r="H3739" s="76" t="b">
        <v>1</v>
      </c>
      <c r="I3739" s="76" t="b">
        <v>0</v>
      </c>
      <c r="J3739" s="76" t="b">
        <v>0</v>
      </c>
      <c r="K3739" s="76" t="b">
        <v>0</v>
      </c>
      <c r="L3739" s="76" t="b">
        <v>0</v>
      </c>
      <c r="M3739" s="76" t="b">
        <v>0</v>
      </c>
      <c r="N3739" s="76" t="b">
        <v>0</v>
      </c>
      <c r="O3739" s="76" t="b">
        <v>0</v>
      </c>
      <c r="P3739" s="76" t="b">
        <v>0</v>
      </c>
      <c r="Q3739" s="76" t="b">
        <v>0</v>
      </c>
      <c r="R3739" s="14"/>
      <c r="S3739" s="14"/>
      <c r="T3739" s="14"/>
      <c r="U3739" s="14"/>
      <c r="V3739" s="14"/>
      <c r="W3739" s="14"/>
    </row>
    <row r="3740" ht="31.5" customHeight="1">
      <c r="A3740" s="158"/>
      <c r="B3740" s="159"/>
      <c r="C3740" s="160"/>
      <c r="D3740" s="130"/>
      <c r="E3740" s="130"/>
      <c r="F3740" s="161"/>
      <c r="G3740" s="164"/>
      <c r="H3740" s="76" t="b">
        <v>1</v>
      </c>
      <c r="I3740" s="76" t="b">
        <v>0</v>
      </c>
      <c r="J3740" s="76" t="b">
        <v>0</v>
      </c>
      <c r="K3740" s="76" t="b">
        <v>0</v>
      </c>
      <c r="L3740" s="76" t="b">
        <v>0</v>
      </c>
      <c r="M3740" s="76" t="b">
        <v>0</v>
      </c>
      <c r="N3740" s="76" t="b">
        <v>0</v>
      </c>
      <c r="O3740" s="76" t="b">
        <v>0</v>
      </c>
      <c r="P3740" s="76" t="b">
        <v>0</v>
      </c>
      <c r="Q3740" s="76" t="b">
        <v>0</v>
      </c>
      <c r="R3740" s="14"/>
      <c r="S3740" s="14"/>
      <c r="T3740" s="14"/>
      <c r="U3740" s="14"/>
      <c r="V3740" s="14"/>
      <c r="W3740" s="14"/>
    </row>
    <row r="3741" ht="31.5" customHeight="1">
      <c r="A3741" s="158"/>
      <c r="B3741" s="159"/>
      <c r="C3741" s="160"/>
      <c r="D3741" s="130"/>
      <c r="E3741" s="130"/>
      <c r="F3741" s="161"/>
      <c r="G3741" s="164"/>
      <c r="H3741" s="76" t="b">
        <v>1</v>
      </c>
      <c r="I3741" s="76" t="b">
        <v>0</v>
      </c>
      <c r="J3741" s="76" t="b">
        <v>0</v>
      </c>
      <c r="K3741" s="76" t="b">
        <v>0</v>
      </c>
      <c r="L3741" s="76" t="b">
        <v>0</v>
      </c>
      <c r="M3741" s="76" t="b">
        <v>0</v>
      </c>
      <c r="N3741" s="76" t="b">
        <v>0</v>
      </c>
      <c r="O3741" s="76" t="b">
        <v>0</v>
      </c>
      <c r="P3741" s="76" t="b">
        <v>0</v>
      </c>
      <c r="Q3741" s="76" t="b">
        <v>0</v>
      </c>
      <c r="R3741" s="14"/>
      <c r="S3741" s="14"/>
      <c r="T3741" s="14"/>
      <c r="U3741" s="14"/>
      <c r="V3741" s="14"/>
      <c r="W3741" s="14"/>
    </row>
    <row r="3742" ht="31.5" customHeight="1">
      <c r="A3742" s="158"/>
      <c r="B3742" s="159"/>
      <c r="C3742" s="160"/>
      <c r="D3742" s="130"/>
      <c r="E3742" s="130"/>
      <c r="F3742" s="161"/>
      <c r="G3742" s="164"/>
      <c r="H3742" s="76" t="b">
        <v>1</v>
      </c>
      <c r="I3742" s="76" t="b">
        <v>0</v>
      </c>
      <c r="J3742" s="76" t="b">
        <v>0</v>
      </c>
      <c r="K3742" s="76" t="b">
        <v>0</v>
      </c>
      <c r="L3742" s="76" t="b">
        <v>0</v>
      </c>
      <c r="M3742" s="76" t="b">
        <v>0</v>
      </c>
      <c r="N3742" s="76" t="b">
        <v>0</v>
      </c>
      <c r="O3742" s="76" t="b">
        <v>0</v>
      </c>
      <c r="P3742" s="76" t="b">
        <v>0</v>
      </c>
      <c r="Q3742" s="76" t="b">
        <v>0</v>
      </c>
      <c r="R3742" s="14"/>
      <c r="S3742" s="14"/>
      <c r="T3742" s="14"/>
      <c r="U3742" s="14"/>
      <c r="V3742" s="14"/>
      <c r="W3742" s="14"/>
    </row>
    <row r="3743" ht="31.5" customHeight="1">
      <c r="A3743" s="158"/>
      <c r="B3743" s="159"/>
      <c r="C3743" s="160"/>
      <c r="D3743" s="130"/>
      <c r="E3743" s="130"/>
      <c r="F3743" s="161"/>
      <c r="G3743" s="164"/>
      <c r="H3743" s="76" t="b">
        <v>1</v>
      </c>
      <c r="I3743" s="76" t="b">
        <v>0</v>
      </c>
      <c r="J3743" s="76" t="b">
        <v>0</v>
      </c>
      <c r="K3743" s="76" t="b">
        <v>0</v>
      </c>
      <c r="L3743" s="76" t="b">
        <v>0</v>
      </c>
      <c r="M3743" s="76" t="b">
        <v>0</v>
      </c>
      <c r="N3743" s="76" t="b">
        <v>0</v>
      </c>
      <c r="O3743" s="76" t="b">
        <v>0</v>
      </c>
      <c r="P3743" s="76" t="b">
        <v>0</v>
      </c>
      <c r="Q3743" s="76" t="b">
        <v>0</v>
      </c>
      <c r="R3743" s="14"/>
      <c r="S3743" s="14"/>
      <c r="T3743" s="14"/>
      <c r="U3743" s="14"/>
      <c r="V3743" s="14"/>
      <c r="W3743" s="14"/>
    </row>
    <row r="3744" ht="31.5" customHeight="1">
      <c r="A3744" s="158"/>
      <c r="B3744" s="159"/>
      <c r="C3744" s="160"/>
      <c r="D3744" s="130"/>
      <c r="E3744" s="130"/>
      <c r="F3744" s="161"/>
      <c r="G3744" s="164"/>
      <c r="H3744" s="76" t="b">
        <v>1</v>
      </c>
      <c r="I3744" s="76" t="b">
        <v>0</v>
      </c>
      <c r="J3744" s="76" t="b">
        <v>0</v>
      </c>
      <c r="K3744" s="76" t="b">
        <v>0</v>
      </c>
      <c r="L3744" s="76" t="b">
        <v>0</v>
      </c>
      <c r="M3744" s="76" t="b">
        <v>0</v>
      </c>
      <c r="N3744" s="76" t="b">
        <v>0</v>
      </c>
      <c r="O3744" s="76" t="b">
        <v>0</v>
      </c>
      <c r="P3744" s="76" t="b">
        <v>0</v>
      </c>
      <c r="Q3744" s="76" t="b">
        <v>0</v>
      </c>
      <c r="R3744" s="14"/>
      <c r="S3744" s="14"/>
      <c r="T3744" s="14"/>
      <c r="U3744" s="14"/>
      <c r="V3744" s="14"/>
      <c r="W3744" s="14"/>
    </row>
    <row r="3745" ht="31.5" customHeight="1">
      <c r="A3745" s="158"/>
      <c r="B3745" s="159"/>
      <c r="C3745" s="160"/>
      <c r="D3745" s="130"/>
      <c r="E3745" s="130"/>
      <c r="F3745" s="161"/>
      <c r="G3745" s="164"/>
      <c r="H3745" s="76" t="b">
        <v>1</v>
      </c>
      <c r="I3745" s="76" t="b">
        <v>0</v>
      </c>
      <c r="J3745" s="76" t="b">
        <v>0</v>
      </c>
      <c r="K3745" s="76" t="b">
        <v>0</v>
      </c>
      <c r="L3745" s="76" t="b">
        <v>0</v>
      </c>
      <c r="M3745" s="76" t="b">
        <v>0</v>
      </c>
      <c r="N3745" s="76" t="b">
        <v>0</v>
      </c>
      <c r="O3745" s="76" t="b">
        <v>0</v>
      </c>
      <c r="P3745" s="76" t="b">
        <v>0</v>
      </c>
      <c r="Q3745" s="76" t="b">
        <v>0</v>
      </c>
      <c r="R3745" s="14"/>
      <c r="S3745" s="14"/>
      <c r="T3745" s="14"/>
      <c r="U3745" s="14"/>
      <c r="V3745" s="14"/>
      <c r="W3745" s="14"/>
    </row>
    <row r="3746" ht="31.5" customHeight="1">
      <c r="A3746" s="158"/>
      <c r="B3746" s="159"/>
      <c r="C3746" s="160"/>
      <c r="D3746" s="130"/>
      <c r="E3746" s="130"/>
      <c r="F3746" s="161"/>
      <c r="G3746" s="164"/>
      <c r="H3746" s="76" t="b">
        <v>1</v>
      </c>
      <c r="I3746" s="76" t="b">
        <v>0</v>
      </c>
      <c r="J3746" s="76" t="b">
        <v>0</v>
      </c>
      <c r="K3746" s="76" t="b">
        <v>0</v>
      </c>
      <c r="L3746" s="76" t="b">
        <v>0</v>
      </c>
      <c r="M3746" s="76" t="b">
        <v>0</v>
      </c>
      <c r="N3746" s="76" t="b">
        <v>0</v>
      </c>
      <c r="O3746" s="76" t="b">
        <v>0</v>
      </c>
      <c r="P3746" s="76" t="b">
        <v>0</v>
      </c>
      <c r="Q3746" s="76" t="b">
        <v>0</v>
      </c>
      <c r="R3746" s="14"/>
      <c r="S3746" s="14"/>
      <c r="T3746" s="14"/>
      <c r="U3746" s="14"/>
      <c r="V3746" s="14"/>
      <c r="W3746" s="14"/>
    </row>
    <row r="3747" ht="31.5" customHeight="1">
      <c r="A3747" s="158"/>
      <c r="B3747" s="159"/>
      <c r="C3747" s="160"/>
      <c r="D3747" s="130"/>
      <c r="E3747" s="130"/>
      <c r="F3747" s="161"/>
      <c r="G3747" s="164"/>
      <c r="H3747" s="76" t="b">
        <v>1</v>
      </c>
      <c r="I3747" s="76" t="b">
        <v>0</v>
      </c>
      <c r="J3747" s="76" t="b">
        <v>0</v>
      </c>
      <c r="K3747" s="76" t="b">
        <v>0</v>
      </c>
      <c r="L3747" s="76" t="b">
        <v>0</v>
      </c>
      <c r="M3747" s="76" t="b">
        <v>0</v>
      </c>
      <c r="N3747" s="76" t="b">
        <v>0</v>
      </c>
      <c r="O3747" s="76" t="b">
        <v>0</v>
      </c>
      <c r="P3747" s="76" t="b">
        <v>0</v>
      </c>
      <c r="Q3747" s="76" t="b">
        <v>0</v>
      </c>
      <c r="R3747" s="14"/>
      <c r="S3747" s="14"/>
      <c r="T3747" s="14"/>
      <c r="U3747" s="14"/>
      <c r="V3747" s="14"/>
      <c r="W3747" s="14"/>
    </row>
    <row r="3748" ht="31.5" customHeight="1">
      <c r="A3748" s="158"/>
      <c r="B3748" s="159"/>
      <c r="C3748" s="160"/>
      <c r="D3748" s="130"/>
      <c r="E3748" s="130"/>
      <c r="F3748" s="161"/>
      <c r="G3748" s="164"/>
      <c r="H3748" s="76" t="b">
        <v>1</v>
      </c>
      <c r="I3748" s="76" t="b">
        <v>0</v>
      </c>
      <c r="J3748" s="76" t="b">
        <v>0</v>
      </c>
      <c r="K3748" s="76" t="b">
        <v>0</v>
      </c>
      <c r="L3748" s="76" t="b">
        <v>0</v>
      </c>
      <c r="M3748" s="76" t="b">
        <v>0</v>
      </c>
      <c r="N3748" s="76" t="b">
        <v>0</v>
      </c>
      <c r="O3748" s="76" t="b">
        <v>0</v>
      </c>
      <c r="P3748" s="76" t="b">
        <v>0</v>
      </c>
      <c r="Q3748" s="76" t="b">
        <v>0</v>
      </c>
      <c r="R3748" s="14"/>
      <c r="S3748" s="14"/>
      <c r="T3748" s="14"/>
      <c r="U3748" s="14"/>
      <c r="V3748" s="14"/>
      <c r="W3748" s="14"/>
    </row>
    <row r="3749" ht="31.5" customHeight="1">
      <c r="A3749" s="158"/>
      <c r="B3749" s="159"/>
      <c r="C3749" s="160"/>
      <c r="D3749" s="130"/>
      <c r="E3749" s="130"/>
      <c r="F3749" s="161"/>
      <c r="G3749" s="164"/>
      <c r="H3749" s="76" t="b">
        <v>1</v>
      </c>
      <c r="I3749" s="76" t="b">
        <v>0</v>
      </c>
      <c r="J3749" s="76" t="b">
        <v>0</v>
      </c>
      <c r="K3749" s="76" t="b">
        <v>0</v>
      </c>
      <c r="L3749" s="76" t="b">
        <v>0</v>
      </c>
      <c r="M3749" s="76" t="b">
        <v>0</v>
      </c>
      <c r="N3749" s="76" t="b">
        <v>0</v>
      </c>
      <c r="O3749" s="76" t="b">
        <v>0</v>
      </c>
      <c r="P3749" s="76" t="b">
        <v>0</v>
      </c>
      <c r="Q3749" s="76" t="b">
        <v>0</v>
      </c>
      <c r="R3749" s="14"/>
      <c r="S3749" s="14"/>
      <c r="T3749" s="14"/>
      <c r="U3749" s="14"/>
      <c r="V3749" s="14"/>
      <c r="W3749" s="14"/>
    </row>
    <row r="3750" ht="31.5" customHeight="1">
      <c r="A3750" s="158"/>
      <c r="B3750" s="159"/>
      <c r="C3750" s="160"/>
      <c r="D3750" s="130"/>
      <c r="E3750" s="130"/>
      <c r="F3750" s="161"/>
      <c r="G3750" s="164"/>
      <c r="H3750" s="76" t="b">
        <v>1</v>
      </c>
      <c r="I3750" s="76" t="b">
        <v>0</v>
      </c>
      <c r="J3750" s="76" t="b">
        <v>0</v>
      </c>
      <c r="K3750" s="76" t="b">
        <v>0</v>
      </c>
      <c r="L3750" s="76" t="b">
        <v>0</v>
      </c>
      <c r="M3750" s="76" t="b">
        <v>0</v>
      </c>
      <c r="N3750" s="76" t="b">
        <v>0</v>
      </c>
      <c r="O3750" s="76" t="b">
        <v>0</v>
      </c>
      <c r="P3750" s="76" t="b">
        <v>0</v>
      </c>
      <c r="Q3750" s="76" t="b">
        <v>0</v>
      </c>
      <c r="R3750" s="14"/>
      <c r="S3750" s="14"/>
      <c r="T3750" s="14"/>
      <c r="U3750" s="14"/>
      <c r="V3750" s="14"/>
      <c r="W3750" s="14"/>
    </row>
    <row r="3751" ht="31.5" customHeight="1">
      <c r="A3751" s="158"/>
      <c r="B3751" s="159"/>
      <c r="C3751" s="160"/>
      <c r="D3751" s="130"/>
      <c r="E3751" s="130"/>
      <c r="F3751" s="161"/>
      <c r="G3751" s="164"/>
      <c r="H3751" s="76" t="b">
        <v>1</v>
      </c>
      <c r="I3751" s="76" t="b">
        <v>0</v>
      </c>
      <c r="J3751" s="76" t="b">
        <v>0</v>
      </c>
      <c r="K3751" s="76" t="b">
        <v>0</v>
      </c>
      <c r="L3751" s="76" t="b">
        <v>0</v>
      </c>
      <c r="M3751" s="76" t="b">
        <v>0</v>
      </c>
      <c r="N3751" s="76" t="b">
        <v>0</v>
      </c>
      <c r="O3751" s="76" t="b">
        <v>0</v>
      </c>
      <c r="P3751" s="76" t="b">
        <v>0</v>
      </c>
      <c r="Q3751" s="76" t="b">
        <v>0</v>
      </c>
      <c r="R3751" s="14"/>
      <c r="S3751" s="14"/>
      <c r="T3751" s="14"/>
      <c r="U3751" s="14"/>
      <c r="V3751" s="14"/>
      <c r="W3751" s="14"/>
    </row>
    <row r="3752" ht="31.5" customHeight="1">
      <c r="A3752" s="158"/>
      <c r="B3752" s="159"/>
      <c r="C3752" s="160"/>
      <c r="D3752" s="130"/>
      <c r="E3752" s="130"/>
      <c r="F3752" s="161"/>
      <c r="G3752" s="164"/>
      <c r="H3752" s="76" t="b">
        <v>1</v>
      </c>
      <c r="I3752" s="76" t="b">
        <v>0</v>
      </c>
      <c r="J3752" s="76" t="b">
        <v>0</v>
      </c>
      <c r="K3752" s="76" t="b">
        <v>0</v>
      </c>
      <c r="L3752" s="76" t="b">
        <v>0</v>
      </c>
      <c r="M3752" s="76" t="b">
        <v>0</v>
      </c>
      <c r="N3752" s="76" t="b">
        <v>0</v>
      </c>
      <c r="O3752" s="76" t="b">
        <v>0</v>
      </c>
      <c r="P3752" s="76" t="b">
        <v>0</v>
      </c>
      <c r="Q3752" s="76" t="b">
        <v>0</v>
      </c>
      <c r="R3752" s="14"/>
      <c r="S3752" s="14"/>
      <c r="T3752" s="14"/>
      <c r="U3752" s="14"/>
      <c r="V3752" s="14"/>
      <c r="W3752" s="14"/>
    </row>
    <row r="3753" ht="31.5" customHeight="1">
      <c r="A3753" s="158"/>
      <c r="B3753" s="159"/>
      <c r="C3753" s="160"/>
      <c r="D3753" s="130"/>
      <c r="E3753" s="130"/>
      <c r="F3753" s="161"/>
      <c r="G3753" s="164"/>
      <c r="H3753" s="76" t="b">
        <v>1</v>
      </c>
      <c r="I3753" s="76" t="b">
        <v>0</v>
      </c>
      <c r="J3753" s="76" t="b">
        <v>0</v>
      </c>
      <c r="K3753" s="76" t="b">
        <v>0</v>
      </c>
      <c r="L3753" s="76" t="b">
        <v>0</v>
      </c>
      <c r="M3753" s="76" t="b">
        <v>0</v>
      </c>
      <c r="N3753" s="76" t="b">
        <v>0</v>
      </c>
      <c r="O3753" s="76" t="b">
        <v>0</v>
      </c>
      <c r="P3753" s="76" t="b">
        <v>0</v>
      </c>
      <c r="Q3753" s="76" t="b">
        <v>0</v>
      </c>
      <c r="R3753" s="14"/>
      <c r="S3753" s="14"/>
      <c r="T3753" s="14"/>
      <c r="U3753" s="14"/>
      <c r="V3753" s="14"/>
      <c r="W3753" s="14"/>
    </row>
    <row r="3754" ht="31.5" customHeight="1">
      <c r="A3754" s="158"/>
      <c r="B3754" s="159"/>
      <c r="C3754" s="160"/>
      <c r="D3754" s="130"/>
      <c r="E3754" s="130"/>
      <c r="F3754" s="161"/>
      <c r="G3754" s="164"/>
      <c r="H3754" s="76" t="b">
        <v>1</v>
      </c>
      <c r="I3754" s="76" t="b">
        <v>0</v>
      </c>
      <c r="J3754" s="76" t="b">
        <v>0</v>
      </c>
      <c r="K3754" s="76" t="b">
        <v>0</v>
      </c>
      <c r="L3754" s="76" t="b">
        <v>0</v>
      </c>
      <c r="M3754" s="76" t="b">
        <v>0</v>
      </c>
      <c r="N3754" s="76" t="b">
        <v>0</v>
      </c>
      <c r="O3754" s="76" t="b">
        <v>0</v>
      </c>
      <c r="P3754" s="76" t="b">
        <v>0</v>
      </c>
      <c r="Q3754" s="76" t="b">
        <v>0</v>
      </c>
      <c r="R3754" s="14"/>
      <c r="S3754" s="14"/>
      <c r="T3754" s="14"/>
      <c r="U3754" s="14"/>
      <c r="V3754" s="14"/>
      <c r="W3754" s="14"/>
    </row>
    <row r="3755" ht="31.5" customHeight="1">
      <c r="A3755" s="158"/>
      <c r="B3755" s="159"/>
      <c r="C3755" s="160"/>
      <c r="D3755" s="130"/>
      <c r="E3755" s="130"/>
      <c r="F3755" s="161"/>
      <c r="G3755" s="164"/>
      <c r="H3755" s="76" t="b">
        <v>1</v>
      </c>
      <c r="I3755" s="76" t="b">
        <v>0</v>
      </c>
      <c r="J3755" s="76" t="b">
        <v>0</v>
      </c>
      <c r="K3755" s="76" t="b">
        <v>0</v>
      </c>
      <c r="L3755" s="76" t="b">
        <v>0</v>
      </c>
      <c r="M3755" s="76" t="b">
        <v>0</v>
      </c>
      <c r="N3755" s="76" t="b">
        <v>0</v>
      </c>
      <c r="O3755" s="76" t="b">
        <v>0</v>
      </c>
      <c r="P3755" s="76" t="b">
        <v>0</v>
      </c>
      <c r="Q3755" s="76" t="b">
        <v>0</v>
      </c>
      <c r="R3755" s="14"/>
      <c r="S3755" s="14"/>
      <c r="T3755" s="14"/>
      <c r="U3755" s="14"/>
      <c r="V3755" s="14"/>
      <c r="W3755" s="14"/>
    </row>
    <row r="3756" ht="31.5" customHeight="1">
      <c r="A3756" s="158"/>
      <c r="B3756" s="159"/>
      <c r="C3756" s="160"/>
      <c r="D3756" s="130"/>
      <c r="E3756" s="130"/>
      <c r="F3756" s="161"/>
      <c r="G3756" s="164"/>
      <c r="H3756" s="76" t="b">
        <v>1</v>
      </c>
      <c r="I3756" s="76" t="b">
        <v>0</v>
      </c>
      <c r="J3756" s="76" t="b">
        <v>0</v>
      </c>
      <c r="K3756" s="76" t="b">
        <v>0</v>
      </c>
      <c r="L3756" s="76" t="b">
        <v>0</v>
      </c>
      <c r="M3756" s="76" t="b">
        <v>0</v>
      </c>
      <c r="N3756" s="76" t="b">
        <v>0</v>
      </c>
      <c r="O3756" s="76" t="b">
        <v>0</v>
      </c>
      <c r="P3756" s="76" t="b">
        <v>0</v>
      </c>
      <c r="Q3756" s="76" t="b">
        <v>0</v>
      </c>
      <c r="R3756" s="14"/>
      <c r="S3756" s="14"/>
      <c r="T3756" s="14"/>
      <c r="U3756" s="14"/>
      <c r="V3756" s="14"/>
      <c r="W3756" s="14"/>
    </row>
    <row r="3757" ht="31.5" customHeight="1">
      <c r="A3757" s="158"/>
      <c r="B3757" s="159"/>
      <c r="C3757" s="160"/>
      <c r="D3757" s="130"/>
      <c r="E3757" s="130"/>
      <c r="F3757" s="161"/>
      <c r="G3757" s="164"/>
      <c r="H3757" s="76" t="b">
        <v>0</v>
      </c>
      <c r="I3757" s="76" t="b">
        <v>0</v>
      </c>
      <c r="J3757" s="76" t="b">
        <v>0</v>
      </c>
      <c r="K3757" s="76" t="b">
        <v>0</v>
      </c>
      <c r="L3757" s="76" t="b">
        <v>0</v>
      </c>
      <c r="M3757" s="76" t="b">
        <v>0</v>
      </c>
      <c r="N3757" s="76" t="b">
        <v>0</v>
      </c>
      <c r="O3757" s="76" t="b">
        <v>0</v>
      </c>
      <c r="P3757" s="76" t="b">
        <v>0</v>
      </c>
      <c r="Q3757" s="76" t="b">
        <v>0</v>
      </c>
      <c r="R3757" s="14"/>
      <c r="S3757" s="14"/>
      <c r="T3757" s="14"/>
      <c r="U3757" s="14"/>
      <c r="V3757" s="14"/>
      <c r="W3757" s="14"/>
    </row>
    <row r="3758" ht="31.5" customHeight="1">
      <c r="A3758" s="158"/>
      <c r="B3758" s="159"/>
      <c r="C3758" s="160"/>
      <c r="D3758" s="130"/>
      <c r="E3758" s="130"/>
      <c r="F3758" s="161"/>
      <c r="G3758" s="164"/>
      <c r="H3758" s="76" t="b">
        <v>0</v>
      </c>
      <c r="I3758" s="76" t="b">
        <v>0</v>
      </c>
      <c r="J3758" s="76" t="b">
        <v>0</v>
      </c>
      <c r="K3758" s="76" t="b">
        <v>0</v>
      </c>
      <c r="L3758" s="76" t="b">
        <v>0</v>
      </c>
      <c r="M3758" s="76" t="b">
        <v>0</v>
      </c>
      <c r="N3758" s="76" t="b">
        <v>0</v>
      </c>
      <c r="O3758" s="76" t="b">
        <v>0</v>
      </c>
      <c r="P3758" s="76" t="b">
        <v>0</v>
      </c>
      <c r="Q3758" s="76" t="b">
        <v>0</v>
      </c>
      <c r="R3758" s="14"/>
      <c r="S3758" s="14"/>
      <c r="T3758" s="14"/>
      <c r="U3758" s="14"/>
      <c r="V3758" s="14"/>
      <c r="W3758" s="14"/>
    </row>
    <row r="3759" ht="31.5" customHeight="1">
      <c r="A3759" s="158"/>
      <c r="B3759" s="159"/>
      <c r="C3759" s="160"/>
      <c r="D3759" s="130"/>
      <c r="E3759" s="130"/>
      <c r="F3759" s="161"/>
      <c r="G3759" s="164"/>
      <c r="H3759" s="76" t="b">
        <v>0</v>
      </c>
      <c r="I3759" s="76" t="b">
        <v>0</v>
      </c>
      <c r="J3759" s="76" t="b">
        <v>0</v>
      </c>
      <c r="K3759" s="76" t="b">
        <v>0</v>
      </c>
      <c r="L3759" s="76" t="b">
        <v>0</v>
      </c>
      <c r="M3759" s="76" t="b">
        <v>0</v>
      </c>
      <c r="N3759" s="76" t="b">
        <v>0</v>
      </c>
      <c r="O3759" s="76" t="b">
        <v>0</v>
      </c>
      <c r="P3759" s="76" t="b">
        <v>0</v>
      </c>
      <c r="Q3759" s="76" t="b">
        <v>0</v>
      </c>
      <c r="R3759" s="14"/>
      <c r="S3759" s="14"/>
      <c r="T3759" s="14"/>
      <c r="U3759" s="14"/>
      <c r="V3759" s="14"/>
      <c r="W3759" s="14"/>
    </row>
    <row r="3760" ht="31.5" customHeight="1">
      <c r="A3760" s="158"/>
      <c r="B3760" s="159"/>
      <c r="C3760" s="160"/>
      <c r="D3760" s="130"/>
      <c r="E3760" s="130"/>
      <c r="F3760" s="161"/>
      <c r="G3760" s="164"/>
      <c r="H3760" s="76" t="b">
        <v>0</v>
      </c>
      <c r="I3760" s="76" t="b">
        <v>0</v>
      </c>
      <c r="J3760" s="76" t="b">
        <v>0</v>
      </c>
      <c r="K3760" s="76" t="b">
        <v>0</v>
      </c>
      <c r="L3760" s="76" t="b">
        <v>0</v>
      </c>
      <c r="M3760" s="76" t="b">
        <v>0</v>
      </c>
      <c r="N3760" s="76" t="b">
        <v>0</v>
      </c>
      <c r="O3760" s="76" t="b">
        <v>0</v>
      </c>
      <c r="P3760" s="76" t="b">
        <v>0</v>
      </c>
      <c r="Q3760" s="76" t="b">
        <v>0</v>
      </c>
      <c r="R3760" s="14"/>
      <c r="S3760" s="14"/>
      <c r="T3760" s="14"/>
      <c r="U3760" s="14"/>
      <c r="V3760" s="14"/>
      <c r="W3760" s="14"/>
    </row>
    <row r="3761" ht="31.5" customHeight="1">
      <c r="A3761" s="158"/>
      <c r="B3761" s="159"/>
      <c r="C3761" s="160"/>
      <c r="D3761" s="130"/>
      <c r="E3761" s="130"/>
      <c r="F3761" s="161"/>
      <c r="G3761" s="164"/>
      <c r="H3761" s="76" t="b">
        <v>0</v>
      </c>
      <c r="I3761" s="76" t="b">
        <v>0</v>
      </c>
      <c r="J3761" s="76" t="b">
        <v>0</v>
      </c>
      <c r="K3761" s="76" t="b">
        <v>0</v>
      </c>
      <c r="L3761" s="76" t="b">
        <v>0</v>
      </c>
      <c r="M3761" s="76" t="b">
        <v>0</v>
      </c>
      <c r="N3761" s="76" t="b">
        <v>0</v>
      </c>
      <c r="O3761" s="76" t="b">
        <v>0</v>
      </c>
      <c r="P3761" s="76" t="b">
        <v>0</v>
      </c>
      <c r="Q3761" s="76" t="b">
        <v>0</v>
      </c>
      <c r="R3761" s="14"/>
      <c r="S3761" s="14"/>
      <c r="T3761" s="14"/>
      <c r="U3761" s="14"/>
      <c r="V3761" s="14"/>
      <c r="W3761" s="14"/>
    </row>
    <row r="3762" ht="31.5" customHeight="1">
      <c r="A3762" s="158"/>
      <c r="B3762" s="159"/>
      <c r="C3762" s="160"/>
      <c r="D3762" s="130"/>
      <c r="E3762" s="130"/>
      <c r="F3762" s="161"/>
      <c r="G3762" s="164"/>
      <c r="H3762" s="76" t="b">
        <v>0</v>
      </c>
      <c r="I3762" s="76" t="b">
        <v>0</v>
      </c>
      <c r="J3762" s="76" t="b">
        <v>0</v>
      </c>
      <c r="K3762" s="76" t="b">
        <v>0</v>
      </c>
      <c r="L3762" s="76" t="b">
        <v>0</v>
      </c>
      <c r="M3762" s="76" t="b">
        <v>0</v>
      </c>
      <c r="N3762" s="76" t="b">
        <v>0</v>
      </c>
      <c r="O3762" s="76" t="b">
        <v>0</v>
      </c>
      <c r="P3762" s="76" t="b">
        <v>0</v>
      </c>
      <c r="Q3762" s="76" t="b">
        <v>0</v>
      </c>
      <c r="R3762" s="14"/>
      <c r="S3762" s="14"/>
      <c r="T3762" s="14"/>
      <c r="U3762" s="14"/>
      <c r="V3762" s="14"/>
      <c r="W3762" s="14"/>
    </row>
    <row r="3763" ht="31.5" customHeight="1">
      <c r="A3763" s="158"/>
      <c r="B3763" s="159"/>
      <c r="C3763" s="160"/>
      <c r="D3763" s="130"/>
      <c r="E3763" s="130"/>
      <c r="F3763" s="161"/>
      <c r="G3763" s="164"/>
      <c r="H3763" s="76" t="b">
        <v>0</v>
      </c>
      <c r="I3763" s="76" t="b">
        <v>0</v>
      </c>
      <c r="J3763" s="76" t="b">
        <v>0</v>
      </c>
      <c r="K3763" s="76" t="b">
        <v>0</v>
      </c>
      <c r="L3763" s="76" t="b">
        <v>0</v>
      </c>
      <c r="M3763" s="76" t="b">
        <v>0</v>
      </c>
      <c r="N3763" s="76" t="b">
        <v>0</v>
      </c>
      <c r="O3763" s="76" t="b">
        <v>0</v>
      </c>
      <c r="P3763" s="76" t="b">
        <v>0</v>
      </c>
      <c r="Q3763" s="76" t="b">
        <v>0</v>
      </c>
      <c r="R3763" s="14"/>
      <c r="S3763" s="14"/>
      <c r="T3763" s="14"/>
      <c r="U3763" s="14"/>
      <c r="V3763" s="14"/>
      <c r="W3763" s="14"/>
    </row>
    <row r="3764" ht="31.5" customHeight="1">
      <c r="A3764" s="158"/>
      <c r="B3764" s="159"/>
      <c r="C3764" s="160"/>
      <c r="D3764" s="130"/>
      <c r="E3764" s="130"/>
      <c r="F3764" s="161"/>
      <c r="G3764" s="164"/>
      <c r="H3764" s="76" t="b">
        <v>0</v>
      </c>
      <c r="I3764" s="76" t="b">
        <v>0</v>
      </c>
      <c r="J3764" s="76" t="b">
        <v>0</v>
      </c>
      <c r="K3764" s="76" t="b">
        <v>0</v>
      </c>
      <c r="L3764" s="76" t="b">
        <v>0</v>
      </c>
      <c r="M3764" s="76" t="b">
        <v>0</v>
      </c>
      <c r="N3764" s="76" t="b">
        <v>0</v>
      </c>
      <c r="O3764" s="76" t="b">
        <v>0</v>
      </c>
      <c r="P3764" s="76" t="b">
        <v>0</v>
      </c>
      <c r="Q3764" s="76" t="b">
        <v>0</v>
      </c>
      <c r="R3764" s="14"/>
      <c r="S3764" s="14"/>
      <c r="T3764" s="14"/>
      <c r="U3764" s="14"/>
      <c r="V3764" s="14"/>
      <c r="W3764" s="14"/>
    </row>
    <row r="3765" ht="31.5" customHeight="1">
      <c r="A3765" s="158"/>
      <c r="B3765" s="159"/>
      <c r="C3765" s="160"/>
      <c r="D3765" s="130"/>
      <c r="E3765" s="130"/>
      <c r="F3765" s="161"/>
      <c r="G3765" s="164"/>
      <c r="H3765" s="76" t="b">
        <v>0</v>
      </c>
      <c r="I3765" s="76" t="b">
        <v>0</v>
      </c>
      <c r="J3765" s="76" t="b">
        <v>0</v>
      </c>
      <c r="K3765" s="76" t="b">
        <v>0</v>
      </c>
      <c r="L3765" s="76" t="b">
        <v>0</v>
      </c>
      <c r="M3765" s="76" t="b">
        <v>0</v>
      </c>
      <c r="N3765" s="76" t="b">
        <v>0</v>
      </c>
      <c r="O3765" s="76" t="b">
        <v>0</v>
      </c>
      <c r="P3765" s="76" t="b">
        <v>0</v>
      </c>
      <c r="Q3765" s="76" t="b">
        <v>0</v>
      </c>
      <c r="R3765" s="14"/>
      <c r="S3765" s="14"/>
      <c r="T3765" s="14"/>
      <c r="U3765" s="14"/>
      <c r="V3765" s="14"/>
      <c r="W3765" s="14"/>
    </row>
    <row r="3766" ht="31.5" customHeight="1">
      <c r="A3766" s="158"/>
      <c r="B3766" s="159"/>
      <c r="C3766" s="160"/>
      <c r="D3766" s="130"/>
      <c r="E3766" s="130"/>
      <c r="F3766" s="161"/>
      <c r="G3766" s="164"/>
      <c r="H3766" s="76" t="b">
        <v>0</v>
      </c>
      <c r="I3766" s="76" t="b">
        <v>0</v>
      </c>
      <c r="J3766" s="76" t="b">
        <v>0</v>
      </c>
      <c r="K3766" s="76" t="b">
        <v>0</v>
      </c>
      <c r="L3766" s="76" t="b">
        <v>0</v>
      </c>
      <c r="M3766" s="76" t="b">
        <v>0</v>
      </c>
      <c r="N3766" s="76" t="b">
        <v>0</v>
      </c>
      <c r="O3766" s="76" t="b">
        <v>0</v>
      </c>
      <c r="P3766" s="76" t="b">
        <v>0</v>
      </c>
      <c r="Q3766" s="76" t="b">
        <v>0</v>
      </c>
      <c r="R3766" s="14"/>
      <c r="S3766" s="14"/>
      <c r="T3766" s="14"/>
      <c r="U3766" s="14"/>
      <c r="V3766" s="14"/>
      <c r="W3766" s="14"/>
    </row>
    <row r="3767" ht="31.5" customHeight="1">
      <c r="A3767" s="158"/>
      <c r="B3767" s="159"/>
      <c r="C3767" s="160"/>
      <c r="D3767" s="130"/>
      <c r="E3767" s="130"/>
      <c r="F3767" s="161"/>
      <c r="G3767" s="164"/>
      <c r="H3767" s="76" t="b">
        <v>0</v>
      </c>
      <c r="I3767" s="76" t="b">
        <v>0</v>
      </c>
      <c r="J3767" s="76" t="b">
        <v>0</v>
      </c>
      <c r="K3767" s="76" t="b">
        <v>0</v>
      </c>
      <c r="L3767" s="76" t="b">
        <v>0</v>
      </c>
      <c r="M3767" s="76" t="b">
        <v>0</v>
      </c>
      <c r="N3767" s="76" t="b">
        <v>0</v>
      </c>
      <c r="O3767" s="76" t="b">
        <v>0</v>
      </c>
      <c r="P3767" s="76" t="b">
        <v>0</v>
      </c>
      <c r="Q3767" s="76" t="b">
        <v>0</v>
      </c>
      <c r="R3767" s="14"/>
      <c r="S3767" s="14"/>
      <c r="T3767" s="14"/>
      <c r="U3767" s="14"/>
      <c r="V3767" s="14"/>
      <c r="W3767" s="14"/>
    </row>
    <row r="3768" ht="31.5" customHeight="1">
      <c r="A3768" s="158"/>
      <c r="B3768" s="159"/>
      <c r="C3768" s="160"/>
      <c r="D3768" s="130"/>
      <c r="E3768" s="130"/>
      <c r="F3768" s="161"/>
      <c r="G3768" s="164"/>
      <c r="H3768" s="76" t="b">
        <v>0</v>
      </c>
      <c r="I3768" s="76" t="b">
        <v>0</v>
      </c>
      <c r="J3768" s="76" t="b">
        <v>0</v>
      </c>
      <c r="K3768" s="76" t="b">
        <v>0</v>
      </c>
      <c r="L3768" s="76" t="b">
        <v>0</v>
      </c>
      <c r="M3768" s="76" t="b">
        <v>0</v>
      </c>
      <c r="N3768" s="76" t="b">
        <v>0</v>
      </c>
      <c r="O3768" s="76" t="b">
        <v>0</v>
      </c>
      <c r="P3768" s="76" t="b">
        <v>0</v>
      </c>
      <c r="Q3768" s="76" t="b">
        <v>0</v>
      </c>
      <c r="R3768" s="14"/>
      <c r="S3768" s="14"/>
      <c r="T3768" s="14"/>
      <c r="U3768" s="14"/>
      <c r="V3768" s="14"/>
      <c r="W3768" s="14"/>
    </row>
    <row r="3769" ht="31.5" customHeight="1">
      <c r="A3769" s="158"/>
      <c r="B3769" s="159"/>
      <c r="C3769" s="160"/>
      <c r="D3769" s="130"/>
      <c r="E3769" s="130"/>
      <c r="F3769" s="161"/>
      <c r="G3769" s="164"/>
      <c r="H3769" s="76" t="b">
        <v>0</v>
      </c>
      <c r="I3769" s="76" t="b">
        <v>0</v>
      </c>
      <c r="J3769" s="76" t="b">
        <v>0</v>
      </c>
      <c r="K3769" s="76" t="b">
        <v>0</v>
      </c>
      <c r="L3769" s="76" t="b">
        <v>0</v>
      </c>
      <c r="M3769" s="76" t="b">
        <v>0</v>
      </c>
      <c r="N3769" s="76" t="b">
        <v>0</v>
      </c>
      <c r="O3769" s="76" t="b">
        <v>0</v>
      </c>
      <c r="P3769" s="76" t="b">
        <v>0</v>
      </c>
      <c r="Q3769" s="76" t="b">
        <v>0</v>
      </c>
      <c r="R3769" s="14"/>
      <c r="S3769" s="14"/>
      <c r="T3769" s="14"/>
      <c r="U3769" s="14"/>
      <c r="V3769" s="14"/>
      <c r="W3769" s="14"/>
    </row>
    <row r="3770" ht="31.5" customHeight="1">
      <c r="A3770" s="158"/>
      <c r="B3770" s="159"/>
      <c r="C3770" s="160"/>
      <c r="D3770" s="130"/>
      <c r="E3770" s="130"/>
      <c r="F3770" s="161"/>
      <c r="G3770" s="164"/>
      <c r="H3770" s="76" t="b">
        <v>0</v>
      </c>
      <c r="I3770" s="76" t="b">
        <v>0</v>
      </c>
      <c r="J3770" s="76" t="b">
        <v>0</v>
      </c>
      <c r="K3770" s="76" t="b">
        <v>0</v>
      </c>
      <c r="L3770" s="76" t="b">
        <v>0</v>
      </c>
      <c r="M3770" s="76" t="b">
        <v>0</v>
      </c>
      <c r="N3770" s="76" t="b">
        <v>0</v>
      </c>
      <c r="O3770" s="76" t="b">
        <v>0</v>
      </c>
      <c r="P3770" s="76" t="b">
        <v>0</v>
      </c>
      <c r="Q3770" s="76" t="b">
        <v>0</v>
      </c>
      <c r="R3770" s="14"/>
      <c r="S3770" s="14"/>
      <c r="T3770" s="14"/>
      <c r="U3770" s="14"/>
      <c r="V3770" s="14"/>
      <c r="W3770" s="14"/>
    </row>
    <row r="3771" ht="31.5" customHeight="1">
      <c r="A3771" s="158"/>
      <c r="B3771" s="159"/>
      <c r="C3771" s="160"/>
      <c r="D3771" s="130"/>
      <c r="E3771" s="130"/>
      <c r="F3771" s="161"/>
      <c r="G3771" s="164"/>
      <c r="H3771" s="76" t="b">
        <v>0</v>
      </c>
      <c r="I3771" s="76" t="b">
        <v>0</v>
      </c>
      <c r="J3771" s="76" t="b">
        <v>0</v>
      </c>
      <c r="K3771" s="76" t="b">
        <v>0</v>
      </c>
      <c r="L3771" s="76" t="b">
        <v>0</v>
      </c>
      <c r="M3771" s="76" t="b">
        <v>0</v>
      </c>
      <c r="N3771" s="76" t="b">
        <v>0</v>
      </c>
      <c r="O3771" s="76" t="b">
        <v>0</v>
      </c>
      <c r="P3771" s="76" t="b">
        <v>0</v>
      </c>
      <c r="Q3771" s="76" t="b">
        <v>0</v>
      </c>
      <c r="R3771" s="14"/>
      <c r="S3771" s="14"/>
      <c r="T3771" s="14"/>
      <c r="U3771" s="14"/>
      <c r="V3771" s="14"/>
      <c r="W3771" s="14"/>
    </row>
    <row r="3772" ht="31.5" customHeight="1">
      <c r="A3772" s="158"/>
      <c r="B3772" s="159"/>
      <c r="C3772" s="160"/>
      <c r="D3772" s="130"/>
      <c r="E3772" s="130"/>
      <c r="F3772" s="161"/>
      <c r="G3772" s="164"/>
      <c r="H3772" s="76" t="b">
        <v>0</v>
      </c>
      <c r="I3772" s="76" t="b">
        <v>0</v>
      </c>
      <c r="J3772" s="76" t="b">
        <v>0</v>
      </c>
      <c r="K3772" s="76" t="b">
        <v>0</v>
      </c>
      <c r="L3772" s="76" t="b">
        <v>0</v>
      </c>
      <c r="M3772" s="76" t="b">
        <v>0</v>
      </c>
      <c r="N3772" s="76" t="b">
        <v>0</v>
      </c>
      <c r="O3772" s="76" t="b">
        <v>0</v>
      </c>
      <c r="P3772" s="76" t="b">
        <v>0</v>
      </c>
      <c r="Q3772" s="76" t="b">
        <v>0</v>
      </c>
      <c r="R3772" s="14"/>
      <c r="S3772" s="14"/>
      <c r="T3772" s="14"/>
      <c r="U3772" s="14"/>
      <c r="V3772" s="14"/>
      <c r="W3772" s="14"/>
    </row>
    <row r="3773" ht="31.5" customHeight="1">
      <c r="A3773" s="158"/>
      <c r="B3773" s="159"/>
      <c r="C3773" s="160"/>
      <c r="D3773" s="130"/>
      <c r="E3773" s="130"/>
      <c r="F3773" s="161"/>
      <c r="G3773" s="164"/>
      <c r="H3773" s="76" t="b">
        <v>0</v>
      </c>
      <c r="I3773" s="76" t="b">
        <v>0</v>
      </c>
      <c r="J3773" s="76" t="b">
        <v>0</v>
      </c>
      <c r="K3773" s="76" t="b">
        <v>0</v>
      </c>
      <c r="L3773" s="76" t="b">
        <v>0</v>
      </c>
      <c r="M3773" s="76" t="b">
        <v>0</v>
      </c>
      <c r="N3773" s="76" t="b">
        <v>0</v>
      </c>
      <c r="O3773" s="76" t="b">
        <v>0</v>
      </c>
      <c r="P3773" s="76" t="b">
        <v>0</v>
      </c>
      <c r="Q3773" s="76" t="b">
        <v>0</v>
      </c>
      <c r="R3773" s="14"/>
      <c r="S3773" s="14"/>
      <c r="T3773" s="14"/>
      <c r="U3773" s="14"/>
      <c r="V3773" s="14"/>
      <c r="W3773" s="14"/>
    </row>
    <row r="3774" ht="31.5" customHeight="1">
      <c r="A3774" s="158"/>
      <c r="B3774" s="159"/>
      <c r="C3774" s="160"/>
      <c r="D3774" s="130"/>
      <c r="E3774" s="130"/>
      <c r="F3774" s="161"/>
      <c r="G3774" s="164"/>
      <c r="H3774" s="76" t="b">
        <v>0</v>
      </c>
      <c r="I3774" s="76" t="b">
        <v>0</v>
      </c>
      <c r="J3774" s="76" t="b">
        <v>0</v>
      </c>
      <c r="K3774" s="76" t="b">
        <v>0</v>
      </c>
      <c r="L3774" s="76" t="b">
        <v>0</v>
      </c>
      <c r="M3774" s="76" t="b">
        <v>0</v>
      </c>
      <c r="N3774" s="76" t="b">
        <v>0</v>
      </c>
      <c r="O3774" s="76" t="b">
        <v>0</v>
      </c>
      <c r="P3774" s="76" t="b">
        <v>0</v>
      </c>
      <c r="Q3774" s="76" t="b">
        <v>0</v>
      </c>
      <c r="R3774" s="14"/>
      <c r="S3774" s="14"/>
      <c r="T3774" s="14"/>
      <c r="U3774" s="14"/>
      <c r="V3774" s="14"/>
      <c r="W3774" s="14"/>
    </row>
    <row r="3775" ht="31.5" customHeight="1">
      <c r="A3775" s="158"/>
      <c r="B3775" s="159"/>
      <c r="C3775" s="160"/>
      <c r="D3775" s="130"/>
      <c r="E3775" s="130"/>
      <c r="F3775" s="161"/>
      <c r="G3775" s="164"/>
      <c r="H3775" s="76" t="b">
        <v>0</v>
      </c>
      <c r="I3775" s="76" t="b">
        <v>0</v>
      </c>
      <c r="J3775" s="76" t="b">
        <v>0</v>
      </c>
      <c r="K3775" s="76" t="b">
        <v>0</v>
      </c>
      <c r="L3775" s="76" t="b">
        <v>0</v>
      </c>
      <c r="M3775" s="76" t="b">
        <v>0</v>
      </c>
      <c r="N3775" s="76" t="b">
        <v>0</v>
      </c>
      <c r="O3775" s="76" t="b">
        <v>0</v>
      </c>
      <c r="P3775" s="76" t="b">
        <v>0</v>
      </c>
      <c r="Q3775" s="76" t="b">
        <v>0</v>
      </c>
      <c r="R3775" s="14"/>
      <c r="S3775" s="14"/>
      <c r="T3775" s="14"/>
      <c r="U3775" s="14"/>
      <c r="V3775" s="14"/>
      <c r="W3775" s="14"/>
    </row>
    <row r="3776" ht="31.5" customHeight="1">
      <c r="A3776" s="158"/>
      <c r="B3776" s="159"/>
      <c r="C3776" s="160"/>
      <c r="D3776" s="130"/>
      <c r="E3776" s="130"/>
      <c r="F3776" s="161"/>
      <c r="G3776" s="164"/>
      <c r="H3776" s="76" t="b">
        <v>0</v>
      </c>
      <c r="I3776" s="76" t="b">
        <v>0</v>
      </c>
      <c r="J3776" s="76" t="b">
        <v>0</v>
      </c>
      <c r="K3776" s="76" t="b">
        <v>0</v>
      </c>
      <c r="L3776" s="76" t="b">
        <v>0</v>
      </c>
      <c r="M3776" s="76" t="b">
        <v>0</v>
      </c>
      <c r="N3776" s="76" t="b">
        <v>0</v>
      </c>
      <c r="O3776" s="76" t="b">
        <v>0</v>
      </c>
      <c r="P3776" s="76" t="b">
        <v>0</v>
      </c>
      <c r="Q3776" s="76" t="b">
        <v>0</v>
      </c>
      <c r="R3776" s="14"/>
      <c r="S3776" s="14"/>
      <c r="T3776" s="14"/>
      <c r="U3776" s="14"/>
      <c r="V3776" s="14"/>
      <c r="W3776" s="14"/>
    </row>
    <row r="3777" ht="31.5" customHeight="1">
      <c r="A3777" s="158"/>
      <c r="B3777" s="159"/>
      <c r="C3777" s="160"/>
      <c r="D3777" s="130"/>
      <c r="E3777" s="130"/>
      <c r="F3777" s="161"/>
      <c r="G3777" s="164"/>
      <c r="H3777" s="76" t="b">
        <v>0</v>
      </c>
      <c r="I3777" s="76" t="b">
        <v>0</v>
      </c>
      <c r="J3777" s="76" t="b">
        <v>0</v>
      </c>
      <c r="K3777" s="76" t="b">
        <v>0</v>
      </c>
      <c r="L3777" s="76" t="b">
        <v>0</v>
      </c>
      <c r="M3777" s="76" t="b">
        <v>0</v>
      </c>
      <c r="N3777" s="76" t="b">
        <v>0</v>
      </c>
      <c r="O3777" s="76" t="b">
        <v>0</v>
      </c>
      <c r="P3777" s="76" t="b">
        <v>0</v>
      </c>
      <c r="Q3777" s="76" t="b">
        <v>0</v>
      </c>
      <c r="R3777" s="14"/>
      <c r="S3777" s="14"/>
      <c r="T3777" s="14"/>
      <c r="U3777" s="14"/>
      <c r="V3777" s="14"/>
      <c r="W3777" s="14"/>
    </row>
    <row r="3778" ht="31.5" customHeight="1">
      <c r="A3778" s="158"/>
      <c r="B3778" s="159"/>
      <c r="C3778" s="160"/>
      <c r="D3778" s="130"/>
      <c r="E3778" s="130"/>
      <c r="F3778" s="161"/>
      <c r="G3778" s="164"/>
      <c r="H3778" s="76" t="b">
        <v>0</v>
      </c>
      <c r="I3778" s="76" t="b">
        <v>0</v>
      </c>
      <c r="J3778" s="76" t="b">
        <v>0</v>
      </c>
      <c r="K3778" s="76" t="b">
        <v>0</v>
      </c>
      <c r="L3778" s="76" t="b">
        <v>0</v>
      </c>
      <c r="M3778" s="76" t="b">
        <v>0</v>
      </c>
      <c r="N3778" s="76" t="b">
        <v>0</v>
      </c>
      <c r="O3778" s="76" t="b">
        <v>0</v>
      </c>
      <c r="P3778" s="76" t="b">
        <v>0</v>
      </c>
      <c r="Q3778" s="76" t="b">
        <v>0</v>
      </c>
      <c r="R3778" s="14"/>
      <c r="S3778" s="14"/>
      <c r="T3778" s="14"/>
      <c r="U3778" s="14"/>
      <c r="V3778" s="14"/>
      <c r="W3778" s="14"/>
    </row>
    <row r="3779" ht="31.5" customHeight="1">
      <c r="A3779" s="158"/>
      <c r="B3779" s="159"/>
      <c r="C3779" s="160"/>
      <c r="D3779" s="130"/>
      <c r="E3779" s="130"/>
      <c r="F3779" s="161"/>
      <c r="G3779" s="164"/>
      <c r="H3779" s="76" t="b">
        <v>0</v>
      </c>
      <c r="I3779" s="76" t="b">
        <v>0</v>
      </c>
      <c r="J3779" s="76" t="b">
        <v>0</v>
      </c>
      <c r="K3779" s="76" t="b">
        <v>0</v>
      </c>
      <c r="L3779" s="76" t="b">
        <v>0</v>
      </c>
      <c r="M3779" s="76" t="b">
        <v>0</v>
      </c>
      <c r="N3779" s="76" t="b">
        <v>0</v>
      </c>
      <c r="O3779" s="76" t="b">
        <v>0</v>
      </c>
      <c r="P3779" s="76" t="b">
        <v>0</v>
      </c>
      <c r="Q3779" s="76" t="b">
        <v>0</v>
      </c>
      <c r="R3779" s="14"/>
      <c r="S3779" s="14"/>
      <c r="T3779" s="14"/>
      <c r="U3779" s="14"/>
      <c r="V3779" s="14"/>
      <c r="W3779" s="14"/>
    </row>
    <row r="3780" ht="31.5" customHeight="1">
      <c r="A3780" s="158"/>
      <c r="B3780" s="159"/>
      <c r="C3780" s="160"/>
      <c r="D3780" s="130"/>
      <c r="E3780" s="130"/>
      <c r="F3780" s="161"/>
      <c r="G3780" s="164"/>
      <c r="H3780" s="76" t="b">
        <v>0</v>
      </c>
      <c r="I3780" s="76" t="b">
        <v>0</v>
      </c>
      <c r="J3780" s="76" t="b">
        <v>0</v>
      </c>
      <c r="K3780" s="76" t="b">
        <v>0</v>
      </c>
      <c r="L3780" s="76" t="b">
        <v>0</v>
      </c>
      <c r="M3780" s="76" t="b">
        <v>0</v>
      </c>
      <c r="N3780" s="76" t="b">
        <v>0</v>
      </c>
      <c r="O3780" s="76" t="b">
        <v>0</v>
      </c>
      <c r="P3780" s="76" t="b">
        <v>0</v>
      </c>
      <c r="Q3780" s="76" t="b">
        <v>0</v>
      </c>
      <c r="R3780" s="14"/>
      <c r="S3780" s="14"/>
      <c r="T3780" s="14"/>
      <c r="U3780" s="14"/>
      <c r="V3780" s="14"/>
      <c r="W3780" s="14"/>
    </row>
    <row r="3781" ht="31.5" customHeight="1">
      <c r="A3781" s="158"/>
      <c r="B3781" s="159"/>
      <c r="C3781" s="160"/>
      <c r="D3781" s="130"/>
      <c r="E3781" s="130"/>
      <c r="F3781" s="161"/>
      <c r="G3781" s="164"/>
      <c r="H3781" s="76" t="b">
        <v>0</v>
      </c>
      <c r="I3781" s="76" t="b">
        <v>0</v>
      </c>
      <c r="J3781" s="76" t="b">
        <v>0</v>
      </c>
      <c r="K3781" s="76" t="b">
        <v>0</v>
      </c>
      <c r="L3781" s="76" t="b">
        <v>0</v>
      </c>
      <c r="M3781" s="76" t="b">
        <v>0</v>
      </c>
      <c r="N3781" s="76" t="b">
        <v>0</v>
      </c>
      <c r="O3781" s="76" t="b">
        <v>0</v>
      </c>
      <c r="P3781" s="76" t="b">
        <v>0</v>
      </c>
      <c r="Q3781" s="76" t="b">
        <v>0</v>
      </c>
      <c r="R3781" s="14"/>
      <c r="S3781" s="14"/>
      <c r="T3781" s="14"/>
      <c r="U3781" s="14"/>
      <c r="V3781" s="14"/>
      <c r="W3781" s="14"/>
    </row>
    <row r="3782" ht="31.5" customHeight="1">
      <c r="A3782" s="158"/>
      <c r="B3782" s="159"/>
      <c r="C3782" s="160"/>
      <c r="D3782" s="130"/>
      <c r="E3782" s="130"/>
      <c r="F3782" s="161"/>
      <c r="G3782" s="164"/>
      <c r="H3782" s="76" t="b">
        <v>0</v>
      </c>
      <c r="I3782" s="76" t="b">
        <v>0</v>
      </c>
      <c r="J3782" s="76" t="b">
        <v>0</v>
      </c>
      <c r="K3782" s="76" t="b">
        <v>0</v>
      </c>
      <c r="L3782" s="76" t="b">
        <v>0</v>
      </c>
      <c r="M3782" s="76" t="b">
        <v>0</v>
      </c>
      <c r="N3782" s="76" t="b">
        <v>0</v>
      </c>
      <c r="O3782" s="76" t="b">
        <v>0</v>
      </c>
      <c r="P3782" s="76" t="b">
        <v>0</v>
      </c>
      <c r="Q3782" s="76" t="b">
        <v>0</v>
      </c>
      <c r="R3782" s="14"/>
      <c r="S3782" s="14"/>
      <c r="T3782" s="14"/>
      <c r="U3782" s="14"/>
      <c r="V3782" s="14"/>
      <c r="W3782" s="14"/>
    </row>
    <row r="3783" ht="31.5" customHeight="1">
      <c r="A3783" s="158"/>
      <c r="B3783" s="159"/>
      <c r="C3783" s="160"/>
      <c r="D3783" s="130"/>
      <c r="E3783" s="130"/>
      <c r="F3783" s="161"/>
      <c r="G3783" s="164"/>
      <c r="H3783" s="76" t="b">
        <v>0</v>
      </c>
      <c r="I3783" s="76" t="b">
        <v>0</v>
      </c>
      <c r="J3783" s="76" t="b">
        <v>0</v>
      </c>
      <c r="K3783" s="76" t="b">
        <v>0</v>
      </c>
      <c r="L3783" s="76" t="b">
        <v>0</v>
      </c>
      <c r="M3783" s="76" t="b">
        <v>0</v>
      </c>
      <c r="N3783" s="76" t="b">
        <v>0</v>
      </c>
      <c r="O3783" s="76" t="b">
        <v>0</v>
      </c>
      <c r="P3783" s="76" t="b">
        <v>0</v>
      </c>
      <c r="Q3783" s="76" t="b">
        <v>0</v>
      </c>
      <c r="R3783" s="14"/>
      <c r="S3783" s="14"/>
      <c r="T3783" s="14"/>
      <c r="U3783" s="14"/>
      <c r="V3783" s="14"/>
      <c r="W3783" s="14"/>
    </row>
    <row r="3784" ht="31.5" customHeight="1">
      <c r="A3784" s="158"/>
      <c r="B3784" s="159"/>
      <c r="C3784" s="160"/>
      <c r="D3784" s="130"/>
      <c r="E3784" s="130"/>
      <c r="F3784" s="161"/>
      <c r="G3784" s="164"/>
      <c r="H3784" s="76" t="b">
        <v>0</v>
      </c>
      <c r="I3784" s="76" t="b">
        <v>0</v>
      </c>
      <c r="J3784" s="76" t="b">
        <v>0</v>
      </c>
      <c r="K3784" s="76" t="b">
        <v>0</v>
      </c>
      <c r="L3784" s="76" t="b">
        <v>0</v>
      </c>
      <c r="M3784" s="76" t="b">
        <v>0</v>
      </c>
      <c r="N3784" s="76" t="b">
        <v>0</v>
      </c>
      <c r="O3784" s="76" t="b">
        <v>0</v>
      </c>
      <c r="P3784" s="76" t="b">
        <v>0</v>
      </c>
      <c r="Q3784" s="76" t="b">
        <v>0</v>
      </c>
      <c r="R3784" s="14"/>
      <c r="S3784" s="14"/>
      <c r="T3784" s="14"/>
      <c r="U3784" s="14"/>
      <c r="V3784" s="14"/>
      <c r="W3784" s="14"/>
    </row>
    <row r="3785" ht="31.5" customHeight="1">
      <c r="A3785" s="158"/>
      <c r="B3785" s="159"/>
      <c r="C3785" s="160"/>
      <c r="D3785" s="130"/>
      <c r="E3785" s="130"/>
      <c r="F3785" s="161"/>
      <c r="G3785" s="164"/>
      <c r="H3785" s="76" t="b">
        <v>0</v>
      </c>
      <c r="I3785" s="76" t="b">
        <v>0</v>
      </c>
      <c r="J3785" s="76" t="b">
        <v>0</v>
      </c>
      <c r="K3785" s="76" t="b">
        <v>0</v>
      </c>
      <c r="L3785" s="76" t="b">
        <v>0</v>
      </c>
      <c r="M3785" s="76" t="b">
        <v>0</v>
      </c>
      <c r="N3785" s="76" t="b">
        <v>0</v>
      </c>
      <c r="O3785" s="76" t="b">
        <v>0</v>
      </c>
      <c r="P3785" s="76" t="b">
        <v>0</v>
      </c>
      <c r="Q3785" s="76" t="b">
        <v>0</v>
      </c>
      <c r="R3785" s="14"/>
      <c r="S3785" s="14"/>
      <c r="T3785" s="14"/>
      <c r="U3785" s="14"/>
      <c r="V3785" s="14"/>
      <c r="W3785" s="14"/>
    </row>
    <row r="3786" ht="31.5" customHeight="1">
      <c r="A3786" s="158"/>
      <c r="B3786" s="159"/>
      <c r="C3786" s="160"/>
      <c r="D3786" s="130"/>
      <c r="E3786" s="130"/>
      <c r="F3786" s="161"/>
      <c r="G3786" s="164"/>
      <c r="H3786" s="76" t="b">
        <v>0</v>
      </c>
      <c r="I3786" s="76" t="b">
        <v>0</v>
      </c>
      <c r="J3786" s="76" t="b">
        <v>0</v>
      </c>
      <c r="K3786" s="76" t="b">
        <v>0</v>
      </c>
      <c r="L3786" s="76" t="b">
        <v>0</v>
      </c>
      <c r="M3786" s="76" t="b">
        <v>0</v>
      </c>
      <c r="N3786" s="76" t="b">
        <v>0</v>
      </c>
      <c r="O3786" s="76" t="b">
        <v>0</v>
      </c>
      <c r="P3786" s="76" t="b">
        <v>0</v>
      </c>
      <c r="Q3786" s="76" t="b">
        <v>0</v>
      </c>
      <c r="R3786" s="14"/>
      <c r="S3786" s="14"/>
      <c r="T3786" s="14"/>
      <c r="U3786" s="14"/>
      <c r="V3786" s="14"/>
      <c r="W3786" s="14"/>
    </row>
    <row r="3787" ht="31.5" customHeight="1">
      <c r="A3787" s="158"/>
      <c r="B3787" s="159"/>
      <c r="C3787" s="160"/>
      <c r="D3787" s="130"/>
      <c r="E3787" s="130"/>
      <c r="F3787" s="161"/>
      <c r="G3787" s="164"/>
      <c r="H3787" s="76" t="b">
        <v>0</v>
      </c>
      <c r="I3787" s="76" t="b">
        <v>0</v>
      </c>
      <c r="J3787" s="76" t="b">
        <v>0</v>
      </c>
      <c r="K3787" s="76" t="b">
        <v>0</v>
      </c>
      <c r="L3787" s="76" t="b">
        <v>0</v>
      </c>
      <c r="M3787" s="76" t="b">
        <v>0</v>
      </c>
      <c r="N3787" s="76" t="b">
        <v>0</v>
      </c>
      <c r="O3787" s="76" t="b">
        <v>0</v>
      </c>
      <c r="P3787" s="76" t="b">
        <v>0</v>
      </c>
      <c r="Q3787" s="76" t="b">
        <v>0</v>
      </c>
      <c r="R3787" s="14"/>
      <c r="S3787" s="14"/>
      <c r="T3787" s="14"/>
      <c r="U3787" s="14"/>
      <c r="V3787" s="14"/>
      <c r="W3787" s="14"/>
    </row>
    <row r="3788" ht="31.5" customHeight="1">
      <c r="A3788" s="158"/>
      <c r="B3788" s="159"/>
      <c r="C3788" s="160"/>
      <c r="D3788" s="130"/>
      <c r="E3788" s="130"/>
      <c r="F3788" s="161"/>
      <c r="G3788" s="164"/>
      <c r="H3788" s="76" t="b">
        <v>0</v>
      </c>
      <c r="I3788" s="76" t="b">
        <v>0</v>
      </c>
      <c r="J3788" s="76" t="b">
        <v>0</v>
      </c>
      <c r="K3788" s="76" t="b">
        <v>0</v>
      </c>
      <c r="L3788" s="76" t="b">
        <v>0</v>
      </c>
      <c r="M3788" s="76" t="b">
        <v>0</v>
      </c>
      <c r="N3788" s="76" t="b">
        <v>0</v>
      </c>
      <c r="O3788" s="76" t="b">
        <v>0</v>
      </c>
      <c r="P3788" s="76" t="b">
        <v>0</v>
      </c>
      <c r="Q3788" s="76" t="b">
        <v>0</v>
      </c>
      <c r="R3788" s="14"/>
      <c r="S3788" s="14"/>
      <c r="T3788" s="14"/>
      <c r="U3788" s="14"/>
      <c r="V3788" s="14"/>
      <c r="W3788" s="14"/>
    </row>
    <row r="3789" ht="31.5" customHeight="1">
      <c r="A3789" s="158"/>
      <c r="B3789" s="159"/>
      <c r="C3789" s="160"/>
      <c r="D3789" s="130"/>
      <c r="E3789" s="130"/>
      <c r="F3789" s="161"/>
      <c r="G3789" s="164"/>
      <c r="H3789" s="76" t="b">
        <v>0</v>
      </c>
      <c r="I3789" s="76" t="b">
        <v>0</v>
      </c>
      <c r="J3789" s="76" t="b">
        <v>0</v>
      </c>
      <c r="K3789" s="76" t="b">
        <v>0</v>
      </c>
      <c r="L3789" s="76" t="b">
        <v>0</v>
      </c>
      <c r="M3789" s="76" t="b">
        <v>0</v>
      </c>
      <c r="N3789" s="76" t="b">
        <v>0</v>
      </c>
      <c r="O3789" s="76" t="b">
        <v>0</v>
      </c>
      <c r="P3789" s="76" t="b">
        <v>0</v>
      </c>
      <c r="Q3789" s="76" t="b">
        <v>0</v>
      </c>
      <c r="R3789" s="14"/>
      <c r="S3789" s="14"/>
      <c r="T3789" s="14"/>
      <c r="U3789" s="14"/>
      <c r="V3789" s="14"/>
      <c r="W3789" s="14"/>
    </row>
    <row r="3790" ht="31.5" customHeight="1">
      <c r="A3790" s="158"/>
      <c r="B3790" s="159"/>
      <c r="C3790" s="160"/>
      <c r="D3790" s="130"/>
      <c r="E3790" s="130"/>
      <c r="F3790" s="161"/>
      <c r="G3790" s="164"/>
      <c r="H3790" s="76" t="b">
        <v>0</v>
      </c>
      <c r="I3790" s="76" t="b">
        <v>0</v>
      </c>
      <c r="J3790" s="76" t="b">
        <v>0</v>
      </c>
      <c r="K3790" s="76" t="b">
        <v>0</v>
      </c>
      <c r="L3790" s="76" t="b">
        <v>0</v>
      </c>
      <c r="M3790" s="76" t="b">
        <v>0</v>
      </c>
      <c r="N3790" s="76" t="b">
        <v>0</v>
      </c>
      <c r="O3790" s="76" t="b">
        <v>0</v>
      </c>
      <c r="P3790" s="76" t="b">
        <v>0</v>
      </c>
      <c r="Q3790" s="76" t="b">
        <v>0</v>
      </c>
      <c r="R3790" s="14"/>
      <c r="S3790" s="14"/>
      <c r="T3790" s="14"/>
      <c r="U3790" s="14"/>
      <c r="V3790" s="14"/>
      <c r="W3790" s="14"/>
    </row>
    <row r="3791" ht="31.5" customHeight="1">
      <c r="A3791" s="158"/>
      <c r="B3791" s="159"/>
      <c r="C3791" s="160"/>
      <c r="D3791" s="130"/>
      <c r="E3791" s="130"/>
      <c r="F3791" s="161"/>
      <c r="G3791" s="164"/>
      <c r="H3791" s="76" t="b">
        <v>0</v>
      </c>
      <c r="I3791" s="76" t="b">
        <v>0</v>
      </c>
      <c r="J3791" s="76" t="b">
        <v>0</v>
      </c>
      <c r="K3791" s="76" t="b">
        <v>0</v>
      </c>
      <c r="L3791" s="76" t="b">
        <v>0</v>
      </c>
      <c r="M3791" s="76" t="b">
        <v>0</v>
      </c>
      <c r="N3791" s="76" t="b">
        <v>0</v>
      </c>
      <c r="O3791" s="76" t="b">
        <v>0</v>
      </c>
      <c r="P3791" s="76" t="b">
        <v>0</v>
      </c>
      <c r="Q3791" s="76" t="b">
        <v>0</v>
      </c>
      <c r="R3791" s="14"/>
      <c r="S3791" s="14"/>
      <c r="T3791" s="14"/>
      <c r="U3791" s="14"/>
      <c r="V3791" s="14"/>
      <c r="W3791" s="14"/>
    </row>
    <row r="3792" ht="31.5" customHeight="1">
      <c r="A3792" s="158"/>
      <c r="B3792" s="159"/>
      <c r="C3792" s="160"/>
      <c r="D3792" s="130"/>
      <c r="E3792" s="130"/>
      <c r="F3792" s="161"/>
      <c r="G3792" s="164"/>
      <c r="H3792" s="76" t="b">
        <v>0</v>
      </c>
      <c r="I3792" s="76" t="b">
        <v>0</v>
      </c>
      <c r="J3792" s="76" t="b">
        <v>0</v>
      </c>
      <c r="K3792" s="76" t="b">
        <v>0</v>
      </c>
      <c r="L3792" s="76" t="b">
        <v>0</v>
      </c>
      <c r="M3792" s="76" t="b">
        <v>0</v>
      </c>
      <c r="N3792" s="76" t="b">
        <v>0</v>
      </c>
      <c r="O3792" s="76" t="b">
        <v>0</v>
      </c>
      <c r="P3792" s="76" t="b">
        <v>0</v>
      </c>
      <c r="Q3792" s="76" t="b">
        <v>0</v>
      </c>
      <c r="R3792" s="14"/>
      <c r="S3792" s="14"/>
      <c r="T3792" s="14"/>
      <c r="U3792" s="14"/>
      <c r="V3792" s="14"/>
      <c r="W3792" s="14"/>
    </row>
    <row r="3793" ht="31.5" customHeight="1">
      <c r="A3793" s="158"/>
      <c r="B3793" s="159"/>
      <c r="C3793" s="160"/>
      <c r="D3793" s="130"/>
      <c r="E3793" s="130"/>
      <c r="F3793" s="161"/>
      <c r="G3793" s="164"/>
      <c r="H3793" s="76" t="b">
        <v>0</v>
      </c>
      <c r="I3793" s="76" t="b">
        <v>0</v>
      </c>
      <c r="J3793" s="76" t="b">
        <v>0</v>
      </c>
      <c r="K3793" s="76" t="b">
        <v>0</v>
      </c>
      <c r="L3793" s="76" t="b">
        <v>0</v>
      </c>
      <c r="M3793" s="76" t="b">
        <v>0</v>
      </c>
      <c r="N3793" s="76" t="b">
        <v>0</v>
      </c>
      <c r="O3793" s="76" t="b">
        <v>0</v>
      </c>
      <c r="P3793" s="76" t="b">
        <v>0</v>
      </c>
      <c r="Q3793" s="76" t="b">
        <v>0</v>
      </c>
      <c r="R3793" s="14"/>
      <c r="S3793" s="14"/>
      <c r="T3793" s="14"/>
      <c r="U3793" s="14"/>
      <c r="V3793" s="14"/>
      <c r="W3793" s="14"/>
    </row>
    <row r="3794" ht="31.5" customHeight="1">
      <c r="A3794" s="158"/>
      <c r="B3794" s="159"/>
      <c r="C3794" s="160"/>
      <c r="D3794" s="130"/>
      <c r="E3794" s="130"/>
      <c r="F3794" s="161"/>
      <c r="G3794" s="164"/>
      <c r="H3794" s="76" t="b">
        <v>0</v>
      </c>
      <c r="I3794" s="76" t="b">
        <v>0</v>
      </c>
      <c r="J3794" s="76" t="b">
        <v>0</v>
      </c>
      <c r="K3794" s="76" t="b">
        <v>0</v>
      </c>
      <c r="L3794" s="76" t="b">
        <v>0</v>
      </c>
      <c r="M3794" s="76" t="b">
        <v>0</v>
      </c>
      <c r="N3794" s="76" t="b">
        <v>0</v>
      </c>
      <c r="O3794" s="76" t="b">
        <v>0</v>
      </c>
      <c r="P3794" s="76" t="b">
        <v>0</v>
      </c>
      <c r="Q3794" s="76" t="b">
        <v>0</v>
      </c>
      <c r="R3794" s="14"/>
      <c r="S3794" s="14"/>
      <c r="T3794" s="14"/>
      <c r="U3794" s="14"/>
      <c r="V3794" s="14"/>
      <c r="W3794" s="14"/>
    </row>
    <row r="3795" ht="31.5" customHeight="1">
      <c r="A3795" s="158"/>
      <c r="B3795" s="159"/>
      <c r="C3795" s="160"/>
      <c r="D3795" s="130"/>
      <c r="E3795" s="130"/>
      <c r="F3795" s="161"/>
      <c r="G3795" s="164"/>
      <c r="H3795" s="76" t="b">
        <v>0</v>
      </c>
      <c r="I3795" s="76" t="b">
        <v>0</v>
      </c>
      <c r="J3795" s="76" t="b">
        <v>0</v>
      </c>
      <c r="K3795" s="76" t="b">
        <v>0</v>
      </c>
      <c r="L3795" s="76" t="b">
        <v>0</v>
      </c>
      <c r="M3795" s="76" t="b">
        <v>0</v>
      </c>
      <c r="N3795" s="76" t="b">
        <v>0</v>
      </c>
      <c r="O3795" s="76" t="b">
        <v>0</v>
      </c>
      <c r="P3795" s="76" t="b">
        <v>0</v>
      </c>
      <c r="Q3795" s="76" t="b">
        <v>0</v>
      </c>
      <c r="R3795" s="14"/>
      <c r="S3795" s="14"/>
      <c r="T3795" s="14"/>
      <c r="U3795" s="14"/>
      <c r="V3795" s="14"/>
      <c r="W3795" s="14"/>
    </row>
    <row r="3796" ht="31.5" customHeight="1">
      <c r="A3796" s="158"/>
      <c r="B3796" s="159"/>
      <c r="C3796" s="160"/>
      <c r="D3796" s="130"/>
      <c r="E3796" s="130"/>
      <c r="F3796" s="161"/>
      <c r="G3796" s="164"/>
      <c r="H3796" s="76" t="b">
        <v>0</v>
      </c>
      <c r="I3796" s="76" t="b">
        <v>0</v>
      </c>
      <c r="J3796" s="76" t="b">
        <v>0</v>
      </c>
      <c r="K3796" s="76" t="b">
        <v>0</v>
      </c>
      <c r="L3796" s="76" t="b">
        <v>0</v>
      </c>
      <c r="M3796" s="76" t="b">
        <v>0</v>
      </c>
      <c r="N3796" s="76" t="b">
        <v>0</v>
      </c>
      <c r="O3796" s="76" t="b">
        <v>0</v>
      </c>
      <c r="P3796" s="76" t="b">
        <v>0</v>
      </c>
      <c r="Q3796" s="76" t="b">
        <v>0</v>
      </c>
      <c r="R3796" s="14"/>
      <c r="S3796" s="14"/>
      <c r="T3796" s="14"/>
      <c r="U3796" s="14"/>
      <c r="V3796" s="14"/>
      <c r="W3796" s="14"/>
    </row>
    <row r="3797" ht="31.5" customHeight="1">
      <c r="A3797" s="158"/>
      <c r="B3797" s="159"/>
      <c r="C3797" s="160"/>
      <c r="D3797" s="130"/>
      <c r="E3797" s="130"/>
      <c r="F3797" s="161"/>
      <c r="G3797" s="164"/>
      <c r="H3797" s="76" t="b">
        <v>0</v>
      </c>
      <c r="I3797" s="76" t="b">
        <v>0</v>
      </c>
      <c r="J3797" s="76" t="b">
        <v>0</v>
      </c>
      <c r="K3797" s="76" t="b">
        <v>0</v>
      </c>
      <c r="L3797" s="76" t="b">
        <v>0</v>
      </c>
      <c r="M3797" s="76" t="b">
        <v>0</v>
      </c>
      <c r="N3797" s="76" t="b">
        <v>0</v>
      </c>
      <c r="O3797" s="76" t="b">
        <v>0</v>
      </c>
      <c r="P3797" s="76" t="b">
        <v>0</v>
      </c>
      <c r="Q3797" s="76" t="b">
        <v>0</v>
      </c>
      <c r="R3797" s="14"/>
      <c r="S3797" s="14"/>
      <c r="T3797" s="14"/>
      <c r="U3797" s="14"/>
      <c r="V3797" s="14"/>
      <c r="W3797" s="14"/>
    </row>
    <row r="3798" ht="31.5" customHeight="1">
      <c r="A3798" s="158"/>
      <c r="B3798" s="159"/>
      <c r="C3798" s="160"/>
      <c r="D3798" s="130"/>
      <c r="E3798" s="130"/>
      <c r="F3798" s="161"/>
      <c r="G3798" s="164"/>
      <c r="H3798" s="76" t="b">
        <v>0</v>
      </c>
      <c r="I3798" s="76" t="b">
        <v>0</v>
      </c>
      <c r="J3798" s="76" t="b">
        <v>0</v>
      </c>
      <c r="K3798" s="76" t="b">
        <v>0</v>
      </c>
      <c r="L3798" s="76" t="b">
        <v>0</v>
      </c>
      <c r="M3798" s="76" t="b">
        <v>0</v>
      </c>
      <c r="N3798" s="76" t="b">
        <v>0</v>
      </c>
      <c r="O3798" s="76" t="b">
        <v>0</v>
      </c>
      <c r="P3798" s="76" t="b">
        <v>0</v>
      </c>
      <c r="Q3798" s="76" t="b">
        <v>0</v>
      </c>
      <c r="R3798" s="14"/>
      <c r="S3798" s="14"/>
      <c r="T3798" s="14"/>
      <c r="U3798" s="14"/>
      <c r="V3798" s="14"/>
      <c r="W3798" s="14"/>
    </row>
    <row r="3799" ht="31.5" customHeight="1">
      <c r="A3799" s="158"/>
      <c r="B3799" s="159"/>
      <c r="C3799" s="160"/>
      <c r="D3799" s="130"/>
      <c r="E3799" s="130"/>
      <c r="F3799" s="161"/>
      <c r="G3799" s="164"/>
      <c r="H3799" s="76" t="b">
        <v>0</v>
      </c>
      <c r="I3799" s="76" t="b">
        <v>0</v>
      </c>
      <c r="J3799" s="76" t="b">
        <v>0</v>
      </c>
      <c r="K3799" s="76" t="b">
        <v>0</v>
      </c>
      <c r="L3799" s="76" t="b">
        <v>0</v>
      </c>
      <c r="M3799" s="76" t="b">
        <v>0</v>
      </c>
      <c r="N3799" s="76" t="b">
        <v>0</v>
      </c>
      <c r="O3799" s="76" t="b">
        <v>0</v>
      </c>
      <c r="P3799" s="76" t="b">
        <v>0</v>
      </c>
      <c r="Q3799" s="76" t="b">
        <v>0</v>
      </c>
      <c r="R3799" s="14"/>
      <c r="S3799" s="14"/>
      <c r="T3799" s="14"/>
      <c r="U3799" s="14"/>
      <c r="V3799" s="14"/>
      <c r="W3799" s="14"/>
    </row>
    <row r="3800" ht="31.5" customHeight="1">
      <c r="A3800" s="158"/>
      <c r="B3800" s="159"/>
      <c r="C3800" s="160"/>
      <c r="D3800" s="130"/>
      <c r="E3800" s="130"/>
      <c r="F3800" s="161"/>
      <c r="G3800" s="164"/>
      <c r="H3800" s="76" t="b">
        <v>0</v>
      </c>
      <c r="I3800" s="76" t="b">
        <v>0</v>
      </c>
      <c r="J3800" s="76" t="b">
        <v>0</v>
      </c>
      <c r="K3800" s="76" t="b">
        <v>0</v>
      </c>
      <c r="L3800" s="76" t="b">
        <v>0</v>
      </c>
      <c r="M3800" s="76" t="b">
        <v>0</v>
      </c>
      <c r="N3800" s="76" t="b">
        <v>0</v>
      </c>
      <c r="O3800" s="76" t="b">
        <v>0</v>
      </c>
      <c r="P3800" s="76" t="b">
        <v>0</v>
      </c>
      <c r="Q3800" s="76" t="b">
        <v>0</v>
      </c>
      <c r="R3800" s="14"/>
      <c r="S3800" s="14"/>
      <c r="T3800" s="14"/>
      <c r="U3800" s="14"/>
      <c r="V3800" s="14"/>
      <c r="W3800" s="14"/>
    </row>
    <row r="3801" ht="31.5" customHeight="1">
      <c r="A3801" s="158"/>
      <c r="B3801" s="159"/>
      <c r="C3801" s="160"/>
      <c r="D3801" s="130"/>
      <c r="E3801" s="130"/>
      <c r="F3801" s="161"/>
      <c r="G3801" s="164"/>
      <c r="H3801" s="76" t="b">
        <v>1</v>
      </c>
      <c r="I3801" s="76" t="b">
        <v>0</v>
      </c>
      <c r="J3801" s="76" t="b">
        <v>0</v>
      </c>
      <c r="K3801" s="76" t="b">
        <v>0</v>
      </c>
      <c r="L3801" s="76" t="b">
        <v>0</v>
      </c>
      <c r="M3801" s="76" t="b">
        <v>0</v>
      </c>
      <c r="N3801" s="76" t="b">
        <v>0</v>
      </c>
      <c r="O3801" s="76" t="b">
        <v>0</v>
      </c>
      <c r="P3801" s="76" t="b">
        <v>0</v>
      </c>
      <c r="Q3801" s="76" t="b">
        <v>0</v>
      </c>
      <c r="R3801" s="14"/>
      <c r="S3801" s="14"/>
      <c r="T3801" s="14"/>
      <c r="U3801" s="14"/>
      <c r="V3801" s="14"/>
      <c r="W3801" s="14"/>
    </row>
    <row r="3802" ht="31.5" customHeight="1">
      <c r="A3802" s="158"/>
      <c r="B3802" s="159"/>
      <c r="C3802" s="160"/>
      <c r="D3802" s="130"/>
      <c r="E3802" s="130"/>
      <c r="F3802" s="161"/>
      <c r="G3802" s="164"/>
      <c r="H3802" s="76" t="b">
        <v>1</v>
      </c>
      <c r="I3802" s="76" t="b">
        <v>0</v>
      </c>
      <c r="J3802" s="76" t="b">
        <v>0</v>
      </c>
      <c r="K3802" s="76" t="b">
        <v>0</v>
      </c>
      <c r="L3802" s="76" t="b">
        <v>0</v>
      </c>
      <c r="M3802" s="76" t="b">
        <v>0</v>
      </c>
      <c r="N3802" s="76" t="b">
        <v>0</v>
      </c>
      <c r="O3802" s="76" t="b">
        <v>0</v>
      </c>
      <c r="P3802" s="76" t="b">
        <v>0</v>
      </c>
      <c r="Q3802" s="76" t="b">
        <v>0</v>
      </c>
      <c r="R3802" s="14"/>
      <c r="S3802" s="14"/>
      <c r="T3802" s="14"/>
      <c r="U3802" s="14"/>
      <c r="V3802" s="14"/>
      <c r="W3802" s="14"/>
    </row>
    <row r="3803" ht="31.5" customHeight="1">
      <c r="A3803" s="158"/>
      <c r="B3803" s="159"/>
      <c r="C3803" s="160"/>
      <c r="D3803" s="130"/>
      <c r="E3803" s="130"/>
      <c r="F3803" s="161"/>
      <c r="G3803" s="164"/>
      <c r="H3803" s="76" t="b">
        <v>1</v>
      </c>
      <c r="I3803" s="76" t="b">
        <v>0</v>
      </c>
      <c r="J3803" s="76" t="b">
        <v>0</v>
      </c>
      <c r="K3803" s="76" t="b">
        <v>0</v>
      </c>
      <c r="L3803" s="76" t="b">
        <v>0</v>
      </c>
      <c r="M3803" s="76" t="b">
        <v>0</v>
      </c>
      <c r="N3803" s="76" t="b">
        <v>0</v>
      </c>
      <c r="O3803" s="76" t="b">
        <v>0</v>
      </c>
      <c r="P3803" s="76" t="b">
        <v>0</v>
      </c>
      <c r="Q3803" s="76" t="b">
        <v>0</v>
      </c>
      <c r="R3803" s="14"/>
      <c r="S3803" s="14"/>
      <c r="T3803" s="14"/>
      <c r="U3803" s="14"/>
      <c r="V3803" s="14"/>
      <c r="W3803" s="14"/>
    </row>
    <row r="3804" ht="31.5" customHeight="1">
      <c r="A3804" s="158"/>
      <c r="B3804" s="159"/>
      <c r="C3804" s="160"/>
      <c r="D3804" s="130"/>
      <c r="E3804" s="130"/>
      <c r="F3804" s="161"/>
      <c r="G3804" s="164"/>
      <c r="H3804" s="76" t="b">
        <v>1</v>
      </c>
      <c r="I3804" s="76" t="b">
        <v>0</v>
      </c>
      <c r="J3804" s="76" t="b">
        <v>0</v>
      </c>
      <c r="K3804" s="76" t="b">
        <v>0</v>
      </c>
      <c r="L3804" s="76" t="b">
        <v>0</v>
      </c>
      <c r="M3804" s="76" t="b">
        <v>0</v>
      </c>
      <c r="N3804" s="76" t="b">
        <v>0</v>
      </c>
      <c r="O3804" s="76" t="b">
        <v>0</v>
      </c>
      <c r="P3804" s="76" t="b">
        <v>0</v>
      </c>
      <c r="Q3804" s="76" t="b">
        <v>0</v>
      </c>
      <c r="R3804" s="14"/>
      <c r="S3804" s="14"/>
      <c r="T3804" s="14"/>
      <c r="U3804" s="14"/>
      <c r="V3804" s="14"/>
      <c r="W3804" s="14"/>
    </row>
    <row r="3805" ht="31.5" customHeight="1">
      <c r="A3805" s="158"/>
      <c r="B3805" s="159"/>
      <c r="C3805" s="160"/>
      <c r="D3805" s="130"/>
      <c r="E3805" s="130"/>
      <c r="F3805" s="161"/>
      <c r="G3805" s="164"/>
      <c r="H3805" s="76" t="b">
        <v>1</v>
      </c>
      <c r="I3805" s="76" t="b">
        <v>0</v>
      </c>
      <c r="J3805" s="76" t="b">
        <v>0</v>
      </c>
      <c r="K3805" s="76" t="b">
        <v>0</v>
      </c>
      <c r="L3805" s="76" t="b">
        <v>0</v>
      </c>
      <c r="M3805" s="76" t="b">
        <v>0</v>
      </c>
      <c r="N3805" s="76" t="b">
        <v>0</v>
      </c>
      <c r="O3805" s="76" t="b">
        <v>0</v>
      </c>
      <c r="P3805" s="76" t="b">
        <v>0</v>
      </c>
      <c r="Q3805" s="76" t="b">
        <v>0</v>
      </c>
      <c r="R3805" s="14"/>
      <c r="S3805" s="14"/>
      <c r="T3805" s="14"/>
      <c r="U3805" s="14"/>
      <c r="V3805" s="14"/>
      <c r="W3805" s="14"/>
    </row>
    <row r="3806" ht="31.5" customHeight="1">
      <c r="A3806" s="158"/>
      <c r="B3806" s="159"/>
      <c r="C3806" s="160"/>
      <c r="D3806" s="130"/>
      <c r="E3806" s="130"/>
      <c r="F3806" s="161"/>
      <c r="G3806" s="164"/>
      <c r="H3806" s="76" t="b">
        <v>1</v>
      </c>
      <c r="I3806" s="76" t="b">
        <v>0</v>
      </c>
      <c r="J3806" s="76" t="b">
        <v>0</v>
      </c>
      <c r="K3806" s="76" t="b">
        <v>0</v>
      </c>
      <c r="L3806" s="76" t="b">
        <v>0</v>
      </c>
      <c r="M3806" s="76" t="b">
        <v>0</v>
      </c>
      <c r="N3806" s="76" t="b">
        <v>0</v>
      </c>
      <c r="O3806" s="76" t="b">
        <v>0</v>
      </c>
      <c r="P3806" s="76" t="b">
        <v>0</v>
      </c>
      <c r="Q3806" s="76" t="b">
        <v>0</v>
      </c>
      <c r="R3806" s="14"/>
      <c r="S3806" s="14"/>
      <c r="T3806" s="14"/>
      <c r="U3806" s="14"/>
      <c r="V3806" s="14"/>
      <c r="W3806" s="14"/>
    </row>
    <row r="3807" ht="31.5" customHeight="1">
      <c r="A3807" s="158"/>
      <c r="B3807" s="159"/>
      <c r="C3807" s="160"/>
      <c r="D3807" s="130"/>
      <c r="E3807" s="130"/>
      <c r="F3807" s="161"/>
      <c r="G3807" s="164"/>
      <c r="H3807" s="76" t="b">
        <v>1</v>
      </c>
      <c r="I3807" s="76" t="b">
        <v>0</v>
      </c>
      <c r="J3807" s="76" t="b">
        <v>0</v>
      </c>
      <c r="K3807" s="76" t="b">
        <v>0</v>
      </c>
      <c r="L3807" s="76" t="b">
        <v>0</v>
      </c>
      <c r="M3807" s="76" t="b">
        <v>0</v>
      </c>
      <c r="N3807" s="76" t="b">
        <v>0</v>
      </c>
      <c r="O3807" s="76" t="b">
        <v>0</v>
      </c>
      <c r="P3807" s="76" t="b">
        <v>0</v>
      </c>
      <c r="Q3807" s="76" t="b">
        <v>0</v>
      </c>
      <c r="R3807" s="14"/>
      <c r="S3807" s="14"/>
      <c r="T3807" s="14"/>
      <c r="U3807" s="14"/>
      <c r="V3807" s="14"/>
      <c r="W3807" s="14"/>
    </row>
    <row r="3808" ht="31.5" customHeight="1">
      <c r="A3808" s="158"/>
      <c r="B3808" s="159"/>
      <c r="C3808" s="160"/>
      <c r="D3808" s="130"/>
      <c r="E3808" s="130"/>
      <c r="F3808" s="161"/>
      <c r="G3808" s="164"/>
      <c r="H3808" s="76" t="b">
        <v>1</v>
      </c>
      <c r="I3808" s="76" t="b">
        <v>0</v>
      </c>
      <c r="J3808" s="76" t="b">
        <v>0</v>
      </c>
      <c r="K3808" s="76" t="b">
        <v>0</v>
      </c>
      <c r="L3808" s="76" t="b">
        <v>0</v>
      </c>
      <c r="M3808" s="76" t="b">
        <v>0</v>
      </c>
      <c r="N3808" s="76" t="b">
        <v>0</v>
      </c>
      <c r="O3808" s="76" t="b">
        <v>0</v>
      </c>
      <c r="P3808" s="76" t="b">
        <v>0</v>
      </c>
      <c r="Q3808" s="76" t="b">
        <v>0</v>
      </c>
      <c r="R3808" s="14"/>
      <c r="S3808" s="14"/>
      <c r="T3808" s="14"/>
      <c r="U3808" s="14"/>
      <c r="V3808" s="14"/>
      <c r="W3808" s="14"/>
    </row>
    <row r="3809" ht="31.5" customHeight="1">
      <c r="A3809" s="158"/>
      <c r="B3809" s="159"/>
      <c r="C3809" s="160"/>
      <c r="D3809" s="130"/>
      <c r="E3809" s="130"/>
      <c r="F3809" s="161"/>
      <c r="G3809" s="164"/>
      <c r="H3809" s="76" t="b">
        <v>1</v>
      </c>
      <c r="I3809" s="76" t="b">
        <v>0</v>
      </c>
      <c r="J3809" s="76" t="b">
        <v>0</v>
      </c>
      <c r="K3809" s="76" t="b">
        <v>0</v>
      </c>
      <c r="L3809" s="76" t="b">
        <v>0</v>
      </c>
      <c r="M3809" s="76" t="b">
        <v>0</v>
      </c>
      <c r="N3809" s="76" t="b">
        <v>0</v>
      </c>
      <c r="O3809" s="76" t="b">
        <v>0</v>
      </c>
      <c r="P3809" s="76" t="b">
        <v>0</v>
      </c>
      <c r="Q3809" s="76" t="b">
        <v>0</v>
      </c>
      <c r="R3809" s="14"/>
      <c r="S3809" s="14"/>
      <c r="T3809" s="14"/>
      <c r="U3809" s="14"/>
      <c r="V3809" s="14"/>
      <c r="W3809" s="14"/>
    </row>
    <row r="3810" ht="31.5" customHeight="1">
      <c r="A3810" s="158"/>
      <c r="B3810" s="159"/>
      <c r="C3810" s="160"/>
      <c r="D3810" s="130"/>
      <c r="E3810" s="130"/>
      <c r="F3810" s="161"/>
      <c r="G3810" s="164"/>
      <c r="H3810" s="76" t="b">
        <v>1</v>
      </c>
      <c r="I3810" s="76" t="b">
        <v>0</v>
      </c>
      <c r="J3810" s="76" t="b">
        <v>0</v>
      </c>
      <c r="K3810" s="76" t="b">
        <v>0</v>
      </c>
      <c r="L3810" s="76" t="b">
        <v>0</v>
      </c>
      <c r="M3810" s="76" t="b">
        <v>0</v>
      </c>
      <c r="N3810" s="76" t="b">
        <v>0</v>
      </c>
      <c r="O3810" s="76" t="b">
        <v>0</v>
      </c>
      <c r="P3810" s="76" t="b">
        <v>0</v>
      </c>
      <c r="Q3810" s="76" t="b">
        <v>0</v>
      </c>
      <c r="R3810" s="14"/>
      <c r="S3810" s="14"/>
      <c r="T3810" s="14"/>
      <c r="U3810" s="14"/>
      <c r="V3810" s="14"/>
      <c r="W3810" s="14"/>
    </row>
    <row r="3811" ht="31.5" customHeight="1">
      <c r="A3811" s="158"/>
      <c r="B3811" s="159"/>
      <c r="C3811" s="160"/>
      <c r="D3811" s="130"/>
      <c r="E3811" s="130"/>
      <c r="F3811" s="161"/>
      <c r="G3811" s="164"/>
      <c r="H3811" s="76" t="b">
        <v>1</v>
      </c>
      <c r="I3811" s="76" t="b">
        <v>0</v>
      </c>
      <c r="J3811" s="76" t="b">
        <v>0</v>
      </c>
      <c r="K3811" s="76" t="b">
        <v>0</v>
      </c>
      <c r="L3811" s="76" t="b">
        <v>0</v>
      </c>
      <c r="M3811" s="76" t="b">
        <v>0</v>
      </c>
      <c r="N3811" s="76" t="b">
        <v>0</v>
      </c>
      <c r="O3811" s="76" t="b">
        <v>0</v>
      </c>
      <c r="P3811" s="76" t="b">
        <v>0</v>
      </c>
      <c r="Q3811" s="76" t="b">
        <v>0</v>
      </c>
      <c r="R3811" s="14"/>
      <c r="S3811" s="14"/>
      <c r="T3811" s="14"/>
      <c r="U3811" s="14"/>
      <c r="V3811" s="14"/>
      <c r="W3811" s="14"/>
    </row>
    <row r="3812" ht="31.5" customHeight="1">
      <c r="A3812" s="158"/>
      <c r="B3812" s="159"/>
      <c r="C3812" s="160"/>
      <c r="D3812" s="130"/>
      <c r="E3812" s="130"/>
      <c r="F3812" s="161"/>
      <c r="G3812" s="164"/>
      <c r="H3812" s="76" t="b">
        <v>1</v>
      </c>
      <c r="I3812" s="76" t="b">
        <v>0</v>
      </c>
      <c r="J3812" s="76" t="b">
        <v>0</v>
      </c>
      <c r="K3812" s="76" t="b">
        <v>0</v>
      </c>
      <c r="L3812" s="76" t="b">
        <v>0</v>
      </c>
      <c r="M3812" s="76" t="b">
        <v>0</v>
      </c>
      <c r="N3812" s="76" t="b">
        <v>0</v>
      </c>
      <c r="O3812" s="76" t="b">
        <v>0</v>
      </c>
      <c r="P3812" s="76" t="b">
        <v>0</v>
      </c>
      <c r="Q3812" s="76" t="b">
        <v>0</v>
      </c>
      <c r="R3812" s="14"/>
      <c r="S3812" s="14"/>
      <c r="T3812" s="14"/>
      <c r="U3812" s="14"/>
      <c r="V3812" s="14"/>
      <c r="W3812" s="14"/>
    </row>
    <row r="3813" ht="31.5" customHeight="1">
      <c r="A3813" s="158"/>
      <c r="B3813" s="159"/>
      <c r="C3813" s="160"/>
      <c r="D3813" s="130"/>
      <c r="E3813" s="130"/>
      <c r="F3813" s="161"/>
      <c r="G3813" s="164"/>
      <c r="H3813" s="76" t="b">
        <v>1</v>
      </c>
      <c r="I3813" s="76" t="b">
        <v>0</v>
      </c>
      <c r="J3813" s="76" t="b">
        <v>0</v>
      </c>
      <c r="K3813" s="76" t="b">
        <v>0</v>
      </c>
      <c r="L3813" s="76" t="b">
        <v>0</v>
      </c>
      <c r="M3813" s="76" t="b">
        <v>0</v>
      </c>
      <c r="N3813" s="76" t="b">
        <v>0</v>
      </c>
      <c r="O3813" s="76" t="b">
        <v>0</v>
      </c>
      <c r="P3813" s="76" t="b">
        <v>0</v>
      </c>
      <c r="Q3813" s="76" t="b">
        <v>0</v>
      </c>
      <c r="R3813" s="14"/>
      <c r="S3813" s="14"/>
      <c r="T3813" s="14"/>
      <c r="U3813" s="14"/>
      <c r="V3813" s="14"/>
      <c r="W3813" s="14"/>
    </row>
    <row r="3814" ht="31.5" customHeight="1">
      <c r="A3814" s="158"/>
      <c r="B3814" s="159"/>
      <c r="C3814" s="160"/>
      <c r="D3814" s="130"/>
      <c r="E3814" s="130"/>
      <c r="F3814" s="161"/>
      <c r="G3814" s="164"/>
      <c r="H3814" s="76" t="b">
        <v>1</v>
      </c>
      <c r="I3814" s="76" t="b">
        <v>0</v>
      </c>
      <c r="J3814" s="76" t="b">
        <v>0</v>
      </c>
      <c r="K3814" s="76" t="b">
        <v>0</v>
      </c>
      <c r="L3814" s="76" t="b">
        <v>0</v>
      </c>
      <c r="M3814" s="76" t="b">
        <v>0</v>
      </c>
      <c r="N3814" s="76" t="b">
        <v>0</v>
      </c>
      <c r="O3814" s="76" t="b">
        <v>0</v>
      </c>
      <c r="P3814" s="76" t="b">
        <v>0</v>
      </c>
      <c r="Q3814" s="76" t="b">
        <v>0</v>
      </c>
      <c r="R3814" s="14"/>
      <c r="S3814" s="14"/>
      <c r="T3814" s="14"/>
      <c r="U3814" s="14"/>
      <c r="V3814" s="14"/>
      <c r="W3814" s="14"/>
    </row>
    <row r="3815" ht="31.5" customHeight="1">
      <c r="A3815" s="158"/>
      <c r="B3815" s="159"/>
      <c r="C3815" s="160"/>
      <c r="D3815" s="130"/>
      <c r="E3815" s="130"/>
      <c r="F3815" s="161"/>
      <c r="G3815" s="164"/>
      <c r="H3815" s="76" t="b">
        <v>1</v>
      </c>
      <c r="I3815" s="76" t="b">
        <v>0</v>
      </c>
      <c r="J3815" s="76" t="b">
        <v>0</v>
      </c>
      <c r="K3815" s="76" t="b">
        <v>0</v>
      </c>
      <c r="L3815" s="76" t="b">
        <v>0</v>
      </c>
      <c r="M3815" s="76" t="b">
        <v>0</v>
      </c>
      <c r="N3815" s="76" t="b">
        <v>0</v>
      </c>
      <c r="O3815" s="76" t="b">
        <v>0</v>
      </c>
      <c r="P3815" s="76" t="b">
        <v>0</v>
      </c>
      <c r="Q3815" s="76" t="b">
        <v>0</v>
      </c>
      <c r="R3815" s="14"/>
      <c r="S3815" s="14"/>
      <c r="T3815" s="14"/>
      <c r="U3815" s="14"/>
      <c r="V3815" s="14"/>
      <c r="W3815" s="14"/>
    </row>
    <row r="3816" ht="31.5" customHeight="1">
      <c r="A3816" s="158"/>
      <c r="B3816" s="159"/>
      <c r="C3816" s="160"/>
      <c r="D3816" s="130"/>
      <c r="E3816" s="130"/>
      <c r="F3816" s="161"/>
      <c r="G3816" s="164"/>
      <c r="H3816" s="76" t="b">
        <v>1</v>
      </c>
      <c r="I3816" s="76" t="b">
        <v>0</v>
      </c>
      <c r="J3816" s="76" t="b">
        <v>0</v>
      </c>
      <c r="K3816" s="76" t="b">
        <v>0</v>
      </c>
      <c r="L3816" s="76" t="b">
        <v>0</v>
      </c>
      <c r="M3816" s="76" t="b">
        <v>0</v>
      </c>
      <c r="N3816" s="76" t="b">
        <v>0</v>
      </c>
      <c r="O3816" s="76" t="b">
        <v>0</v>
      </c>
      <c r="P3816" s="76" t="b">
        <v>0</v>
      </c>
      <c r="Q3816" s="76" t="b">
        <v>0</v>
      </c>
      <c r="R3816" s="14"/>
      <c r="S3816" s="14"/>
      <c r="T3816" s="14"/>
      <c r="U3816" s="14"/>
      <c r="V3816" s="14"/>
      <c r="W3816" s="14"/>
    </row>
    <row r="3817" ht="31.5" customHeight="1">
      <c r="A3817" s="158"/>
      <c r="B3817" s="159"/>
      <c r="C3817" s="160"/>
      <c r="D3817" s="130"/>
      <c r="E3817" s="130"/>
      <c r="F3817" s="161"/>
      <c r="G3817" s="164"/>
      <c r="H3817" s="76" t="b">
        <v>1</v>
      </c>
      <c r="I3817" s="76" t="b">
        <v>0</v>
      </c>
      <c r="J3817" s="76" t="b">
        <v>0</v>
      </c>
      <c r="K3817" s="76" t="b">
        <v>0</v>
      </c>
      <c r="L3817" s="76" t="b">
        <v>0</v>
      </c>
      <c r="M3817" s="76" t="b">
        <v>0</v>
      </c>
      <c r="N3817" s="76" t="b">
        <v>0</v>
      </c>
      <c r="O3817" s="76" t="b">
        <v>0</v>
      </c>
      <c r="P3817" s="76" t="b">
        <v>0</v>
      </c>
      <c r="Q3817" s="76" t="b">
        <v>0</v>
      </c>
      <c r="R3817" s="14"/>
      <c r="S3817" s="14"/>
      <c r="T3817" s="14"/>
      <c r="U3817" s="14"/>
      <c r="V3817" s="14"/>
      <c r="W3817" s="14"/>
    </row>
    <row r="3818" ht="31.5" customHeight="1">
      <c r="A3818" s="158"/>
      <c r="B3818" s="159"/>
      <c r="C3818" s="160"/>
      <c r="D3818" s="130"/>
      <c r="E3818" s="130"/>
      <c r="F3818" s="161"/>
      <c r="G3818" s="164"/>
      <c r="H3818" s="76" t="b">
        <v>1</v>
      </c>
      <c r="I3818" s="76" t="b">
        <v>0</v>
      </c>
      <c r="J3818" s="76" t="b">
        <v>0</v>
      </c>
      <c r="K3818" s="76" t="b">
        <v>0</v>
      </c>
      <c r="L3818" s="76" t="b">
        <v>0</v>
      </c>
      <c r="M3818" s="76" t="b">
        <v>0</v>
      </c>
      <c r="N3818" s="76" t="b">
        <v>0</v>
      </c>
      <c r="O3818" s="76" t="b">
        <v>0</v>
      </c>
      <c r="P3818" s="76" t="b">
        <v>0</v>
      </c>
      <c r="Q3818" s="76" t="b">
        <v>0</v>
      </c>
      <c r="R3818" s="14"/>
      <c r="S3818" s="14"/>
      <c r="T3818" s="14"/>
      <c r="U3818" s="14"/>
      <c r="V3818" s="14"/>
      <c r="W3818" s="14"/>
    </row>
    <row r="3819" ht="31.5" customHeight="1">
      <c r="A3819" s="158"/>
      <c r="B3819" s="159"/>
      <c r="C3819" s="160"/>
      <c r="D3819" s="130"/>
      <c r="E3819" s="130"/>
      <c r="F3819" s="161"/>
      <c r="G3819" s="164"/>
      <c r="H3819" s="76" t="b">
        <v>1</v>
      </c>
      <c r="I3819" s="76" t="b">
        <v>0</v>
      </c>
      <c r="J3819" s="76" t="b">
        <v>0</v>
      </c>
      <c r="K3819" s="76" t="b">
        <v>0</v>
      </c>
      <c r="L3819" s="76" t="b">
        <v>0</v>
      </c>
      <c r="M3819" s="76" t="b">
        <v>0</v>
      </c>
      <c r="N3819" s="76" t="b">
        <v>0</v>
      </c>
      <c r="O3819" s="76" t="b">
        <v>0</v>
      </c>
      <c r="P3819" s="76" t="b">
        <v>0</v>
      </c>
      <c r="Q3819" s="76" t="b">
        <v>0</v>
      </c>
      <c r="R3819" s="14"/>
      <c r="S3819" s="14"/>
      <c r="T3819" s="14"/>
      <c r="U3819" s="14"/>
      <c r="V3819" s="14"/>
      <c r="W3819" s="14"/>
    </row>
    <row r="3820" ht="31.5" customHeight="1">
      <c r="A3820" s="158"/>
      <c r="B3820" s="159"/>
      <c r="C3820" s="160"/>
      <c r="D3820" s="130"/>
      <c r="E3820" s="130"/>
      <c r="F3820" s="161"/>
      <c r="G3820" s="164"/>
      <c r="H3820" s="76" t="b">
        <v>1</v>
      </c>
      <c r="I3820" s="76" t="b">
        <v>0</v>
      </c>
      <c r="J3820" s="76" t="b">
        <v>0</v>
      </c>
      <c r="K3820" s="76" t="b">
        <v>0</v>
      </c>
      <c r="L3820" s="76" t="b">
        <v>0</v>
      </c>
      <c r="M3820" s="76" t="b">
        <v>0</v>
      </c>
      <c r="N3820" s="76" t="b">
        <v>0</v>
      </c>
      <c r="O3820" s="76" t="b">
        <v>0</v>
      </c>
      <c r="P3820" s="76" t="b">
        <v>0</v>
      </c>
      <c r="Q3820" s="76" t="b">
        <v>0</v>
      </c>
      <c r="R3820" s="14"/>
      <c r="S3820" s="14"/>
      <c r="T3820" s="14"/>
      <c r="U3820" s="14"/>
      <c r="V3820" s="14"/>
      <c r="W3820" s="14"/>
    </row>
    <row r="3821" ht="31.5" customHeight="1">
      <c r="A3821" s="158"/>
      <c r="B3821" s="159"/>
      <c r="C3821" s="160"/>
      <c r="D3821" s="130"/>
      <c r="E3821" s="130"/>
      <c r="F3821" s="161"/>
      <c r="G3821" s="164"/>
      <c r="H3821" s="76" t="b">
        <v>1</v>
      </c>
      <c r="I3821" s="76" t="b">
        <v>0</v>
      </c>
      <c r="J3821" s="76" t="b">
        <v>0</v>
      </c>
      <c r="K3821" s="76" t="b">
        <v>0</v>
      </c>
      <c r="L3821" s="76" t="b">
        <v>0</v>
      </c>
      <c r="M3821" s="76" t="b">
        <v>0</v>
      </c>
      <c r="N3821" s="76" t="b">
        <v>0</v>
      </c>
      <c r="O3821" s="76" t="b">
        <v>0</v>
      </c>
      <c r="P3821" s="76" t="b">
        <v>0</v>
      </c>
      <c r="Q3821" s="76" t="b">
        <v>0</v>
      </c>
      <c r="R3821" s="14"/>
      <c r="S3821" s="14"/>
      <c r="T3821" s="14"/>
      <c r="U3821" s="14"/>
      <c r="V3821" s="14"/>
      <c r="W3821" s="14"/>
    </row>
    <row r="3822" ht="31.5" customHeight="1">
      <c r="A3822" s="158"/>
      <c r="B3822" s="159"/>
      <c r="C3822" s="160"/>
      <c r="D3822" s="130"/>
      <c r="E3822" s="130"/>
      <c r="F3822" s="161"/>
      <c r="G3822" s="164"/>
      <c r="H3822" s="76" t="b">
        <v>1</v>
      </c>
      <c r="I3822" s="76" t="b">
        <v>0</v>
      </c>
      <c r="J3822" s="76" t="b">
        <v>0</v>
      </c>
      <c r="K3822" s="76" t="b">
        <v>0</v>
      </c>
      <c r="L3822" s="76" t="b">
        <v>0</v>
      </c>
      <c r="M3822" s="76" t="b">
        <v>0</v>
      </c>
      <c r="N3822" s="76" t="b">
        <v>0</v>
      </c>
      <c r="O3822" s="76" t="b">
        <v>0</v>
      </c>
      <c r="P3822" s="76" t="b">
        <v>0</v>
      </c>
      <c r="Q3822" s="76" t="b">
        <v>0</v>
      </c>
      <c r="R3822" s="14"/>
      <c r="S3822" s="14"/>
      <c r="T3822" s="14"/>
      <c r="U3822" s="14"/>
      <c r="V3822" s="14"/>
      <c r="W3822" s="14"/>
    </row>
    <row r="3823" ht="31.5" customHeight="1">
      <c r="A3823" s="158"/>
      <c r="B3823" s="159"/>
      <c r="C3823" s="160"/>
      <c r="D3823" s="130"/>
      <c r="E3823" s="130"/>
      <c r="F3823" s="161"/>
      <c r="G3823" s="164"/>
      <c r="H3823" s="76" t="b">
        <v>1</v>
      </c>
      <c r="I3823" s="76" t="b">
        <v>0</v>
      </c>
      <c r="J3823" s="76" t="b">
        <v>0</v>
      </c>
      <c r="K3823" s="76" t="b">
        <v>0</v>
      </c>
      <c r="L3823" s="76" t="b">
        <v>0</v>
      </c>
      <c r="M3823" s="76" t="b">
        <v>0</v>
      </c>
      <c r="N3823" s="76" t="b">
        <v>0</v>
      </c>
      <c r="O3823" s="76" t="b">
        <v>0</v>
      </c>
      <c r="P3823" s="76" t="b">
        <v>0</v>
      </c>
      <c r="Q3823" s="76" t="b">
        <v>0</v>
      </c>
      <c r="R3823" s="14"/>
      <c r="S3823" s="14"/>
      <c r="T3823" s="14"/>
      <c r="U3823" s="14"/>
      <c r="V3823" s="14"/>
      <c r="W3823" s="14"/>
    </row>
    <row r="3824" ht="31.5" customHeight="1">
      <c r="A3824" s="158"/>
      <c r="B3824" s="159"/>
      <c r="C3824" s="160"/>
      <c r="D3824" s="130"/>
      <c r="E3824" s="130"/>
      <c r="F3824" s="161"/>
      <c r="G3824" s="164"/>
      <c r="H3824" s="76" t="b">
        <v>1</v>
      </c>
      <c r="I3824" s="76" t="b">
        <v>0</v>
      </c>
      <c r="J3824" s="76" t="b">
        <v>0</v>
      </c>
      <c r="K3824" s="76" t="b">
        <v>0</v>
      </c>
      <c r="L3824" s="76" t="b">
        <v>0</v>
      </c>
      <c r="M3824" s="76" t="b">
        <v>0</v>
      </c>
      <c r="N3824" s="76" t="b">
        <v>0</v>
      </c>
      <c r="O3824" s="76" t="b">
        <v>0</v>
      </c>
      <c r="P3824" s="76" t="b">
        <v>0</v>
      </c>
      <c r="Q3824" s="76" t="b">
        <v>0</v>
      </c>
      <c r="R3824" s="14"/>
      <c r="S3824" s="14"/>
      <c r="T3824" s="14"/>
      <c r="U3824" s="14"/>
      <c r="V3824" s="14"/>
      <c r="W3824" s="14"/>
    </row>
    <row r="3825" ht="31.5" customHeight="1">
      <c r="A3825" s="158"/>
      <c r="B3825" s="159"/>
      <c r="C3825" s="160"/>
      <c r="D3825" s="130"/>
      <c r="E3825" s="130"/>
      <c r="F3825" s="161"/>
      <c r="G3825" s="164"/>
      <c r="H3825" s="76" t="b">
        <v>1</v>
      </c>
      <c r="I3825" s="76" t="b">
        <v>0</v>
      </c>
      <c r="J3825" s="76" t="b">
        <v>0</v>
      </c>
      <c r="K3825" s="76" t="b">
        <v>0</v>
      </c>
      <c r="L3825" s="76" t="b">
        <v>0</v>
      </c>
      <c r="M3825" s="76" t="b">
        <v>0</v>
      </c>
      <c r="N3825" s="76" t="b">
        <v>0</v>
      </c>
      <c r="O3825" s="76" t="b">
        <v>0</v>
      </c>
      <c r="P3825" s="76" t="b">
        <v>0</v>
      </c>
      <c r="Q3825" s="76" t="b">
        <v>0</v>
      </c>
      <c r="R3825" s="14"/>
      <c r="S3825" s="14"/>
      <c r="T3825" s="14"/>
      <c r="U3825" s="14"/>
      <c r="V3825" s="14"/>
      <c r="W3825" s="14"/>
    </row>
    <row r="3826" ht="31.5" customHeight="1">
      <c r="A3826" s="158"/>
      <c r="B3826" s="159"/>
      <c r="C3826" s="160"/>
      <c r="D3826" s="130"/>
      <c r="E3826" s="130"/>
      <c r="F3826" s="161"/>
      <c r="G3826" s="164"/>
      <c r="H3826" s="76" t="b">
        <v>1</v>
      </c>
      <c r="I3826" s="76" t="b">
        <v>0</v>
      </c>
      <c r="J3826" s="76" t="b">
        <v>0</v>
      </c>
      <c r="K3826" s="76" t="b">
        <v>0</v>
      </c>
      <c r="L3826" s="76" t="b">
        <v>0</v>
      </c>
      <c r="M3826" s="76" t="b">
        <v>0</v>
      </c>
      <c r="N3826" s="76" t="b">
        <v>0</v>
      </c>
      <c r="O3826" s="76" t="b">
        <v>0</v>
      </c>
      <c r="P3826" s="76" t="b">
        <v>0</v>
      </c>
      <c r="Q3826" s="76" t="b">
        <v>0</v>
      </c>
      <c r="R3826" s="14"/>
      <c r="S3826" s="14"/>
      <c r="T3826" s="14"/>
      <c r="U3826" s="14"/>
      <c r="V3826" s="14"/>
      <c r="W3826" s="14"/>
    </row>
    <row r="3827" ht="31.5" customHeight="1">
      <c r="A3827" s="158"/>
      <c r="B3827" s="159"/>
      <c r="C3827" s="160"/>
      <c r="D3827" s="130"/>
      <c r="E3827" s="130"/>
      <c r="F3827" s="161"/>
      <c r="G3827" s="164"/>
      <c r="H3827" s="76" t="b">
        <v>1</v>
      </c>
      <c r="I3827" s="76" t="b">
        <v>0</v>
      </c>
      <c r="J3827" s="76" t="b">
        <v>0</v>
      </c>
      <c r="K3827" s="76" t="b">
        <v>0</v>
      </c>
      <c r="L3827" s="76" t="b">
        <v>0</v>
      </c>
      <c r="M3827" s="76" t="b">
        <v>0</v>
      </c>
      <c r="N3827" s="76" t="b">
        <v>0</v>
      </c>
      <c r="O3827" s="76" t="b">
        <v>0</v>
      </c>
      <c r="P3827" s="76" t="b">
        <v>0</v>
      </c>
      <c r="Q3827" s="76" t="b">
        <v>0</v>
      </c>
      <c r="R3827" s="14"/>
      <c r="S3827" s="14"/>
      <c r="T3827" s="14"/>
      <c r="U3827" s="14"/>
      <c r="V3827" s="14"/>
      <c r="W3827" s="14"/>
    </row>
    <row r="3828" ht="31.5" customHeight="1">
      <c r="A3828" s="158"/>
      <c r="B3828" s="159"/>
      <c r="C3828" s="160"/>
      <c r="D3828" s="130"/>
      <c r="E3828" s="130"/>
      <c r="F3828" s="161"/>
      <c r="G3828" s="164"/>
      <c r="H3828" s="76" t="b">
        <v>1</v>
      </c>
      <c r="I3828" s="76" t="b">
        <v>0</v>
      </c>
      <c r="J3828" s="76" t="b">
        <v>0</v>
      </c>
      <c r="K3828" s="76" t="b">
        <v>0</v>
      </c>
      <c r="L3828" s="76" t="b">
        <v>0</v>
      </c>
      <c r="M3828" s="76" t="b">
        <v>0</v>
      </c>
      <c r="N3828" s="76" t="b">
        <v>0</v>
      </c>
      <c r="O3828" s="76" t="b">
        <v>0</v>
      </c>
      <c r="P3828" s="76" t="b">
        <v>0</v>
      </c>
      <c r="Q3828" s="76" t="b">
        <v>0</v>
      </c>
      <c r="R3828" s="14"/>
      <c r="S3828" s="14"/>
      <c r="T3828" s="14"/>
      <c r="U3828" s="14"/>
      <c r="V3828" s="14"/>
      <c r="W3828" s="14"/>
    </row>
    <row r="3829" ht="31.5" customHeight="1">
      <c r="A3829" s="158"/>
      <c r="B3829" s="159"/>
      <c r="C3829" s="160"/>
      <c r="D3829" s="130"/>
      <c r="E3829" s="130"/>
      <c r="F3829" s="161"/>
      <c r="G3829" s="164"/>
      <c r="H3829" s="76" t="b">
        <v>1</v>
      </c>
      <c r="I3829" s="76" t="b">
        <v>0</v>
      </c>
      <c r="J3829" s="76" t="b">
        <v>0</v>
      </c>
      <c r="K3829" s="76" t="b">
        <v>0</v>
      </c>
      <c r="L3829" s="76" t="b">
        <v>0</v>
      </c>
      <c r="M3829" s="76" t="b">
        <v>0</v>
      </c>
      <c r="N3829" s="76" t="b">
        <v>0</v>
      </c>
      <c r="O3829" s="76" t="b">
        <v>0</v>
      </c>
      <c r="P3829" s="76" t="b">
        <v>0</v>
      </c>
      <c r="Q3829" s="76" t="b">
        <v>0</v>
      </c>
      <c r="R3829" s="14"/>
      <c r="S3829" s="14"/>
      <c r="T3829" s="14"/>
      <c r="U3829" s="14"/>
      <c r="V3829" s="14"/>
      <c r="W3829" s="14"/>
    </row>
    <row r="3830" ht="31.5" customHeight="1">
      <c r="A3830" s="158"/>
      <c r="B3830" s="159"/>
      <c r="C3830" s="160"/>
      <c r="D3830" s="130"/>
      <c r="E3830" s="130"/>
      <c r="F3830" s="161"/>
      <c r="G3830" s="164"/>
      <c r="H3830" s="76" t="b">
        <v>1</v>
      </c>
      <c r="I3830" s="76" t="b">
        <v>0</v>
      </c>
      <c r="J3830" s="76" t="b">
        <v>0</v>
      </c>
      <c r="K3830" s="76" t="b">
        <v>0</v>
      </c>
      <c r="L3830" s="76" t="b">
        <v>0</v>
      </c>
      <c r="M3830" s="76" t="b">
        <v>0</v>
      </c>
      <c r="N3830" s="76" t="b">
        <v>0</v>
      </c>
      <c r="O3830" s="76" t="b">
        <v>0</v>
      </c>
      <c r="P3830" s="76" t="b">
        <v>0</v>
      </c>
      <c r="Q3830" s="76" t="b">
        <v>0</v>
      </c>
      <c r="R3830" s="14"/>
      <c r="S3830" s="14"/>
      <c r="T3830" s="14"/>
      <c r="U3830" s="14"/>
      <c r="V3830" s="14"/>
      <c r="W3830" s="14"/>
    </row>
    <row r="3831" ht="31.5" customHeight="1">
      <c r="A3831" s="158"/>
      <c r="B3831" s="159"/>
      <c r="C3831" s="160"/>
      <c r="D3831" s="130"/>
      <c r="E3831" s="130"/>
      <c r="F3831" s="161"/>
      <c r="G3831" s="164"/>
      <c r="H3831" s="76" t="b">
        <v>1</v>
      </c>
      <c r="I3831" s="76" t="b">
        <v>0</v>
      </c>
      <c r="J3831" s="76" t="b">
        <v>0</v>
      </c>
      <c r="K3831" s="76" t="b">
        <v>0</v>
      </c>
      <c r="L3831" s="76" t="b">
        <v>0</v>
      </c>
      <c r="M3831" s="76" t="b">
        <v>0</v>
      </c>
      <c r="N3831" s="76" t="b">
        <v>0</v>
      </c>
      <c r="O3831" s="76" t="b">
        <v>0</v>
      </c>
      <c r="P3831" s="76" t="b">
        <v>0</v>
      </c>
      <c r="Q3831" s="76" t="b">
        <v>0</v>
      </c>
      <c r="R3831" s="14"/>
      <c r="S3831" s="14"/>
      <c r="T3831" s="14"/>
      <c r="U3831" s="14"/>
      <c r="V3831" s="14"/>
      <c r="W3831" s="14"/>
    </row>
    <row r="3832" ht="31.5" customHeight="1">
      <c r="A3832" s="158"/>
      <c r="B3832" s="159"/>
      <c r="C3832" s="160"/>
      <c r="D3832" s="130"/>
      <c r="E3832" s="130"/>
      <c r="F3832" s="161"/>
      <c r="G3832" s="164"/>
      <c r="H3832" s="76" t="b">
        <v>1</v>
      </c>
      <c r="I3832" s="76" t="b">
        <v>0</v>
      </c>
      <c r="J3832" s="76" t="b">
        <v>0</v>
      </c>
      <c r="K3832" s="76" t="b">
        <v>0</v>
      </c>
      <c r="L3832" s="76" t="b">
        <v>0</v>
      </c>
      <c r="M3832" s="76" t="b">
        <v>0</v>
      </c>
      <c r="N3832" s="76" t="b">
        <v>0</v>
      </c>
      <c r="O3832" s="76" t="b">
        <v>0</v>
      </c>
      <c r="P3832" s="76" t="b">
        <v>0</v>
      </c>
      <c r="Q3832" s="76" t="b">
        <v>0</v>
      </c>
      <c r="R3832" s="14"/>
      <c r="S3832" s="14"/>
      <c r="T3832" s="14"/>
      <c r="U3832" s="14"/>
      <c r="V3832" s="14"/>
      <c r="W3832" s="14"/>
    </row>
    <row r="3833" ht="31.5" customHeight="1">
      <c r="A3833" s="158"/>
      <c r="B3833" s="159"/>
      <c r="C3833" s="160"/>
      <c r="D3833" s="130"/>
      <c r="E3833" s="130"/>
      <c r="F3833" s="161"/>
      <c r="G3833" s="164"/>
      <c r="H3833" s="76" t="b">
        <v>1</v>
      </c>
      <c r="I3833" s="76" t="b">
        <v>0</v>
      </c>
      <c r="J3833" s="76" t="b">
        <v>0</v>
      </c>
      <c r="K3833" s="76" t="b">
        <v>0</v>
      </c>
      <c r="L3833" s="76" t="b">
        <v>0</v>
      </c>
      <c r="M3833" s="76" t="b">
        <v>0</v>
      </c>
      <c r="N3833" s="76" t="b">
        <v>0</v>
      </c>
      <c r="O3833" s="76" t="b">
        <v>0</v>
      </c>
      <c r="P3833" s="76" t="b">
        <v>0</v>
      </c>
      <c r="Q3833" s="76" t="b">
        <v>0</v>
      </c>
      <c r="R3833" s="14"/>
      <c r="S3833" s="14"/>
      <c r="T3833" s="14"/>
      <c r="U3833" s="14"/>
      <c r="V3833" s="14"/>
      <c r="W3833" s="14"/>
    </row>
    <row r="3834" ht="31.5" customHeight="1">
      <c r="A3834" s="158"/>
      <c r="B3834" s="159"/>
      <c r="C3834" s="160"/>
      <c r="D3834" s="130"/>
      <c r="E3834" s="130"/>
      <c r="F3834" s="161"/>
      <c r="G3834" s="164"/>
      <c r="H3834" s="76" t="b">
        <v>1</v>
      </c>
      <c r="I3834" s="76" t="b">
        <v>0</v>
      </c>
      <c r="J3834" s="76" t="b">
        <v>0</v>
      </c>
      <c r="K3834" s="76" t="b">
        <v>0</v>
      </c>
      <c r="L3834" s="76" t="b">
        <v>0</v>
      </c>
      <c r="M3834" s="76" t="b">
        <v>0</v>
      </c>
      <c r="N3834" s="76" t="b">
        <v>0</v>
      </c>
      <c r="O3834" s="76" t="b">
        <v>0</v>
      </c>
      <c r="P3834" s="76" t="b">
        <v>0</v>
      </c>
      <c r="Q3834" s="76" t="b">
        <v>0</v>
      </c>
      <c r="R3834" s="14"/>
      <c r="S3834" s="14"/>
      <c r="T3834" s="14"/>
      <c r="U3834" s="14"/>
      <c r="V3834" s="14"/>
      <c r="W3834" s="14"/>
    </row>
    <row r="3835" ht="31.5" customHeight="1">
      <c r="A3835" s="158"/>
      <c r="B3835" s="159"/>
      <c r="C3835" s="160"/>
      <c r="D3835" s="130"/>
      <c r="E3835" s="130"/>
      <c r="F3835" s="161"/>
      <c r="G3835" s="164"/>
      <c r="H3835" s="76" t="b">
        <v>1</v>
      </c>
      <c r="I3835" s="76" t="b">
        <v>0</v>
      </c>
      <c r="J3835" s="76" t="b">
        <v>0</v>
      </c>
      <c r="K3835" s="76" t="b">
        <v>0</v>
      </c>
      <c r="L3835" s="76" t="b">
        <v>0</v>
      </c>
      <c r="M3835" s="76" t="b">
        <v>0</v>
      </c>
      <c r="N3835" s="76" t="b">
        <v>0</v>
      </c>
      <c r="O3835" s="76" t="b">
        <v>0</v>
      </c>
      <c r="P3835" s="76" t="b">
        <v>0</v>
      </c>
      <c r="Q3835" s="76" t="b">
        <v>0</v>
      </c>
      <c r="R3835" s="14"/>
      <c r="S3835" s="14"/>
      <c r="T3835" s="14"/>
      <c r="U3835" s="14"/>
      <c r="V3835" s="14"/>
      <c r="W3835" s="14"/>
    </row>
    <row r="3836" ht="31.5" customHeight="1">
      <c r="A3836" s="158"/>
      <c r="B3836" s="159"/>
      <c r="C3836" s="160"/>
      <c r="D3836" s="130"/>
      <c r="E3836" s="130"/>
      <c r="F3836" s="161"/>
      <c r="G3836" s="164"/>
      <c r="H3836" s="76" t="b">
        <v>1</v>
      </c>
      <c r="I3836" s="76" t="b">
        <v>0</v>
      </c>
      <c r="J3836" s="76" t="b">
        <v>0</v>
      </c>
      <c r="K3836" s="76" t="b">
        <v>0</v>
      </c>
      <c r="L3836" s="76" t="b">
        <v>0</v>
      </c>
      <c r="M3836" s="76" t="b">
        <v>0</v>
      </c>
      <c r="N3836" s="76" t="b">
        <v>0</v>
      </c>
      <c r="O3836" s="76" t="b">
        <v>0</v>
      </c>
      <c r="P3836" s="76" t="b">
        <v>0</v>
      </c>
      <c r="Q3836" s="76" t="b">
        <v>0</v>
      </c>
      <c r="R3836" s="14"/>
      <c r="S3836" s="14"/>
      <c r="T3836" s="14"/>
      <c r="U3836" s="14"/>
      <c r="V3836" s="14"/>
      <c r="W3836" s="14"/>
    </row>
    <row r="3837" ht="31.5" customHeight="1">
      <c r="A3837" s="158"/>
      <c r="B3837" s="159"/>
      <c r="C3837" s="160"/>
      <c r="D3837" s="130"/>
      <c r="E3837" s="130"/>
      <c r="F3837" s="161"/>
      <c r="G3837" s="164"/>
      <c r="H3837" s="76" t="b">
        <v>1</v>
      </c>
      <c r="I3837" s="76" t="b">
        <v>0</v>
      </c>
      <c r="J3837" s="76" t="b">
        <v>0</v>
      </c>
      <c r="K3837" s="76" t="b">
        <v>0</v>
      </c>
      <c r="L3837" s="76" t="b">
        <v>0</v>
      </c>
      <c r="M3837" s="76" t="b">
        <v>0</v>
      </c>
      <c r="N3837" s="76" t="b">
        <v>0</v>
      </c>
      <c r="O3837" s="76" t="b">
        <v>0</v>
      </c>
      <c r="P3837" s="76" t="b">
        <v>0</v>
      </c>
      <c r="Q3837" s="76" t="b">
        <v>0</v>
      </c>
      <c r="R3837" s="14"/>
      <c r="S3837" s="14"/>
      <c r="T3837" s="14"/>
      <c r="U3837" s="14"/>
      <c r="V3837" s="14"/>
      <c r="W3837" s="14"/>
    </row>
    <row r="3838" ht="31.5" customHeight="1">
      <c r="A3838" s="158"/>
      <c r="B3838" s="159"/>
      <c r="C3838" s="160"/>
      <c r="D3838" s="130"/>
      <c r="E3838" s="130"/>
      <c r="F3838" s="161"/>
      <c r="G3838" s="164"/>
      <c r="H3838" s="76" t="b">
        <v>1</v>
      </c>
      <c r="I3838" s="76" t="b">
        <v>0</v>
      </c>
      <c r="J3838" s="76" t="b">
        <v>0</v>
      </c>
      <c r="K3838" s="76" t="b">
        <v>0</v>
      </c>
      <c r="L3838" s="76" t="b">
        <v>0</v>
      </c>
      <c r="M3838" s="76" t="b">
        <v>0</v>
      </c>
      <c r="N3838" s="76" t="b">
        <v>0</v>
      </c>
      <c r="O3838" s="76" t="b">
        <v>0</v>
      </c>
      <c r="P3838" s="76" t="b">
        <v>0</v>
      </c>
      <c r="Q3838" s="76" t="b">
        <v>0</v>
      </c>
      <c r="R3838" s="14"/>
      <c r="S3838" s="14"/>
      <c r="T3838" s="14"/>
      <c r="U3838" s="14"/>
      <c r="V3838" s="14"/>
      <c r="W3838" s="14"/>
    </row>
    <row r="3839" ht="31.5" customHeight="1">
      <c r="A3839" s="158"/>
      <c r="B3839" s="159"/>
      <c r="C3839" s="160"/>
      <c r="D3839" s="130"/>
      <c r="E3839" s="130"/>
      <c r="F3839" s="161"/>
      <c r="G3839" s="164"/>
      <c r="H3839" s="76" t="b">
        <v>1</v>
      </c>
      <c r="I3839" s="76" t="b">
        <v>0</v>
      </c>
      <c r="J3839" s="76" t="b">
        <v>0</v>
      </c>
      <c r="K3839" s="76" t="b">
        <v>0</v>
      </c>
      <c r="L3839" s="76" t="b">
        <v>0</v>
      </c>
      <c r="M3839" s="76" t="b">
        <v>0</v>
      </c>
      <c r="N3839" s="76" t="b">
        <v>0</v>
      </c>
      <c r="O3839" s="76" t="b">
        <v>0</v>
      </c>
      <c r="P3839" s="76" t="b">
        <v>0</v>
      </c>
      <c r="Q3839" s="76" t="b">
        <v>0</v>
      </c>
      <c r="R3839" s="14"/>
      <c r="S3839" s="14"/>
      <c r="T3839" s="14"/>
      <c r="U3839" s="14"/>
      <c r="V3839" s="14"/>
      <c r="W3839" s="14"/>
    </row>
    <row r="3840" ht="31.5" customHeight="1">
      <c r="A3840" s="158"/>
      <c r="B3840" s="159"/>
      <c r="C3840" s="160"/>
      <c r="D3840" s="130"/>
      <c r="E3840" s="130"/>
      <c r="F3840" s="161"/>
      <c r="G3840" s="164"/>
      <c r="H3840" s="76" t="b">
        <v>1</v>
      </c>
      <c r="I3840" s="76" t="b">
        <v>0</v>
      </c>
      <c r="J3840" s="76" t="b">
        <v>0</v>
      </c>
      <c r="K3840" s="76" t="b">
        <v>0</v>
      </c>
      <c r="L3840" s="76" t="b">
        <v>0</v>
      </c>
      <c r="M3840" s="76" t="b">
        <v>0</v>
      </c>
      <c r="N3840" s="76" t="b">
        <v>0</v>
      </c>
      <c r="O3840" s="76" t="b">
        <v>0</v>
      </c>
      <c r="P3840" s="76" t="b">
        <v>0</v>
      </c>
      <c r="Q3840" s="76" t="b">
        <v>0</v>
      </c>
      <c r="R3840" s="14"/>
      <c r="S3840" s="14"/>
      <c r="T3840" s="14"/>
      <c r="U3840" s="14"/>
      <c r="V3840" s="14"/>
      <c r="W3840" s="14"/>
    </row>
    <row r="3841" ht="31.5" customHeight="1">
      <c r="A3841" s="158"/>
      <c r="B3841" s="159"/>
      <c r="C3841" s="160"/>
      <c r="D3841" s="130"/>
      <c r="E3841" s="130"/>
      <c r="F3841" s="161"/>
      <c r="G3841" s="164"/>
      <c r="H3841" s="76" t="b">
        <v>1</v>
      </c>
      <c r="I3841" s="76" t="b">
        <v>0</v>
      </c>
      <c r="J3841" s="76" t="b">
        <v>0</v>
      </c>
      <c r="K3841" s="76" t="b">
        <v>0</v>
      </c>
      <c r="L3841" s="76" t="b">
        <v>0</v>
      </c>
      <c r="M3841" s="76" t="b">
        <v>0</v>
      </c>
      <c r="N3841" s="76" t="b">
        <v>0</v>
      </c>
      <c r="O3841" s="76" t="b">
        <v>0</v>
      </c>
      <c r="P3841" s="76" t="b">
        <v>0</v>
      </c>
      <c r="Q3841" s="76" t="b">
        <v>0</v>
      </c>
      <c r="R3841" s="14"/>
      <c r="S3841" s="14"/>
      <c r="T3841" s="14"/>
      <c r="U3841" s="14"/>
      <c r="V3841" s="14"/>
      <c r="W3841" s="14"/>
    </row>
    <row r="3842" ht="31.5" customHeight="1">
      <c r="A3842" s="158"/>
      <c r="B3842" s="159"/>
      <c r="C3842" s="160"/>
      <c r="D3842" s="130"/>
      <c r="E3842" s="130"/>
      <c r="F3842" s="161"/>
      <c r="G3842" s="164"/>
      <c r="H3842" s="76" t="b">
        <v>1</v>
      </c>
      <c r="I3842" s="76" t="b">
        <v>0</v>
      </c>
      <c r="J3842" s="76" t="b">
        <v>0</v>
      </c>
      <c r="K3842" s="76" t="b">
        <v>0</v>
      </c>
      <c r="L3842" s="76" t="b">
        <v>0</v>
      </c>
      <c r="M3842" s="76" t="b">
        <v>0</v>
      </c>
      <c r="N3842" s="76" t="b">
        <v>0</v>
      </c>
      <c r="O3842" s="76" t="b">
        <v>0</v>
      </c>
      <c r="P3842" s="76" t="b">
        <v>0</v>
      </c>
      <c r="Q3842" s="76" t="b">
        <v>0</v>
      </c>
      <c r="R3842" s="14"/>
      <c r="S3842" s="14"/>
      <c r="T3842" s="14"/>
      <c r="U3842" s="14"/>
      <c r="V3842" s="14"/>
      <c r="W3842" s="14"/>
    </row>
    <row r="3843" ht="31.5" customHeight="1">
      <c r="A3843" s="158"/>
      <c r="B3843" s="159"/>
      <c r="C3843" s="160"/>
      <c r="D3843" s="130"/>
      <c r="E3843" s="130"/>
      <c r="F3843" s="161"/>
      <c r="G3843" s="164"/>
      <c r="H3843" s="76" t="b">
        <v>1</v>
      </c>
      <c r="I3843" s="76" t="b">
        <v>0</v>
      </c>
      <c r="J3843" s="76" t="b">
        <v>0</v>
      </c>
      <c r="K3843" s="76" t="b">
        <v>0</v>
      </c>
      <c r="L3843" s="76" t="b">
        <v>0</v>
      </c>
      <c r="M3843" s="76" t="b">
        <v>0</v>
      </c>
      <c r="N3843" s="76" t="b">
        <v>0</v>
      </c>
      <c r="O3843" s="76" t="b">
        <v>0</v>
      </c>
      <c r="P3843" s="76" t="b">
        <v>0</v>
      </c>
      <c r="Q3843" s="76" t="b">
        <v>0</v>
      </c>
      <c r="R3843" s="14"/>
      <c r="S3843" s="14"/>
      <c r="T3843" s="14"/>
      <c r="U3843" s="14"/>
      <c r="V3843" s="14"/>
      <c r="W3843" s="14"/>
    </row>
    <row r="3844" ht="31.5" customHeight="1">
      <c r="A3844" s="158"/>
      <c r="B3844" s="159"/>
      <c r="C3844" s="160"/>
      <c r="D3844" s="130"/>
      <c r="E3844" s="130"/>
      <c r="F3844" s="161"/>
      <c r="G3844" s="164"/>
      <c r="H3844" s="76" t="b">
        <v>1</v>
      </c>
      <c r="I3844" s="76" t="b">
        <v>0</v>
      </c>
      <c r="J3844" s="76" t="b">
        <v>0</v>
      </c>
      <c r="K3844" s="76" t="b">
        <v>0</v>
      </c>
      <c r="L3844" s="76" t="b">
        <v>0</v>
      </c>
      <c r="M3844" s="76" t="b">
        <v>0</v>
      </c>
      <c r="N3844" s="76" t="b">
        <v>0</v>
      </c>
      <c r="O3844" s="76" t="b">
        <v>0</v>
      </c>
      <c r="P3844" s="76" t="b">
        <v>0</v>
      </c>
      <c r="Q3844" s="76" t="b">
        <v>0</v>
      </c>
      <c r="R3844" s="14"/>
      <c r="S3844" s="14"/>
      <c r="T3844" s="14"/>
      <c r="U3844" s="14"/>
      <c r="V3844" s="14"/>
      <c r="W3844" s="14"/>
    </row>
    <row r="3845" ht="31.5" customHeight="1">
      <c r="A3845" s="158"/>
      <c r="B3845" s="159"/>
      <c r="C3845" s="160"/>
      <c r="D3845" s="130"/>
      <c r="E3845" s="130"/>
      <c r="F3845" s="161"/>
      <c r="G3845" s="164"/>
      <c r="H3845" s="76" t="b">
        <v>1</v>
      </c>
      <c r="I3845" s="76" t="b">
        <v>0</v>
      </c>
      <c r="J3845" s="76" t="b">
        <v>0</v>
      </c>
      <c r="K3845" s="76" t="b">
        <v>0</v>
      </c>
      <c r="L3845" s="76" t="b">
        <v>0</v>
      </c>
      <c r="M3845" s="76" t="b">
        <v>0</v>
      </c>
      <c r="N3845" s="76" t="b">
        <v>0</v>
      </c>
      <c r="O3845" s="76" t="b">
        <v>0</v>
      </c>
      <c r="P3845" s="76" t="b">
        <v>0</v>
      </c>
      <c r="Q3845" s="76" t="b">
        <v>0</v>
      </c>
      <c r="R3845" s="14"/>
      <c r="S3845" s="14"/>
      <c r="T3845" s="14"/>
      <c r="U3845" s="14"/>
      <c r="V3845" s="14"/>
      <c r="W3845" s="14"/>
    </row>
    <row r="3846" ht="31.5" customHeight="1">
      <c r="A3846" s="158"/>
      <c r="B3846" s="159"/>
      <c r="C3846" s="160"/>
      <c r="D3846" s="130"/>
      <c r="E3846" s="130"/>
      <c r="F3846" s="161"/>
      <c r="G3846" s="164"/>
      <c r="H3846" s="76" t="b">
        <v>1</v>
      </c>
      <c r="I3846" s="76" t="b">
        <v>0</v>
      </c>
      <c r="J3846" s="76" t="b">
        <v>0</v>
      </c>
      <c r="K3846" s="76" t="b">
        <v>0</v>
      </c>
      <c r="L3846" s="76" t="b">
        <v>0</v>
      </c>
      <c r="M3846" s="76" t="b">
        <v>0</v>
      </c>
      <c r="N3846" s="76" t="b">
        <v>0</v>
      </c>
      <c r="O3846" s="76" t="b">
        <v>0</v>
      </c>
      <c r="P3846" s="76" t="b">
        <v>0</v>
      </c>
      <c r="Q3846" s="76" t="b">
        <v>0</v>
      </c>
      <c r="R3846" s="14"/>
      <c r="S3846" s="14"/>
      <c r="T3846" s="14"/>
      <c r="U3846" s="14"/>
      <c r="V3846" s="14"/>
      <c r="W3846" s="14"/>
    </row>
    <row r="3847" ht="31.5" customHeight="1">
      <c r="A3847" s="158"/>
      <c r="B3847" s="159"/>
      <c r="C3847" s="160"/>
      <c r="D3847" s="130"/>
      <c r="E3847" s="130"/>
      <c r="F3847" s="161"/>
      <c r="G3847" s="164"/>
      <c r="H3847" s="76" t="b">
        <v>1</v>
      </c>
      <c r="I3847" s="76" t="b">
        <v>0</v>
      </c>
      <c r="J3847" s="76" t="b">
        <v>0</v>
      </c>
      <c r="K3847" s="76" t="b">
        <v>0</v>
      </c>
      <c r="L3847" s="76" t="b">
        <v>0</v>
      </c>
      <c r="M3847" s="76" t="b">
        <v>0</v>
      </c>
      <c r="N3847" s="76" t="b">
        <v>0</v>
      </c>
      <c r="O3847" s="76" t="b">
        <v>0</v>
      </c>
      <c r="P3847" s="76" t="b">
        <v>0</v>
      </c>
      <c r="Q3847" s="76" t="b">
        <v>0</v>
      </c>
      <c r="R3847" s="14"/>
      <c r="S3847" s="14"/>
      <c r="T3847" s="14"/>
      <c r="U3847" s="14"/>
      <c r="V3847" s="14"/>
      <c r="W3847" s="14"/>
    </row>
    <row r="3848" ht="31.5" customHeight="1">
      <c r="A3848" s="158"/>
      <c r="B3848" s="159"/>
      <c r="C3848" s="160"/>
      <c r="D3848" s="130"/>
      <c r="E3848" s="130"/>
      <c r="F3848" s="161"/>
      <c r="G3848" s="164"/>
      <c r="H3848" s="76" t="b">
        <v>1</v>
      </c>
      <c r="I3848" s="76" t="b">
        <v>0</v>
      </c>
      <c r="J3848" s="76" t="b">
        <v>0</v>
      </c>
      <c r="K3848" s="76" t="b">
        <v>0</v>
      </c>
      <c r="L3848" s="76" t="b">
        <v>0</v>
      </c>
      <c r="M3848" s="76" t="b">
        <v>0</v>
      </c>
      <c r="N3848" s="76" t="b">
        <v>0</v>
      </c>
      <c r="O3848" s="76" t="b">
        <v>0</v>
      </c>
      <c r="P3848" s="76" t="b">
        <v>0</v>
      </c>
      <c r="Q3848" s="76" t="b">
        <v>0</v>
      </c>
      <c r="R3848" s="14"/>
      <c r="S3848" s="14"/>
      <c r="T3848" s="14"/>
      <c r="U3848" s="14"/>
      <c r="V3848" s="14"/>
      <c r="W3848" s="14"/>
    </row>
    <row r="3849" ht="31.5" customHeight="1">
      <c r="A3849" s="158"/>
      <c r="B3849" s="159"/>
      <c r="C3849" s="160"/>
      <c r="D3849" s="130"/>
      <c r="E3849" s="130"/>
      <c r="F3849" s="161"/>
      <c r="G3849" s="164"/>
      <c r="H3849" s="76" t="b">
        <v>1</v>
      </c>
      <c r="I3849" s="76" t="b">
        <v>0</v>
      </c>
      <c r="J3849" s="76" t="b">
        <v>0</v>
      </c>
      <c r="K3849" s="76" t="b">
        <v>0</v>
      </c>
      <c r="L3849" s="76" t="b">
        <v>0</v>
      </c>
      <c r="M3849" s="76" t="b">
        <v>0</v>
      </c>
      <c r="N3849" s="76" t="b">
        <v>0</v>
      </c>
      <c r="O3849" s="76" t="b">
        <v>0</v>
      </c>
      <c r="P3849" s="76" t="b">
        <v>0</v>
      </c>
      <c r="Q3849" s="76" t="b">
        <v>0</v>
      </c>
      <c r="R3849" s="14"/>
      <c r="S3849" s="14"/>
      <c r="T3849" s="14"/>
      <c r="U3849" s="14"/>
      <c r="V3849" s="14"/>
      <c r="W3849" s="14"/>
    </row>
    <row r="3850" ht="31.5" customHeight="1">
      <c r="A3850" s="158"/>
      <c r="B3850" s="159"/>
      <c r="C3850" s="160"/>
      <c r="D3850" s="130"/>
      <c r="E3850" s="130"/>
      <c r="F3850" s="161"/>
      <c r="G3850" s="164"/>
      <c r="H3850" s="76" t="b">
        <v>1</v>
      </c>
      <c r="I3850" s="76" t="b">
        <v>0</v>
      </c>
      <c r="J3850" s="76" t="b">
        <v>0</v>
      </c>
      <c r="K3850" s="76" t="b">
        <v>0</v>
      </c>
      <c r="L3850" s="76" t="b">
        <v>0</v>
      </c>
      <c r="M3850" s="76" t="b">
        <v>0</v>
      </c>
      <c r="N3850" s="76" t="b">
        <v>0</v>
      </c>
      <c r="O3850" s="76" t="b">
        <v>0</v>
      </c>
      <c r="P3850" s="76" t="b">
        <v>0</v>
      </c>
      <c r="Q3850" s="76" t="b">
        <v>0</v>
      </c>
      <c r="R3850" s="14"/>
      <c r="S3850" s="14"/>
      <c r="T3850" s="14"/>
      <c r="U3850" s="14"/>
      <c r="V3850" s="14"/>
      <c r="W3850" s="14"/>
    </row>
    <row r="3851" ht="31.5" customHeight="1">
      <c r="A3851" s="158"/>
      <c r="B3851" s="159"/>
      <c r="C3851" s="160"/>
      <c r="D3851" s="130"/>
      <c r="E3851" s="130"/>
      <c r="F3851" s="161"/>
      <c r="G3851" s="164"/>
      <c r="H3851" s="76" t="b">
        <v>1</v>
      </c>
      <c r="I3851" s="76" t="b">
        <v>0</v>
      </c>
      <c r="J3851" s="76" t="b">
        <v>0</v>
      </c>
      <c r="K3851" s="76" t="b">
        <v>0</v>
      </c>
      <c r="L3851" s="76" t="b">
        <v>0</v>
      </c>
      <c r="M3851" s="76" t="b">
        <v>0</v>
      </c>
      <c r="N3851" s="76" t="b">
        <v>0</v>
      </c>
      <c r="O3851" s="76" t="b">
        <v>0</v>
      </c>
      <c r="P3851" s="76" t="b">
        <v>0</v>
      </c>
      <c r="Q3851" s="76" t="b">
        <v>0</v>
      </c>
      <c r="R3851" s="14"/>
      <c r="S3851" s="14"/>
      <c r="T3851" s="14"/>
      <c r="U3851" s="14"/>
      <c r="V3851" s="14"/>
      <c r="W3851" s="14"/>
    </row>
    <row r="3852" ht="31.5" customHeight="1">
      <c r="A3852" s="158"/>
      <c r="B3852" s="159"/>
      <c r="C3852" s="160"/>
      <c r="D3852" s="130"/>
      <c r="E3852" s="130"/>
      <c r="F3852" s="161"/>
      <c r="G3852" s="164"/>
      <c r="H3852" s="76" t="b">
        <v>1</v>
      </c>
      <c r="I3852" s="76" t="b">
        <v>0</v>
      </c>
      <c r="J3852" s="76" t="b">
        <v>0</v>
      </c>
      <c r="K3852" s="76" t="b">
        <v>0</v>
      </c>
      <c r="L3852" s="76" t="b">
        <v>0</v>
      </c>
      <c r="M3852" s="76" t="b">
        <v>0</v>
      </c>
      <c r="N3852" s="76" t="b">
        <v>0</v>
      </c>
      <c r="O3852" s="76" t="b">
        <v>0</v>
      </c>
      <c r="P3852" s="76" t="b">
        <v>0</v>
      </c>
      <c r="Q3852" s="76" t="b">
        <v>0</v>
      </c>
      <c r="R3852" s="14"/>
      <c r="S3852" s="14"/>
      <c r="T3852" s="14"/>
      <c r="U3852" s="14"/>
      <c r="V3852" s="14"/>
      <c r="W3852" s="14"/>
    </row>
    <row r="3853" ht="31.5" customHeight="1">
      <c r="A3853" s="158"/>
      <c r="B3853" s="159"/>
      <c r="C3853" s="160"/>
      <c r="D3853" s="130"/>
      <c r="E3853" s="130"/>
      <c r="F3853" s="161"/>
      <c r="G3853" s="164"/>
      <c r="H3853" s="76" t="b">
        <v>1</v>
      </c>
      <c r="I3853" s="76" t="b">
        <v>0</v>
      </c>
      <c r="J3853" s="76" t="b">
        <v>0</v>
      </c>
      <c r="K3853" s="76" t="b">
        <v>0</v>
      </c>
      <c r="L3853" s="76" t="b">
        <v>0</v>
      </c>
      <c r="M3853" s="76" t="b">
        <v>0</v>
      </c>
      <c r="N3853" s="76" t="b">
        <v>0</v>
      </c>
      <c r="O3853" s="76" t="b">
        <v>0</v>
      </c>
      <c r="P3853" s="76" t="b">
        <v>0</v>
      </c>
      <c r="Q3853" s="76" t="b">
        <v>0</v>
      </c>
      <c r="R3853" s="14"/>
      <c r="S3853" s="14"/>
      <c r="T3853" s="14"/>
      <c r="U3853" s="14"/>
      <c r="V3853" s="14"/>
      <c r="W3853" s="14"/>
    </row>
    <row r="3854" ht="31.5" customHeight="1">
      <c r="A3854" s="158"/>
      <c r="B3854" s="159"/>
      <c r="C3854" s="160"/>
      <c r="D3854" s="130"/>
      <c r="E3854" s="130"/>
      <c r="F3854" s="161"/>
      <c r="G3854" s="164"/>
      <c r="H3854" s="76" t="b">
        <v>1</v>
      </c>
      <c r="I3854" s="76" t="b">
        <v>0</v>
      </c>
      <c r="J3854" s="76" t="b">
        <v>0</v>
      </c>
      <c r="K3854" s="76" t="b">
        <v>0</v>
      </c>
      <c r="L3854" s="76" t="b">
        <v>0</v>
      </c>
      <c r="M3854" s="76" t="b">
        <v>0</v>
      </c>
      <c r="N3854" s="76" t="b">
        <v>0</v>
      </c>
      <c r="O3854" s="76" t="b">
        <v>0</v>
      </c>
      <c r="P3854" s="76" t="b">
        <v>0</v>
      </c>
      <c r="Q3854" s="76" t="b">
        <v>0</v>
      </c>
      <c r="R3854" s="14"/>
      <c r="S3854" s="14"/>
      <c r="T3854" s="14"/>
      <c r="U3854" s="14"/>
      <c r="V3854" s="14"/>
      <c r="W3854" s="14"/>
    </row>
    <row r="3855" ht="31.5" customHeight="1">
      <c r="A3855" s="158"/>
      <c r="B3855" s="159"/>
      <c r="C3855" s="160"/>
      <c r="D3855" s="130"/>
      <c r="E3855" s="130"/>
      <c r="F3855" s="161"/>
      <c r="G3855" s="164"/>
      <c r="H3855" s="76" t="b">
        <v>1</v>
      </c>
      <c r="I3855" s="76" t="b">
        <v>0</v>
      </c>
      <c r="J3855" s="76" t="b">
        <v>0</v>
      </c>
      <c r="K3855" s="76" t="b">
        <v>0</v>
      </c>
      <c r="L3855" s="76" t="b">
        <v>0</v>
      </c>
      <c r="M3855" s="76" t="b">
        <v>0</v>
      </c>
      <c r="N3855" s="76" t="b">
        <v>0</v>
      </c>
      <c r="O3855" s="76" t="b">
        <v>0</v>
      </c>
      <c r="P3855" s="76" t="b">
        <v>0</v>
      </c>
      <c r="Q3855" s="76" t="b">
        <v>0</v>
      </c>
      <c r="R3855" s="14"/>
      <c r="S3855" s="14"/>
      <c r="T3855" s="14"/>
      <c r="U3855" s="14"/>
      <c r="V3855" s="14"/>
      <c r="W3855" s="14"/>
    </row>
    <row r="3856" ht="31.5" customHeight="1">
      <c r="A3856" s="158"/>
      <c r="B3856" s="159"/>
      <c r="C3856" s="160"/>
      <c r="D3856" s="130"/>
      <c r="E3856" s="130"/>
      <c r="F3856" s="161"/>
      <c r="G3856" s="164"/>
      <c r="H3856" s="76" t="b">
        <v>1</v>
      </c>
      <c r="I3856" s="76" t="b">
        <v>0</v>
      </c>
      <c r="J3856" s="76" t="b">
        <v>0</v>
      </c>
      <c r="K3856" s="76" t="b">
        <v>0</v>
      </c>
      <c r="L3856" s="76" t="b">
        <v>0</v>
      </c>
      <c r="M3856" s="76" t="b">
        <v>0</v>
      </c>
      <c r="N3856" s="76" t="b">
        <v>0</v>
      </c>
      <c r="O3856" s="76" t="b">
        <v>0</v>
      </c>
      <c r="P3856" s="76" t="b">
        <v>0</v>
      </c>
      <c r="Q3856" s="76" t="b">
        <v>0</v>
      </c>
      <c r="R3856" s="14"/>
      <c r="S3856" s="14"/>
      <c r="T3856" s="14"/>
      <c r="U3856" s="14"/>
      <c r="V3856" s="14"/>
      <c r="W3856" s="14"/>
    </row>
    <row r="3857" ht="31.5" customHeight="1">
      <c r="A3857" s="158"/>
      <c r="B3857" s="159"/>
      <c r="C3857" s="160"/>
      <c r="D3857" s="130"/>
      <c r="E3857" s="130"/>
      <c r="F3857" s="161"/>
      <c r="G3857" s="164"/>
      <c r="H3857" s="76" t="b">
        <v>1</v>
      </c>
      <c r="I3857" s="76" t="b">
        <v>0</v>
      </c>
      <c r="J3857" s="76" t="b">
        <v>0</v>
      </c>
      <c r="K3857" s="76" t="b">
        <v>0</v>
      </c>
      <c r="L3857" s="76" t="b">
        <v>0</v>
      </c>
      <c r="M3857" s="76" t="b">
        <v>0</v>
      </c>
      <c r="N3857" s="76" t="b">
        <v>0</v>
      </c>
      <c r="O3857" s="76" t="b">
        <v>0</v>
      </c>
      <c r="P3857" s="76" t="b">
        <v>0</v>
      </c>
      <c r="Q3857" s="76" t="b">
        <v>0</v>
      </c>
      <c r="R3857" s="14"/>
      <c r="S3857" s="14"/>
      <c r="T3857" s="14"/>
      <c r="U3857" s="14"/>
      <c r="V3857" s="14"/>
      <c r="W3857" s="14"/>
    </row>
    <row r="3858" ht="31.5" customHeight="1">
      <c r="A3858" s="158"/>
      <c r="B3858" s="159"/>
      <c r="C3858" s="160"/>
      <c r="D3858" s="130"/>
      <c r="E3858" s="130"/>
      <c r="F3858" s="161"/>
      <c r="G3858" s="164"/>
      <c r="H3858" s="76" t="b">
        <v>1</v>
      </c>
      <c r="I3858" s="76" t="b">
        <v>0</v>
      </c>
      <c r="J3858" s="76" t="b">
        <v>0</v>
      </c>
      <c r="K3858" s="76" t="b">
        <v>0</v>
      </c>
      <c r="L3858" s="76" t="b">
        <v>0</v>
      </c>
      <c r="M3858" s="76" t="b">
        <v>0</v>
      </c>
      <c r="N3858" s="76" t="b">
        <v>0</v>
      </c>
      <c r="O3858" s="76" t="b">
        <v>0</v>
      </c>
      <c r="P3858" s="76" t="b">
        <v>0</v>
      </c>
      <c r="Q3858" s="76" t="b">
        <v>0</v>
      </c>
      <c r="R3858" s="14"/>
      <c r="S3858" s="14"/>
      <c r="T3858" s="14"/>
      <c r="U3858" s="14"/>
      <c r="V3858" s="14"/>
      <c r="W3858" s="14"/>
    </row>
    <row r="3859" ht="31.5" customHeight="1">
      <c r="A3859" s="158"/>
      <c r="B3859" s="159"/>
      <c r="C3859" s="160"/>
      <c r="D3859" s="130"/>
      <c r="E3859" s="130"/>
      <c r="F3859" s="161"/>
      <c r="G3859" s="164"/>
      <c r="H3859" s="76" t="b">
        <v>1</v>
      </c>
      <c r="I3859" s="76" t="b">
        <v>0</v>
      </c>
      <c r="J3859" s="76" t="b">
        <v>0</v>
      </c>
      <c r="K3859" s="76" t="b">
        <v>0</v>
      </c>
      <c r="L3859" s="76" t="b">
        <v>0</v>
      </c>
      <c r="M3859" s="76" t="b">
        <v>0</v>
      </c>
      <c r="N3859" s="76" t="b">
        <v>0</v>
      </c>
      <c r="O3859" s="76" t="b">
        <v>0</v>
      </c>
      <c r="P3859" s="76" t="b">
        <v>0</v>
      </c>
      <c r="Q3859" s="76" t="b">
        <v>0</v>
      </c>
      <c r="R3859" s="14"/>
      <c r="S3859" s="14"/>
      <c r="T3859" s="14"/>
      <c r="U3859" s="14"/>
      <c r="V3859" s="14"/>
      <c r="W3859" s="14"/>
    </row>
    <row r="3860" ht="31.5" customHeight="1">
      <c r="A3860" s="158"/>
      <c r="B3860" s="159"/>
      <c r="C3860" s="160"/>
      <c r="D3860" s="130"/>
      <c r="E3860" s="130"/>
      <c r="F3860" s="161"/>
      <c r="G3860" s="164"/>
      <c r="H3860" s="76" t="b">
        <v>1</v>
      </c>
      <c r="I3860" s="76" t="b">
        <v>0</v>
      </c>
      <c r="J3860" s="76" t="b">
        <v>0</v>
      </c>
      <c r="K3860" s="76" t="b">
        <v>0</v>
      </c>
      <c r="L3860" s="76" t="b">
        <v>0</v>
      </c>
      <c r="M3860" s="76" t="b">
        <v>0</v>
      </c>
      <c r="N3860" s="76" t="b">
        <v>0</v>
      </c>
      <c r="O3860" s="76" t="b">
        <v>0</v>
      </c>
      <c r="P3860" s="76" t="b">
        <v>0</v>
      </c>
      <c r="Q3860" s="76" t="b">
        <v>0</v>
      </c>
      <c r="R3860" s="14"/>
      <c r="S3860" s="14"/>
      <c r="T3860" s="14"/>
      <c r="U3860" s="14"/>
      <c r="V3860" s="14"/>
      <c r="W3860" s="14"/>
    </row>
    <row r="3861" ht="31.5" customHeight="1">
      <c r="A3861" s="158"/>
      <c r="B3861" s="159"/>
      <c r="C3861" s="160"/>
      <c r="D3861" s="130"/>
      <c r="E3861" s="130"/>
      <c r="F3861" s="161"/>
      <c r="G3861" s="164"/>
      <c r="H3861" s="76" t="b">
        <v>1</v>
      </c>
      <c r="I3861" s="76" t="b">
        <v>0</v>
      </c>
      <c r="J3861" s="76" t="b">
        <v>0</v>
      </c>
      <c r="K3861" s="76" t="b">
        <v>0</v>
      </c>
      <c r="L3861" s="76" t="b">
        <v>0</v>
      </c>
      <c r="M3861" s="76" t="b">
        <v>0</v>
      </c>
      <c r="N3861" s="76" t="b">
        <v>0</v>
      </c>
      <c r="O3861" s="76" t="b">
        <v>0</v>
      </c>
      <c r="P3861" s="76" t="b">
        <v>0</v>
      </c>
      <c r="Q3861" s="76" t="b">
        <v>0</v>
      </c>
      <c r="R3861" s="14"/>
      <c r="S3861" s="14"/>
      <c r="T3861" s="14"/>
      <c r="U3861" s="14"/>
      <c r="V3861" s="14"/>
      <c r="W3861" s="14"/>
    </row>
    <row r="3862" ht="31.5" customHeight="1">
      <c r="A3862" s="158"/>
      <c r="B3862" s="159"/>
      <c r="C3862" s="160"/>
      <c r="D3862" s="130"/>
      <c r="E3862" s="130"/>
      <c r="F3862" s="161"/>
      <c r="G3862" s="164"/>
      <c r="H3862" s="76" t="b">
        <v>1</v>
      </c>
      <c r="I3862" s="76" t="b">
        <v>0</v>
      </c>
      <c r="J3862" s="76" t="b">
        <v>0</v>
      </c>
      <c r="K3862" s="76" t="b">
        <v>0</v>
      </c>
      <c r="L3862" s="76" t="b">
        <v>0</v>
      </c>
      <c r="M3862" s="76" t="b">
        <v>0</v>
      </c>
      <c r="N3862" s="76" t="b">
        <v>0</v>
      </c>
      <c r="O3862" s="76" t="b">
        <v>0</v>
      </c>
      <c r="P3862" s="76" t="b">
        <v>0</v>
      </c>
      <c r="Q3862" s="76" t="b">
        <v>0</v>
      </c>
      <c r="R3862" s="14"/>
      <c r="S3862" s="14"/>
      <c r="T3862" s="14"/>
      <c r="U3862" s="14"/>
      <c r="V3862" s="14"/>
      <c r="W3862" s="14"/>
    </row>
    <row r="3863" ht="31.5" customHeight="1">
      <c r="A3863" s="158"/>
      <c r="B3863" s="159"/>
      <c r="C3863" s="160"/>
      <c r="D3863" s="130"/>
      <c r="E3863" s="130"/>
      <c r="F3863" s="161"/>
      <c r="G3863" s="164"/>
      <c r="H3863" s="76" t="b">
        <v>1</v>
      </c>
      <c r="I3863" s="76" t="b">
        <v>0</v>
      </c>
      <c r="J3863" s="76" t="b">
        <v>0</v>
      </c>
      <c r="K3863" s="76" t="b">
        <v>0</v>
      </c>
      <c r="L3863" s="76" t="b">
        <v>0</v>
      </c>
      <c r="M3863" s="76" t="b">
        <v>0</v>
      </c>
      <c r="N3863" s="76" t="b">
        <v>0</v>
      </c>
      <c r="O3863" s="76" t="b">
        <v>0</v>
      </c>
      <c r="P3863" s="76" t="b">
        <v>0</v>
      </c>
      <c r="Q3863" s="76" t="b">
        <v>0</v>
      </c>
      <c r="R3863" s="14"/>
      <c r="S3863" s="14"/>
      <c r="T3863" s="14"/>
      <c r="U3863" s="14"/>
      <c r="V3863" s="14"/>
      <c r="W3863" s="14"/>
    </row>
    <row r="3864" ht="31.5" customHeight="1">
      <c r="A3864" s="158"/>
      <c r="B3864" s="159"/>
      <c r="C3864" s="160"/>
      <c r="D3864" s="130"/>
      <c r="E3864" s="130"/>
      <c r="F3864" s="161"/>
      <c r="G3864" s="164"/>
      <c r="H3864" s="76" t="b">
        <v>1</v>
      </c>
      <c r="I3864" s="76" t="b">
        <v>0</v>
      </c>
      <c r="J3864" s="76" t="b">
        <v>0</v>
      </c>
      <c r="K3864" s="76" t="b">
        <v>0</v>
      </c>
      <c r="L3864" s="76" t="b">
        <v>0</v>
      </c>
      <c r="M3864" s="76" t="b">
        <v>0</v>
      </c>
      <c r="N3864" s="76" t="b">
        <v>0</v>
      </c>
      <c r="O3864" s="76" t="b">
        <v>0</v>
      </c>
      <c r="P3864" s="76" t="b">
        <v>0</v>
      </c>
      <c r="Q3864" s="76" t="b">
        <v>0</v>
      </c>
      <c r="R3864" s="14"/>
      <c r="S3864" s="14"/>
      <c r="T3864" s="14"/>
      <c r="U3864" s="14"/>
      <c r="V3864" s="14"/>
      <c r="W3864" s="14"/>
    </row>
    <row r="3865" ht="31.5" customHeight="1">
      <c r="A3865" s="158"/>
      <c r="B3865" s="159"/>
      <c r="C3865" s="160"/>
      <c r="D3865" s="130"/>
      <c r="E3865" s="130"/>
      <c r="F3865" s="161"/>
      <c r="G3865" s="164"/>
      <c r="H3865" s="76" t="b">
        <v>1</v>
      </c>
      <c r="I3865" s="76" t="b">
        <v>0</v>
      </c>
      <c r="J3865" s="76" t="b">
        <v>0</v>
      </c>
      <c r="K3865" s="76" t="b">
        <v>0</v>
      </c>
      <c r="L3865" s="76" t="b">
        <v>0</v>
      </c>
      <c r="M3865" s="76" t="b">
        <v>0</v>
      </c>
      <c r="N3865" s="76" t="b">
        <v>0</v>
      </c>
      <c r="O3865" s="76" t="b">
        <v>0</v>
      </c>
      <c r="P3865" s="76" t="b">
        <v>0</v>
      </c>
      <c r="Q3865" s="76" t="b">
        <v>0</v>
      </c>
      <c r="R3865" s="14"/>
      <c r="S3865" s="14"/>
      <c r="T3865" s="14"/>
      <c r="U3865" s="14"/>
      <c r="V3865" s="14"/>
      <c r="W3865" s="14"/>
    </row>
    <row r="3866" ht="31.5" customHeight="1">
      <c r="A3866" s="158"/>
      <c r="B3866" s="159"/>
      <c r="C3866" s="160"/>
      <c r="D3866" s="130"/>
      <c r="E3866" s="130"/>
      <c r="F3866" s="161"/>
      <c r="G3866" s="164"/>
      <c r="H3866" s="76" t="b">
        <v>1</v>
      </c>
      <c r="I3866" s="76" t="b">
        <v>0</v>
      </c>
      <c r="J3866" s="76" t="b">
        <v>0</v>
      </c>
      <c r="K3866" s="76" t="b">
        <v>0</v>
      </c>
      <c r="L3866" s="76" t="b">
        <v>0</v>
      </c>
      <c r="M3866" s="76" t="b">
        <v>0</v>
      </c>
      <c r="N3866" s="76" t="b">
        <v>0</v>
      </c>
      <c r="O3866" s="76" t="b">
        <v>0</v>
      </c>
      <c r="P3866" s="76" t="b">
        <v>0</v>
      </c>
      <c r="Q3866" s="76" t="b">
        <v>0</v>
      </c>
      <c r="R3866" s="14"/>
      <c r="S3866" s="14"/>
      <c r="T3866" s="14"/>
      <c r="U3866" s="14"/>
      <c r="V3866" s="14"/>
      <c r="W3866" s="14"/>
    </row>
    <row r="3867" ht="31.5" customHeight="1">
      <c r="A3867" s="158"/>
      <c r="B3867" s="159"/>
      <c r="C3867" s="160"/>
      <c r="D3867" s="130"/>
      <c r="E3867" s="130"/>
      <c r="F3867" s="161"/>
      <c r="G3867" s="164"/>
      <c r="H3867" s="76" t="b">
        <v>1</v>
      </c>
      <c r="I3867" s="76" t="b">
        <v>0</v>
      </c>
      <c r="J3867" s="76" t="b">
        <v>0</v>
      </c>
      <c r="K3867" s="76" t="b">
        <v>0</v>
      </c>
      <c r="L3867" s="76" t="b">
        <v>0</v>
      </c>
      <c r="M3867" s="76" t="b">
        <v>0</v>
      </c>
      <c r="N3867" s="76" t="b">
        <v>0</v>
      </c>
      <c r="O3867" s="76" t="b">
        <v>0</v>
      </c>
      <c r="P3867" s="76" t="b">
        <v>0</v>
      </c>
      <c r="Q3867" s="76" t="b">
        <v>0</v>
      </c>
      <c r="R3867" s="14"/>
      <c r="S3867" s="14"/>
      <c r="T3867" s="14"/>
      <c r="U3867" s="14"/>
      <c r="V3867" s="14"/>
      <c r="W3867" s="14"/>
    </row>
    <row r="3868" ht="31.5" customHeight="1">
      <c r="A3868" s="158"/>
      <c r="B3868" s="159"/>
      <c r="C3868" s="160"/>
      <c r="D3868" s="130"/>
      <c r="E3868" s="130"/>
      <c r="F3868" s="161"/>
      <c r="G3868" s="164"/>
      <c r="H3868" s="76" t="b">
        <v>1</v>
      </c>
      <c r="I3868" s="76" t="b">
        <v>0</v>
      </c>
      <c r="J3868" s="76" t="b">
        <v>0</v>
      </c>
      <c r="K3868" s="76" t="b">
        <v>0</v>
      </c>
      <c r="L3868" s="76" t="b">
        <v>0</v>
      </c>
      <c r="M3868" s="76" t="b">
        <v>0</v>
      </c>
      <c r="N3868" s="76" t="b">
        <v>0</v>
      </c>
      <c r="O3868" s="76" t="b">
        <v>0</v>
      </c>
      <c r="P3868" s="76" t="b">
        <v>0</v>
      </c>
      <c r="Q3868" s="76" t="b">
        <v>0</v>
      </c>
      <c r="R3868" s="14"/>
      <c r="S3868" s="14"/>
      <c r="T3868" s="14"/>
      <c r="U3868" s="14"/>
      <c r="V3868" s="14"/>
      <c r="W3868" s="14"/>
    </row>
    <row r="3869" ht="31.5" customHeight="1">
      <c r="A3869" s="158"/>
      <c r="B3869" s="159"/>
      <c r="C3869" s="160"/>
      <c r="D3869" s="130"/>
      <c r="E3869" s="130"/>
      <c r="F3869" s="161"/>
      <c r="G3869" s="164"/>
      <c r="H3869" s="76" t="b">
        <v>1</v>
      </c>
      <c r="I3869" s="76" t="b">
        <v>0</v>
      </c>
      <c r="J3869" s="76" t="b">
        <v>0</v>
      </c>
      <c r="K3869" s="76" t="b">
        <v>0</v>
      </c>
      <c r="L3869" s="76" t="b">
        <v>0</v>
      </c>
      <c r="M3869" s="76" t="b">
        <v>0</v>
      </c>
      <c r="N3869" s="76" t="b">
        <v>0</v>
      </c>
      <c r="O3869" s="76" t="b">
        <v>0</v>
      </c>
      <c r="P3869" s="76" t="b">
        <v>0</v>
      </c>
      <c r="Q3869" s="76" t="b">
        <v>0</v>
      </c>
      <c r="R3869" s="14"/>
      <c r="S3869" s="14"/>
      <c r="T3869" s="14"/>
      <c r="U3869" s="14"/>
      <c r="V3869" s="14"/>
      <c r="W3869" s="14"/>
    </row>
    <row r="3870" ht="31.5" customHeight="1">
      <c r="A3870" s="158"/>
      <c r="B3870" s="159"/>
      <c r="C3870" s="160"/>
      <c r="D3870" s="130"/>
      <c r="E3870" s="130"/>
      <c r="F3870" s="161"/>
      <c r="G3870" s="164"/>
      <c r="H3870" s="76" t="b">
        <v>1</v>
      </c>
      <c r="I3870" s="76" t="b">
        <v>0</v>
      </c>
      <c r="J3870" s="76" t="b">
        <v>0</v>
      </c>
      <c r="K3870" s="76" t="b">
        <v>0</v>
      </c>
      <c r="L3870" s="76" t="b">
        <v>0</v>
      </c>
      <c r="M3870" s="76" t="b">
        <v>0</v>
      </c>
      <c r="N3870" s="76" t="b">
        <v>0</v>
      </c>
      <c r="O3870" s="76" t="b">
        <v>0</v>
      </c>
      <c r="P3870" s="76" t="b">
        <v>0</v>
      </c>
      <c r="Q3870" s="76" t="b">
        <v>0</v>
      </c>
      <c r="R3870" s="14"/>
      <c r="S3870" s="14"/>
      <c r="T3870" s="14"/>
      <c r="U3870" s="14"/>
      <c r="V3870" s="14"/>
      <c r="W3870" s="14"/>
    </row>
    <row r="3871" ht="31.5" customHeight="1">
      <c r="A3871" s="158"/>
      <c r="B3871" s="159"/>
      <c r="C3871" s="160"/>
      <c r="D3871" s="130"/>
      <c r="E3871" s="130"/>
      <c r="F3871" s="161"/>
      <c r="G3871" s="164"/>
      <c r="H3871" s="76" t="b">
        <v>1</v>
      </c>
      <c r="I3871" s="76" t="b">
        <v>0</v>
      </c>
      <c r="J3871" s="76" t="b">
        <v>0</v>
      </c>
      <c r="K3871" s="76" t="b">
        <v>0</v>
      </c>
      <c r="L3871" s="76" t="b">
        <v>0</v>
      </c>
      <c r="M3871" s="76" t="b">
        <v>0</v>
      </c>
      <c r="N3871" s="76" t="b">
        <v>0</v>
      </c>
      <c r="O3871" s="76" t="b">
        <v>0</v>
      </c>
      <c r="P3871" s="76" t="b">
        <v>0</v>
      </c>
      <c r="Q3871" s="76" t="b">
        <v>0</v>
      </c>
      <c r="R3871" s="14"/>
      <c r="S3871" s="14"/>
      <c r="T3871" s="14"/>
      <c r="U3871" s="14"/>
      <c r="V3871" s="14"/>
      <c r="W3871" s="14"/>
    </row>
    <row r="3872" ht="31.5" customHeight="1">
      <c r="A3872" s="158"/>
      <c r="B3872" s="159"/>
      <c r="C3872" s="160"/>
      <c r="D3872" s="130"/>
      <c r="E3872" s="130"/>
      <c r="F3872" s="161"/>
      <c r="G3872" s="164"/>
      <c r="H3872" s="76" t="b">
        <v>1</v>
      </c>
      <c r="I3872" s="76" t="b">
        <v>0</v>
      </c>
      <c r="J3872" s="76" t="b">
        <v>0</v>
      </c>
      <c r="K3872" s="76" t="b">
        <v>0</v>
      </c>
      <c r="L3872" s="76" t="b">
        <v>0</v>
      </c>
      <c r="M3872" s="76" t="b">
        <v>0</v>
      </c>
      <c r="N3872" s="76" t="b">
        <v>0</v>
      </c>
      <c r="O3872" s="76" t="b">
        <v>0</v>
      </c>
      <c r="P3872" s="76" t="b">
        <v>0</v>
      </c>
      <c r="Q3872" s="76" t="b">
        <v>0</v>
      </c>
      <c r="R3872" s="14"/>
      <c r="S3872" s="14"/>
      <c r="T3872" s="14"/>
      <c r="U3872" s="14"/>
      <c r="V3872" s="14"/>
      <c r="W3872" s="14"/>
    </row>
    <row r="3873" ht="31.5" customHeight="1">
      <c r="A3873" s="158"/>
      <c r="B3873" s="159"/>
      <c r="C3873" s="160"/>
      <c r="D3873" s="130"/>
      <c r="E3873" s="130"/>
      <c r="F3873" s="161"/>
      <c r="G3873" s="164"/>
      <c r="H3873" s="76" t="b">
        <v>1</v>
      </c>
      <c r="I3873" s="76" t="b">
        <v>0</v>
      </c>
      <c r="J3873" s="76" t="b">
        <v>0</v>
      </c>
      <c r="K3873" s="76" t="b">
        <v>0</v>
      </c>
      <c r="L3873" s="76" t="b">
        <v>0</v>
      </c>
      <c r="M3873" s="76" t="b">
        <v>0</v>
      </c>
      <c r="N3873" s="76" t="b">
        <v>0</v>
      </c>
      <c r="O3873" s="76" t="b">
        <v>0</v>
      </c>
      <c r="P3873" s="76" t="b">
        <v>0</v>
      </c>
      <c r="Q3873" s="76" t="b">
        <v>0</v>
      </c>
      <c r="R3873" s="14"/>
      <c r="S3873" s="14"/>
      <c r="T3873" s="14"/>
      <c r="U3873" s="14"/>
      <c r="V3873" s="14"/>
      <c r="W3873" s="14"/>
    </row>
    <row r="3874" ht="31.5" customHeight="1">
      <c r="A3874" s="158"/>
      <c r="B3874" s="159"/>
      <c r="C3874" s="160"/>
      <c r="D3874" s="130"/>
      <c r="E3874" s="130"/>
      <c r="F3874" s="161"/>
      <c r="G3874" s="164"/>
      <c r="H3874" s="76" t="b">
        <v>1</v>
      </c>
      <c r="I3874" s="76" t="b">
        <v>0</v>
      </c>
      <c r="J3874" s="76" t="b">
        <v>0</v>
      </c>
      <c r="K3874" s="76" t="b">
        <v>0</v>
      </c>
      <c r="L3874" s="76" t="b">
        <v>0</v>
      </c>
      <c r="M3874" s="76" t="b">
        <v>0</v>
      </c>
      <c r="N3874" s="76" t="b">
        <v>0</v>
      </c>
      <c r="O3874" s="76" t="b">
        <v>0</v>
      </c>
      <c r="P3874" s="76" t="b">
        <v>0</v>
      </c>
      <c r="Q3874" s="76" t="b">
        <v>0</v>
      </c>
      <c r="R3874" s="14"/>
      <c r="S3874" s="14"/>
      <c r="T3874" s="14"/>
      <c r="U3874" s="14"/>
      <c r="V3874" s="14"/>
      <c r="W3874" s="14"/>
    </row>
    <row r="3875" ht="31.5" customHeight="1">
      <c r="A3875" s="158"/>
      <c r="B3875" s="159"/>
      <c r="C3875" s="160"/>
      <c r="D3875" s="130"/>
      <c r="E3875" s="130"/>
      <c r="F3875" s="161"/>
      <c r="G3875" s="164"/>
      <c r="H3875" s="76" t="b">
        <v>1</v>
      </c>
      <c r="I3875" s="76" t="b">
        <v>0</v>
      </c>
      <c r="J3875" s="76" t="b">
        <v>0</v>
      </c>
      <c r="K3875" s="76" t="b">
        <v>0</v>
      </c>
      <c r="L3875" s="76" t="b">
        <v>0</v>
      </c>
      <c r="M3875" s="76" t="b">
        <v>0</v>
      </c>
      <c r="N3875" s="76" t="b">
        <v>0</v>
      </c>
      <c r="O3875" s="76" t="b">
        <v>0</v>
      </c>
      <c r="P3875" s="76" t="b">
        <v>0</v>
      </c>
      <c r="Q3875" s="76" t="b">
        <v>0</v>
      </c>
      <c r="R3875" s="14"/>
      <c r="S3875" s="14"/>
      <c r="T3875" s="14"/>
      <c r="U3875" s="14"/>
      <c r="V3875" s="14"/>
      <c r="W3875" s="14"/>
    </row>
    <row r="3876" ht="31.5" customHeight="1">
      <c r="A3876" s="158"/>
      <c r="B3876" s="159"/>
      <c r="C3876" s="160"/>
      <c r="D3876" s="130"/>
      <c r="E3876" s="130"/>
      <c r="F3876" s="161"/>
      <c r="G3876" s="164"/>
      <c r="H3876" s="76" t="b">
        <v>1</v>
      </c>
      <c r="I3876" s="76" t="b">
        <v>0</v>
      </c>
      <c r="J3876" s="76" t="b">
        <v>0</v>
      </c>
      <c r="K3876" s="76" t="b">
        <v>0</v>
      </c>
      <c r="L3876" s="76" t="b">
        <v>0</v>
      </c>
      <c r="M3876" s="76" t="b">
        <v>0</v>
      </c>
      <c r="N3876" s="76" t="b">
        <v>0</v>
      </c>
      <c r="O3876" s="76" t="b">
        <v>0</v>
      </c>
      <c r="P3876" s="76" t="b">
        <v>0</v>
      </c>
      <c r="Q3876" s="76" t="b">
        <v>0</v>
      </c>
      <c r="R3876" s="14"/>
      <c r="S3876" s="14"/>
      <c r="T3876" s="14"/>
      <c r="U3876" s="14"/>
      <c r="V3876" s="14"/>
      <c r="W3876" s="14"/>
    </row>
    <row r="3877" ht="31.5" customHeight="1">
      <c r="A3877" s="158"/>
      <c r="B3877" s="159"/>
      <c r="C3877" s="160"/>
      <c r="D3877" s="130"/>
      <c r="E3877" s="130"/>
      <c r="F3877" s="161"/>
      <c r="G3877" s="164"/>
      <c r="H3877" s="76" t="b">
        <v>1</v>
      </c>
      <c r="I3877" s="76" t="b">
        <v>0</v>
      </c>
      <c r="J3877" s="76" t="b">
        <v>0</v>
      </c>
      <c r="K3877" s="76" t="b">
        <v>0</v>
      </c>
      <c r="L3877" s="76" t="b">
        <v>0</v>
      </c>
      <c r="M3877" s="76" t="b">
        <v>0</v>
      </c>
      <c r="N3877" s="76" t="b">
        <v>0</v>
      </c>
      <c r="O3877" s="76" t="b">
        <v>0</v>
      </c>
      <c r="P3877" s="76" t="b">
        <v>0</v>
      </c>
      <c r="Q3877" s="76" t="b">
        <v>0</v>
      </c>
      <c r="R3877" s="14"/>
      <c r="S3877" s="14"/>
      <c r="T3877" s="14"/>
      <c r="U3877" s="14"/>
      <c r="V3877" s="14"/>
      <c r="W3877" s="14"/>
    </row>
    <row r="3878" ht="31.5" customHeight="1">
      <c r="A3878" s="158"/>
      <c r="B3878" s="159"/>
      <c r="C3878" s="160"/>
      <c r="D3878" s="130"/>
      <c r="E3878" s="130"/>
      <c r="F3878" s="161"/>
      <c r="G3878" s="164"/>
      <c r="H3878" s="76" t="b">
        <v>1</v>
      </c>
      <c r="I3878" s="76" t="b">
        <v>0</v>
      </c>
      <c r="J3878" s="76" t="b">
        <v>0</v>
      </c>
      <c r="K3878" s="76" t="b">
        <v>0</v>
      </c>
      <c r="L3878" s="76" t="b">
        <v>0</v>
      </c>
      <c r="M3878" s="76" t="b">
        <v>0</v>
      </c>
      <c r="N3878" s="76" t="b">
        <v>0</v>
      </c>
      <c r="O3878" s="76" t="b">
        <v>0</v>
      </c>
      <c r="P3878" s="76" t="b">
        <v>0</v>
      </c>
      <c r="Q3878" s="76" t="b">
        <v>0</v>
      </c>
      <c r="R3878" s="14"/>
      <c r="S3878" s="14"/>
      <c r="T3878" s="14"/>
      <c r="U3878" s="14"/>
      <c r="V3878" s="14"/>
      <c r="W3878" s="14"/>
    </row>
    <row r="3879" ht="31.5" customHeight="1">
      <c r="A3879" s="158"/>
      <c r="B3879" s="159"/>
      <c r="C3879" s="160"/>
      <c r="D3879" s="130"/>
      <c r="E3879" s="130"/>
      <c r="F3879" s="161"/>
      <c r="G3879" s="164"/>
      <c r="H3879" s="76" t="b">
        <v>1</v>
      </c>
      <c r="I3879" s="76" t="b">
        <v>0</v>
      </c>
      <c r="J3879" s="76" t="b">
        <v>0</v>
      </c>
      <c r="K3879" s="76" t="b">
        <v>0</v>
      </c>
      <c r="L3879" s="76" t="b">
        <v>0</v>
      </c>
      <c r="M3879" s="76" t="b">
        <v>0</v>
      </c>
      <c r="N3879" s="76" t="b">
        <v>0</v>
      </c>
      <c r="O3879" s="76" t="b">
        <v>0</v>
      </c>
      <c r="P3879" s="76" t="b">
        <v>0</v>
      </c>
      <c r="Q3879" s="76" t="b">
        <v>0</v>
      </c>
      <c r="R3879" s="14"/>
      <c r="S3879" s="14"/>
      <c r="T3879" s="14"/>
      <c r="U3879" s="14"/>
      <c r="V3879" s="14"/>
      <c r="W3879" s="14"/>
    </row>
    <row r="3880" ht="31.5" customHeight="1">
      <c r="A3880" s="158"/>
      <c r="B3880" s="159"/>
      <c r="C3880" s="160"/>
      <c r="D3880" s="130"/>
      <c r="E3880" s="130"/>
      <c r="F3880" s="161"/>
      <c r="G3880" s="164"/>
      <c r="H3880" s="76" t="b">
        <v>1</v>
      </c>
      <c r="I3880" s="76" t="b">
        <v>0</v>
      </c>
      <c r="J3880" s="76" t="b">
        <v>0</v>
      </c>
      <c r="K3880" s="76" t="b">
        <v>0</v>
      </c>
      <c r="L3880" s="76" t="b">
        <v>0</v>
      </c>
      <c r="M3880" s="76" t="b">
        <v>0</v>
      </c>
      <c r="N3880" s="76" t="b">
        <v>0</v>
      </c>
      <c r="O3880" s="76" t="b">
        <v>0</v>
      </c>
      <c r="P3880" s="76" t="b">
        <v>0</v>
      </c>
      <c r="Q3880" s="76" t="b">
        <v>0</v>
      </c>
      <c r="R3880" s="14"/>
      <c r="S3880" s="14"/>
      <c r="T3880" s="14"/>
      <c r="U3880" s="14"/>
      <c r="V3880" s="14"/>
      <c r="W3880" s="14"/>
    </row>
    <row r="3881" ht="31.5" customHeight="1">
      <c r="A3881" s="158"/>
      <c r="B3881" s="159"/>
      <c r="C3881" s="160"/>
      <c r="D3881" s="130"/>
      <c r="E3881" s="130"/>
      <c r="F3881" s="161"/>
      <c r="G3881" s="164"/>
      <c r="H3881" s="76" t="b">
        <v>1</v>
      </c>
      <c r="I3881" s="76" t="b">
        <v>0</v>
      </c>
      <c r="J3881" s="76" t="b">
        <v>0</v>
      </c>
      <c r="K3881" s="76" t="b">
        <v>0</v>
      </c>
      <c r="L3881" s="76" t="b">
        <v>0</v>
      </c>
      <c r="M3881" s="76" t="b">
        <v>0</v>
      </c>
      <c r="N3881" s="76" t="b">
        <v>0</v>
      </c>
      <c r="O3881" s="76" t="b">
        <v>0</v>
      </c>
      <c r="P3881" s="76" t="b">
        <v>0</v>
      </c>
      <c r="Q3881" s="76" t="b">
        <v>0</v>
      </c>
      <c r="R3881" s="14"/>
      <c r="S3881" s="14"/>
      <c r="T3881" s="14"/>
      <c r="U3881" s="14"/>
      <c r="V3881" s="14"/>
      <c r="W3881" s="14"/>
    </row>
    <row r="3882" ht="31.5" customHeight="1">
      <c r="A3882" s="158"/>
      <c r="B3882" s="159"/>
      <c r="C3882" s="160"/>
      <c r="D3882" s="130"/>
      <c r="E3882" s="130"/>
      <c r="F3882" s="161"/>
      <c r="G3882" s="164"/>
      <c r="H3882" s="76" t="b">
        <v>1</v>
      </c>
      <c r="I3882" s="76" t="b">
        <v>0</v>
      </c>
      <c r="J3882" s="76" t="b">
        <v>0</v>
      </c>
      <c r="K3882" s="76" t="b">
        <v>0</v>
      </c>
      <c r="L3882" s="76" t="b">
        <v>0</v>
      </c>
      <c r="M3882" s="76" t="b">
        <v>0</v>
      </c>
      <c r="N3882" s="76" t="b">
        <v>0</v>
      </c>
      <c r="O3882" s="76" t="b">
        <v>0</v>
      </c>
      <c r="P3882" s="76" t="b">
        <v>0</v>
      </c>
      <c r="Q3882" s="76" t="b">
        <v>0</v>
      </c>
      <c r="R3882" s="14"/>
      <c r="S3882" s="14"/>
      <c r="T3882" s="14"/>
      <c r="U3882" s="14"/>
      <c r="V3882" s="14"/>
      <c r="W3882" s="14"/>
    </row>
    <row r="3883" ht="31.5" customHeight="1">
      <c r="A3883" s="158"/>
      <c r="B3883" s="159"/>
      <c r="C3883" s="160"/>
      <c r="D3883" s="130"/>
      <c r="E3883" s="130"/>
      <c r="F3883" s="161"/>
      <c r="G3883" s="164"/>
      <c r="H3883" s="76" t="b">
        <v>1</v>
      </c>
      <c r="I3883" s="76" t="b">
        <v>0</v>
      </c>
      <c r="J3883" s="76" t="b">
        <v>0</v>
      </c>
      <c r="K3883" s="76" t="b">
        <v>0</v>
      </c>
      <c r="L3883" s="76" t="b">
        <v>0</v>
      </c>
      <c r="M3883" s="76" t="b">
        <v>0</v>
      </c>
      <c r="N3883" s="76" t="b">
        <v>0</v>
      </c>
      <c r="O3883" s="76" t="b">
        <v>0</v>
      </c>
      <c r="P3883" s="76" t="b">
        <v>0</v>
      </c>
      <c r="Q3883" s="76" t="b">
        <v>0</v>
      </c>
      <c r="R3883" s="14"/>
      <c r="S3883" s="14"/>
      <c r="T3883" s="14"/>
      <c r="U3883" s="14"/>
      <c r="V3883" s="14"/>
      <c r="W3883" s="14"/>
    </row>
    <row r="3884" ht="31.5" customHeight="1">
      <c r="A3884" s="158"/>
      <c r="B3884" s="159"/>
      <c r="C3884" s="160"/>
      <c r="D3884" s="130"/>
      <c r="E3884" s="130"/>
      <c r="F3884" s="161"/>
      <c r="G3884" s="164"/>
      <c r="H3884" s="76" t="b">
        <v>1</v>
      </c>
      <c r="I3884" s="76" t="b">
        <v>0</v>
      </c>
      <c r="J3884" s="76" t="b">
        <v>0</v>
      </c>
      <c r="K3884" s="76" t="b">
        <v>0</v>
      </c>
      <c r="L3884" s="76" t="b">
        <v>0</v>
      </c>
      <c r="M3884" s="76" t="b">
        <v>0</v>
      </c>
      <c r="N3884" s="76" t="b">
        <v>0</v>
      </c>
      <c r="O3884" s="76" t="b">
        <v>0</v>
      </c>
      <c r="P3884" s="76" t="b">
        <v>0</v>
      </c>
      <c r="Q3884" s="76" t="b">
        <v>0</v>
      </c>
      <c r="R3884" s="14"/>
      <c r="S3884" s="14"/>
      <c r="T3884" s="14"/>
      <c r="U3884" s="14"/>
      <c r="V3884" s="14"/>
      <c r="W3884" s="14"/>
    </row>
    <row r="3885" ht="31.5" customHeight="1">
      <c r="A3885" s="158"/>
      <c r="B3885" s="159"/>
      <c r="C3885" s="160"/>
      <c r="D3885" s="130"/>
      <c r="E3885" s="130"/>
      <c r="F3885" s="161"/>
      <c r="G3885" s="164"/>
      <c r="H3885" s="76" t="b">
        <v>1</v>
      </c>
      <c r="I3885" s="76" t="b">
        <v>0</v>
      </c>
      <c r="J3885" s="76" t="b">
        <v>0</v>
      </c>
      <c r="K3885" s="76" t="b">
        <v>0</v>
      </c>
      <c r="L3885" s="76" t="b">
        <v>0</v>
      </c>
      <c r="M3885" s="76" t="b">
        <v>0</v>
      </c>
      <c r="N3885" s="76" t="b">
        <v>0</v>
      </c>
      <c r="O3885" s="76" t="b">
        <v>0</v>
      </c>
      <c r="P3885" s="76" t="b">
        <v>0</v>
      </c>
      <c r="Q3885" s="76" t="b">
        <v>0</v>
      </c>
      <c r="R3885" s="14"/>
      <c r="S3885" s="14"/>
      <c r="T3885" s="14"/>
      <c r="U3885" s="14"/>
      <c r="V3885" s="14"/>
      <c r="W3885" s="14"/>
    </row>
    <row r="3886" ht="31.5" customHeight="1">
      <c r="A3886" s="158"/>
      <c r="B3886" s="159"/>
      <c r="C3886" s="160"/>
      <c r="D3886" s="130"/>
      <c r="E3886" s="130"/>
      <c r="F3886" s="161"/>
      <c r="G3886" s="164"/>
      <c r="H3886" s="76" t="b">
        <v>1</v>
      </c>
      <c r="I3886" s="76" t="b">
        <v>0</v>
      </c>
      <c r="J3886" s="76" t="b">
        <v>0</v>
      </c>
      <c r="K3886" s="76" t="b">
        <v>0</v>
      </c>
      <c r="L3886" s="76" t="b">
        <v>0</v>
      </c>
      <c r="M3886" s="76" t="b">
        <v>0</v>
      </c>
      <c r="N3886" s="76" t="b">
        <v>0</v>
      </c>
      <c r="O3886" s="76" t="b">
        <v>0</v>
      </c>
      <c r="P3886" s="76" t="b">
        <v>0</v>
      </c>
      <c r="Q3886" s="76" t="b">
        <v>0</v>
      </c>
      <c r="R3886" s="14"/>
      <c r="S3886" s="14"/>
      <c r="T3886" s="14"/>
      <c r="U3886" s="14"/>
      <c r="V3886" s="14"/>
      <c r="W3886" s="14"/>
    </row>
    <row r="3887" ht="31.5" customHeight="1">
      <c r="A3887" s="158"/>
      <c r="B3887" s="159"/>
      <c r="C3887" s="160"/>
      <c r="D3887" s="130"/>
      <c r="E3887" s="130"/>
      <c r="F3887" s="161"/>
      <c r="G3887" s="164"/>
      <c r="H3887" s="76" t="b">
        <v>1</v>
      </c>
      <c r="I3887" s="76" t="b">
        <v>0</v>
      </c>
      <c r="J3887" s="76" t="b">
        <v>0</v>
      </c>
      <c r="K3887" s="76" t="b">
        <v>0</v>
      </c>
      <c r="L3887" s="76" t="b">
        <v>0</v>
      </c>
      <c r="M3887" s="76" t="b">
        <v>0</v>
      </c>
      <c r="N3887" s="76" t="b">
        <v>0</v>
      </c>
      <c r="O3887" s="76" t="b">
        <v>0</v>
      </c>
      <c r="P3887" s="76" t="b">
        <v>0</v>
      </c>
      <c r="Q3887" s="76" t="b">
        <v>0</v>
      </c>
      <c r="R3887" s="14"/>
      <c r="S3887" s="14"/>
      <c r="T3887" s="14"/>
      <c r="U3887" s="14"/>
      <c r="V3887" s="14"/>
      <c r="W3887" s="14"/>
    </row>
    <row r="3888" ht="31.5" customHeight="1">
      <c r="A3888" s="158"/>
      <c r="B3888" s="159"/>
      <c r="C3888" s="160"/>
      <c r="D3888" s="130"/>
      <c r="E3888" s="130"/>
      <c r="F3888" s="161"/>
      <c r="G3888" s="164"/>
      <c r="H3888" s="76" t="b">
        <v>1</v>
      </c>
      <c r="I3888" s="76" t="b">
        <v>0</v>
      </c>
      <c r="J3888" s="76" t="b">
        <v>0</v>
      </c>
      <c r="K3888" s="76" t="b">
        <v>0</v>
      </c>
      <c r="L3888" s="76" t="b">
        <v>0</v>
      </c>
      <c r="M3888" s="76" t="b">
        <v>0</v>
      </c>
      <c r="N3888" s="76" t="b">
        <v>0</v>
      </c>
      <c r="O3888" s="76" t="b">
        <v>0</v>
      </c>
      <c r="P3888" s="76" t="b">
        <v>0</v>
      </c>
      <c r="Q3888" s="76" t="b">
        <v>0</v>
      </c>
      <c r="R3888" s="14"/>
      <c r="S3888" s="14"/>
      <c r="T3888" s="14"/>
      <c r="U3888" s="14"/>
      <c r="V3888" s="14"/>
      <c r="W3888" s="14"/>
    </row>
    <row r="3889" ht="31.5" customHeight="1">
      <c r="A3889" s="158"/>
      <c r="B3889" s="159"/>
      <c r="C3889" s="160"/>
      <c r="D3889" s="130"/>
      <c r="E3889" s="130"/>
      <c r="F3889" s="161"/>
      <c r="G3889" s="164"/>
      <c r="H3889" s="76" t="b">
        <v>1</v>
      </c>
      <c r="I3889" s="76" t="b">
        <v>0</v>
      </c>
      <c r="J3889" s="76" t="b">
        <v>0</v>
      </c>
      <c r="K3889" s="76" t="b">
        <v>0</v>
      </c>
      <c r="L3889" s="76" t="b">
        <v>0</v>
      </c>
      <c r="M3889" s="76" t="b">
        <v>0</v>
      </c>
      <c r="N3889" s="76" t="b">
        <v>0</v>
      </c>
      <c r="O3889" s="76" t="b">
        <v>0</v>
      </c>
      <c r="P3889" s="76" t="b">
        <v>0</v>
      </c>
      <c r="Q3889" s="76" t="b">
        <v>0</v>
      </c>
      <c r="R3889" s="14"/>
      <c r="S3889" s="14"/>
      <c r="T3889" s="14"/>
      <c r="U3889" s="14"/>
      <c r="V3889" s="14"/>
      <c r="W3889" s="14"/>
    </row>
    <row r="3890" ht="31.5" customHeight="1">
      <c r="A3890" s="158"/>
      <c r="B3890" s="159"/>
      <c r="C3890" s="160"/>
      <c r="D3890" s="130"/>
      <c r="E3890" s="130"/>
      <c r="F3890" s="161"/>
      <c r="G3890" s="164"/>
      <c r="H3890" s="76" t="b">
        <v>1</v>
      </c>
      <c r="I3890" s="76" t="b">
        <v>0</v>
      </c>
      <c r="J3890" s="76" t="b">
        <v>0</v>
      </c>
      <c r="K3890" s="76" t="b">
        <v>0</v>
      </c>
      <c r="L3890" s="76" t="b">
        <v>0</v>
      </c>
      <c r="M3890" s="76" t="b">
        <v>0</v>
      </c>
      <c r="N3890" s="76" t="b">
        <v>0</v>
      </c>
      <c r="O3890" s="76" t="b">
        <v>0</v>
      </c>
      <c r="P3890" s="76" t="b">
        <v>0</v>
      </c>
      <c r="Q3890" s="76" t="b">
        <v>0</v>
      </c>
      <c r="R3890" s="14"/>
      <c r="S3890" s="14"/>
      <c r="T3890" s="14"/>
      <c r="U3890" s="14"/>
      <c r="V3890" s="14"/>
      <c r="W3890" s="14"/>
    </row>
    <row r="3891" ht="31.5" customHeight="1">
      <c r="A3891" s="158"/>
      <c r="B3891" s="159"/>
      <c r="C3891" s="160"/>
      <c r="D3891" s="130"/>
      <c r="E3891" s="130"/>
      <c r="F3891" s="161"/>
      <c r="G3891" s="164"/>
      <c r="H3891" s="76" t="b">
        <v>1</v>
      </c>
      <c r="I3891" s="76" t="b">
        <v>0</v>
      </c>
      <c r="J3891" s="76" t="b">
        <v>0</v>
      </c>
      <c r="K3891" s="76" t="b">
        <v>0</v>
      </c>
      <c r="L3891" s="76" t="b">
        <v>0</v>
      </c>
      <c r="M3891" s="76" t="b">
        <v>0</v>
      </c>
      <c r="N3891" s="76" t="b">
        <v>0</v>
      </c>
      <c r="O3891" s="76" t="b">
        <v>0</v>
      </c>
      <c r="P3891" s="76" t="b">
        <v>0</v>
      </c>
      <c r="Q3891" s="76" t="b">
        <v>0</v>
      </c>
      <c r="R3891" s="14"/>
      <c r="S3891" s="14"/>
      <c r="T3891" s="14"/>
      <c r="U3891" s="14"/>
      <c r="V3891" s="14"/>
      <c r="W3891" s="14"/>
    </row>
    <row r="3892" ht="31.5" customHeight="1">
      <c r="A3892" s="158"/>
      <c r="B3892" s="159"/>
      <c r="C3892" s="160"/>
      <c r="D3892" s="130"/>
      <c r="E3892" s="130"/>
      <c r="F3892" s="161"/>
      <c r="G3892" s="164"/>
      <c r="H3892" s="76" t="b">
        <v>1</v>
      </c>
      <c r="I3892" s="76" t="b">
        <v>0</v>
      </c>
      <c r="J3892" s="76" t="b">
        <v>0</v>
      </c>
      <c r="K3892" s="76" t="b">
        <v>0</v>
      </c>
      <c r="L3892" s="76" t="b">
        <v>0</v>
      </c>
      <c r="M3892" s="76" t="b">
        <v>0</v>
      </c>
      <c r="N3892" s="76" t="b">
        <v>0</v>
      </c>
      <c r="O3892" s="76" t="b">
        <v>0</v>
      </c>
      <c r="P3892" s="76" t="b">
        <v>0</v>
      </c>
      <c r="Q3892" s="76" t="b">
        <v>0</v>
      </c>
      <c r="R3892" s="14"/>
      <c r="S3892" s="14"/>
      <c r="T3892" s="14"/>
      <c r="U3892" s="14"/>
      <c r="V3892" s="14"/>
      <c r="W3892" s="14"/>
    </row>
    <row r="3893" ht="31.5" customHeight="1">
      <c r="A3893" s="158"/>
      <c r="B3893" s="159"/>
      <c r="C3893" s="160"/>
      <c r="D3893" s="130"/>
      <c r="E3893" s="130"/>
      <c r="F3893" s="161"/>
      <c r="G3893" s="164"/>
      <c r="H3893" s="76" t="b">
        <v>1</v>
      </c>
      <c r="I3893" s="76" t="b">
        <v>0</v>
      </c>
      <c r="J3893" s="76" t="b">
        <v>0</v>
      </c>
      <c r="K3893" s="76" t="b">
        <v>0</v>
      </c>
      <c r="L3893" s="76" t="b">
        <v>0</v>
      </c>
      <c r="M3893" s="76" t="b">
        <v>0</v>
      </c>
      <c r="N3893" s="76" t="b">
        <v>0</v>
      </c>
      <c r="O3893" s="76" t="b">
        <v>0</v>
      </c>
      <c r="P3893" s="76" t="b">
        <v>0</v>
      </c>
      <c r="Q3893" s="76" t="b">
        <v>0</v>
      </c>
      <c r="R3893" s="14"/>
      <c r="S3893" s="14"/>
      <c r="T3893" s="14"/>
      <c r="U3893" s="14"/>
      <c r="V3893" s="14"/>
      <c r="W3893" s="14"/>
    </row>
    <row r="3894" ht="31.5" customHeight="1">
      <c r="A3894" s="158"/>
      <c r="B3894" s="159"/>
      <c r="C3894" s="160"/>
      <c r="D3894" s="130"/>
      <c r="E3894" s="130"/>
      <c r="F3894" s="161"/>
      <c r="G3894" s="164"/>
      <c r="H3894" s="76" t="b">
        <v>1</v>
      </c>
      <c r="I3894" s="76" t="b">
        <v>0</v>
      </c>
      <c r="J3894" s="76" t="b">
        <v>0</v>
      </c>
      <c r="K3894" s="76" t="b">
        <v>0</v>
      </c>
      <c r="L3894" s="76" t="b">
        <v>0</v>
      </c>
      <c r="M3894" s="76" t="b">
        <v>0</v>
      </c>
      <c r="N3894" s="76" t="b">
        <v>0</v>
      </c>
      <c r="O3894" s="76" t="b">
        <v>0</v>
      </c>
      <c r="P3894" s="76" t="b">
        <v>0</v>
      </c>
      <c r="Q3894" s="76" t="b">
        <v>0</v>
      </c>
      <c r="R3894" s="14"/>
      <c r="S3894" s="14"/>
      <c r="T3894" s="14"/>
      <c r="U3894" s="14"/>
      <c r="V3894" s="14"/>
      <c r="W3894" s="14"/>
    </row>
    <row r="3895" ht="31.5" customHeight="1">
      <c r="A3895" s="158"/>
      <c r="B3895" s="159"/>
      <c r="C3895" s="160"/>
      <c r="D3895" s="130"/>
      <c r="E3895" s="130"/>
      <c r="F3895" s="161"/>
      <c r="G3895" s="164"/>
      <c r="H3895" s="76" t="b">
        <v>1</v>
      </c>
      <c r="I3895" s="76" t="b">
        <v>0</v>
      </c>
      <c r="J3895" s="76" t="b">
        <v>0</v>
      </c>
      <c r="K3895" s="76" t="b">
        <v>0</v>
      </c>
      <c r="L3895" s="76" t="b">
        <v>0</v>
      </c>
      <c r="M3895" s="76" t="b">
        <v>0</v>
      </c>
      <c r="N3895" s="76" t="b">
        <v>0</v>
      </c>
      <c r="O3895" s="76" t="b">
        <v>0</v>
      </c>
      <c r="P3895" s="76" t="b">
        <v>0</v>
      </c>
      <c r="Q3895" s="76" t="b">
        <v>0</v>
      </c>
      <c r="R3895" s="14"/>
      <c r="S3895" s="14"/>
      <c r="T3895" s="14"/>
      <c r="U3895" s="14"/>
      <c r="V3895" s="14"/>
      <c r="W3895" s="14"/>
    </row>
    <row r="3896" ht="31.5" customHeight="1">
      <c r="A3896" s="158"/>
      <c r="B3896" s="159"/>
      <c r="C3896" s="160"/>
      <c r="D3896" s="130"/>
      <c r="E3896" s="130"/>
      <c r="F3896" s="161"/>
      <c r="G3896" s="164"/>
      <c r="H3896" s="76" t="b">
        <v>1</v>
      </c>
      <c r="I3896" s="76" t="b">
        <v>0</v>
      </c>
      <c r="J3896" s="76" t="b">
        <v>0</v>
      </c>
      <c r="K3896" s="76" t="b">
        <v>0</v>
      </c>
      <c r="L3896" s="76" t="b">
        <v>0</v>
      </c>
      <c r="M3896" s="76" t="b">
        <v>0</v>
      </c>
      <c r="N3896" s="76" t="b">
        <v>0</v>
      </c>
      <c r="O3896" s="76" t="b">
        <v>0</v>
      </c>
      <c r="P3896" s="76" t="b">
        <v>0</v>
      </c>
      <c r="Q3896" s="76" t="b">
        <v>0</v>
      </c>
      <c r="R3896" s="14"/>
      <c r="S3896" s="14"/>
      <c r="T3896" s="14"/>
      <c r="U3896" s="14"/>
      <c r="V3896" s="14"/>
      <c r="W3896" s="14"/>
    </row>
    <row r="3897" ht="31.5" customHeight="1">
      <c r="A3897" s="158"/>
      <c r="B3897" s="159"/>
      <c r="C3897" s="160"/>
      <c r="D3897" s="130"/>
      <c r="E3897" s="130"/>
      <c r="F3897" s="161"/>
      <c r="G3897" s="164"/>
      <c r="H3897" s="76" t="b">
        <v>1</v>
      </c>
      <c r="I3897" s="76" t="b">
        <v>0</v>
      </c>
      <c r="J3897" s="76" t="b">
        <v>0</v>
      </c>
      <c r="K3897" s="76" t="b">
        <v>0</v>
      </c>
      <c r="L3897" s="76" t="b">
        <v>0</v>
      </c>
      <c r="M3897" s="76" t="b">
        <v>0</v>
      </c>
      <c r="N3897" s="76" t="b">
        <v>0</v>
      </c>
      <c r="O3897" s="76" t="b">
        <v>0</v>
      </c>
      <c r="P3897" s="76" t="b">
        <v>0</v>
      </c>
      <c r="Q3897" s="76" t="b">
        <v>0</v>
      </c>
      <c r="R3897" s="14"/>
      <c r="S3897" s="14"/>
      <c r="T3897" s="14"/>
      <c r="U3897" s="14"/>
      <c r="V3897" s="14"/>
      <c r="W3897" s="14"/>
    </row>
    <row r="3898" ht="31.5" customHeight="1">
      <c r="A3898" s="158"/>
      <c r="B3898" s="159"/>
      <c r="C3898" s="160"/>
      <c r="D3898" s="130"/>
      <c r="E3898" s="130"/>
      <c r="F3898" s="161"/>
      <c r="G3898" s="164"/>
      <c r="H3898" s="76" t="b">
        <v>1</v>
      </c>
      <c r="I3898" s="76" t="b">
        <v>0</v>
      </c>
      <c r="J3898" s="76" t="b">
        <v>0</v>
      </c>
      <c r="K3898" s="76" t="b">
        <v>0</v>
      </c>
      <c r="L3898" s="76" t="b">
        <v>0</v>
      </c>
      <c r="M3898" s="76" t="b">
        <v>0</v>
      </c>
      <c r="N3898" s="76" t="b">
        <v>0</v>
      </c>
      <c r="O3898" s="76" t="b">
        <v>0</v>
      </c>
      <c r="P3898" s="76" t="b">
        <v>0</v>
      </c>
      <c r="Q3898" s="76" t="b">
        <v>0</v>
      </c>
      <c r="R3898" s="14"/>
      <c r="S3898" s="14"/>
      <c r="T3898" s="14"/>
      <c r="U3898" s="14"/>
      <c r="V3898" s="14"/>
      <c r="W3898" s="14"/>
    </row>
    <row r="3899" ht="31.5" customHeight="1">
      <c r="A3899" s="158"/>
      <c r="B3899" s="159"/>
      <c r="C3899" s="160"/>
      <c r="D3899" s="130"/>
      <c r="E3899" s="130"/>
      <c r="F3899" s="161"/>
      <c r="G3899" s="164"/>
      <c r="H3899" s="76" t="b">
        <v>1</v>
      </c>
      <c r="I3899" s="76" t="b">
        <v>0</v>
      </c>
      <c r="J3899" s="76" t="b">
        <v>0</v>
      </c>
      <c r="K3899" s="76" t="b">
        <v>0</v>
      </c>
      <c r="L3899" s="76" t="b">
        <v>0</v>
      </c>
      <c r="M3899" s="76" t="b">
        <v>0</v>
      </c>
      <c r="N3899" s="76" t="b">
        <v>0</v>
      </c>
      <c r="O3899" s="76" t="b">
        <v>0</v>
      </c>
      <c r="P3899" s="76" t="b">
        <v>0</v>
      </c>
      <c r="Q3899" s="76" t="b">
        <v>0</v>
      </c>
      <c r="R3899" s="14"/>
      <c r="S3899" s="14"/>
      <c r="T3899" s="14"/>
      <c r="U3899" s="14"/>
      <c r="V3899" s="14"/>
      <c r="W3899" s="14"/>
    </row>
    <row r="3900" ht="31.5" customHeight="1">
      <c r="A3900" s="158"/>
      <c r="B3900" s="159"/>
      <c r="C3900" s="160"/>
      <c r="D3900" s="130"/>
      <c r="E3900" s="130"/>
      <c r="F3900" s="161"/>
      <c r="G3900" s="164"/>
      <c r="H3900" s="76" t="b">
        <v>1</v>
      </c>
      <c r="I3900" s="76" t="b">
        <v>0</v>
      </c>
      <c r="J3900" s="76" t="b">
        <v>0</v>
      </c>
      <c r="K3900" s="76" t="b">
        <v>0</v>
      </c>
      <c r="L3900" s="76" t="b">
        <v>0</v>
      </c>
      <c r="M3900" s="76" t="b">
        <v>0</v>
      </c>
      <c r="N3900" s="76" t="b">
        <v>0</v>
      </c>
      <c r="O3900" s="76" t="b">
        <v>0</v>
      </c>
      <c r="P3900" s="76" t="b">
        <v>0</v>
      </c>
      <c r="Q3900" s="76" t="b">
        <v>0</v>
      </c>
      <c r="R3900" s="14"/>
      <c r="S3900" s="14"/>
      <c r="T3900" s="14"/>
      <c r="U3900" s="14"/>
      <c r="V3900" s="14"/>
      <c r="W3900" s="14"/>
    </row>
    <row r="3901" ht="31.5" customHeight="1">
      <c r="A3901" s="158"/>
      <c r="B3901" s="159"/>
      <c r="C3901" s="160"/>
      <c r="D3901" s="130"/>
      <c r="E3901" s="130"/>
      <c r="F3901" s="161"/>
      <c r="G3901" s="164"/>
      <c r="H3901" s="76" t="b">
        <v>1</v>
      </c>
      <c r="I3901" s="76" t="b">
        <v>0</v>
      </c>
      <c r="J3901" s="76" t="b">
        <v>0</v>
      </c>
      <c r="K3901" s="76" t="b">
        <v>0</v>
      </c>
      <c r="L3901" s="76" t="b">
        <v>0</v>
      </c>
      <c r="M3901" s="76" t="b">
        <v>0</v>
      </c>
      <c r="N3901" s="76" t="b">
        <v>0</v>
      </c>
      <c r="O3901" s="76" t="b">
        <v>0</v>
      </c>
      <c r="P3901" s="76" t="b">
        <v>0</v>
      </c>
      <c r="Q3901" s="76" t="b">
        <v>0</v>
      </c>
      <c r="R3901" s="14"/>
      <c r="S3901" s="14"/>
      <c r="T3901" s="14"/>
      <c r="U3901" s="14"/>
      <c r="V3901" s="14"/>
      <c r="W3901" s="14"/>
    </row>
    <row r="3902" ht="31.5" customHeight="1">
      <c r="A3902" s="158"/>
      <c r="B3902" s="159"/>
      <c r="C3902" s="160"/>
      <c r="D3902" s="130"/>
      <c r="E3902" s="130"/>
      <c r="F3902" s="161"/>
      <c r="G3902" s="164"/>
      <c r="H3902" s="76" t="b">
        <v>1</v>
      </c>
      <c r="I3902" s="76" t="b">
        <v>0</v>
      </c>
      <c r="J3902" s="76" t="b">
        <v>0</v>
      </c>
      <c r="K3902" s="76" t="b">
        <v>0</v>
      </c>
      <c r="L3902" s="76" t="b">
        <v>0</v>
      </c>
      <c r="M3902" s="76" t="b">
        <v>0</v>
      </c>
      <c r="N3902" s="76" t="b">
        <v>0</v>
      </c>
      <c r="O3902" s="76" t="b">
        <v>0</v>
      </c>
      <c r="P3902" s="76" t="b">
        <v>0</v>
      </c>
      <c r="Q3902" s="76" t="b">
        <v>0</v>
      </c>
      <c r="R3902" s="14"/>
      <c r="S3902" s="14"/>
      <c r="T3902" s="14"/>
      <c r="U3902" s="14"/>
      <c r="V3902" s="14"/>
      <c r="W3902" s="14"/>
    </row>
    <row r="3903" ht="31.5" customHeight="1">
      <c r="A3903" s="158"/>
      <c r="B3903" s="159"/>
      <c r="C3903" s="160"/>
      <c r="D3903" s="130"/>
      <c r="E3903" s="130"/>
      <c r="F3903" s="161"/>
      <c r="G3903" s="164"/>
      <c r="H3903" s="76" t="b">
        <v>1</v>
      </c>
      <c r="I3903" s="76" t="b">
        <v>0</v>
      </c>
      <c r="J3903" s="76" t="b">
        <v>0</v>
      </c>
      <c r="K3903" s="76" t="b">
        <v>0</v>
      </c>
      <c r="L3903" s="76" t="b">
        <v>0</v>
      </c>
      <c r="M3903" s="76" t="b">
        <v>0</v>
      </c>
      <c r="N3903" s="76" t="b">
        <v>0</v>
      </c>
      <c r="O3903" s="76" t="b">
        <v>0</v>
      </c>
      <c r="P3903" s="76" t="b">
        <v>0</v>
      </c>
      <c r="Q3903" s="76" t="b">
        <v>0</v>
      </c>
      <c r="R3903" s="14"/>
      <c r="S3903" s="14"/>
      <c r="T3903" s="14"/>
      <c r="U3903" s="14"/>
      <c r="V3903" s="14"/>
      <c r="W3903" s="14"/>
    </row>
    <row r="3904" ht="31.5" customHeight="1">
      <c r="A3904" s="158"/>
      <c r="B3904" s="159"/>
      <c r="C3904" s="160"/>
      <c r="D3904" s="130"/>
      <c r="E3904" s="130"/>
      <c r="F3904" s="161"/>
      <c r="G3904" s="164"/>
      <c r="H3904" s="76" t="b">
        <v>1</v>
      </c>
      <c r="I3904" s="76" t="b">
        <v>0</v>
      </c>
      <c r="J3904" s="76" t="b">
        <v>0</v>
      </c>
      <c r="K3904" s="76" t="b">
        <v>0</v>
      </c>
      <c r="L3904" s="76" t="b">
        <v>0</v>
      </c>
      <c r="M3904" s="76" t="b">
        <v>0</v>
      </c>
      <c r="N3904" s="76" t="b">
        <v>0</v>
      </c>
      <c r="O3904" s="76" t="b">
        <v>0</v>
      </c>
      <c r="P3904" s="76" t="b">
        <v>0</v>
      </c>
      <c r="Q3904" s="76" t="b">
        <v>0</v>
      </c>
      <c r="R3904" s="14"/>
      <c r="S3904" s="14"/>
      <c r="T3904" s="14"/>
      <c r="U3904" s="14"/>
      <c r="V3904" s="14"/>
      <c r="W3904" s="14"/>
    </row>
    <row r="3905" ht="31.5" customHeight="1">
      <c r="A3905" s="158"/>
      <c r="B3905" s="159"/>
      <c r="C3905" s="160"/>
      <c r="D3905" s="130"/>
      <c r="E3905" s="130"/>
      <c r="F3905" s="161"/>
      <c r="G3905" s="164"/>
      <c r="H3905" s="76" t="b">
        <v>1</v>
      </c>
      <c r="I3905" s="76" t="b">
        <v>0</v>
      </c>
      <c r="J3905" s="76" t="b">
        <v>0</v>
      </c>
      <c r="K3905" s="76" t="b">
        <v>0</v>
      </c>
      <c r="L3905" s="76" t="b">
        <v>0</v>
      </c>
      <c r="M3905" s="76" t="b">
        <v>0</v>
      </c>
      <c r="N3905" s="76" t="b">
        <v>0</v>
      </c>
      <c r="O3905" s="76" t="b">
        <v>0</v>
      </c>
      <c r="P3905" s="76" t="b">
        <v>0</v>
      </c>
      <c r="Q3905" s="76" t="b">
        <v>0</v>
      </c>
      <c r="R3905" s="14"/>
      <c r="S3905" s="14"/>
      <c r="T3905" s="14"/>
      <c r="U3905" s="14"/>
      <c r="V3905" s="14"/>
      <c r="W3905" s="14"/>
    </row>
    <row r="3906" ht="31.5" customHeight="1">
      <c r="A3906" s="158"/>
      <c r="B3906" s="159"/>
      <c r="C3906" s="160"/>
      <c r="D3906" s="130"/>
      <c r="E3906" s="130"/>
      <c r="F3906" s="161"/>
      <c r="G3906" s="164"/>
      <c r="H3906" s="76" t="b">
        <v>1</v>
      </c>
      <c r="I3906" s="76" t="b">
        <v>0</v>
      </c>
      <c r="J3906" s="76" t="b">
        <v>0</v>
      </c>
      <c r="K3906" s="76" t="b">
        <v>0</v>
      </c>
      <c r="L3906" s="76" t="b">
        <v>0</v>
      </c>
      <c r="M3906" s="76" t="b">
        <v>0</v>
      </c>
      <c r="N3906" s="76" t="b">
        <v>0</v>
      </c>
      <c r="O3906" s="76" t="b">
        <v>0</v>
      </c>
      <c r="P3906" s="76" t="b">
        <v>0</v>
      </c>
      <c r="Q3906" s="76" t="b">
        <v>0</v>
      </c>
      <c r="R3906" s="14"/>
      <c r="S3906" s="14"/>
      <c r="T3906" s="14"/>
      <c r="U3906" s="14"/>
      <c r="V3906" s="14"/>
      <c r="W3906" s="14"/>
    </row>
    <row r="3907" ht="31.5" customHeight="1">
      <c r="A3907" s="158"/>
      <c r="B3907" s="159"/>
      <c r="C3907" s="160"/>
      <c r="D3907" s="130"/>
      <c r="E3907" s="130"/>
      <c r="F3907" s="161"/>
      <c r="G3907" s="164"/>
      <c r="H3907" s="76" t="b">
        <v>0</v>
      </c>
      <c r="I3907" s="76" t="b">
        <v>0</v>
      </c>
      <c r="J3907" s="76" t="b">
        <v>0</v>
      </c>
      <c r="K3907" s="76" t="b">
        <v>0</v>
      </c>
      <c r="L3907" s="76" t="b">
        <v>0</v>
      </c>
      <c r="M3907" s="76" t="b">
        <v>0</v>
      </c>
      <c r="N3907" s="76" t="b">
        <v>0</v>
      </c>
      <c r="O3907" s="76" t="b">
        <v>0</v>
      </c>
      <c r="P3907" s="76" t="b">
        <v>0</v>
      </c>
      <c r="Q3907" s="76" t="b">
        <v>0</v>
      </c>
      <c r="R3907" s="14"/>
      <c r="S3907" s="14"/>
      <c r="T3907" s="14"/>
      <c r="U3907" s="14"/>
      <c r="V3907" s="14"/>
      <c r="W3907" s="14"/>
    </row>
    <row r="3908" ht="31.5" customHeight="1">
      <c r="A3908" s="158"/>
      <c r="B3908" s="159"/>
      <c r="C3908" s="160"/>
      <c r="D3908" s="130"/>
      <c r="E3908" s="130"/>
      <c r="F3908" s="161"/>
      <c r="G3908" s="164"/>
      <c r="H3908" s="76" t="b">
        <v>0</v>
      </c>
      <c r="I3908" s="76" t="b">
        <v>0</v>
      </c>
      <c r="J3908" s="76" t="b">
        <v>0</v>
      </c>
      <c r="K3908" s="76" t="b">
        <v>0</v>
      </c>
      <c r="L3908" s="76" t="b">
        <v>0</v>
      </c>
      <c r="M3908" s="76" t="b">
        <v>0</v>
      </c>
      <c r="N3908" s="76" t="b">
        <v>0</v>
      </c>
      <c r="O3908" s="76" t="b">
        <v>0</v>
      </c>
      <c r="P3908" s="76" t="b">
        <v>0</v>
      </c>
      <c r="Q3908" s="76" t="b">
        <v>0</v>
      </c>
      <c r="R3908" s="14"/>
      <c r="S3908" s="14"/>
      <c r="T3908" s="14"/>
      <c r="U3908" s="14"/>
      <c r="V3908" s="14"/>
      <c r="W3908" s="14"/>
    </row>
    <row r="3909" ht="31.5" customHeight="1">
      <c r="A3909" s="158"/>
      <c r="B3909" s="159"/>
      <c r="C3909" s="160"/>
      <c r="D3909" s="130"/>
      <c r="E3909" s="130"/>
      <c r="F3909" s="161"/>
      <c r="G3909" s="164"/>
      <c r="H3909" s="76" t="b">
        <v>0</v>
      </c>
      <c r="I3909" s="76" t="b">
        <v>0</v>
      </c>
      <c r="J3909" s="76" t="b">
        <v>0</v>
      </c>
      <c r="K3909" s="76" t="b">
        <v>0</v>
      </c>
      <c r="L3909" s="76" t="b">
        <v>0</v>
      </c>
      <c r="M3909" s="76" t="b">
        <v>0</v>
      </c>
      <c r="N3909" s="76" t="b">
        <v>0</v>
      </c>
      <c r="O3909" s="76" t="b">
        <v>0</v>
      </c>
      <c r="P3909" s="76" t="b">
        <v>0</v>
      </c>
      <c r="Q3909" s="76" t="b">
        <v>0</v>
      </c>
      <c r="R3909" s="14"/>
      <c r="S3909" s="14"/>
      <c r="T3909" s="14"/>
      <c r="U3909" s="14"/>
      <c r="V3909" s="14"/>
      <c r="W3909" s="14"/>
    </row>
    <row r="3910" ht="31.5" customHeight="1">
      <c r="A3910" s="158"/>
      <c r="B3910" s="159"/>
      <c r="C3910" s="160"/>
      <c r="D3910" s="130"/>
      <c r="E3910" s="130"/>
      <c r="F3910" s="161"/>
      <c r="G3910" s="164"/>
      <c r="H3910" s="76" t="b">
        <v>0</v>
      </c>
      <c r="I3910" s="76" t="b">
        <v>0</v>
      </c>
      <c r="J3910" s="76" t="b">
        <v>0</v>
      </c>
      <c r="K3910" s="76" t="b">
        <v>0</v>
      </c>
      <c r="L3910" s="76" t="b">
        <v>0</v>
      </c>
      <c r="M3910" s="76" t="b">
        <v>0</v>
      </c>
      <c r="N3910" s="76" t="b">
        <v>0</v>
      </c>
      <c r="O3910" s="76" t="b">
        <v>0</v>
      </c>
      <c r="P3910" s="76" t="b">
        <v>0</v>
      </c>
      <c r="Q3910" s="76" t="b">
        <v>0</v>
      </c>
      <c r="R3910" s="14"/>
      <c r="S3910" s="14"/>
      <c r="T3910" s="14"/>
      <c r="U3910" s="14"/>
      <c r="V3910" s="14"/>
      <c r="W3910" s="14"/>
    </row>
    <row r="3911" ht="31.5" customHeight="1">
      <c r="A3911" s="158"/>
      <c r="B3911" s="159"/>
      <c r="C3911" s="160"/>
      <c r="D3911" s="130"/>
      <c r="E3911" s="130"/>
      <c r="F3911" s="161"/>
      <c r="G3911" s="164"/>
      <c r="H3911" s="76" t="b">
        <v>0</v>
      </c>
      <c r="I3911" s="76" t="b">
        <v>0</v>
      </c>
      <c r="J3911" s="76" t="b">
        <v>0</v>
      </c>
      <c r="K3911" s="76" t="b">
        <v>0</v>
      </c>
      <c r="L3911" s="76" t="b">
        <v>0</v>
      </c>
      <c r="M3911" s="76" t="b">
        <v>0</v>
      </c>
      <c r="N3911" s="76" t="b">
        <v>0</v>
      </c>
      <c r="O3911" s="76" t="b">
        <v>0</v>
      </c>
      <c r="P3911" s="76" t="b">
        <v>0</v>
      </c>
      <c r="Q3911" s="76" t="b">
        <v>0</v>
      </c>
      <c r="R3911" s="14"/>
      <c r="S3911" s="14"/>
      <c r="T3911" s="14"/>
      <c r="U3911" s="14"/>
      <c r="V3911" s="14"/>
      <c r="W3911" s="14"/>
    </row>
    <row r="3912" ht="31.5" customHeight="1">
      <c r="A3912" s="158"/>
      <c r="B3912" s="159"/>
      <c r="C3912" s="160"/>
      <c r="D3912" s="130"/>
      <c r="E3912" s="130"/>
      <c r="F3912" s="161"/>
      <c r="G3912" s="164"/>
      <c r="H3912" s="76" t="b">
        <v>0</v>
      </c>
      <c r="I3912" s="76" t="b">
        <v>0</v>
      </c>
      <c r="J3912" s="76" t="b">
        <v>0</v>
      </c>
      <c r="K3912" s="76" t="b">
        <v>0</v>
      </c>
      <c r="L3912" s="76" t="b">
        <v>0</v>
      </c>
      <c r="M3912" s="76" t="b">
        <v>0</v>
      </c>
      <c r="N3912" s="76" t="b">
        <v>0</v>
      </c>
      <c r="O3912" s="76" t="b">
        <v>0</v>
      </c>
      <c r="P3912" s="76" t="b">
        <v>0</v>
      </c>
      <c r="Q3912" s="76" t="b">
        <v>0</v>
      </c>
      <c r="R3912" s="14"/>
      <c r="S3912" s="14"/>
      <c r="T3912" s="14"/>
      <c r="U3912" s="14"/>
      <c r="V3912" s="14"/>
      <c r="W3912" s="14"/>
    </row>
    <row r="3913" ht="31.5" customHeight="1">
      <c r="A3913" s="158"/>
      <c r="B3913" s="159"/>
      <c r="C3913" s="160"/>
      <c r="D3913" s="130"/>
      <c r="E3913" s="130"/>
      <c r="F3913" s="161"/>
      <c r="G3913" s="164"/>
      <c r="H3913" s="76" t="b">
        <v>0</v>
      </c>
      <c r="I3913" s="76" t="b">
        <v>0</v>
      </c>
      <c r="J3913" s="76" t="b">
        <v>0</v>
      </c>
      <c r="K3913" s="76" t="b">
        <v>0</v>
      </c>
      <c r="L3913" s="76" t="b">
        <v>0</v>
      </c>
      <c r="M3913" s="76" t="b">
        <v>0</v>
      </c>
      <c r="N3913" s="76" t="b">
        <v>0</v>
      </c>
      <c r="O3913" s="76" t="b">
        <v>0</v>
      </c>
      <c r="P3913" s="76" t="b">
        <v>0</v>
      </c>
      <c r="Q3913" s="76" t="b">
        <v>0</v>
      </c>
      <c r="R3913" s="14"/>
      <c r="S3913" s="14"/>
      <c r="T3913" s="14"/>
      <c r="U3913" s="14"/>
      <c r="V3913" s="14"/>
      <c r="W3913" s="14"/>
    </row>
    <row r="3914" ht="31.5" customHeight="1">
      <c r="A3914" s="158"/>
      <c r="B3914" s="159"/>
      <c r="C3914" s="160"/>
      <c r="D3914" s="130"/>
      <c r="E3914" s="130"/>
      <c r="F3914" s="161"/>
      <c r="G3914" s="164"/>
      <c r="H3914" s="76" t="b">
        <v>0</v>
      </c>
      <c r="I3914" s="76" t="b">
        <v>0</v>
      </c>
      <c r="J3914" s="76" t="b">
        <v>0</v>
      </c>
      <c r="K3914" s="76" t="b">
        <v>0</v>
      </c>
      <c r="L3914" s="76" t="b">
        <v>0</v>
      </c>
      <c r="M3914" s="76" t="b">
        <v>0</v>
      </c>
      <c r="N3914" s="76" t="b">
        <v>0</v>
      </c>
      <c r="O3914" s="76" t="b">
        <v>0</v>
      </c>
      <c r="P3914" s="76" t="b">
        <v>0</v>
      </c>
      <c r="Q3914" s="76" t="b">
        <v>0</v>
      </c>
      <c r="R3914" s="14"/>
      <c r="S3914" s="14"/>
      <c r="T3914" s="14"/>
      <c r="U3914" s="14"/>
      <c r="V3914" s="14"/>
      <c r="W3914" s="14"/>
    </row>
    <row r="3915" ht="31.5" customHeight="1">
      <c r="A3915" s="158"/>
      <c r="B3915" s="159"/>
      <c r="C3915" s="160"/>
      <c r="D3915" s="130"/>
      <c r="E3915" s="130"/>
      <c r="F3915" s="161"/>
      <c r="G3915" s="164"/>
      <c r="H3915" s="76" t="b">
        <v>0</v>
      </c>
      <c r="I3915" s="76" t="b">
        <v>0</v>
      </c>
      <c r="J3915" s="76" t="b">
        <v>0</v>
      </c>
      <c r="K3915" s="76" t="b">
        <v>0</v>
      </c>
      <c r="L3915" s="76" t="b">
        <v>0</v>
      </c>
      <c r="M3915" s="76" t="b">
        <v>0</v>
      </c>
      <c r="N3915" s="76" t="b">
        <v>0</v>
      </c>
      <c r="O3915" s="76" t="b">
        <v>0</v>
      </c>
      <c r="P3915" s="76" t="b">
        <v>0</v>
      </c>
      <c r="Q3915" s="76" t="b">
        <v>0</v>
      </c>
      <c r="R3915" s="14"/>
      <c r="S3915" s="14"/>
      <c r="T3915" s="14"/>
      <c r="U3915" s="14"/>
      <c r="V3915" s="14"/>
      <c r="W3915" s="14"/>
    </row>
    <row r="3916" ht="31.5" customHeight="1">
      <c r="A3916" s="158"/>
      <c r="B3916" s="159"/>
      <c r="C3916" s="160"/>
      <c r="D3916" s="130"/>
      <c r="E3916" s="130"/>
      <c r="F3916" s="161"/>
      <c r="G3916" s="164"/>
      <c r="H3916" s="76" t="b">
        <v>0</v>
      </c>
      <c r="I3916" s="76" t="b">
        <v>0</v>
      </c>
      <c r="J3916" s="76" t="b">
        <v>0</v>
      </c>
      <c r="K3916" s="76" t="b">
        <v>0</v>
      </c>
      <c r="L3916" s="76" t="b">
        <v>0</v>
      </c>
      <c r="M3916" s="76" t="b">
        <v>0</v>
      </c>
      <c r="N3916" s="76" t="b">
        <v>0</v>
      </c>
      <c r="O3916" s="76" t="b">
        <v>0</v>
      </c>
      <c r="P3916" s="76" t="b">
        <v>0</v>
      </c>
      <c r="Q3916" s="76" t="b">
        <v>0</v>
      </c>
      <c r="R3916" s="14"/>
      <c r="S3916" s="14"/>
      <c r="T3916" s="14"/>
      <c r="U3916" s="14"/>
      <c r="V3916" s="14"/>
      <c r="W3916" s="14"/>
    </row>
    <row r="3917" ht="31.5" customHeight="1">
      <c r="A3917" s="158"/>
      <c r="B3917" s="159"/>
      <c r="C3917" s="160"/>
      <c r="D3917" s="130"/>
      <c r="E3917" s="130"/>
      <c r="F3917" s="161"/>
      <c r="G3917" s="164"/>
      <c r="H3917" s="76" t="b">
        <v>0</v>
      </c>
      <c r="I3917" s="76" t="b">
        <v>0</v>
      </c>
      <c r="J3917" s="76" t="b">
        <v>0</v>
      </c>
      <c r="K3917" s="76" t="b">
        <v>0</v>
      </c>
      <c r="L3917" s="76" t="b">
        <v>0</v>
      </c>
      <c r="M3917" s="76" t="b">
        <v>0</v>
      </c>
      <c r="N3917" s="76" t="b">
        <v>0</v>
      </c>
      <c r="O3917" s="76" t="b">
        <v>0</v>
      </c>
      <c r="P3917" s="76" t="b">
        <v>0</v>
      </c>
      <c r="Q3917" s="76" t="b">
        <v>0</v>
      </c>
      <c r="R3917" s="14"/>
      <c r="S3917" s="14"/>
      <c r="T3917" s="14"/>
      <c r="U3917" s="14"/>
      <c r="V3917" s="14"/>
      <c r="W3917" s="14"/>
    </row>
    <row r="3918" ht="31.5" customHeight="1">
      <c r="A3918" s="158"/>
      <c r="B3918" s="159"/>
      <c r="C3918" s="160"/>
      <c r="D3918" s="130"/>
      <c r="E3918" s="130"/>
      <c r="F3918" s="161"/>
      <c r="G3918" s="164"/>
      <c r="H3918" s="76" t="b">
        <v>0</v>
      </c>
      <c r="I3918" s="76" t="b">
        <v>0</v>
      </c>
      <c r="J3918" s="76" t="b">
        <v>0</v>
      </c>
      <c r="K3918" s="76" t="b">
        <v>0</v>
      </c>
      <c r="L3918" s="76" t="b">
        <v>0</v>
      </c>
      <c r="M3918" s="76" t="b">
        <v>0</v>
      </c>
      <c r="N3918" s="76" t="b">
        <v>0</v>
      </c>
      <c r="O3918" s="76" t="b">
        <v>0</v>
      </c>
      <c r="P3918" s="76" t="b">
        <v>0</v>
      </c>
      <c r="Q3918" s="76" t="b">
        <v>0</v>
      </c>
      <c r="R3918" s="14"/>
      <c r="S3918" s="14"/>
      <c r="T3918" s="14"/>
      <c r="U3918" s="14"/>
      <c r="V3918" s="14"/>
      <c r="W3918" s="14"/>
    </row>
    <row r="3919" ht="31.5" customHeight="1">
      <c r="A3919" s="158"/>
      <c r="B3919" s="159"/>
      <c r="C3919" s="160"/>
      <c r="D3919" s="130"/>
      <c r="E3919" s="130"/>
      <c r="F3919" s="161"/>
      <c r="G3919" s="164"/>
      <c r="H3919" s="76" t="b">
        <v>0</v>
      </c>
      <c r="I3919" s="76" t="b">
        <v>0</v>
      </c>
      <c r="J3919" s="76" t="b">
        <v>0</v>
      </c>
      <c r="K3919" s="76" t="b">
        <v>0</v>
      </c>
      <c r="L3919" s="76" t="b">
        <v>0</v>
      </c>
      <c r="M3919" s="76" t="b">
        <v>0</v>
      </c>
      <c r="N3919" s="76" t="b">
        <v>0</v>
      </c>
      <c r="O3919" s="76" t="b">
        <v>0</v>
      </c>
      <c r="P3919" s="76" t="b">
        <v>0</v>
      </c>
      <c r="Q3919" s="76" t="b">
        <v>0</v>
      </c>
      <c r="R3919" s="14"/>
      <c r="S3919" s="14"/>
      <c r="T3919" s="14"/>
      <c r="U3919" s="14"/>
      <c r="V3919" s="14"/>
      <c r="W3919" s="14"/>
    </row>
    <row r="3920" ht="31.5" customHeight="1">
      <c r="A3920" s="158"/>
      <c r="B3920" s="159"/>
      <c r="C3920" s="160"/>
      <c r="D3920" s="130"/>
      <c r="E3920" s="130"/>
      <c r="F3920" s="161"/>
      <c r="G3920" s="164"/>
      <c r="H3920" s="76" t="b">
        <v>0</v>
      </c>
      <c r="I3920" s="76" t="b">
        <v>0</v>
      </c>
      <c r="J3920" s="76" t="b">
        <v>0</v>
      </c>
      <c r="K3920" s="76" t="b">
        <v>0</v>
      </c>
      <c r="L3920" s="76" t="b">
        <v>0</v>
      </c>
      <c r="M3920" s="76" t="b">
        <v>0</v>
      </c>
      <c r="N3920" s="76" t="b">
        <v>0</v>
      </c>
      <c r="O3920" s="76" t="b">
        <v>0</v>
      </c>
      <c r="P3920" s="76" t="b">
        <v>0</v>
      </c>
      <c r="Q3920" s="76" t="b">
        <v>0</v>
      </c>
      <c r="R3920" s="14"/>
      <c r="S3920" s="14"/>
      <c r="T3920" s="14"/>
      <c r="U3920" s="14"/>
      <c r="V3920" s="14"/>
      <c r="W3920" s="14"/>
    </row>
    <row r="3921" ht="31.5" customHeight="1">
      <c r="A3921" s="158"/>
      <c r="B3921" s="159"/>
      <c r="C3921" s="160"/>
      <c r="D3921" s="130"/>
      <c r="E3921" s="130"/>
      <c r="F3921" s="161"/>
      <c r="G3921" s="164"/>
      <c r="H3921" s="76" t="b">
        <v>0</v>
      </c>
      <c r="I3921" s="76" t="b">
        <v>0</v>
      </c>
      <c r="J3921" s="76" t="b">
        <v>0</v>
      </c>
      <c r="K3921" s="76" t="b">
        <v>0</v>
      </c>
      <c r="L3921" s="76" t="b">
        <v>0</v>
      </c>
      <c r="M3921" s="76" t="b">
        <v>0</v>
      </c>
      <c r="N3921" s="76" t="b">
        <v>0</v>
      </c>
      <c r="O3921" s="76" t="b">
        <v>0</v>
      </c>
      <c r="P3921" s="76" t="b">
        <v>0</v>
      </c>
      <c r="Q3921" s="76" t="b">
        <v>0</v>
      </c>
      <c r="R3921" s="14"/>
      <c r="S3921" s="14"/>
      <c r="T3921" s="14"/>
      <c r="U3921" s="14"/>
      <c r="V3921" s="14"/>
      <c r="W3921" s="14"/>
    </row>
    <row r="3922" ht="31.5" customHeight="1">
      <c r="A3922" s="158"/>
      <c r="B3922" s="159"/>
      <c r="C3922" s="160"/>
      <c r="D3922" s="130"/>
      <c r="E3922" s="130"/>
      <c r="F3922" s="161"/>
      <c r="G3922" s="164"/>
      <c r="H3922" s="76" t="b">
        <v>0</v>
      </c>
      <c r="I3922" s="76" t="b">
        <v>0</v>
      </c>
      <c r="J3922" s="76" t="b">
        <v>0</v>
      </c>
      <c r="K3922" s="76" t="b">
        <v>0</v>
      </c>
      <c r="L3922" s="76" t="b">
        <v>0</v>
      </c>
      <c r="M3922" s="76" t="b">
        <v>0</v>
      </c>
      <c r="N3922" s="76" t="b">
        <v>0</v>
      </c>
      <c r="O3922" s="76" t="b">
        <v>0</v>
      </c>
      <c r="P3922" s="76" t="b">
        <v>0</v>
      </c>
      <c r="Q3922" s="76" t="b">
        <v>0</v>
      </c>
      <c r="R3922" s="14"/>
      <c r="S3922" s="14"/>
      <c r="T3922" s="14"/>
      <c r="U3922" s="14"/>
      <c r="V3922" s="14"/>
      <c r="W3922" s="14"/>
    </row>
    <row r="3923" ht="31.5" customHeight="1">
      <c r="A3923" s="158"/>
      <c r="B3923" s="159"/>
      <c r="C3923" s="160"/>
      <c r="D3923" s="130"/>
      <c r="E3923" s="130"/>
      <c r="F3923" s="161"/>
      <c r="G3923" s="164"/>
      <c r="H3923" s="76" t="b">
        <v>0</v>
      </c>
      <c r="I3923" s="76" t="b">
        <v>0</v>
      </c>
      <c r="J3923" s="76" t="b">
        <v>0</v>
      </c>
      <c r="K3923" s="76" t="b">
        <v>0</v>
      </c>
      <c r="L3923" s="76" t="b">
        <v>0</v>
      </c>
      <c r="M3923" s="76" t="b">
        <v>0</v>
      </c>
      <c r="N3923" s="76" t="b">
        <v>0</v>
      </c>
      <c r="O3923" s="76" t="b">
        <v>0</v>
      </c>
      <c r="P3923" s="76" t="b">
        <v>0</v>
      </c>
      <c r="Q3923" s="76" t="b">
        <v>0</v>
      </c>
      <c r="R3923" s="14"/>
      <c r="S3923" s="14"/>
      <c r="T3923" s="14"/>
      <c r="U3923" s="14"/>
      <c r="V3923" s="14"/>
      <c r="W3923" s="14"/>
    </row>
    <row r="3924" ht="31.5" customHeight="1">
      <c r="A3924" s="158"/>
      <c r="B3924" s="159"/>
      <c r="C3924" s="160"/>
      <c r="D3924" s="130"/>
      <c r="E3924" s="130"/>
      <c r="F3924" s="161"/>
      <c r="G3924" s="164"/>
      <c r="H3924" s="76" t="b">
        <v>0</v>
      </c>
      <c r="I3924" s="76" t="b">
        <v>0</v>
      </c>
      <c r="J3924" s="76" t="b">
        <v>0</v>
      </c>
      <c r="K3924" s="76" t="b">
        <v>0</v>
      </c>
      <c r="L3924" s="76" t="b">
        <v>0</v>
      </c>
      <c r="M3924" s="76" t="b">
        <v>0</v>
      </c>
      <c r="N3924" s="76" t="b">
        <v>0</v>
      </c>
      <c r="O3924" s="76" t="b">
        <v>0</v>
      </c>
      <c r="P3924" s="76" t="b">
        <v>0</v>
      </c>
      <c r="Q3924" s="76" t="b">
        <v>0</v>
      </c>
      <c r="R3924" s="14"/>
      <c r="S3924" s="14"/>
      <c r="T3924" s="14"/>
      <c r="U3924" s="14"/>
      <c r="V3924" s="14"/>
      <c r="W3924" s="14"/>
    </row>
    <row r="3925" ht="31.5" customHeight="1">
      <c r="A3925" s="158"/>
      <c r="B3925" s="159"/>
      <c r="C3925" s="160"/>
      <c r="D3925" s="130"/>
      <c r="E3925" s="130"/>
      <c r="F3925" s="161"/>
      <c r="G3925" s="164"/>
      <c r="H3925" s="76" t="b">
        <v>0</v>
      </c>
      <c r="I3925" s="76" t="b">
        <v>0</v>
      </c>
      <c r="J3925" s="76" t="b">
        <v>0</v>
      </c>
      <c r="K3925" s="76" t="b">
        <v>0</v>
      </c>
      <c r="L3925" s="76" t="b">
        <v>0</v>
      </c>
      <c r="M3925" s="76" t="b">
        <v>0</v>
      </c>
      <c r="N3925" s="76" t="b">
        <v>0</v>
      </c>
      <c r="O3925" s="76" t="b">
        <v>0</v>
      </c>
      <c r="P3925" s="76" t="b">
        <v>0</v>
      </c>
      <c r="Q3925" s="76" t="b">
        <v>0</v>
      </c>
      <c r="R3925" s="14"/>
      <c r="S3925" s="14"/>
      <c r="T3925" s="14"/>
      <c r="U3925" s="14"/>
      <c r="V3925" s="14"/>
      <c r="W3925" s="14"/>
    </row>
    <row r="3926" ht="31.5" customHeight="1">
      <c r="A3926" s="158"/>
      <c r="B3926" s="159"/>
      <c r="C3926" s="160"/>
      <c r="D3926" s="130"/>
      <c r="E3926" s="130"/>
      <c r="F3926" s="161"/>
      <c r="G3926" s="164"/>
      <c r="H3926" s="76" t="b">
        <v>0</v>
      </c>
      <c r="I3926" s="76" t="b">
        <v>0</v>
      </c>
      <c r="J3926" s="76" t="b">
        <v>0</v>
      </c>
      <c r="K3926" s="76" t="b">
        <v>0</v>
      </c>
      <c r="L3926" s="76" t="b">
        <v>0</v>
      </c>
      <c r="M3926" s="76" t="b">
        <v>0</v>
      </c>
      <c r="N3926" s="76" t="b">
        <v>0</v>
      </c>
      <c r="O3926" s="76" t="b">
        <v>0</v>
      </c>
      <c r="P3926" s="76" t="b">
        <v>0</v>
      </c>
      <c r="Q3926" s="76" t="b">
        <v>0</v>
      </c>
      <c r="R3926" s="14"/>
      <c r="S3926" s="14"/>
      <c r="T3926" s="14"/>
      <c r="U3926" s="14"/>
      <c r="V3926" s="14"/>
      <c r="W3926" s="14"/>
    </row>
    <row r="3927" ht="31.5" customHeight="1">
      <c r="A3927" s="158"/>
      <c r="B3927" s="159"/>
      <c r="C3927" s="160"/>
      <c r="D3927" s="130"/>
      <c r="E3927" s="130"/>
      <c r="F3927" s="161"/>
      <c r="G3927" s="164"/>
      <c r="H3927" s="76" t="b">
        <v>0</v>
      </c>
      <c r="I3927" s="76" t="b">
        <v>0</v>
      </c>
      <c r="J3927" s="76" t="b">
        <v>0</v>
      </c>
      <c r="K3927" s="76" t="b">
        <v>0</v>
      </c>
      <c r="L3927" s="76" t="b">
        <v>0</v>
      </c>
      <c r="M3927" s="76" t="b">
        <v>0</v>
      </c>
      <c r="N3927" s="76" t="b">
        <v>0</v>
      </c>
      <c r="O3927" s="76" t="b">
        <v>0</v>
      </c>
      <c r="P3927" s="76" t="b">
        <v>0</v>
      </c>
      <c r="Q3927" s="76" t="b">
        <v>0</v>
      </c>
      <c r="R3927" s="14"/>
      <c r="S3927" s="14"/>
      <c r="T3927" s="14"/>
      <c r="U3927" s="14"/>
      <c r="V3927" s="14"/>
      <c r="W3927" s="14"/>
    </row>
    <row r="3928" ht="31.5" customHeight="1">
      <c r="A3928" s="158"/>
      <c r="B3928" s="159"/>
      <c r="C3928" s="160"/>
      <c r="D3928" s="130"/>
      <c r="E3928" s="130"/>
      <c r="F3928" s="161"/>
      <c r="G3928" s="164"/>
      <c r="H3928" s="76" t="b">
        <v>0</v>
      </c>
      <c r="I3928" s="76" t="b">
        <v>0</v>
      </c>
      <c r="J3928" s="76" t="b">
        <v>0</v>
      </c>
      <c r="K3928" s="76" t="b">
        <v>0</v>
      </c>
      <c r="L3928" s="76" t="b">
        <v>0</v>
      </c>
      <c r="M3928" s="76" t="b">
        <v>0</v>
      </c>
      <c r="N3928" s="76" t="b">
        <v>0</v>
      </c>
      <c r="O3928" s="76" t="b">
        <v>0</v>
      </c>
      <c r="P3928" s="76" t="b">
        <v>0</v>
      </c>
      <c r="Q3928" s="76" t="b">
        <v>0</v>
      </c>
      <c r="R3928" s="14"/>
      <c r="S3928" s="14"/>
      <c r="T3928" s="14"/>
      <c r="U3928" s="14"/>
      <c r="V3928" s="14"/>
      <c r="W3928" s="14"/>
    </row>
    <row r="3929" ht="31.5" customHeight="1">
      <c r="A3929" s="158"/>
      <c r="B3929" s="159"/>
      <c r="C3929" s="160"/>
      <c r="D3929" s="130"/>
      <c r="E3929" s="130"/>
      <c r="F3929" s="161"/>
      <c r="G3929" s="164"/>
      <c r="H3929" s="76" t="b">
        <v>0</v>
      </c>
      <c r="I3929" s="76" t="b">
        <v>0</v>
      </c>
      <c r="J3929" s="76" t="b">
        <v>0</v>
      </c>
      <c r="K3929" s="76" t="b">
        <v>0</v>
      </c>
      <c r="L3929" s="76" t="b">
        <v>0</v>
      </c>
      <c r="M3929" s="76" t="b">
        <v>0</v>
      </c>
      <c r="N3929" s="76" t="b">
        <v>0</v>
      </c>
      <c r="O3929" s="76" t="b">
        <v>0</v>
      </c>
      <c r="P3929" s="76" t="b">
        <v>0</v>
      </c>
      <c r="Q3929" s="76" t="b">
        <v>0</v>
      </c>
      <c r="R3929" s="14"/>
      <c r="S3929" s="14"/>
      <c r="T3929" s="14"/>
      <c r="U3929" s="14"/>
      <c r="V3929" s="14"/>
      <c r="W3929" s="14"/>
    </row>
    <row r="3930" ht="31.5" customHeight="1">
      <c r="A3930" s="158"/>
      <c r="B3930" s="159"/>
      <c r="C3930" s="160"/>
      <c r="D3930" s="130"/>
      <c r="E3930" s="130"/>
      <c r="F3930" s="161"/>
      <c r="G3930" s="164"/>
      <c r="H3930" s="76" t="b">
        <v>0</v>
      </c>
      <c r="I3930" s="76" t="b">
        <v>0</v>
      </c>
      <c r="J3930" s="76" t="b">
        <v>0</v>
      </c>
      <c r="K3930" s="76" t="b">
        <v>0</v>
      </c>
      <c r="L3930" s="76" t="b">
        <v>0</v>
      </c>
      <c r="M3930" s="76" t="b">
        <v>0</v>
      </c>
      <c r="N3930" s="76" t="b">
        <v>0</v>
      </c>
      <c r="O3930" s="76" t="b">
        <v>0</v>
      </c>
      <c r="P3930" s="76" t="b">
        <v>0</v>
      </c>
      <c r="Q3930" s="76" t="b">
        <v>0</v>
      </c>
      <c r="R3930" s="14"/>
      <c r="S3930" s="14"/>
      <c r="T3930" s="14"/>
      <c r="U3930" s="14"/>
      <c r="V3930" s="14"/>
      <c r="W3930" s="14"/>
    </row>
    <row r="3931" ht="31.5" customHeight="1">
      <c r="A3931" s="158"/>
      <c r="B3931" s="159"/>
      <c r="C3931" s="160"/>
      <c r="D3931" s="130"/>
      <c r="E3931" s="130"/>
      <c r="F3931" s="161"/>
      <c r="G3931" s="164"/>
      <c r="H3931" s="76" t="b">
        <v>0</v>
      </c>
      <c r="I3931" s="76" t="b">
        <v>0</v>
      </c>
      <c r="J3931" s="76" t="b">
        <v>0</v>
      </c>
      <c r="K3931" s="76" t="b">
        <v>0</v>
      </c>
      <c r="L3931" s="76" t="b">
        <v>0</v>
      </c>
      <c r="M3931" s="76" t="b">
        <v>0</v>
      </c>
      <c r="N3931" s="76" t="b">
        <v>0</v>
      </c>
      <c r="O3931" s="76" t="b">
        <v>0</v>
      </c>
      <c r="P3931" s="76" t="b">
        <v>0</v>
      </c>
      <c r="Q3931" s="76" t="b">
        <v>0</v>
      </c>
      <c r="R3931" s="14"/>
      <c r="S3931" s="14"/>
      <c r="T3931" s="14"/>
      <c r="U3931" s="14"/>
      <c r="V3931" s="14"/>
      <c r="W3931" s="14"/>
    </row>
    <row r="3932" ht="31.5" customHeight="1">
      <c r="A3932" s="158"/>
      <c r="B3932" s="159"/>
      <c r="C3932" s="160"/>
      <c r="D3932" s="130"/>
      <c r="E3932" s="130"/>
      <c r="F3932" s="161"/>
      <c r="G3932" s="164"/>
      <c r="H3932" s="76" t="b">
        <v>0</v>
      </c>
      <c r="I3932" s="76" t="b">
        <v>0</v>
      </c>
      <c r="J3932" s="76" t="b">
        <v>0</v>
      </c>
      <c r="K3932" s="76" t="b">
        <v>0</v>
      </c>
      <c r="L3932" s="76" t="b">
        <v>0</v>
      </c>
      <c r="M3932" s="76" t="b">
        <v>0</v>
      </c>
      <c r="N3932" s="76" t="b">
        <v>0</v>
      </c>
      <c r="O3932" s="76" t="b">
        <v>0</v>
      </c>
      <c r="P3932" s="76" t="b">
        <v>0</v>
      </c>
      <c r="Q3932" s="76" t="b">
        <v>0</v>
      </c>
      <c r="R3932" s="14"/>
      <c r="S3932" s="14"/>
      <c r="T3932" s="14"/>
      <c r="U3932" s="14"/>
      <c r="V3932" s="14"/>
      <c r="W3932" s="14"/>
    </row>
    <row r="3933" ht="31.5" customHeight="1">
      <c r="A3933" s="158"/>
      <c r="B3933" s="159"/>
      <c r="C3933" s="160"/>
      <c r="D3933" s="130"/>
      <c r="E3933" s="130"/>
      <c r="F3933" s="161"/>
      <c r="G3933" s="164"/>
      <c r="H3933" s="76" t="b">
        <v>0</v>
      </c>
      <c r="I3933" s="76" t="b">
        <v>0</v>
      </c>
      <c r="J3933" s="76" t="b">
        <v>0</v>
      </c>
      <c r="K3933" s="76" t="b">
        <v>0</v>
      </c>
      <c r="L3933" s="76" t="b">
        <v>0</v>
      </c>
      <c r="M3933" s="76" t="b">
        <v>0</v>
      </c>
      <c r="N3933" s="76" t="b">
        <v>0</v>
      </c>
      <c r="O3933" s="76" t="b">
        <v>0</v>
      </c>
      <c r="P3933" s="76" t="b">
        <v>0</v>
      </c>
      <c r="Q3933" s="76" t="b">
        <v>0</v>
      </c>
      <c r="R3933" s="14"/>
      <c r="S3933" s="14"/>
      <c r="T3933" s="14"/>
      <c r="U3933" s="14"/>
      <c r="V3933" s="14"/>
      <c r="W3933" s="14"/>
    </row>
    <row r="3934" ht="31.5" customHeight="1">
      <c r="A3934" s="158"/>
      <c r="B3934" s="159"/>
      <c r="C3934" s="160"/>
      <c r="D3934" s="130"/>
      <c r="E3934" s="130"/>
      <c r="F3934" s="161"/>
      <c r="G3934" s="164"/>
      <c r="H3934" s="76" t="b">
        <v>0</v>
      </c>
      <c r="I3934" s="76" t="b">
        <v>0</v>
      </c>
      <c r="J3934" s="76" t="b">
        <v>0</v>
      </c>
      <c r="K3934" s="76" t="b">
        <v>0</v>
      </c>
      <c r="L3934" s="76" t="b">
        <v>0</v>
      </c>
      <c r="M3934" s="76" t="b">
        <v>0</v>
      </c>
      <c r="N3934" s="76" t="b">
        <v>0</v>
      </c>
      <c r="O3934" s="76" t="b">
        <v>0</v>
      </c>
      <c r="P3934" s="76" t="b">
        <v>0</v>
      </c>
      <c r="Q3934" s="76" t="b">
        <v>0</v>
      </c>
      <c r="R3934" s="14"/>
      <c r="S3934" s="14"/>
      <c r="T3934" s="14"/>
      <c r="U3934" s="14"/>
      <c r="V3934" s="14"/>
      <c r="W3934" s="14"/>
    </row>
    <row r="3935" ht="31.5" customHeight="1">
      <c r="A3935" s="158"/>
      <c r="B3935" s="159"/>
      <c r="C3935" s="160"/>
      <c r="D3935" s="130"/>
      <c r="E3935" s="130"/>
      <c r="F3935" s="161"/>
      <c r="G3935" s="164"/>
      <c r="H3935" s="76" t="b">
        <v>0</v>
      </c>
      <c r="I3935" s="76" t="b">
        <v>0</v>
      </c>
      <c r="J3935" s="76" t="b">
        <v>0</v>
      </c>
      <c r="K3935" s="76" t="b">
        <v>0</v>
      </c>
      <c r="L3935" s="76" t="b">
        <v>0</v>
      </c>
      <c r="M3935" s="76" t="b">
        <v>0</v>
      </c>
      <c r="N3935" s="76" t="b">
        <v>0</v>
      </c>
      <c r="O3935" s="76" t="b">
        <v>0</v>
      </c>
      <c r="P3935" s="76" t="b">
        <v>0</v>
      </c>
      <c r="Q3935" s="76" t="b">
        <v>0</v>
      </c>
      <c r="R3935" s="14"/>
      <c r="S3935" s="14"/>
      <c r="T3935" s="14"/>
      <c r="U3935" s="14"/>
      <c r="V3935" s="14"/>
      <c r="W3935" s="14"/>
    </row>
    <row r="3936" ht="31.5" customHeight="1">
      <c r="A3936" s="158"/>
      <c r="B3936" s="159"/>
      <c r="C3936" s="160"/>
      <c r="D3936" s="130"/>
      <c r="E3936" s="130"/>
      <c r="F3936" s="161"/>
      <c r="G3936" s="164"/>
      <c r="H3936" s="76" t="b">
        <v>0</v>
      </c>
      <c r="I3936" s="76" t="b">
        <v>0</v>
      </c>
      <c r="J3936" s="76" t="b">
        <v>0</v>
      </c>
      <c r="K3936" s="76" t="b">
        <v>0</v>
      </c>
      <c r="L3936" s="76" t="b">
        <v>0</v>
      </c>
      <c r="M3936" s="76" t="b">
        <v>0</v>
      </c>
      <c r="N3936" s="76" t="b">
        <v>0</v>
      </c>
      <c r="O3936" s="76" t="b">
        <v>0</v>
      </c>
      <c r="P3936" s="76" t="b">
        <v>0</v>
      </c>
      <c r="Q3936" s="76" t="b">
        <v>0</v>
      </c>
      <c r="R3936" s="14"/>
      <c r="S3936" s="14"/>
      <c r="T3936" s="14"/>
      <c r="U3936" s="14"/>
      <c r="V3936" s="14"/>
      <c r="W3936" s="14"/>
    </row>
    <row r="3937" ht="31.5" customHeight="1">
      <c r="A3937" s="158"/>
      <c r="B3937" s="159"/>
      <c r="C3937" s="160"/>
      <c r="D3937" s="130"/>
      <c r="E3937" s="130"/>
      <c r="F3937" s="161"/>
      <c r="G3937" s="164"/>
      <c r="H3937" s="76" t="b">
        <v>0</v>
      </c>
      <c r="I3937" s="76" t="b">
        <v>0</v>
      </c>
      <c r="J3937" s="76" t="b">
        <v>0</v>
      </c>
      <c r="K3937" s="76" t="b">
        <v>0</v>
      </c>
      <c r="L3937" s="76" t="b">
        <v>0</v>
      </c>
      <c r="M3937" s="76" t="b">
        <v>0</v>
      </c>
      <c r="N3937" s="76" t="b">
        <v>0</v>
      </c>
      <c r="O3937" s="76" t="b">
        <v>0</v>
      </c>
      <c r="P3937" s="76" t="b">
        <v>0</v>
      </c>
      <c r="Q3937" s="76" t="b">
        <v>0</v>
      </c>
      <c r="R3937" s="14"/>
      <c r="S3937" s="14"/>
      <c r="T3937" s="14"/>
      <c r="U3937" s="14"/>
      <c r="V3937" s="14"/>
      <c r="W3937" s="14"/>
    </row>
    <row r="3938" ht="31.5" customHeight="1">
      <c r="A3938" s="158"/>
      <c r="B3938" s="159"/>
      <c r="C3938" s="160"/>
      <c r="D3938" s="130"/>
      <c r="E3938" s="130"/>
      <c r="F3938" s="161"/>
      <c r="G3938" s="164"/>
      <c r="H3938" s="76" t="b">
        <v>0</v>
      </c>
      <c r="I3938" s="76" t="b">
        <v>0</v>
      </c>
      <c r="J3938" s="76" t="b">
        <v>0</v>
      </c>
      <c r="K3938" s="76" t="b">
        <v>0</v>
      </c>
      <c r="L3938" s="76" t="b">
        <v>0</v>
      </c>
      <c r="M3938" s="76" t="b">
        <v>0</v>
      </c>
      <c r="N3938" s="76" t="b">
        <v>0</v>
      </c>
      <c r="O3938" s="76" t="b">
        <v>0</v>
      </c>
      <c r="P3938" s="76" t="b">
        <v>0</v>
      </c>
      <c r="Q3938" s="76" t="b">
        <v>0</v>
      </c>
      <c r="R3938" s="14"/>
      <c r="S3938" s="14"/>
      <c r="T3938" s="14"/>
      <c r="U3938" s="14"/>
      <c r="V3938" s="14"/>
      <c r="W3938" s="14"/>
    </row>
    <row r="3939" ht="31.5" customHeight="1">
      <c r="A3939" s="158"/>
      <c r="B3939" s="159"/>
      <c r="C3939" s="160"/>
      <c r="D3939" s="130"/>
      <c r="E3939" s="130"/>
      <c r="F3939" s="161"/>
      <c r="G3939" s="164"/>
      <c r="H3939" s="76" t="b">
        <v>0</v>
      </c>
      <c r="I3939" s="76" t="b">
        <v>0</v>
      </c>
      <c r="J3939" s="76" t="b">
        <v>0</v>
      </c>
      <c r="K3939" s="76" t="b">
        <v>0</v>
      </c>
      <c r="L3939" s="76" t="b">
        <v>0</v>
      </c>
      <c r="M3939" s="76" t="b">
        <v>0</v>
      </c>
      <c r="N3939" s="76" t="b">
        <v>0</v>
      </c>
      <c r="O3939" s="76" t="b">
        <v>0</v>
      </c>
      <c r="P3939" s="76" t="b">
        <v>0</v>
      </c>
      <c r="Q3939" s="76" t="b">
        <v>0</v>
      </c>
      <c r="R3939" s="14"/>
      <c r="S3939" s="14"/>
      <c r="T3939" s="14"/>
      <c r="U3939" s="14"/>
      <c r="V3939" s="14"/>
      <c r="W3939" s="14"/>
    </row>
    <row r="3940" ht="31.5" customHeight="1">
      <c r="A3940" s="158"/>
      <c r="B3940" s="159"/>
      <c r="C3940" s="160"/>
      <c r="D3940" s="130"/>
      <c r="E3940" s="130"/>
      <c r="F3940" s="161"/>
      <c r="G3940" s="164"/>
      <c r="H3940" s="76" t="b">
        <v>0</v>
      </c>
      <c r="I3940" s="76" t="b">
        <v>0</v>
      </c>
      <c r="J3940" s="76" t="b">
        <v>0</v>
      </c>
      <c r="K3940" s="76" t="b">
        <v>0</v>
      </c>
      <c r="L3940" s="76" t="b">
        <v>0</v>
      </c>
      <c r="M3940" s="76" t="b">
        <v>0</v>
      </c>
      <c r="N3940" s="76" t="b">
        <v>0</v>
      </c>
      <c r="O3940" s="76" t="b">
        <v>0</v>
      </c>
      <c r="P3940" s="76" t="b">
        <v>0</v>
      </c>
      <c r="Q3940" s="76" t="b">
        <v>0</v>
      </c>
      <c r="R3940" s="14"/>
      <c r="S3940" s="14"/>
      <c r="T3940" s="14"/>
      <c r="U3940" s="14"/>
      <c r="V3940" s="14"/>
      <c r="W3940" s="14"/>
    </row>
    <row r="3941" ht="31.5" customHeight="1">
      <c r="A3941" s="158"/>
      <c r="B3941" s="159"/>
      <c r="C3941" s="160"/>
      <c r="D3941" s="130"/>
      <c r="E3941" s="130"/>
      <c r="F3941" s="161"/>
      <c r="G3941" s="164"/>
      <c r="H3941" s="76" t="b">
        <v>0</v>
      </c>
      <c r="I3941" s="76" t="b">
        <v>0</v>
      </c>
      <c r="J3941" s="76" t="b">
        <v>0</v>
      </c>
      <c r="K3941" s="76" t="b">
        <v>0</v>
      </c>
      <c r="L3941" s="76" t="b">
        <v>0</v>
      </c>
      <c r="M3941" s="76" t="b">
        <v>0</v>
      </c>
      <c r="N3941" s="76" t="b">
        <v>0</v>
      </c>
      <c r="O3941" s="76" t="b">
        <v>0</v>
      </c>
      <c r="P3941" s="76" t="b">
        <v>0</v>
      </c>
      <c r="Q3941" s="76" t="b">
        <v>0</v>
      </c>
      <c r="R3941" s="14"/>
      <c r="S3941" s="14"/>
      <c r="T3941" s="14"/>
      <c r="U3941" s="14"/>
      <c r="V3941" s="14"/>
      <c r="W3941" s="14"/>
    </row>
    <row r="3942" ht="31.5" customHeight="1">
      <c r="A3942" s="158"/>
      <c r="B3942" s="159"/>
      <c r="C3942" s="160"/>
      <c r="D3942" s="130"/>
      <c r="E3942" s="130"/>
      <c r="F3942" s="161"/>
      <c r="G3942" s="164"/>
      <c r="H3942" s="76" t="b">
        <v>0</v>
      </c>
      <c r="I3942" s="76" t="b">
        <v>0</v>
      </c>
      <c r="J3942" s="76" t="b">
        <v>0</v>
      </c>
      <c r="K3942" s="76" t="b">
        <v>0</v>
      </c>
      <c r="L3942" s="76" t="b">
        <v>0</v>
      </c>
      <c r="M3942" s="76" t="b">
        <v>0</v>
      </c>
      <c r="N3942" s="76" t="b">
        <v>0</v>
      </c>
      <c r="O3942" s="76" t="b">
        <v>0</v>
      </c>
      <c r="P3942" s="76" t="b">
        <v>0</v>
      </c>
      <c r="Q3942" s="76" t="b">
        <v>0</v>
      </c>
      <c r="R3942" s="14"/>
      <c r="S3942" s="14"/>
      <c r="T3942" s="14"/>
      <c r="U3942" s="14"/>
      <c r="V3942" s="14"/>
      <c r="W3942" s="14"/>
    </row>
    <row r="3943" ht="31.5" customHeight="1">
      <c r="A3943" s="158"/>
      <c r="B3943" s="159"/>
      <c r="C3943" s="160"/>
      <c r="D3943" s="130"/>
      <c r="E3943" s="130"/>
      <c r="F3943" s="161"/>
      <c r="G3943" s="164"/>
      <c r="H3943" s="76" t="b">
        <v>0</v>
      </c>
      <c r="I3943" s="76" t="b">
        <v>0</v>
      </c>
      <c r="J3943" s="76" t="b">
        <v>0</v>
      </c>
      <c r="K3943" s="76" t="b">
        <v>0</v>
      </c>
      <c r="L3943" s="76" t="b">
        <v>0</v>
      </c>
      <c r="M3943" s="76" t="b">
        <v>0</v>
      </c>
      <c r="N3943" s="76" t="b">
        <v>0</v>
      </c>
      <c r="O3943" s="76" t="b">
        <v>0</v>
      </c>
      <c r="P3943" s="76" t="b">
        <v>0</v>
      </c>
      <c r="Q3943" s="76" t="b">
        <v>0</v>
      </c>
      <c r="R3943" s="14"/>
      <c r="S3943" s="14"/>
      <c r="T3943" s="14"/>
      <c r="U3943" s="14"/>
      <c r="V3943" s="14"/>
      <c r="W3943" s="14"/>
    </row>
    <row r="3944" ht="31.5" customHeight="1">
      <c r="A3944" s="158"/>
      <c r="B3944" s="159"/>
      <c r="C3944" s="160"/>
      <c r="D3944" s="130"/>
      <c r="E3944" s="130"/>
      <c r="F3944" s="161"/>
      <c r="G3944" s="164"/>
      <c r="H3944" s="76" t="b">
        <v>0</v>
      </c>
      <c r="I3944" s="76" t="b">
        <v>0</v>
      </c>
      <c r="J3944" s="76" t="b">
        <v>0</v>
      </c>
      <c r="K3944" s="76" t="b">
        <v>0</v>
      </c>
      <c r="L3944" s="76" t="b">
        <v>0</v>
      </c>
      <c r="M3944" s="76" t="b">
        <v>0</v>
      </c>
      <c r="N3944" s="76" t="b">
        <v>0</v>
      </c>
      <c r="O3944" s="76" t="b">
        <v>0</v>
      </c>
      <c r="P3944" s="76" t="b">
        <v>0</v>
      </c>
      <c r="Q3944" s="76" t="b">
        <v>0</v>
      </c>
      <c r="R3944" s="14"/>
      <c r="S3944" s="14"/>
      <c r="T3944" s="14"/>
      <c r="U3944" s="14"/>
      <c r="V3944" s="14"/>
      <c r="W3944" s="14"/>
    </row>
    <row r="3945" ht="31.5" customHeight="1">
      <c r="A3945" s="158"/>
      <c r="B3945" s="159"/>
      <c r="C3945" s="160"/>
      <c r="D3945" s="130"/>
      <c r="E3945" s="130"/>
      <c r="F3945" s="161"/>
      <c r="G3945" s="164"/>
      <c r="H3945" s="76" t="b">
        <v>0</v>
      </c>
      <c r="I3945" s="76" t="b">
        <v>0</v>
      </c>
      <c r="J3945" s="76" t="b">
        <v>0</v>
      </c>
      <c r="K3945" s="76" t="b">
        <v>0</v>
      </c>
      <c r="L3945" s="76" t="b">
        <v>0</v>
      </c>
      <c r="M3945" s="76" t="b">
        <v>0</v>
      </c>
      <c r="N3945" s="76" t="b">
        <v>0</v>
      </c>
      <c r="O3945" s="76" t="b">
        <v>0</v>
      </c>
      <c r="P3945" s="76" t="b">
        <v>0</v>
      </c>
      <c r="Q3945" s="76" t="b">
        <v>0</v>
      </c>
      <c r="R3945" s="14"/>
      <c r="S3945" s="14"/>
      <c r="T3945" s="14"/>
      <c r="U3945" s="14"/>
      <c r="V3945" s="14"/>
      <c r="W3945" s="14"/>
    </row>
    <row r="3946" ht="31.5" customHeight="1">
      <c r="A3946" s="158"/>
      <c r="B3946" s="159"/>
      <c r="C3946" s="160"/>
      <c r="D3946" s="130"/>
      <c r="E3946" s="130"/>
      <c r="F3946" s="161"/>
      <c r="G3946" s="164"/>
      <c r="H3946" s="76" t="b">
        <v>0</v>
      </c>
      <c r="I3946" s="76" t="b">
        <v>0</v>
      </c>
      <c r="J3946" s="76" t="b">
        <v>0</v>
      </c>
      <c r="K3946" s="76" t="b">
        <v>0</v>
      </c>
      <c r="L3946" s="76" t="b">
        <v>0</v>
      </c>
      <c r="M3946" s="76" t="b">
        <v>0</v>
      </c>
      <c r="N3946" s="76" t="b">
        <v>0</v>
      </c>
      <c r="O3946" s="76" t="b">
        <v>0</v>
      </c>
      <c r="P3946" s="76" t="b">
        <v>0</v>
      </c>
      <c r="Q3946" s="76" t="b">
        <v>0</v>
      </c>
      <c r="R3946" s="14"/>
      <c r="S3946" s="14"/>
      <c r="T3946" s="14"/>
      <c r="U3946" s="14"/>
      <c r="V3946" s="14"/>
      <c r="W3946" s="14"/>
    </row>
    <row r="3947" ht="31.5" customHeight="1">
      <c r="A3947" s="158"/>
      <c r="B3947" s="159"/>
      <c r="C3947" s="160"/>
      <c r="D3947" s="130"/>
      <c r="E3947" s="130"/>
      <c r="F3947" s="161"/>
      <c r="G3947" s="164"/>
      <c r="H3947" s="76" t="b">
        <v>0</v>
      </c>
      <c r="I3947" s="76" t="b">
        <v>0</v>
      </c>
      <c r="J3947" s="76" t="b">
        <v>0</v>
      </c>
      <c r="K3947" s="76" t="b">
        <v>0</v>
      </c>
      <c r="L3947" s="76" t="b">
        <v>0</v>
      </c>
      <c r="M3947" s="76" t="b">
        <v>0</v>
      </c>
      <c r="N3947" s="76" t="b">
        <v>0</v>
      </c>
      <c r="O3947" s="76" t="b">
        <v>0</v>
      </c>
      <c r="P3947" s="76" t="b">
        <v>0</v>
      </c>
      <c r="Q3947" s="76" t="b">
        <v>0</v>
      </c>
      <c r="R3947" s="14"/>
      <c r="S3947" s="14"/>
      <c r="T3947" s="14"/>
      <c r="U3947" s="14"/>
      <c r="V3947" s="14"/>
      <c r="W3947" s="14"/>
    </row>
    <row r="3948" ht="31.5" customHeight="1">
      <c r="A3948" s="158"/>
      <c r="B3948" s="159"/>
      <c r="C3948" s="160"/>
      <c r="D3948" s="130"/>
      <c r="E3948" s="130"/>
      <c r="F3948" s="161"/>
      <c r="G3948" s="164"/>
      <c r="H3948" s="76" t="b">
        <v>0</v>
      </c>
      <c r="I3948" s="76" t="b">
        <v>0</v>
      </c>
      <c r="J3948" s="76" t="b">
        <v>0</v>
      </c>
      <c r="K3948" s="76" t="b">
        <v>0</v>
      </c>
      <c r="L3948" s="76" t="b">
        <v>0</v>
      </c>
      <c r="M3948" s="76" t="b">
        <v>0</v>
      </c>
      <c r="N3948" s="76" t="b">
        <v>0</v>
      </c>
      <c r="O3948" s="76" t="b">
        <v>0</v>
      </c>
      <c r="P3948" s="76" t="b">
        <v>0</v>
      </c>
      <c r="Q3948" s="76" t="b">
        <v>0</v>
      </c>
      <c r="R3948" s="14"/>
      <c r="S3948" s="14"/>
      <c r="T3948" s="14"/>
      <c r="U3948" s="14"/>
      <c r="V3948" s="14"/>
      <c r="W3948" s="14"/>
    </row>
    <row r="3949" ht="31.5" customHeight="1">
      <c r="A3949" s="158"/>
      <c r="B3949" s="159"/>
      <c r="C3949" s="160"/>
      <c r="D3949" s="130"/>
      <c r="E3949" s="130"/>
      <c r="F3949" s="161"/>
      <c r="G3949" s="164"/>
      <c r="H3949" s="76" t="b">
        <v>0</v>
      </c>
      <c r="I3949" s="76" t="b">
        <v>0</v>
      </c>
      <c r="J3949" s="76" t="b">
        <v>0</v>
      </c>
      <c r="K3949" s="76" t="b">
        <v>0</v>
      </c>
      <c r="L3949" s="76" t="b">
        <v>0</v>
      </c>
      <c r="M3949" s="76" t="b">
        <v>0</v>
      </c>
      <c r="N3949" s="76" t="b">
        <v>0</v>
      </c>
      <c r="O3949" s="76" t="b">
        <v>0</v>
      </c>
      <c r="P3949" s="76" t="b">
        <v>0</v>
      </c>
      <c r="Q3949" s="76" t="b">
        <v>0</v>
      </c>
      <c r="R3949" s="14"/>
      <c r="S3949" s="14"/>
      <c r="T3949" s="14"/>
      <c r="U3949" s="14"/>
      <c r="V3949" s="14"/>
      <c r="W3949" s="14"/>
    </row>
    <row r="3950" ht="31.5" customHeight="1">
      <c r="A3950" s="158"/>
      <c r="B3950" s="159"/>
      <c r="C3950" s="160"/>
      <c r="D3950" s="130"/>
      <c r="E3950" s="130"/>
      <c r="F3950" s="161"/>
      <c r="G3950" s="164"/>
      <c r="H3950" s="76" t="b">
        <v>0</v>
      </c>
      <c r="I3950" s="76" t="b">
        <v>0</v>
      </c>
      <c r="J3950" s="76" t="b">
        <v>0</v>
      </c>
      <c r="K3950" s="76" t="b">
        <v>0</v>
      </c>
      <c r="L3950" s="76" t="b">
        <v>0</v>
      </c>
      <c r="M3950" s="76" t="b">
        <v>0</v>
      </c>
      <c r="N3950" s="76" t="b">
        <v>0</v>
      </c>
      <c r="O3950" s="76" t="b">
        <v>0</v>
      </c>
      <c r="P3950" s="76" t="b">
        <v>0</v>
      </c>
      <c r="Q3950" s="76" t="b">
        <v>0</v>
      </c>
      <c r="R3950" s="14"/>
      <c r="S3950" s="14"/>
      <c r="T3950" s="14"/>
      <c r="U3950" s="14"/>
      <c r="V3950" s="14"/>
      <c r="W3950" s="14"/>
    </row>
    <row r="3951" ht="31.5" customHeight="1">
      <c r="A3951" s="158"/>
      <c r="B3951" s="159"/>
      <c r="C3951" s="160"/>
      <c r="D3951" s="130"/>
      <c r="E3951" s="130"/>
      <c r="F3951" s="161"/>
      <c r="G3951" s="164"/>
      <c r="H3951" s="76" t="b">
        <v>1</v>
      </c>
      <c r="I3951" s="76" t="b">
        <v>0</v>
      </c>
      <c r="J3951" s="76" t="b">
        <v>0</v>
      </c>
      <c r="K3951" s="76" t="b">
        <v>0</v>
      </c>
      <c r="L3951" s="76" t="b">
        <v>0</v>
      </c>
      <c r="M3951" s="76" t="b">
        <v>0</v>
      </c>
      <c r="N3951" s="76" t="b">
        <v>0</v>
      </c>
      <c r="O3951" s="76" t="b">
        <v>0</v>
      </c>
      <c r="P3951" s="76" t="b">
        <v>0</v>
      </c>
      <c r="Q3951" s="76" t="b">
        <v>0</v>
      </c>
      <c r="R3951" s="14"/>
      <c r="S3951" s="14"/>
      <c r="T3951" s="14"/>
      <c r="U3951" s="14"/>
      <c r="V3951" s="14"/>
      <c r="W3951" s="14"/>
    </row>
    <row r="3952" ht="31.5" customHeight="1">
      <c r="A3952" s="158"/>
      <c r="B3952" s="159"/>
      <c r="C3952" s="160"/>
      <c r="D3952" s="130"/>
      <c r="E3952" s="130"/>
      <c r="F3952" s="161"/>
      <c r="G3952" s="164"/>
      <c r="H3952" s="76" t="b">
        <v>1</v>
      </c>
      <c r="I3952" s="76" t="b">
        <v>0</v>
      </c>
      <c r="J3952" s="76" t="b">
        <v>0</v>
      </c>
      <c r="K3952" s="76" t="b">
        <v>0</v>
      </c>
      <c r="L3952" s="76" t="b">
        <v>0</v>
      </c>
      <c r="M3952" s="76" t="b">
        <v>0</v>
      </c>
      <c r="N3952" s="76" t="b">
        <v>0</v>
      </c>
      <c r="O3952" s="76" t="b">
        <v>0</v>
      </c>
      <c r="P3952" s="76" t="b">
        <v>0</v>
      </c>
      <c r="Q3952" s="76" t="b">
        <v>0</v>
      </c>
      <c r="R3952" s="14"/>
      <c r="S3952" s="14"/>
      <c r="T3952" s="14"/>
      <c r="U3952" s="14"/>
      <c r="V3952" s="14"/>
      <c r="W3952" s="14"/>
    </row>
    <row r="3953" ht="31.5" customHeight="1">
      <c r="A3953" s="158"/>
      <c r="B3953" s="159"/>
      <c r="C3953" s="160"/>
      <c r="D3953" s="130"/>
      <c r="E3953" s="130"/>
      <c r="F3953" s="161"/>
      <c r="G3953" s="164"/>
      <c r="H3953" s="76" t="b">
        <v>1</v>
      </c>
      <c r="I3953" s="76" t="b">
        <v>0</v>
      </c>
      <c r="J3953" s="76" t="b">
        <v>0</v>
      </c>
      <c r="K3953" s="76" t="b">
        <v>0</v>
      </c>
      <c r="L3953" s="76" t="b">
        <v>0</v>
      </c>
      <c r="M3953" s="76" t="b">
        <v>0</v>
      </c>
      <c r="N3953" s="76" t="b">
        <v>0</v>
      </c>
      <c r="O3953" s="76" t="b">
        <v>0</v>
      </c>
      <c r="P3953" s="76" t="b">
        <v>0</v>
      </c>
      <c r="Q3953" s="76" t="b">
        <v>0</v>
      </c>
      <c r="R3953" s="14"/>
      <c r="S3953" s="14"/>
      <c r="T3953" s="14"/>
      <c r="U3953" s="14"/>
      <c r="V3953" s="14"/>
      <c r="W3953" s="14"/>
    </row>
    <row r="3954" ht="31.5" customHeight="1">
      <c r="A3954" s="158"/>
      <c r="B3954" s="159"/>
      <c r="C3954" s="160"/>
      <c r="D3954" s="130"/>
      <c r="E3954" s="130"/>
      <c r="F3954" s="161"/>
      <c r="G3954" s="164"/>
      <c r="H3954" s="76" t="b">
        <v>1</v>
      </c>
      <c r="I3954" s="76" t="b">
        <v>0</v>
      </c>
      <c r="J3954" s="76" t="b">
        <v>0</v>
      </c>
      <c r="K3954" s="76" t="b">
        <v>0</v>
      </c>
      <c r="L3954" s="76" t="b">
        <v>0</v>
      </c>
      <c r="M3954" s="76" t="b">
        <v>0</v>
      </c>
      <c r="N3954" s="76" t="b">
        <v>0</v>
      </c>
      <c r="O3954" s="76" t="b">
        <v>0</v>
      </c>
      <c r="P3954" s="76" t="b">
        <v>0</v>
      </c>
      <c r="Q3954" s="76" t="b">
        <v>0</v>
      </c>
      <c r="R3954" s="14"/>
      <c r="S3954" s="14"/>
      <c r="T3954" s="14"/>
      <c r="U3954" s="14"/>
      <c r="V3954" s="14"/>
      <c r="W3954" s="14"/>
    </row>
    <row r="3955" ht="31.5" customHeight="1">
      <c r="A3955" s="158"/>
      <c r="B3955" s="159"/>
      <c r="C3955" s="160"/>
      <c r="D3955" s="130"/>
      <c r="E3955" s="130"/>
      <c r="F3955" s="161"/>
      <c r="G3955" s="164"/>
      <c r="H3955" s="76" t="b">
        <v>1</v>
      </c>
      <c r="I3955" s="76" t="b">
        <v>0</v>
      </c>
      <c r="J3955" s="76" t="b">
        <v>0</v>
      </c>
      <c r="K3955" s="76" t="b">
        <v>0</v>
      </c>
      <c r="L3955" s="76" t="b">
        <v>0</v>
      </c>
      <c r="M3955" s="76" t="b">
        <v>0</v>
      </c>
      <c r="N3955" s="76" t="b">
        <v>0</v>
      </c>
      <c r="O3955" s="76" t="b">
        <v>0</v>
      </c>
      <c r="P3955" s="76" t="b">
        <v>0</v>
      </c>
      <c r="Q3955" s="76" t="b">
        <v>0</v>
      </c>
      <c r="R3955" s="14"/>
      <c r="S3955" s="14"/>
      <c r="T3955" s="14"/>
      <c r="U3955" s="14"/>
      <c r="V3955" s="14"/>
      <c r="W3955" s="14"/>
    </row>
    <row r="3956" ht="31.5" customHeight="1">
      <c r="A3956" s="158"/>
      <c r="B3956" s="159"/>
      <c r="C3956" s="160"/>
      <c r="D3956" s="130"/>
      <c r="E3956" s="130"/>
      <c r="F3956" s="161"/>
      <c r="G3956" s="164"/>
      <c r="H3956" s="76" t="b">
        <v>1</v>
      </c>
      <c r="I3956" s="76" t="b">
        <v>0</v>
      </c>
      <c r="J3956" s="76" t="b">
        <v>0</v>
      </c>
      <c r="K3956" s="76" t="b">
        <v>0</v>
      </c>
      <c r="L3956" s="76" t="b">
        <v>0</v>
      </c>
      <c r="M3956" s="76" t="b">
        <v>0</v>
      </c>
      <c r="N3956" s="76" t="b">
        <v>0</v>
      </c>
      <c r="O3956" s="76" t="b">
        <v>0</v>
      </c>
      <c r="P3956" s="76" t="b">
        <v>0</v>
      </c>
      <c r="Q3956" s="76" t="b">
        <v>0</v>
      </c>
      <c r="R3956" s="14"/>
      <c r="S3956" s="14"/>
      <c r="T3956" s="14"/>
      <c r="U3956" s="14"/>
      <c r="V3956" s="14"/>
      <c r="W3956" s="14"/>
    </row>
    <row r="3957" ht="31.5" customHeight="1">
      <c r="A3957" s="158"/>
      <c r="B3957" s="159"/>
      <c r="C3957" s="160"/>
      <c r="D3957" s="130"/>
      <c r="E3957" s="130"/>
      <c r="F3957" s="161"/>
      <c r="G3957" s="164"/>
      <c r="H3957" s="76" t="b">
        <v>1</v>
      </c>
      <c r="I3957" s="76" t="b">
        <v>0</v>
      </c>
      <c r="J3957" s="76" t="b">
        <v>0</v>
      </c>
      <c r="K3957" s="76" t="b">
        <v>0</v>
      </c>
      <c r="L3957" s="76" t="b">
        <v>0</v>
      </c>
      <c r="M3957" s="76" t="b">
        <v>0</v>
      </c>
      <c r="N3957" s="76" t="b">
        <v>0</v>
      </c>
      <c r="O3957" s="76" t="b">
        <v>0</v>
      </c>
      <c r="P3957" s="76" t="b">
        <v>0</v>
      </c>
      <c r="Q3957" s="76" t="b">
        <v>0</v>
      </c>
      <c r="R3957" s="14"/>
      <c r="S3957" s="14"/>
      <c r="T3957" s="14"/>
      <c r="U3957" s="14"/>
      <c r="V3957" s="14"/>
      <c r="W3957" s="14"/>
    </row>
    <row r="3958" ht="31.5" customHeight="1">
      <c r="A3958" s="158"/>
      <c r="B3958" s="159"/>
      <c r="C3958" s="160"/>
      <c r="D3958" s="130"/>
      <c r="E3958" s="130"/>
      <c r="F3958" s="161"/>
      <c r="G3958" s="164"/>
      <c r="H3958" s="76" t="b">
        <v>1</v>
      </c>
      <c r="I3958" s="76" t="b">
        <v>0</v>
      </c>
      <c r="J3958" s="76" t="b">
        <v>0</v>
      </c>
      <c r="K3958" s="76" t="b">
        <v>0</v>
      </c>
      <c r="L3958" s="76" t="b">
        <v>0</v>
      </c>
      <c r="M3958" s="76" t="b">
        <v>0</v>
      </c>
      <c r="N3958" s="76" t="b">
        <v>0</v>
      </c>
      <c r="O3958" s="76" t="b">
        <v>0</v>
      </c>
      <c r="P3958" s="76" t="b">
        <v>0</v>
      </c>
      <c r="Q3958" s="76" t="b">
        <v>0</v>
      </c>
      <c r="R3958" s="14"/>
      <c r="S3958" s="14"/>
      <c r="T3958" s="14"/>
      <c r="U3958" s="14"/>
      <c r="V3958" s="14"/>
      <c r="W3958" s="14"/>
    </row>
    <row r="3959" ht="31.5" customHeight="1">
      <c r="A3959" s="158"/>
      <c r="B3959" s="159"/>
      <c r="C3959" s="160"/>
      <c r="D3959" s="130"/>
      <c r="E3959" s="130"/>
      <c r="F3959" s="161"/>
      <c r="G3959" s="164"/>
      <c r="H3959" s="76" t="b">
        <v>1</v>
      </c>
      <c r="I3959" s="76" t="b">
        <v>0</v>
      </c>
      <c r="J3959" s="76" t="b">
        <v>0</v>
      </c>
      <c r="K3959" s="76" t="b">
        <v>0</v>
      </c>
      <c r="L3959" s="76" t="b">
        <v>0</v>
      </c>
      <c r="M3959" s="76" t="b">
        <v>0</v>
      </c>
      <c r="N3959" s="76" t="b">
        <v>0</v>
      </c>
      <c r="O3959" s="76" t="b">
        <v>0</v>
      </c>
      <c r="P3959" s="76" t="b">
        <v>0</v>
      </c>
      <c r="Q3959" s="76" t="b">
        <v>0</v>
      </c>
      <c r="R3959" s="14"/>
      <c r="S3959" s="14"/>
      <c r="T3959" s="14"/>
      <c r="U3959" s="14"/>
      <c r="V3959" s="14"/>
      <c r="W3959" s="14"/>
    </row>
    <row r="3960" ht="31.5" customHeight="1">
      <c r="A3960" s="158"/>
      <c r="B3960" s="159"/>
      <c r="C3960" s="160"/>
      <c r="D3960" s="130"/>
      <c r="E3960" s="130"/>
      <c r="F3960" s="161"/>
      <c r="G3960" s="164"/>
      <c r="H3960" s="76" t="b">
        <v>1</v>
      </c>
      <c r="I3960" s="76" t="b">
        <v>0</v>
      </c>
      <c r="J3960" s="76" t="b">
        <v>0</v>
      </c>
      <c r="K3960" s="76" t="b">
        <v>0</v>
      </c>
      <c r="L3960" s="76" t="b">
        <v>0</v>
      </c>
      <c r="M3960" s="76" t="b">
        <v>0</v>
      </c>
      <c r="N3960" s="76" t="b">
        <v>0</v>
      </c>
      <c r="O3960" s="76" t="b">
        <v>0</v>
      </c>
      <c r="P3960" s="76" t="b">
        <v>0</v>
      </c>
      <c r="Q3960" s="76" t="b">
        <v>0</v>
      </c>
      <c r="R3960" s="14"/>
      <c r="S3960" s="14"/>
      <c r="T3960" s="14"/>
      <c r="U3960" s="14"/>
      <c r="V3960" s="14"/>
      <c r="W3960" s="14"/>
    </row>
    <row r="3961" ht="31.5" customHeight="1">
      <c r="A3961" s="158"/>
      <c r="B3961" s="159"/>
      <c r="C3961" s="160"/>
      <c r="D3961" s="130"/>
      <c r="E3961" s="130"/>
      <c r="F3961" s="161"/>
      <c r="G3961" s="164"/>
      <c r="H3961" s="76" t="b">
        <v>1</v>
      </c>
      <c r="I3961" s="76" t="b">
        <v>0</v>
      </c>
      <c r="J3961" s="76" t="b">
        <v>0</v>
      </c>
      <c r="K3961" s="76" t="b">
        <v>0</v>
      </c>
      <c r="L3961" s="76" t="b">
        <v>0</v>
      </c>
      <c r="M3961" s="76" t="b">
        <v>0</v>
      </c>
      <c r="N3961" s="76" t="b">
        <v>0</v>
      </c>
      <c r="O3961" s="76" t="b">
        <v>0</v>
      </c>
      <c r="P3961" s="76" t="b">
        <v>0</v>
      </c>
      <c r="Q3961" s="76" t="b">
        <v>0</v>
      </c>
      <c r="R3961" s="14"/>
      <c r="S3961" s="14"/>
      <c r="T3961" s="14"/>
      <c r="U3961" s="14"/>
      <c r="V3961" s="14"/>
      <c r="W3961" s="14"/>
    </row>
    <row r="3962" ht="31.5" customHeight="1">
      <c r="A3962" s="158"/>
      <c r="B3962" s="159"/>
      <c r="C3962" s="160"/>
      <c r="D3962" s="130"/>
      <c r="E3962" s="130"/>
      <c r="F3962" s="161"/>
      <c r="G3962" s="164"/>
      <c r="H3962" s="76" t="b">
        <v>1</v>
      </c>
      <c r="I3962" s="76" t="b">
        <v>0</v>
      </c>
      <c r="J3962" s="76" t="b">
        <v>0</v>
      </c>
      <c r="K3962" s="76" t="b">
        <v>0</v>
      </c>
      <c r="L3962" s="76" t="b">
        <v>0</v>
      </c>
      <c r="M3962" s="76" t="b">
        <v>0</v>
      </c>
      <c r="N3962" s="76" t="b">
        <v>0</v>
      </c>
      <c r="O3962" s="76" t="b">
        <v>0</v>
      </c>
      <c r="P3962" s="76" t="b">
        <v>0</v>
      </c>
      <c r="Q3962" s="76" t="b">
        <v>0</v>
      </c>
      <c r="R3962" s="14"/>
      <c r="S3962" s="14"/>
      <c r="T3962" s="14"/>
      <c r="U3962" s="14"/>
      <c r="V3962" s="14"/>
      <c r="W3962" s="14"/>
    </row>
    <row r="3963" ht="31.5" customHeight="1">
      <c r="A3963" s="158"/>
      <c r="B3963" s="159"/>
      <c r="C3963" s="160"/>
      <c r="D3963" s="130"/>
      <c r="E3963" s="130"/>
      <c r="F3963" s="161"/>
      <c r="G3963" s="164"/>
      <c r="H3963" s="76" t="b">
        <v>1</v>
      </c>
      <c r="I3963" s="76" t="b">
        <v>0</v>
      </c>
      <c r="J3963" s="76" t="b">
        <v>0</v>
      </c>
      <c r="K3963" s="76" t="b">
        <v>0</v>
      </c>
      <c r="L3963" s="76" t="b">
        <v>0</v>
      </c>
      <c r="M3963" s="76" t="b">
        <v>0</v>
      </c>
      <c r="N3963" s="76" t="b">
        <v>0</v>
      </c>
      <c r="O3963" s="76" t="b">
        <v>0</v>
      </c>
      <c r="P3963" s="76" t="b">
        <v>0</v>
      </c>
      <c r="Q3963" s="76" t="b">
        <v>0</v>
      </c>
      <c r="R3963" s="14"/>
      <c r="S3963" s="14"/>
      <c r="T3963" s="14"/>
      <c r="U3963" s="14"/>
      <c r="V3963" s="14"/>
      <c r="W3963" s="14"/>
    </row>
    <row r="3964" ht="31.5" customHeight="1">
      <c r="A3964" s="158"/>
      <c r="B3964" s="159"/>
      <c r="C3964" s="160"/>
      <c r="D3964" s="130"/>
      <c r="E3964" s="130"/>
      <c r="F3964" s="161"/>
      <c r="G3964" s="164"/>
      <c r="H3964" s="76" t="b">
        <v>1</v>
      </c>
      <c r="I3964" s="76" t="b">
        <v>0</v>
      </c>
      <c r="J3964" s="76" t="b">
        <v>0</v>
      </c>
      <c r="K3964" s="76" t="b">
        <v>0</v>
      </c>
      <c r="L3964" s="76" t="b">
        <v>0</v>
      </c>
      <c r="M3964" s="76" t="b">
        <v>0</v>
      </c>
      <c r="N3964" s="76" t="b">
        <v>0</v>
      </c>
      <c r="O3964" s="76" t="b">
        <v>0</v>
      </c>
      <c r="P3964" s="76" t="b">
        <v>0</v>
      </c>
      <c r="Q3964" s="76" t="b">
        <v>0</v>
      </c>
      <c r="R3964" s="14"/>
      <c r="S3964" s="14"/>
      <c r="T3964" s="14"/>
      <c r="U3964" s="14"/>
      <c r="V3964" s="14"/>
      <c r="W3964" s="14"/>
    </row>
    <row r="3965" ht="31.5" customHeight="1">
      <c r="A3965" s="158"/>
      <c r="B3965" s="159"/>
      <c r="C3965" s="160"/>
      <c r="D3965" s="130"/>
      <c r="E3965" s="130"/>
      <c r="F3965" s="161"/>
      <c r="G3965" s="164"/>
      <c r="H3965" s="76" t="b">
        <v>1</v>
      </c>
      <c r="I3965" s="76" t="b">
        <v>0</v>
      </c>
      <c r="J3965" s="76" t="b">
        <v>0</v>
      </c>
      <c r="K3965" s="76" t="b">
        <v>0</v>
      </c>
      <c r="L3965" s="76" t="b">
        <v>0</v>
      </c>
      <c r="M3965" s="76" t="b">
        <v>0</v>
      </c>
      <c r="N3965" s="76" t="b">
        <v>0</v>
      </c>
      <c r="O3965" s="76" t="b">
        <v>0</v>
      </c>
      <c r="P3965" s="76" t="b">
        <v>0</v>
      </c>
      <c r="Q3965" s="76" t="b">
        <v>0</v>
      </c>
      <c r="R3965" s="14"/>
      <c r="S3965" s="14"/>
      <c r="T3965" s="14"/>
      <c r="U3965" s="14"/>
      <c r="V3965" s="14"/>
      <c r="W3965" s="14"/>
    </row>
    <row r="3966" ht="31.5" customHeight="1">
      <c r="A3966" s="158"/>
      <c r="B3966" s="159"/>
      <c r="C3966" s="160"/>
      <c r="D3966" s="130"/>
      <c r="E3966" s="130"/>
      <c r="F3966" s="161"/>
      <c r="G3966" s="164"/>
      <c r="H3966" s="76" t="b">
        <v>1</v>
      </c>
      <c r="I3966" s="76" t="b">
        <v>0</v>
      </c>
      <c r="J3966" s="76" t="b">
        <v>0</v>
      </c>
      <c r="K3966" s="76" t="b">
        <v>0</v>
      </c>
      <c r="L3966" s="76" t="b">
        <v>0</v>
      </c>
      <c r="M3966" s="76" t="b">
        <v>0</v>
      </c>
      <c r="N3966" s="76" t="b">
        <v>0</v>
      </c>
      <c r="O3966" s="76" t="b">
        <v>0</v>
      </c>
      <c r="P3966" s="76" t="b">
        <v>0</v>
      </c>
      <c r="Q3966" s="76" t="b">
        <v>0</v>
      </c>
      <c r="R3966" s="14"/>
      <c r="S3966" s="14"/>
      <c r="T3966" s="14"/>
      <c r="U3966" s="14"/>
      <c r="V3966" s="14"/>
      <c r="W3966" s="14"/>
    </row>
    <row r="3967" ht="31.5" customHeight="1">
      <c r="A3967" s="158"/>
      <c r="B3967" s="159"/>
      <c r="C3967" s="160"/>
      <c r="D3967" s="130"/>
      <c r="E3967" s="130"/>
      <c r="F3967" s="161"/>
      <c r="G3967" s="164"/>
      <c r="H3967" s="76" t="b">
        <v>1</v>
      </c>
      <c r="I3967" s="76" t="b">
        <v>0</v>
      </c>
      <c r="J3967" s="76" t="b">
        <v>0</v>
      </c>
      <c r="K3967" s="76" t="b">
        <v>0</v>
      </c>
      <c r="L3967" s="76" t="b">
        <v>0</v>
      </c>
      <c r="M3967" s="76" t="b">
        <v>0</v>
      </c>
      <c r="N3967" s="76" t="b">
        <v>0</v>
      </c>
      <c r="O3967" s="76" t="b">
        <v>0</v>
      </c>
      <c r="P3967" s="76" t="b">
        <v>0</v>
      </c>
      <c r="Q3967" s="76" t="b">
        <v>0</v>
      </c>
      <c r="R3967" s="14"/>
      <c r="S3967" s="14"/>
      <c r="T3967" s="14"/>
      <c r="U3967" s="14"/>
      <c r="V3967" s="14"/>
      <c r="W3967" s="14"/>
    </row>
    <row r="3968" ht="31.5" customHeight="1">
      <c r="A3968" s="158"/>
      <c r="B3968" s="159"/>
      <c r="C3968" s="160"/>
      <c r="D3968" s="130"/>
      <c r="E3968" s="130"/>
      <c r="F3968" s="161"/>
      <c r="G3968" s="164"/>
      <c r="H3968" s="76" t="b">
        <v>1</v>
      </c>
      <c r="I3968" s="76" t="b">
        <v>0</v>
      </c>
      <c r="J3968" s="76" t="b">
        <v>0</v>
      </c>
      <c r="K3968" s="76" t="b">
        <v>0</v>
      </c>
      <c r="L3968" s="76" t="b">
        <v>0</v>
      </c>
      <c r="M3968" s="76" t="b">
        <v>0</v>
      </c>
      <c r="N3968" s="76" t="b">
        <v>0</v>
      </c>
      <c r="O3968" s="76" t="b">
        <v>0</v>
      </c>
      <c r="P3968" s="76" t="b">
        <v>0</v>
      </c>
      <c r="Q3968" s="76" t="b">
        <v>0</v>
      </c>
      <c r="R3968" s="14"/>
      <c r="S3968" s="14"/>
      <c r="T3968" s="14"/>
      <c r="U3968" s="14"/>
      <c r="V3968" s="14"/>
      <c r="W3968" s="14"/>
    </row>
    <row r="3969" ht="31.5" customHeight="1">
      <c r="A3969" s="158"/>
      <c r="B3969" s="159"/>
      <c r="C3969" s="160"/>
      <c r="D3969" s="130"/>
      <c r="E3969" s="130"/>
      <c r="F3969" s="161"/>
      <c r="G3969" s="164"/>
      <c r="H3969" s="76" t="b">
        <v>1</v>
      </c>
      <c r="I3969" s="76" t="b">
        <v>0</v>
      </c>
      <c r="J3969" s="76" t="b">
        <v>0</v>
      </c>
      <c r="K3969" s="76" t="b">
        <v>0</v>
      </c>
      <c r="L3969" s="76" t="b">
        <v>0</v>
      </c>
      <c r="M3969" s="76" t="b">
        <v>0</v>
      </c>
      <c r="N3969" s="76" t="b">
        <v>0</v>
      </c>
      <c r="O3969" s="76" t="b">
        <v>0</v>
      </c>
      <c r="P3969" s="76" t="b">
        <v>0</v>
      </c>
      <c r="Q3969" s="76" t="b">
        <v>0</v>
      </c>
      <c r="R3969" s="14"/>
      <c r="S3969" s="14"/>
      <c r="T3969" s="14"/>
      <c r="U3969" s="14"/>
      <c r="V3969" s="14"/>
      <c r="W3969" s="14"/>
    </row>
    <row r="3970" ht="31.5" customHeight="1">
      <c r="A3970" s="158"/>
      <c r="B3970" s="159"/>
      <c r="C3970" s="160"/>
      <c r="D3970" s="130"/>
      <c r="E3970" s="130"/>
      <c r="F3970" s="161"/>
      <c r="G3970" s="164"/>
      <c r="H3970" s="76" t="b">
        <v>1</v>
      </c>
      <c r="I3970" s="76" t="b">
        <v>0</v>
      </c>
      <c r="J3970" s="76" t="b">
        <v>0</v>
      </c>
      <c r="K3970" s="76" t="b">
        <v>0</v>
      </c>
      <c r="L3970" s="76" t="b">
        <v>0</v>
      </c>
      <c r="M3970" s="76" t="b">
        <v>0</v>
      </c>
      <c r="N3970" s="76" t="b">
        <v>0</v>
      </c>
      <c r="O3970" s="76" t="b">
        <v>0</v>
      </c>
      <c r="P3970" s="76" t="b">
        <v>0</v>
      </c>
      <c r="Q3970" s="76" t="b">
        <v>0</v>
      </c>
      <c r="R3970" s="14"/>
      <c r="S3970" s="14"/>
      <c r="T3970" s="14"/>
      <c r="U3970" s="14"/>
      <c r="V3970" s="14"/>
      <c r="W3970" s="14"/>
    </row>
    <row r="3971" ht="31.5" customHeight="1">
      <c r="A3971" s="158"/>
      <c r="B3971" s="159"/>
      <c r="C3971" s="160"/>
      <c r="D3971" s="130"/>
      <c r="E3971" s="130"/>
      <c r="F3971" s="161"/>
      <c r="G3971" s="164"/>
      <c r="H3971" s="76" t="b">
        <v>1</v>
      </c>
      <c r="I3971" s="76" t="b">
        <v>0</v>
      </c>
      <c r="J3971" s="76" t="b">
        <v>0</v>
      </c>
      <c r="K3971" s="76" t="b">
        <v>0</v>
      </c>
      <c r="L3971" s="76" t="b">
        <v>0</v>
      </c>
      <c r="M3971" s="76" t="b">
        <v>0</v>
      </c>
      <c r="N3971" s="76" t="b">
        <v>0</v>
      </c>
      <c r="O3971" s="76" t="b">
        <v>0</v>
      </c>
      <c r="P3971" s="76" t="b">
        <v>0</v>
      </c>
      <c r="Q3971" s="76" t="b">
        <v>0</v>
      </c>
      <c r="R3971" s="14"/>
      <c r="S3971" s="14"/>
      <c r="T3971" s="14"/>
      <c r="U3971" s="14"/>
      <c r="V3971" s="14"/>
      <c r="W3971" s="14"/>
    </row>
    <row r="3972" ht="31.5" customHeight="1">
      <c r="A3972" s="158"/>
      <c r="B3972" s="159"/>
      <c r="C3972" s="160"/>
      <c r="D3972" s="130"/>
      <c r="E3972" s="130"/>
      <c r="F3972" s="161"/>
      <c r="G3972" s="164"/>
      <c r="H3972" s="76" t="b">
        <v>1</v>
      </c>
      <c r="I3972" s="76" t="b">
        <v>0</v>
      </c>
      <c r="J3972" s="76" t="b">
        <v>0</v>
      </c>
      <c r="K3972" s="76" t="b">
        <v>0</v>
      </c>
      <c r="L3972" s="76" t="b">
        <v>0</v>
      </c>
      <c r="M3972" s="76" t="b">
        <v>0</v>
      </c>
      <c r="N3972" s="76" t="b">
        <v>0</v>
      </c>
      <c r="O3972" s="76" t="b">
        <v>0</v>
      </c>
      <c r="P3972" s="76" t="b">
        <v>0</v>
      </c>
      <c r="Q3972" s="76" t="b">
        <v>0</v>
      </c>
      <c r="R3972" s="14"/>
      <c r="S3972" s="14"/>
      <c r="T3972" s="14"/>
      <c r="U3972" s="14"/>
      <c r="V3972" s="14"/>
      <c r="W3972" s="14"/>
    </row>
    <row r="3973" ht="31.5" customHeight="1">
      <c r="A3973" s="158"/>
      <c r="B3973" s="159"/>
      <c r="C3973" s="160"/>
      <c r="D3973" s="130"/>
      <c r="E3973" s="130"/>
      <c r="F3973" s="161"/>
      <c r="G3973" s="164"/>
      <c r="H3973" s="76" t="b">
        <v>1</v>
      </c>
      <c r="I3973" s="76" t="b">
        <v>0</v>
      </c>
      <c r="J3973" s="76" t="b">
        <v>0</v>
      </c>
      <c r="K3973" s="76" t="b">
        <v>0</v>
      </c>
      <c r="L3973" s="76" t="b">
        <v>0</v>
      </c>
      <c r="M3973" s="76" t="b">
        <v>0</v>
      </c>
      <c r="N3973" s="76" t="b">
        <v>0</v>
      </c>
      <c r="O3973" s="76" t="b">
        <v>0</v>
      </c>
      <c r="P3973" s="76" t="b">
        <v>0</v>
      </c>
      <c r="Q3973" s="76" t="b">
        <v>0</v>
      </c>
      <c r="R3973" s="14"/>
      <c r="S3973" s="14"/>
      <c r="T3973" s="14"/>
      <c r="U3973" s="14"/>
      <c r="V3973" s="14"/>
      <c r="W3973" s="14"/>
    </row>
    <row r="3974" ht="31.5" customHeight="1">
      <c r="A3974" s="158"/>
      <c r="B3974" s="159"/>
      <c r="C3974" s="160"/>
      <c r="D3974" s="130"/>
      <c r="E3974" s="130"/>
      <c r="F3974" s="161"/>
      <c r="G3974" s="164"/>
      <c r="H3974" s="76" t="b">
        <v>1</v>
      </c>
      <c r="I3974" s="76" t="b">
        <v>0</v>
      </c>
      <c r="J3974" s="76" t="b">
        <v>0</v>
      </c>
      <c r="K3974" s="76" t="b">
        <v>0</v>
      </c>
      <c r="L3974" s="76" t="b">
        <v>0</v>
      </c>
      <c r="M3974" s="76" t="b">
        <v>0</v>
      </c>
      <c r="N3974" s="76" t="b">
        <v>0</v>
      </c>
      <c r="O3974" s="76" t="b">
        <v>0</v>
      </c>
      <c r="P3974" s="76" t="b">
        <v>0</v>
      </c>
      <c r="Q3974" s="76" t="b">
        <v>0</v>
      </c>
      <c r="R3974" s="14"/>
      <c r="S3974" s="14"/>
      <c r="T3974" s="14"/>
      <c r="U3974" s="14"/>
      <c r="V3974" s="14"/>
      <c r="W3974" s="14"/>
    </row>
    <row r="3975" ht="31.5" customHeight="1">
      <c r="A3975" s="158"/>
      <c r="B3975" s="159"/>
      <c r="C3975" s="160"/>
      <c r="D3975" s="130"/>
      <c r="E3975" s="130"/>
      <c r="F3975" s="161"/>
      <c r="G3975" s="164"/>
      <c r="H3975" s="76" t="b">
        <v>1</v>
      </c>
      <c r="I3975" s="76" t="b">
        <v>0</v>
      </c>
      <c r="J3975" s="76" t="b">
        <v>0</v>
      </c>
      <c r="K3975" s="76" t="b">
        <v>0</v>
      </c>
      <c r="L3975" s="76" t="b">
        <v>0</v>
      </c>
      <c r="M3975" s="76" t="b">
        <v>0</v>
      </c>
      <c r="N3975" s="76" t="b">
        <v>0</v>
      </c>
      <c r="O3975" s="76" t="b">
        <v>0</v>
      </c>
      <c r="P3975" s="76" t="b">
        <v>0</v>
      </c>
      <c r="Q3975" s="76" t="b">
        <v>0</v>
      </c>
      <c r="R3975" s="14"/>
      <c r="S3975" s="14"/>
      <c r="T3975" s="14"/>
      <c r="U3975" s="14"/>
      <c r="V3975" s="14"/>
      <c r="W3975" s="14"/>
    </row>
    <row r="3976" ht="31.5" customHeight="1">
      <c r="A3976" s="158"/>
      <c r="B3976" s="159"/>
      <c r="C3976" s="160"/>
      <c r="D3976" s="130"/>
      <c r="E3976" s="130"/>
      <c r="F3976" s="161"/>
      <c r="G3976" s="164"/>
      <c r="H3976" s="76" t="b">
        <v>1</v>
      </c>
      <c r="I3976" s="76" t="b">
        <v>0</v>
      </c>
      <c r="J3976" s="76" t="b">
        <v>0</v>
      </c>
      <c r="K3976" s="76" t="b">
        <v>0</v>
      </c>
      <c r="L3976" s="76" t="b">
        <v>0</v>
      </c>
      <c r="M3976" s="76" t="b">
        <v>0</v>
      </c>
      <c r="N3976" s="76" t="b">
        <v>0</v>
      </c>
      <c r="O3976" s="76" t="b">
        <v>0</v>
      </c>
      <c r="P3976" s="76" t="b">
        <v>0</v>
      </c>
      <c r="Q3976" s="76" t="b">
        <v>0</v>
      </c>
      <c r="R3976" s="14"/>
      <c r="S3976" s="14"/>
      <c r="T3976" s="14"/>
      <c r="U3976" s="14"/>
      <c r="V3976" s="14"/>
      <c r="W3976" s="14"/>
    </row>
    <row r="3977" ht="31.5" customHeight="1">
      <c r="A3977" s="158"/>
      <c r="B3977" s="159"/>
      <c r="C3977" s="160"/>
      <c r="D3977" s="130"/>
      <c r="E3977" s="130"/>
      <c r="F3977" s="161"/>
      <c r="G3977" s="164"/>
      <c r="H3977" s="76" t="b">
        <v>1</v>
      </c>
      <c r="I3977" s="76" t="b">
        <v>0</v>
      </c>
      <c r="J3977" s="76" t="b">
        <v>0</v>
      </c>
      <c r="K3977" s="76" t="b">
        <v>0</v>
      </c>
      <c r="L3977" s="76" t="b">
        <v>0</v>
      </c>
      <c r="M3977" s="76" t="b">
        <v>0</v>
      </c>
      <c r="N3977" s="76" t="b">
        <v>0</v>
      </c>
      <c r="O3977" s="76" t="b">
        <v>0</v>
      </c>
      <c r="P3977" s="76" t="b">
        <v>0</v>
      </c>
      <c r="Q3977" s="76" t="b">
        <v>0</v>
      </c>
      <c r="R3977" s="14"/>
      <c r="S3977" s="14"/>
      <c r="T3977" s="14"/>
      <c r="U3977" s="14"/>
      <c r="V3977" s="14"/>
      <c r="W3977" s="14"/>
    </row>
    <row r="3978" ht="31.5" customHeight="1">
      <c r="A3978" s="158"/>
      <c r="B3978" s="159"/>
      <c r="C3978" s="160"/>
      <c r="D3978" s="130"/>
      <c r="E3978" s="130"/>
      <c r="F3978" s="161"/>
      <c r="G3978" s="164"/>
      <c r="H3978" s="76" t="b">
        <v>1</v>
      </c>
      <c r="I3978" s="76" t="b">
        <v>0</v>
      </c>
      <c r="J3978" s="76" t="b">
        <v>0</v>
      </c>
      <c r="K3978" s="76" t="b">
        <v>0</v>
      </c>
      <c r="L3978" s="76" t="b">
        <v>0</v>
      </c>
      <c r="M3978" s="76" t="b">
        <v>0</v>
      </c>
      <c r="N3978" s="76" t="b">
        <v>0</v>
      </c>
      <c r="O3978" s="76" t="b">
        <v>0</v>
      </c>
      <c r="P3978" s="76" t="b">
        <v>0</v>
      </c>
      <c r="Q3978" s="76" t="b">
        <v>0</v>
      </c>
      <c r="R3978" s="14"/>
      <c r="S3978" s="14"/>
      <c r="T3978" s="14"/>
      <c r="U3978" s="14"/>
      <c r="V3978" s="14"/>
      <c r="W3978" s="14"/>
    </row>
    <row r="3979" ht="31.5" customHeight="1">
      <c r="A3979" s="158"/>
      <c r="B3979" s="159"/>
      <c r="C3979" s="160"/>
      <c r="D3979" s="130"/>
      <c r="E3979" s="130"/>
      <c r="F3979" s="161"/>
      <c r="G3979" s="164"/>
      <c r="H3979" s="76" t="b">
        <v>1</v>
      </c>
      <c r="I3979" s="76" t="b">
        <v>0</v>
      </c>
      <c r="J3979" s="76" t="b">
        <v>0</v>
      </c>
      <c r="K3979" s="76" t="b">
        <v>0</v>
      </c>
      <c r="L3979" s="76" t="b">
        <v>0</v>
      </c>
      <c r="M3979" s="76" t="b">
        <v>0</v>
      </c>
      <c r="N3979" s="76" t="b">
        <v>0</v>
      </c>
      <c r="O3979" s="76" t="b">
        <v>0</v>
      </c>
      <c r="P3979" s="76" t="b">
        <v>0</v>
      </c>
      <c r="Q3979" s="76" t="b">
        <v>0</v>
      </c>
      <c r="R3979" s="14"/>
      <c r="S3979" s="14"/>
      <c r="T3979" s="14"/>
      <c r="U3979" s="14"/>
      <c r="V3979" s="14"/>
      <c r="W3979" s="14"/>
    </row>
    <row r="3980" ht="31.5" customHeight="1">
      <c r="A3980" s="158"/>
      <c r="B3980" s="159"/>
      <c r="C3980" s="160"/>
      <c r="D3980" s="130"/>
      <c r="E3980" s="130"/>
      <c r="F3980" s="161"/>
      <c r="G3980" s="164"/>
      <c r="H3980" s="76" t="b">
        <v>1</v>
      </c>
      <c r="I3980" s="76" t="b">
        <v>0</v>
      </c>
      <c r="J3980" s="76" t="b">
        <v>0</v>
      </c>
      <c r="K3980" s="76" t="b">
        <v>0</v>
      </c>
      <c r="L3980" s="76" t="b">
        <v>0</v>
      </c>
      <c r="M3980" s="76" t="b">
        <v>0</v>
      </c>
      <c r="N3980" s="76" t="b">
        <v>0</v>
      </c>
      <c r="O3980" s="76" t="b">
        <v>0</v>
      </c>
      <c r="P3980" s="76" t="b">
        <v>0</v>
      </c>
      <c r="Q3980" s="76" t="b">
        <v>0</v>
      </c>
      <c r="R3980" s="14"/>
      <c r="S3980" s="14"/>
      <c r="T3980" s="14"/>
      <c r="U3980" s="14"/>
      <c r="V3980" s="14"/>
      <c r="W3980" s="14"/>
    </row>
    <row r="3981" ht="31.5" customHeight="1">
      <c r="A3981" s="158"/>
      <c r="B3981" s="159"/>
      <c r="C3981" s="160"/>
      <c r="D3981" s="130"/>
      <c r="E3981" s="130"/>
      <c r="F3981" s="161"/>
      <c r="G3981" s="164"/>
      <c r="H3981" s="76" t="b">
        <v>1</v>
      </c>
      <c r="I3981" s="76" t="b">
        <v>0</v>
      </c>
      <c r="J3981" s="76" t="b">
        <v>0</v>
      </c>
      <c r="K3981" s="76" t="b">
        <v>0</v>
      </c>
      <c r="L3981" s="76" t="b">
        <v>0</v>
      </c>
      <c r="M3981" s="76" t="b">
        <v>0</v>
      </c>
      <c r="N3981" s="76" t="b">
        <v>0</v>
      </c>
      <c r="O3981" s="76" t="b">
        <v>0</v>
      </c>
      <c r="P3981" s="76" t="b">
        <v>0</v>
      </c>
      <c r="Q3981" s="76" t="b">
        <v>0</v>
      </c>
      <c r="R3981" s="14"/>
      <c r="S3981" s="14"/>
      <c r="T3981" s="14"/>
      <c r="U3981" s="14"/>
      <c r="V3981" s="14"/>
      <c r="W3981" s="14"/>
    </row>
    <row r="3982" ht="31.5" customHeight="1">
      <c r="A3982" s="158"/>
      <c r="B3982" s="159"/>
      <c r="C3982" s="160"/>
      <c r="D3982" s="130"/>
      <c r="E3982" s="130"/>
      <c r="F3982" s="161"/>
      <c r="G3982" s="164"/>
      <c r="H3982" s="76" t="b">
        <v>1</v>
      </c>
      <c r="I3982" s="76" t="b">
        <v>0</v>
      </c>
      <c r="J3982" s="76" t="b">
        <v>0</v>
      </c>
      <c r="K3982" s="76" t="b">
        <v>0</v>
      </c>
      <c r="L3982" s="76" t="b">
        <v>0</v>
      </c>
      <c r="M3982" s="76" t="b">
        <v>0</v>
      </c>
      <c r="N3982" s="76" t="b">
        <v>0</v>
      </c>
      <c r="O3982" s="76" t="b">
        <v>0</v>
      </c>
      <c r="P3982" s="76" t="b">
        <v>0</v>
      </c>
      <c r="Q3982" s="76" t="b">
        <v>0</v>
      </c>
      <c r="R3982" s="14"/>
      <c r="S3982" s="14"/>
      <c r="T3982" s="14"/>
      <c r="U3982" s="14"/>
      <c r="V3982" s="14"/>
      <c r="W3982" s="14"/>
    </row>
    <row r="3983" ht="31.5" customHeight="1">
      <c r="A3983" s="158"/>
      <c r="B3983" s="159"/>
      <c r="C3983" s="160"/>
      <c r="D3983" s="130"/>
      <c r="E3983" s="130"/>
      <c r="F3983" s="161"/>
      <c r="G3983" s="164"/>
      <c r="H3983" s="76" t="b">
        <v>1</v>
      </c>
      <c r="I3983" s="76" t="b">
        <v>0</v>
      </c>
      <c r="J3983" s="76" t="b">
        <v>0</v>
      </c>
      <c r="K3983" s="76" t="b">
        <v>0</v>
      </c>
      <c r="L3983" s="76" t="b">
        <v>0</v>
      </c>
      <c r="M3983" s="76" t="b">
        <v>0</v>
      </c>
      <c r="N3983" s="76" t="b">
        <v>0</v>
      </c>
      <c r="O3983" s="76" t="b">
        <v>0</v>
      </c>
      <c r="P3983" s="76" t="b">
        <v>0</v>
      </c>
      <c r="Q3983" s="76" t="b">
        <v>0</v>
      </c>
      <c r="R3983" s="14"/>
      <c r="S3983" s="14"/>
      <c r="T3983" s="14"/>
      <c r="U3983" s="14"/>
      <c r="V3983" s="14"/>
      <c r="W3983" s="14"/>
    </row>
    <row r="3984" ht="31.5" customHeight="1">
      <c r="A3984" s="158"/>
      <c r="B3984" s="159"/>
      <c r="C3984" s="160"/>
      <c r="D3984" s="130"/>
      <c r="E3984" s="130"/>
      <c r="F3984" s="161"/>
      <c r="G3984" s="164"/>
      <c r="H3984" s="76" t="b">
        <v>1</v>
      </c>
      <c r="I3984" s="76" t="b">
        <v>0</v>
      </c>
      <c r="J3984" s="76" t="b">
        <v>0</v>
      </c>
      <c r="K3984" s="76" t="b">
        <v>0</v>
      </c>
      <c r="L3984" s="76" t="b">
        <v>0</v>
      </c>
      <c r="M3984" s="76" t="b">
        <v>0</v>
      </c>
      <c r="N3984" s="76" t="b">
        <v>0</v>
      </c>
      <c r="O3984" s="76" t="b">
        <v>0</v>
      </c>
      <c r="P3984" s="76" t="b">
        <v>0</v>
      </c>
      <c r="Q3984" s="76" t="b">
        <v>0</v>
      </c>
      <c r="R3984" s="14"/>
      <c r="S3984" s="14"/>
      <c r="T3984" s="14"/>
      <c r="U3984" s="14"/>
      <c r="V3984" s="14"/>
      <c r="W3984" s="14"/>
    </row>
    <row r="3985" ht="31.5" customHeight="1">
      <c r="A3985" s="158"/>
      <c r="B3985" s="159"/>
      <c r="C3985" s="160"/>
      <c r="D3985" s="130"/>
      <c r="E3985" s="130"/>
      <c r="F3985" s="161"/>
      <c r="G3985" s="164"/>
      <c r="H3985" s="76" t="b">
        <v>1</v>
      </c>
      <c r="I3985" s="76" t="b">
        <v>0</v>
      </c>
      <c r="J3985" s="76" t="b">
        <v>0</v>
      </c>
      <c r="K3985" s="76" t="b">
        <v>0</v>
      </c>
      <c r="L3985" s="76" t="b">
        <v>0</v>
      </c>
      <c r="M3985" s="76" t="b">
        <v>0</v>
      </c>
      <c r="N3985" s="76" t="b">
        <v>0</v>
      </c>
      <c r="O3985" s="76" t="b">
        <v>0</v>
      </c>
      <c r="P3985" s="76" t="b">
        <v>0</v>
      </c>
      <c r="Q3985" s="76" t="b">
        <v>0</v>
      </c>
      <c r="R3985" s="14"/>
      <c r="S3985" s="14"/>
      <c r="T3985" s="14"/>
      <c r="U3985" s="14"/>
      <c r="V3985" s="14"/>
      <c r="W3985" s="14"/>
    </row>
    <row r="3986" ht="31.5" customHeight="1">
      <c r="A3986" s="158"/>
      <c r="B3986" s="159"/>
      <c r="C3986" s="160"/>
      <c r="D3986" s="130"/>
      <c r="E3986" s="130"/>
      <c r="F3986" s="161"/>
      <c r="G3986" s="164"/>
      <c r="H3986" s="76" t="b">
        <v>1</v>
      </c>
      <c r="I3986" s="76" t="b">
        <v>0</v>
      </c>
      <c r="J3986" s="76" t="b">
        <v>0</v>
      </c>
      <c r="K3986" s="76" t="b">
        <v>0</v>
      </c>
      <c r="L3986" s="76" t="b">
        <v>0</v>
      </c>
      <c r="M3986" s="76" t="b">
        <v>0</v>
      </c>
      <c r="N3986" s="76" t="b">
        <v>0</v>
      </c>
      <c r="O3986" s="76" t="b">
        <v>0</v>
      </c>
      <c r="P3986" s="76" t="b">
        <v>0</v>
      </c>
      <c r="Q3986" s="76" t="b">
        <v>0</v>
      </c>
      <c r="R3986" s="14"/>
      <c r="S3986" s="14"/>
      <c r="T3986" s="14"/>
      <c r="U3986" s="14"/>
      <c r="V3986" s="14"/>
      <c r="W3986" s="14"/>
    </row>
    <row r="3987" ht="31.5" customHeight="1">
      <c r="A3987" s="158"/>
      <c r="B3987" s="159"/>
      <c r="C3987" s="160"/>
      <c r="D3987" s="130"/>
      <c r="E3987" s="130"/>
      <c r="F3987" s="161"/>
      <c r="G3987" s="164"/>
      <c r="H3987" s="76" t="b">
        <v>1</v>
      </c>
      <c r="I3987" s="76" t="b">
        <v>0</v>
      </c>
      <c r="J3987" s="76" t="b">
        <v>0</v>
      </c>
      <c r="K3987" s="76" t="b">
        <v>0</v>
      </c>
      <c r="L3987" s="76" t="b">
        <v>0</v>
      </c>
      <c r="M3987" s="76" t="b">
        <v>0</v>
      </c>
      <c r="N3987" s="76" t="b">
        <v>0</v>
      </c>
      <c r="O3987" s="76" t="b">
        <v>0</v>
      </c>
      <c r="P3987" s="76" t="b">
        <v>0</v>
      </c>
      <c r="Q3987" s="76" t="b">
        <v>0</v>
      </c>
      <c r="R3987" s="14"/>
      <c r="S3987" s="14"/>
      <c r="T3987" s="14"/>
      <c r="U3987" s="14"/>
      <c r="V3987" s="14"/>
      <c r="W3987" s="14"/>
    </row>
    <row r="3988" ht="31.5" customHeight="1">
      <c r="A3988" s="158"/>
      <c r="B3988" s="159"/>
      <c r="C3988" s="160"/>
      <c r="D3988" s="130"/>
      <c r="E3988" s="130"/>
      <c r="F3988" s="161"/>
      <c r="G3988" s="164"/>
      <c r="H3988" s="76" t="b">
        <v>1</v>
      </c>
      <c r="I3988" s="76" t="b">
        <v>0</v>
      </c>
      <c r="J3988" s="76" t="b">
        <v>0</v>
      </c>
      <c r="K3988" s="76" t="b">
        <v>0</v>
      </c>
      <c r="L3988" s="76" t="b">
        <v>0</v>
      </c>
      <c r="M3988" s="76" t="b">
        <v>0</v>
      </c>
      <c r="N3988" s="76" t="b">
        <v>0</v>
      </c>
      <c r="O3988" s="76" t="b">
        <v>0</v>
      </c>
      <c r="P3988" s="76" t="b">
        <v>0</v>
      </c>
      <c r="Q3988" s="76" t="b">
        <v>0</v>
      </c>
      <c r="R3988" s="14"/>
      <c r="S3988" s="14"/>
      <c r="T3988" s="14"/>
      <c r="U3988" s="14"/>
      <c r="V3988" s="14"/>
      <c r="W3988" s="14"/>
    </row>
    <row r="3989" ht="31.5" customHeight="1">
      <c r="A3989" s="158"/>
      <c r="B3989" s="159"/>
      <c r="C3989" s="160"/>
      <c r="D3989" s="130"/>
      <c r="E3989" s="130"/>
      <c r="F3989" s="161"/>
      <c r="G3989" s="164"/>
      <c r="H3989" s="76" t="b">
        <v>1</v>
      </c>
      <c r="I3989" s="76" t="b">
        <v>0</v>
      </c>
      <c r="J3989" s="76" t="b">
        <v>0</v>
      </c>
      <c r="K3989" s="76" t="b">
        <v>0</v>
      </c>
      <c r="L3989" s="76" t="b">
        <v>0</v>
      </c>
      <c r="M3989" s="76" t="b">
        <v>0</v>
      </c>
      <c r="N3989" s="76" t="b">
        <v>0</v>
      </c>
      <c r="O3989" s="76" t="b">
        <v>0</v>
      </c>
      <c r="P3989" s="76" t="b">
        <v>0</v>
      </c>
      <c r="Q3989" s="76" t="b">
        <v>0</v>
      </c>
      <c r="R3989" s="14"/>
      <c r="S3989" s="14"/>
      <c r="T3989" s="14"/>
      <c r="U3989" s="14"/>
      <c r="V3989" s="14"/>
      <c r="W3989" s="14"/>
    </row>
    <row r="3990" ht="31.5" customHeight="1">
      <c r="A3990" s="158"/>
      <c r="B3990" s="159"/>
      <c r="C3990" s="160"/>
      <c r="D3990" s="130"/>
      <c r="E3990" s="130"/>
      <c r="F3990" s="161"/>
      <c r="G3990" s="164"/>
      <c r="H3990" s="76" t="b">
        <v>1</v>
      </c>
      <c r="I3990" s="76" t="b">
        <v>0</v>
      </c>
      <c r="J3990" s="76" t="b">
        <v>0</v>
      </c>
      <c r="K3990" s="76" t="b">
        <v>0</v>
      </c>
      <c r="L3990" s="76" t="b">
        <v>0</v>
      </c>
      <c r="M3990" s="76" t="b">
        <v>0</v>
      </c>
      <c r="N3990" s="76" t="b">
        <v>0</v>
      </c>
      <c r="O3990" s="76" t="b">
        <v>0</v>
      </c>
      <c r="P3990" s="76" t="b">
        <v>0</v>
      </c>
      <c r="Q3990" s="76" t="b">
        <v>0</v>
      </c>
      <c r="R3990" s="14"/>
      <c r="S3990" s="14"/>
      <c r="T3990" s="14"/>
      <c r="U3990" s="14"/>
      <c r="V3990" s="14"/>
      <c r="W3990" s="14"/>
    </row>
    <row r="3991" ht="31.5" customHeight="1">
      <c r="A3991" s="158"/>
      <c r="B3991" s="159"/>
      <c r="C3991" s="160"/>
      <c r="D3991" s="130"/>
      <c r="E3991" s="130"/>
      <c r="F3991" s="161"/>
      <c r="G3991" s="164"/>
      <c r="H3991" s="76" t="b">
        <v>1</v>
      </c>
      <c r="I3991" s="76" t="b">
        <v>0</v>
      </c>
      <c r="J3991" s="76" t="b">
        <v>0</v>
      </c>
      <c r="K3991" s="76" t="b">
        <v>0</v>
      </c>
      <c r="L3991" s="76" t="b">
        <v>0</v>
      </c>
      <c r="M3991" s="76" t="b">
        <v>0</v>
      </c>
      <c r="N3991" s="76" t="b">
        <v>0</v>
      </c>
      <c r="O3991" s="76" t="b">
        <v>0</v>
      </c>
      <c r="P3991" s="76" t="b">
        <v>0</v>
      </c>
      <c r="Q3991" s="76" t="b">
        <v>0</v>
      </c>
      <c r="R3991" s="14"/>
      <c r="S3991" s="14"/>
      <c r="T3991" s="14"/>
      <c r="U3991" s="14"/>
      <c r="V3991" s="14"/>
      <c r="W3991" s="14"/>
    </row>
    <row r="3992" ht="31.5" customHeight="1">
      <c r="A3992" s="158"/>
      <c r="B3992" s="159"/>
      <c r="C3992" s="160"/>
      <c r="D3992" s="130"/>
      <c r="E3992" s="130"/>
      <c r="F3992" s="161"/>
      <c r="G3992" s="164"/>
      <c r="H3992" s="76" t="b">
        <v>1</v>
      </c>
      <c r="I3992" s="76" t="b">
        <v>0</v>
      </c>
      <c r="J3992" s="76" t="b">
        <v>0</v>
      </c>
      <c r="K3992" s="76" t="b">
        <v>0</v>
      </c>
      <c r="L3992" s="76" t="b">
        <v>0</v>
      </c>
      <c r="M3992" s="76" t="b">
        <v>0</v>
      </c>
      <c r="N3992" s="76" t="b">
        <v>0</v>
      </c>
      <c r="O3992" s="76" t="b">
        <v>0</v>
      </c>
      <c r="P3992" s="76" t="b">
        <v>0</v>
      </c>
      <c r="Q3992" s="76" t="b">
        <v>0</v>
      </c>
      <c r="R3992" s="14"/>
      <c r="S3992" s="14"/>
      <c r="T3992" s="14"/>
      <c r="U3992" s="14"/>
      <c r="V3992" s="14"/>
      <c r="W3992" s="14"/>
    </row>
    <row r="3993" ht="31.5" customHeight="1">
      <c r="A3993" s="158"/>
      <c r="B3993" s="159"/>
      <c r="C3993" s="160"/>
      <c r="D3993" s="130"/>
      <c r="E3993" s="130"/>
      <c r="F3993" s="161"/>
      <c r="G3993" s="164"/>
      <c r="H3993" s="76" t="b">
        <v>1</v>
      </c>
      <c r="I3993" s="76" t="b">
        <v>0</v>
      </c>
      <c r="J3993" s="76" t="b">
        <v>0</v>
      </c>
      <c r="K3993" s="76" t="b">
        <v>0</v>
      </c>
      <c r="L3993" s="76" t="b">
        <v>0</v>
      </c>
      <c r="M3993" s="76" t="b">
        <v>0</v>
      </c>
      <c r="N3993" s="76" t="b">
        <v>0</v>
      </c>
      <c r="O3993" s="76" t="b">
        <v>0</v>
      </c>
      <c r="P3993" s="76" t="b">
        <v>0</v>
      </c>
      <c r="Q3993" s="76" t="b">
        <v>0</v>
      </c>
      <c r="R3993" s="14"/>
      <c r="S3993" s="14"/>
      <c r="T3993" s="14"/>
      <c r="U3993" s="14"/>
      <c r="V3993" s="14"/>
      <c r="W3993" s="14"/>
    </row>
    <row r="3994" ht="31.5" customHeight="1">
      <c r="A3994" s="158"/>
      <c r="B3994" s="159"/>
      <c r="C3994" s="160"/>
      <c r="D3994" s="130"/>
      <c r="E3994" s="130"/>
      <c r="F3994" s="161"/>
      <c r="G3994" s="164"/>
      <c r="H3994" s="76" t="b">
        <v>1</v>
      </c>
      <c r="I3994" s="76" t="b">
        <v>0</v>
      </c>
      <c r="J3994" s="76" t="b">
        <v>0</v>
      </c>
      <c r="K3994" s="76" t="b">
        <v>0</v>
      </c>
      <c r="L3994" s="76" t="b">
        <v>0</v>
      </c>
      <c r="M3994" s="76" t="b">
        <v>0</v>
      </c>
      <c r="N3994" s="76" t="b">
        <v>0</v>
      </c>
      <c r="O3994" s="76" t="b">
        <v>0</v>
      </c>
      <c r="P3994" s="76" t="b">
        <v>0</v>
      </c>
      <c r="Q3994" s="76" t="b">
        <v>0</v>
      </c>
      <c r="R3994" s="14"/>
      <c r="S3994" s="14"/>
      <c r="T3994" s="14"/>
      <c r="U3994" s="14"/>
      <c r="V3994" s="14"/>
      <c r="W3994" s="14"/>
    </row>
    <row r="3995" ht="31.5" customHeight="1">
      <c r="A3995" s="158"/>
      <c r="B3995" s="159"/>
      <c r="C3995" s="160"/>
      <c r="D3995" s="130"/>
      <c r="E3995" s="130"/>
      <c r="F3995" s="161"/>
      <c r="G3995" s="164"/>
      <c r="H3995" s="76" t="b">
        <v>1</v>
      </c>
      <c r="I3995" s="76" t="b">
        <v>0</v>
      </c>
      <c r="J3995" s="76" t="b">
        <v>0</v>
      </c>
      <c r="K3995" s="76" t="b">
        <v>0</v>
      </c>
      <c r="L3995" s="76" t="b">
        <v>0</v>
      </c>
      <c r="M3995" s="76" t="b">
        <v>0</v>
      </c>
      <c r="N3995" s="76" t="b">
        <v>0</v>
      </c>
      <c r="O3995" s="76" t="b">
        <v>0</v>
      </c>
      <c r="P3995" s="76" t="b">
        <v>0</v>
      </c>
      <c r="Q3995" s="76" t="b">
        <v>0</v>
      </c>
      <c r="R3995" s="14"/>
      <c r="S3995" s="14"/>
      <c r="T3995" s="14"/>
      <c r="U3995" s="14"/>
      <c r="V3995" s="14"/>
      <c r="W3995" s="14"/>
    </row>
    <row r="3996" ht="31.5" customHeight="1">
      <c r="A3996" s="158"/>
      <c r="B3996" s="159"/>
      <c r="C3996" s="160"/>
      <c r="D3996" s="130"/>
      <c r="E3996" s="130"/>
      <c r="F3996" s="161"/>
      <c r="G3996" s="164"/>
      <c r="H3996" s="76" t="b">
        <v>1</v>
      </c>
      <c r="I3996" s="76" t="b">
        <v>0</v>
      </c>
      <c r="J3996" s="76" t="b">
        <v>0</v>
      </c>
      <c r="K3996" s="76" t="b">
        <v>0</v>
      </c>
      <c r="L3996" s="76" t="b">
        <v>0</v>
      </c>
      <c r="M3996" s="76" t="b">
        <v>0</v>
      </c>
      <c r="N3996" s="76" t="b">
        <v>0</v>
      </c>
      <c r="O3996" s="76" t="b">
        <v>0</v>
      </c>
      <c r="P3996" s="76" t="b">
        <v>0</v>
      </c>
      <c r="Q3996" s="76" t="b">
        <v>0</v>
      </c>
      <c r="R3996" s="14"/>
      <c r="S3996" s="14"/>
      <c r="T3996" s="14"/>
      <c r="U3996" s="14"/>
      <c r="V3996" s="14"/>
      <c r="W3996" s="14"/>
    </row>
    <row r="3997" ht="31.5" customHeight="1">
      <c r="A3997" s="158"/>
      <c r="B3997" s="159"/>
      <c r="C3997" s="160"/>
      <c r="D3997" s="130"/>
      <c r="E3997" s="130"/>
      <c r="F3997" s="161"/>
      <c r="G3997" s="164"/>
      <c r="H3997" s="76" t="b">
        <v>1</v>
      </c>
      <c r="I3997" s="76" t="b">
        <v>0</v>
      </c>
      <c r="J3997" s="76" t="b">
        <v>0</v>
      </c>
      <c r="K3997" s="76" t="b">
        <v>0</v>
      </c>
      <c r="L3997" s="76" t="b">
        <v>0</v>
      </c>
      <c r="M3997" s="76" t="b">
        <v>0</v>
      </c>
      <c r="N3997" s="76" t="b">
        <v>0</v>
      </c>
      <c r="O3997" s="76" t="b">
        <v>0</v>
      </c>
      <c r="P3997" s="76" t="b">
        <v>0</v>
      </c>
      <c r="Q3997" s="76" t="b">
        <v>0</v>
      </c>
      <c r="R3997" s="14"/>
      <c r="S3997" s="14"/>
      <c r="T3997" s="14"/>
      <c r="U3997" s="14"/>
      <c r="V3997" s="14"/>
      <c r="W3997" s="14"/>
    </row>
    <row r="3998" ht="31.5" customHeight="1">
      <c r="A3998" s="158"/>
      <c r="B3998" s="159"/>
      <c r="C3998" s="160"/>
      <c r="D3998" s="130"/>
      <c r="E3998" s="130"/>
      <c r="F3998" s="161"/>
      <c r="G3998" s="164"/>
      <c r="H3998" s="76" t="b">
        <v>1</v>
      </c>
      <c r="I3998" s="76" t="b">
        <v>0</v>
      </c>
      <c r="J3998" s="76" t="b">
        <v>0</v>
      </c>
      <c r="K3998" s="76" t="b">
        <v>0</v>
      </c>
      <c r="L3998" s="76" t="b">
        <v>0</v>
      </c>
      <c r="M3998" s="76" t="b">
        <v>0</v>
      </c>
      <c r="N3998" s="76" t="b">
        <v>0</v>
      </c>
      <c r="O3998" s="76" t="b">
        <v>0</v>
      </c>
      <c r="P3998" s="76" t="b">
        <v>0</v>
      </c>
      <c r="Q3998" s="76" t="b">
        <v>0</v>
      </c>
      <c r="R3998" s="14"/>
      <c r="S3998" s="14"/>
      <c r="T3998" s="14"/>
      <c r="U3998" s="14"/>
      <c r="V3998" s="14"/>
      <c r="W3998" s="14"/>
    </row>
    <row r="3999" ht="31.5" customHeight="1">
      <c r="A3999" s="158"/>
      <c r="B3999" s="159"/>
      <c r="C3999" s="160"/>
      <c r="D3999" s="130"/>
      <c r="E3999" s="130"/>
      <c r="F3999" s="161"/>
      <c r="G3999" s="164"/>
      <c r="H3999" s="76" t="b">
        <v>1</v>
      </c>
      <c r="I3999" s="76" t="b">
        <v>0</v>
      </c>
      <c r="J3999" s="76" t="b">
        <v>0</v>
      </c>
      <c r="K3999" s="76" t="b">
        <v>0</v>
      </c>
      <c r="L3999" s="76" t="b">
        <v>0</v>
      </c>
      <c r="M3999" s="76" t="b">
        <v>0</v>
      </c>
      <c r="N3999" s="76" t="b">
        <v>0</v>
      </c>
      <c r="O3999" s="76" t="b">
        <v>0</v>
      </c>
      <c r="P3999" s="76" t="b">
        <v>0</v>
      </c>
      <c r="Q3999" s="76" t="b">
        <v>0</v>
      </c>
      <c r="R3999" s="14"/>
      <c r="S3999" s="14"/>
      <c r="T3999" s="14"/>
      <c r="U3999" s="14"/>
      <c r="V3999" s="14"/>
      <c r="W3999" s="14"/>
    </row>
    <row r="4000" ht="31.5" customHeight="1">
      <c r="A4000" s="158"/>
      <c r="B4000" s="159"/>
      <c r="C4000" s="160"/>
      <c r="D4000" s="130"/>
      <c r="E4000" s="130"/>
      <c r="F4000" s="161"/>
      <c r="G4000" s="164"/>
      <c r="H4000" s="76" t="b">
        <v>1</v>
      </c>
      <c r="I4000" s="76" t="b">
        <v>0</v>
      </c>
      <c r="J4000" s="76" t="b">
        <v>0</v>
      </c>
      <c r="K4000" s="76" t="b">
        <v>0</v>
      </c>
      <c r="L4000" s="76" t="b">
        <v>0</v>
      </c>
      <c r="M4000" s="76" t="b">
        <v>0</v>
      </c>
      <c r="N4000" s="76" t="b">
        <v>0</v>
      </c>
      <c r="O4000" s="76" t="b">
        <v>0</v>
      </c>
      <c r="P4000" s="76" t="b">
        <v>0</v>
      </c>
      <c r="Q4000" s="76" t="b">
        <v>0</v>
      </c>
      <c r="R4000" s="14"/>
      <c r="S4000" s="14"/>
      <c r="T4000" s="14"/>
      <c r="U4000" s="14"/>
      <c r="V4000" s="14"/>
      <c r="W4000" s="14"/>
    </row>
    <row r="4001" ht="31.5" customHeight="1">
      <c r="A4001" s="158"/>
      <c r="B4001" s="159"/>
      <c r="C4001" s="160"/>
      <c r="D4001" s="130"/>
      <c r="E4001" s="130"/>
      <c r="F4001" s="161"/>
      <c r="G4001" s="164"/>
      <c r="H4001" s="76" t="b">
        <v>1</v>
      </c>
      <c r="I4001" s="76" t="b">
        <v>0</v>
      </c>
      <c r="J4001" s="76" t="b">
        <v>0</v>
      </c>
      <c r="K4001" s="76" t="b">
        <v>0</v>
      </c>
      <c r="L4001" s="76" t="b">
        <v>0</v>
      </c>
      <c r="M4001" s="76" t="b">
        <v>0</v>
      </c>
      <c r="N4001" s="76" t="b">
        <v>0</v>
      </c>
      <c r="O4001" s="76" t="b">
        <v>0</v>
      </c>
      <c r="P4001" s="76" t="b">
        <v>0</v>
      </c>
      <c r="Q4001" s="76" t="b">
        <v>0</v>
      </c>
      <c r="R4001" s="14"/>
      <c r="S4001" s="14"/>
      <c r="T4001" s="14"/>
      <c r="U4001" s="14"/>
      <c r="V4001" s="14"/>
      <c r="W4001" s="14"/>
    </row>
    <row r="4002" ht="31.5" customHeight="1">
      <c r="A4002" s="158"/>
      <c r="B4002" s="159"/>
      <c r="C4002" s="160"/>
      <c r="D4002" s="130"/>
      <c r="E4002" s="130"/>
      <c r="F4002" s="161"/>
      <c r="G4002" s="164"/>
      <c r="H4002" s="76" t="b">
        <v>1</v>
      </c>
      <c r="I4002" s="76" t="b">
        <v>0</v>
      </c>
      <c r="J4002" s="76" t="b">
        <v>0</v>
      </c>
      <c r="K4002" s="76" t="b">
        <v>0</v>
      </c>
      <c r="L4002" s="76" t="b">
        <v>0</v>
      </c>
      <c r="M4002" s="76" t="b">
        <v>0</v>
      </c>
      <c r="N4002" s="76" t="b">
        <v>0</v>
      </c>
      <c r="O4002" s="76" t="b">
        <v>0</v>
      </c>
      <c r="P4002" s="76" t="b">
        <v>0</v>
      </c>
      <c r="Q4002" s="76" t="b">
        <v>0</v>
      </c>
      <c r="R4002" s="14"/>
      <c r="S4002" s="14"/>
      <c r="T4002" s="14"/>
      <c r="U4002" s="14"/>
      <c r="V4002" s="14"/>
      <c r="W4002" s="14"/>
    </row>
    <row r="4003" ht="31.5" customHeight="1">
      <c r="A4003" s="158"/>
      <c r="B4003" s="159"/>
      <c r="C4003" s="160"/>
      <c r="D4003" s="130"/>
      <c r="E4003" s="130"/>
      <c r="F4003" s="161"/>
      <c r="G4003" s="164"/>
      <c r="H4003" s="76" t="b">
        <v>1</v>
      </c>
      <c r="I4003" s="76" t="b">
        <v>0</v>
      </c>
      <c r="J4003" s="76" t="b">
        <v>0</v>
      </c>
      <c r="K4003" s="76" t="b">
        <v>0</v>
      </c>
      <c r="L4003" s="76" t="b">
        <v>0</v>
      </c>
      <c r="M4003" s="76" t="b">
        <v>0</v>
      </c>
      <c r="N4003" s="76" t="b">
        <v>0</v>
      </c>
      <c r="O4003" s="76" t="b">
        <v>0</v>
      </c>
      <c r="P4003" s="76" t="b">
        <v>0</v>
      </c>
      <c r="Q4003" s="76" t="b">
        <v>0</v>
      </c>
      <c r="R4003" s="14"/>
      <c r="S4003" s="14"/>
      <c r="T4003" s="14"/>
      <c r="U4003" s="14"/>
      <c r="V4003" s="14"/>
      <c r="W4003" s="14"/>
    </row>
    <row r="4004" ht="31.5" customHeight="1">
      <c r="A4004" s="158"/>
      <c r="B4004" s="159"/>
      <c r="C4004" s="160"/>
      <c r="D4004" s="130"/>
      <c r="E4004" s="130"/>
      <c r="F4004" s="161"/>
      <c r="G4004" s="164"/>
      <c r="H4004" s="76" t="b">
        <v>1</v>
      </c>
      <c r="I4004" s="76" t="b">
        <v>0</v>
      </c>
      <c r="J4004" s="76" t="b">
        <v>0</v>
      </c>
      <c r="K4004" s="76" t="b">
        <v>0</v>
      </c>
      <c r="L4004" s="76" t="b">
        <v>0</v>
      </c>
      <c r="M4004" s="76" t="b">
        <v>0</v>
      </c>
      <c r="N4004" s="76" t="b">
        <v>0</v>
      </c>
      <c r="O4004" s="76" t="b">
        <v>0</v>
      </c>
      <c r="P4004" s="76" t="b">
        <v>0</v>
      </c>
      <c r="Q4004" s="76" t="b">
        <v>0</v>
      </c>
      <c r="R4004" s="14"/>
      <c r="S4004" s="14"/>
      <c r="T4004" s="14"/>
      <c r="U4004" s="14"/>
      <c r="V4004" s="14"/>
      <c r="W4004" s="14"/>
    </row>
    <row r="4005" ht="31.5" customHeight="1">
      <c r="A4005" s="158"/>
      <c r="B4005" s="159"/>
      <c r="C4005" s="160"/>
      <c r="D4005" s="130"/>
      <c r="E4005" s="130"/>
      <c r="F4005" s="161"/>
      <c r="G4005" s="164"/>
      <c r="H4005" s="76" t="b">
        <v>1</v>
      </c>
      <c r="I4005" s="76" t="b">
        <v>0</v>
      </c>
      <c r="J4005" s="76" t="b">
        <v>0</v>
      </c>
      <c r="K4005" s="76" t="b">
        <v>0</v>
      </c>
      <c r="L4005" s="76" t="b">
        <v>0</v>
      </c>
      <c r="M4005" s="76" t="b">
        <v>0</v>
      </c>
      <c r="N4005" s="76" t="b">
        <v>0</v>
      </c>
      <c r="O4005" s="76" t="b">
        <v>0</v>
      </c>
      <c r="P4005" s="76" t="b">
        <v>0</v>
      </c>
      <c r="Q4005" s="76" t="b">
        <v>0</v>
      </c>
      <c r="R4005" s="14"/>
      <c r="S4005" s="14"/>
      <c r="T4005" s="14"/>
      <c r="U4005" s="14"/>
      <c r="V4005" s="14"/>
      <c r="W4005" s="14"/>
    </row>
    <row r="4006" ht="31.5" customHeight="1">
      <c r="A4006" s="158"/>
      <c r="B4006" s="159"/>
      <c r="C4006" s="160"/>
      <c r="D4006" s="130"/>
      <c r="E4006" s="130"/>
      <c r="F4006" s="161"/>
      <c r="G4006" s="164"/>
      <c r="H4006" s="76" t="b">
        <v>1</v>
      </c>
      <c r="I4006" s="76" t="b">
        <v>0</v>
      </c>
      <c r="J4006" s="76" t="b">
        <v>0</v>
      </c>
      <c r="K4006" s="76" t="b">
        <v>0</v>
      </c>
      <c r="L4006" s="76" t="b">
        <v>0</v>
      </c>
      <c r="M4006" s="76" t="b">
        <v>0</v>
      </c>
      <c r="N4006" s="76" t="b">
        <v>0</v>
      </c>
      <c r="O4006" s="76" t="b">
        <v>0</v>
      </c>
      <c r="P4006" s="76" t="b">
        <v>0</v>
      </c>
      <c r="Q4006" s="76" t="b">
        <v>0</v>
      </c>
      <c r="R4006" s="14"/>
      <c r="S4006" s="14"/>
      <c r="T4006" s="14"/>
      <c r="U4006" s="14"/>
      <c r="V4006" s="14"/>
      <c r="W4006" s="14"/>
    </row>
    <row r="4007" ht="31.5" customHeight="1">
      <c r="A4007" s="158"/>
      <c r="B4007" s="159"/>
      <c r="C4007" s="160"/>
      <c r="D4007" s="130"/>
      <c r="E4007" s="130"/>
      <c r="F4007" s="161"/>
      <c r="G4007" s="164"/>
      <c r="H4007" s="76" t="b">
        <v>1</v>
      </c>
      <c r="I4007" s="76" t="b">
        <v>0</v>
      </c>
      <c r="J4007" s="76" t="b">
        <v>0</v>
      </c>
      <c r="K4007" s="76" t="b">
        <v>0</v>
      </c>
      <c r="L4007" s="76" t="b">
        <v>0</v>
      </c>
      <c r="M4007" s="76" t="b">
        <v>0</v>
      </c>
      <c r="N4007" s="76" t="b">
        <v>0</v>
      </c>
      <c r="O4007" s="76" t="b">
        <v>0</v>
      </c>
      <c r="P4007" s="76" t="b">
        <v>0</v>
      </c>
      <c r="Q4007" s="76" t="b">
        <v>0</v>
      </c>
      <c r="R4007" s="14"/>
      <c r="S4007" s="14"/>
      <c r="T4007" s="14"/>
      <c r="U4007" s="14"/>
      <c r="V4007" s="14"/>
      <c r="W4007" s="14"/>
    </row>
    <row r="4008" ht="31.5" customHeight="1">
      <c r="A4008" s="158"/>
      <c r="B4008" s="159"/>
      <c r="C4008" s="160"/>
      <c r="D4008" s="130"/>
      <c r="E4008" s="130"/>
      <c r="F4008" s="161"/>
      <c r="G4008" s="164"/>
      <c r="H4008" s="76" t="b">
        <v>1</v>
      </c>
      <c r="I4008" s="76" t="b">
        <v>0</v>
      </c>
      <c r="J4008" s="76" t="b">
        <v>0</v>
      </c>
      <c r="K4008" s="76" t="b">
        <v>0</v>
      </c>
      <c r="L4008" s="76" t="b">
        <v>0</v>
      </c>
      <c r="M4008" s="76" t="b">
        <v>0</v>
      </c>
      <c r="N4008" s="76" t="b">
        <v>0</v>
      </c>
      <c r="O4008" s="76" t="b">
        <v>0</v>
      </c>
      <c r="P4008" s="76" t="b">
        <v>0</v>
      </c>
      <c r="Q4008" s="76" t="b">
        <v>0</v>
      </c>
      <c r="R4008" s="14"/>
      <c r="S4008" s="14"/>
      <c r="T4008" s="14"/>
      <c r="U4008" s="14"/>
      <c r="V4008" s="14"/>
      <c r="W4008" s="14"/>
    </row>
    <row r="4009" ht="31.5" customHeight="1">
      <c r="A4009" s="158"/>
      <c r="B4009" s="159"/>
      <c r="C4009" s="160"/>
      <c r="D4009" s="130"/>
      <c r="E4009" s="130"/>
      <c r="F4009" s="161"/>
      <c r="G4009" s="164"/>
      <c r="H4009" s="76" t="b">
        <v>1</v>
      </c>
      <c r="I4009" s="76" t="b">
        <v>0</v>
      </c>
      <c r="J4009" s="76" t="b">
        <v>0</v>
      </c>
      <c r="K4009" s="76" t="b">
        <v>0</v>
      </c>
      <c r="L4009" s="76" t="b">
        <v>0</v>
      </c>
      <c r="M4009" s="76" t="b">
        <v>0</v>
      </c>
      <c r="N4009" s="76" t="b">
        <v>0</v>
      </c>
      <c r="O4009" s="76" t="b">
        <v>0</v>
      </c>
      <c r="P4009" s="76" t="b">
        <v>0</v>
      </c>
      <c r="Q4009" s="76" t="b">
        <v>0</v>
      </c>
      <c r="R4009" s="14"/>
      <c r="S4009" s="14"/>
      <c r="T4009" s="14"/>
      <c r="U4009" s="14"/>
      <c r="V4009" s="14"/>
      <c r="W4009" s="14"/>
    </row>
    <row r="4010" ht="31.5" customHeight="1">
      <c r="A4010" s="158"/>
      <c r="B4010" s="159"/>
      <c r="C4010" s="160"/>
      <c r="D4010" s="130"/>
      <c r="E4010" s="130"/>
      <c r="F4010" s="161"/>
      <c r="G4010" s="164"/>
      <c r="H4010" s="76" t="b">
        <v>1</v>
      </c>
      <c r="I4010" s="76" t="b">
        <v>0</v>
      </c>
      <c r="J4010" s="76" t="b">
        <v>0</v>
      </c>
      <c r="K4010" s="76" t="b">
        <v>0</v>
      </c>
      <c r="L4010" s="76" t="b">
        <v>0</v>
      </c>
      <c r="M4010" s="76" t="b">
        <v>0</v>
      </c>
      <c r="N4010" s="76" t="b">
        <v>0</v>
      </c>
      <c r="O4010" s="76" t="b">
        <v>0</v>
      </c>
      <c r="P4010" s="76" t="b">
        <v>0</v>
      </c>
      <c r="Q4010" s="76" t="b">
        <v>0</v>
      </c>
      <c r="R4010" s="14"/>
      <c r="S4010" s="14"/>
      <c r="T4010" s="14"/>
      <c r="U4010" s="14"/>
      <c r="V4010" s="14"/>
      <c r="W4010" s="14"/>
    </row>
    <row r="4011" ht="31.5" customHeight="1">
      <c r="A4011" s="158"/>
      <c r="B4011" s="159"/>
      <c r="C4011" s="160"/>
      <c r="D4011" s="130"/>
      <c r="E4011" s="130"/>
      <c r="F4011" s="161"/>
      <c r="G4011" s="164"/>
      <c r="H4011" s="76" t="b">
        <v>1</v>
      </c>
      <c r="I4011" s="76" t="b">
        <v>0</v>
      </c>
      <c r="J4011" s="76" t="b">
        <v>0</v>
      </c>
      <c r="K4011" s="76" t="b">
        <v>0</v>
      </c>
      <c r="L4011" s="76" t="b">
        <v>0</v>
      </c>
      <c r="M4011" s="76" t="b">
        <v>0</v>
      </c>
      <c r="N4011" s="76" t="b">
        <v>0</v>
      </c>
      <c r="O4011" s="76" t="b">
        <v>0</v>
      </c>
      <c r="P4011" s="76" t="b">
        <v>0</v>
      </c>
      <c r="Q4011" s="76" t="b">
        <v>0</v>
      </c>
      <c r="R4011" s="14"/>
      <c r="S4011" s="14"/>
      <c r="T4011" s="14"/>
      <c r="U4011" s="14"/>
      <c r="V4011" s="14"/>
      <c r="W4011" s="14"/>
    </row>
    <row r="4012" ht="31.5" customHeight="1">
      <c r="A4012" s="158"/>
      <c r="B4012" s="159"/>
      <c r="C4012" s="160"/>
      <c r="D4012" s="130"/>
      <c r="E4012" s="130"/>
      <c r="F4012" s="161"/>
      <c r="G4012" s="164"/>
      <c r="H4012" s="76" t="b">
        <v>1</v>
      </c>
      <c r="I4012" s="76" t="b">
        <v>0</v>
      </c>
      <c r="J4012" s="76" t="b">
        <v>0</v>
      </c>
      <c r="K4012" s="76" t="b">
        <v>0</v>
      </c>
      <c r="L4012" s="76" t="b">
        <v>0</v>
      </c>
      <c r="M4012" s="76" t="b">
        <v>0</v>
      </c>
      <c r="N4012" s="76" t="b">
        <v>0</v>
      </c>
      <c r="O4012" s="76" t="b">
        <v>0</v>
      </c>
      <c r="P4012" s="76" t="b">
        <v>0</v>
      </c>
      <c r="Q4012" s="76" t="b">
        <v>0</v>
      </c>
      <c r="R4012" s="14"/>
      <c r="S4012" s="14"/>
      <c r="T4012" s="14"/>
      <c r="U4012" s="14"/>
      <c r="V4012" s="14"/>
      <c r="W4012" s="14"/>
    </row>
    <row r="4013" ht="31.5" customHeight="1">
      <c r="A4013" s="158"/>
      <c r="B4013" s="159"/>
      <c r="C4013" s="160"/>
      <c r="D4013" s="130"/>
      <c r="E4013" s="130"/>
      <c r="F4013" s="161"/>
      <c r="G4013" s="164"/>
      <c r="H4013" s="76" t="b">
        <v>1</v>
      </c>
      <c r="I4013" s="76" t="b">
        <v>0</v>
      </c>
      <c r="J4013" s="76" t="b">
        <v>0</v>
      </c>
      <c r="K4013" s="76" t="b">
        <v>0</v>
      </c>
      <c r="L4013" s="76" t="b">
        <v>0</v>
      </c>
      <c r="M4013" s="76" t="b">
        <v>0</v>
      </c>
      <c r="N4013" s="76" t="b">
        <v>0</v>
      </c>
      <c r="O4013" s="76" t="b">
        <v>0</v>
      </c>
      <c r="P4013" s="76" t="b">
        <v>0</v>
      </c>
      <c r="Q4013" s="76" t="b">
        <v>0</v>
      </c>
      <c r="R4013" s="14"/>
      <c r="S4013" s="14"/>
      <c r="T4013" s="14"/>
      <c r="U4013" s="14"/>
      <c r="V4013" s="14"/>
      <c r="W4013" s="14"/>
    </row>
    <row r="4014" ht="31.5" customHeight="1">
      <c r="A4014" s="158"/>
      <c r="B4014" s="159"/>
      <c r="C4014" s="160"/>
      <c r="D4014" s="130"/>
      <c r="E4014" s="130"/>
      <c r="F4014" s="161"/>
      <c r="G4014" s="164"/>
      <c r="H4014" s="76" t="b">
        <v>1</v>
      </c>
      <c r="I4014" s="76" t="b">
        <v>0</v>
      </c>
      <c r="J4014" s="76" t="b">
        <v>0</v>
      </c>
      <c r="K4014" s="76" t="b">
        <v>0</v>
      </c>
      <c r="L4014" s="76" t="b">
        <v>0</v>
      </c>
      <c r="M4014" s="76" t="b">
        <v>0</v>
      </c>
      <c r="N4014" s="76" t="b">
        <v>0</v>
      </c>
      <c r="O4014" s="76" t="b">
        <v>0</v>
      </c>
      <c r="P4014" s="76" t="b">
        <v>0</v>
      </c>
      <c r="Q4014" s="76" t="b">
        <v>0</v>
      </c>
      <c r="R4014" s="14"/>
      <c r="S4014" s="14"/>
      <c r="T4014" s="14"/>
      <c r="U4014" s="14"/>
      <c r="V4014" s="14"/>
      <c r="W4014" s="14"/>
    </row>
    <row r="4015" ht="31.5" customHeight="1">
      <c r="A4015" s="158"/>
      <c r="B4015" s="159"/>
      <c r="C4015" s="160"/>
      <c r="D4015" s="130"/>
      <c r="E4015" s="130"/>
      <c r="F4015" s="161"/>
      <c r="G4015" s="164"/>
      <c r="H4015" s="76" t="b">
        <v>1</v>
      </c>
      <c r="I4015" s="76" t="b">
        <v>0</v>
      </c>
      <c r="J4015" s="76" t="b">
        <v>0</v>
      </c>
      <c r="K4015" s="76" t="b">
        <v>0</v>
      </c>
      <c r="L4015" s="76" t="b">
        <v>0</v>
      </c>
      <c r="M4015" s="76" t="b">
        <v>0</v>
      </c>
      <c r="N4015" s="76" t="b">
        <v>0</v>
      </c>
      <c r="O4015" s="76" t="b">
        <v>0</v>
      </c>
      <c r="P4015" s="76" t="b">
        <v>0</v>
      </c>
      <c r="Q4015" s="76" t="b">
        <v>0</v>
      </c>
      <c r="R4015" s="14"/>
      <c r="S4015" s="14"/>
      <c r="T4015" s="14"/>
      <c r="U4015" s="14"/>
      <c r="V4015" s="14"/>
      <c r="W4015" s="14"/>
    </row>
    <row r="4016" ht="31.5" customHeight="1">
      <c r="A4016" s="158"/>
      <c r="B4016" s="159"/>
      <c r="C4016" s="160"/>
      <c r="D4016" s="130"/>
      <c r="E4016" s="130"/>
      <c r="F4016" s="161"/>
      <c r="G4016" s="164"/>
      <c r="H4016" s="76" t="b">
        <v>1</v>
      </c>
      <c r="I4016" s="76" t="b">
        <v>0</v>
      </c>
      <c r="J4016" s="76" t="b">
        <v>0</v>
      </c>
      <c r="K4016" s="76" t="b">
        <v>0</v>
      </c>
      <c r="L4016" s="76" t="b">
        <v>0</v>
      </c>
      <c r="M4016" s="76" t="b">
        <v>0</v>
      </c>
      <c r="N4016" s="76" t="b">
        <v>0</v>
      </c>
      <c r="O4016" s="76" t="b">
        <v>0</v>
      </c>
      <c r="P4016" s="76" t="b">
        <v>0</v>
      </c>
      <c r="Q4016" s="76" t="b">
        <v>0</v>
      </c>
      <c r="R4016" s="14"/>
      <c r="S4016" s="14"/>
      <c r="T4016" s="14"/>
      <c r="U4016" s="14"/>
      <c r="V4016" s="14"/>
      <c r="W4016" s="14"/>
    </row>
    <row r="4017" ht="31.5" customHeight="1">
      <c r="A4017" s="158"/>
      <c r="B4017" s="159"/>
      <c r="C4017" s="160"/>
      <c r="D4017" s="130"/>
      <c r="E4017" s="130"/>
      <c r="F4017" s="161"/>
      <c r="G4017" s="164"/>
      <c r="H4017" s="76" t="b">
        <v>1</v>
      </c>
      <c r="I4017" s="76" t="b">
        <v>0</v>
      </c>
      <c r="J4017" s="76" t="b">
        <v>0</v>
      </c>
      <c r="K4017" s="76" t="b">
        <v>0</v>
      </c>
      <c r="L4017" s="76" t="b">
        <v>0</v>
      </c>
      <c r="M4017" s="76" t="b">
        <v>0</v>
      </c>
      <c r="N4017" s="76" t="b">
        <v>0</v>
      </c>
      <c r="O4017" s="76" t="b">
        <v>0</v>
      </c>
      <c r="P4017" s="76" t="b">
        <v>0</v>
      </c>
      <c r="Q4017" s="76" t="b">
        <v>0</v>
      </c>
      <c r="R4017" s="14"/>
      <c r="S4017" s="14"/>
      <c r="T4017" s="14"/>
      <c r="U4017" s="14"/>
      <c r="V4017" s="14"/>
      <c r="W4017" s="14"/>
    </row>
    <row r="4018" ht="31.5" customHeight="1">
      <c r="A4018" s="158"/>
      <c r="B4018" s="159"/>
      <c r="C4018" s="160"/>
      <c r="D4018" s="130"/>
      <c r="E4018" s="130"/>
      <c r="F4018" s="161"/>
      <c r="G4018" s="164"/>
      <c r="H4018" s="76" t="b">
        <v>1</v>
      </c>
      <c r="I4018" s="76" t="b">
        <v>0</v>
      </c>
      <c r="J4018" s="76" t="b">
        <v>0</v>
      </c>
      <c r="K4018" s="76" t="b">
        <v>0</v>
      </c>
      <c r="L4018" s="76" t="b">
        <v>0</v>
      </c>
      <c r="M4018" s="76" t="b">
        <v>0</v>
      </c>
      <c r="N4018" s="76" t="b">
        <v>0</v>
      </c>
      <c r="O4018" s="76" t="b">
        <v>0</v>
      </c>
      <c r="P4018" s="76" t="b">
        <v>0</v>
      </c>
      <c r="Q4018" s="76" t="b">
        <v>0</v>
      </c>
      <c r="R4018" s="14"/>
      <c r="S4018" s="14"/>
      <c r="T4018" s="14"/>
      <c r="U4018" s="14"/>
      <c r="V4018" s="14"/>
      <c r="W4018" s="14"/>
    </row>
    <row r="4019" ht="31.5" customHeight="1">
      <c r="A4019" s="158"/>
      <c r="B4019" s="159"/>
      <c r="C4019" s="160"/>
      <c r="D4019" s="130"/>
      <c r="E4019" s="130"/>
      <c r="F4019" s="161"/>
      <c r="G4019" s="164"/>
      <c r="H4019" s="76" t="b">
        <v>1</v>
      </c>
      <c r="I4019" s="76" t="b">
        <v>0</v>
      </c>
      <c r="J4019" s="76" t="b">
        <v>0</v>
      </c>
      <c r="K4019" s="76" t="b">
        <v>0</v>
      </c>
      <c r="L4019" s="76" t="b">
        <v>0</v>
      </c>
      <c r="M4019" s="76" t="b">
        <v>0</v>
      </c>
      <c r="N4019" s="76" t="b">
        <v>0</v>
      </c>
      <c r="O4019" s="76" t="b">
        <v>0</v>
      </c>
      <c r="P4019" s="76" t="b">
        <v>0</v>
      </c>
      <c r="Q4019" s="76" t="b">
        <v>0</v>
      </c>
      <c r="R4019" s="14"/>
      <c r="S4019" s="14"/>
      <c r="T4019" s="14"/>
      <c r="U4019" s="14"/>
      <c r="V4019" s="14"/>
      <c r="W4019" s="14"/>
    </row>
    <row r="4020" ht="31.5" customHeight="1">
      <c r="A4020" s="158"/>
      <c r="B4020" s="159"/>
      <c r="C4020" s="160"/>
      <c r="D4020" s="130"/>
      <c r="E4020" s="130"/>
      <c r="F4020" s="161"/>
      <c r="G4020" s="164"/>
      <c r="H4020" s="76" t="b">
        <v>1</v>
      </c>
      <c r="I4020" s="76" t="b">
        <v>0</v>
      </c>
      <c r="J4020" s="76" t="b">
        <v>0</v>
      </c>
      <c r="K4020" s="76" t="b">
        <v>0</v>
      </c>
      <c r="L4020" s="76" t="b">
        <v>0</v>
      </c>
      <c r="M4020" s="76" t="b">
        <v>0</v>
      </c>
      <c r="N4020" s="76" t="b">
        <v>0</v>
      </c>
      <c r="O4020" s="76" t="b">
        <v>0</v>
      </c>
      <c r="P4020" s="76" t="b">
        <v>0</v>
      </c>
      <c r="Q4020" s="76" t="b">
        <v>0</v>
      </c>
      <c r="R4020" s="14"/>
      <c r="S4020" s="14"/>
      <c r="T4020" s="14"/>
      <c r="U4020" s="14"/>
      <c r="V4020" s="14"/>
      <c r="W4020" s="14"/>
    </row>
    <row r="4021" ht="31.5" customHeight="1">
      <c r="A4021" s="158"/>
      <c r="B4021" s="159"/>
      <c r="C4021" s="160"/>
      <c r="D4021" s="130"/>
      <c r="E4021" s="130"/>
      <c r="F4021" s="161"/>
      <c r="G4021" s="164"/>
      <c r="H4021" s="76" t="b">
        <v>1</v>
      </c>
      <c r="I4021" s="76" t="b">
        <v>0</v>
      </c>
      <c r="J4021" s="76" t="b">
        <v>0</v>
      </c>
      <c r="K4021" s="76" t="b">
        <v>0</v>
      </c>
      <c r="L4021" s="76" t="b">
        <v>0</v>
      </c>
      <c r="M4021" s="76" t="b">
        <v>0</v>
      </c>
      <c r="N4021" s="76" t="b">
        <v>0</v>
      </c>
      <c r="O4021" s="76" t="b">
        <v>0</v>
      </c>
      <c r="P4021" s="76" t="b">
        <v>0</v>
      </c>
      <c r="Q4021" s="76" t="b">
        <v>0</v>
      </c>
      <c r="R4021" s="14"/>
      <c r="S4021" s="14"/>
      <c r="T4021" s="14"/>
      <c r="U4021" s="14"/>
      <c r="V4021" s="14"/>
      <c r="W4021" s="14"/>
    </row>
    <row r="4022" ht="31.5" customHeight="1">
      <c r="A4022" s="158"/>
      <c r="B4022" s="159"/>
      <c r="C4022" s="160"/>
      <c r="D4022" s="130"/>
      <c r="E4022" s="130"/>
      <c r="F4022" s="161"/>
      <c r="G4022" s="164"/>
      <c r="H4022" s="76" t="b">
        <v>1</v>
      </c>
      <c r="I4022" s="76" t="b">
        <v>0</v>
      </c>
      <c r="J4022" s="76" t="b">
        <v>0</v>
      </c>
      <c r="K4022" s="76" t="b">
        <v>0</v>
      </c>
      <c r="L4022" s="76" t="b">
        <v>0</v>
      </c>
      <c r="M4022" s="76" t="b">
        <v>0</v>
      </c>
      <c r="N4022" s="76" t="b">
        <v>0</v>
      </c>
      <c r="O4022" s="76" t="b">
        <v>0</v>
      </c>
      <c r="P4022" s="76" t="b">
        <v>0</v>
      </c>
      <c r="Q4022" s="76" t="b">
        <v>0</v>
      </c>
      <c r="R4022" s="14"/>
      <c r="S4022" s="14"/>
      <c r="T4022" s="14"/>
      <c r="U4022" s="14"/>
      <c r="V4022" s="14"/>
      <c r="W4022" s="14"/>
    </row>
    <row r="4023" ht="31.5" customHeight="1">
      <c r="A4023" s="158"/>
      <c r="B4023" s="159"/>
      <c r="C4023" s="160"/>
      <c r="D4023" s="130"/>
      <c r="E4023" s="130"/>
      <c r="F4023" s="161"/>
      <c r="G4023" s="164"/>
      <c r="H4023" s="76" t="b">
        <v>1</v>
      </c>
      <c r="I4023" s="76" t="b">
        <v>0</v>
      </c>
      <c r="J4023" s="76" t="b">
        <v>0</v>
      </c>
      <c r="K4023" s="76" t="b">
        <v>0</v>
      </c>
      <c r="L4023" s="76" t="b">
        <v>0</v>
      </c>
      <c r="M4023" s="76" t="b">
        <v>0</v>
      </c>
      <c r="N4023" s="76" t="b">
        <v>0</v>
      </c>
      <c r="O4023" s="76" t="b">
        <v>0</v>
      </c>
      <c r="P4023" s="76" t="b">
        <v>0</v>
      </c>
      <c r="Q4023" s="76" t="b">
        <v>0</v>
      </c>
      <c r="R4023" s="14"/>
      <c r="S4023" s="14"/>
      <c r="T4023" s="14"/>
      <c r="U4023" s="14"/>
      <c r="V4023" s="14"/>
      <c r="W4023" s="14"/>
    </row>
    <row r="4024" ht="31.5" customHeight="1">
      <c r="A4024" s="158"/>
      <c r="B4024" s="159"/>
      <c r="C4024" s="160"/>
      <c r="D4024" s="130"/>
      <c r="E4024" s="130"/>
      <c r="F4024" s="161"/>
      <c r="G4024" s="164"/>
      <c r="H4024" s="76" t="b">
        <v>1</v>
      </c>
      <c r="I4024" s="76" t="b">
        <v>0</v>
      </c>
      <c r="J4024" s="76" t="b">
        <v>0</v>
      </c>
      <c r="K4024" s="76" t="b">
        <v>0</v>
      </c>
      <c r="L4024" s="76" t="b">
        <v>0</v>
      </c>
      <c r="M4024" s="76" t="b">
        <v>0</v>
      </c>
      <c r="N4024" s="76" t="b">
        <v>0</v>
      </c>
      <c r="O4024" s="76" t="b">
        <v>0</v>
      </c>
      <c r="P4024" s="76" t="b">
        <v>0</v>
      </c>
      <c r="Q4024" s="76" t="b">
        <v>0</v>
      </c>
      <c r="R4024" s="14"/>
      <c r="S4024" s="14"/>
      <c r="T4024" s="14"/>
      <c r="U4024" s="14"/>
      <c r="V4024" s="14"/>
      <c r="W4024" s="14"/>
    </row>
    <row r="4025" ht="31.5" customHeight="1">
      <c r="A4025" s="158"/>
      <c r="B4025" s="159"/>
      <c r="C4025" s="160"/>
      <c r="D4025" s="130"/>
      <c r="E4025" s="130"/>
      <c r="F4025" s="161"/>
      <c r="G4025" s="164"/>
      <c r="H4025" s="76" t="b">
        <v>1</v>
      </c>
      <c r="I4025" s="76" t="b">
        <v>0</v>
      </c>
      <c r="J4025" s="76" t="b">
        <v>0</v>
      </c>
      <c r="K4025" s="76" t="b">
        <v>0</v>
      </c>
      <c r="L4025" s="76" t="b">
        <v>0</v>
      </c>
      <c r="M4025" s="76" t="b">
        <v>0</v>
      </c>
      <c r="N4025" s="76" t="b">
        <v>0</v>
      </c>
      <c r="O4025" s="76" t="b">
        <v>0</v>
      </c>
      <c r="P4025" s="76" t="b">
        <v>0</v>
      </c>
      <c r="Q4025" s="76" t="b">
        <v>0</v>
      </c>
      <c r="R4025" s="14"/>
      <c r="S4025" s="14"/>
      <c r="T4025" s="14"/>
      <c r="U4025" s="14"/>
      <c r="V4025" s="14"/>
      <c r="W4025" s="14"/>
    </row>
    <row r="4026" ht="31.5" customHeight="1">
      <c r="A4026" s="158"/>
      <c r="B4026" s="159"/>
      <c r="C4026" s="160"/>
      <c r="D4026" s="130"/>
      <c r="E4026" s="130"/>
      <c r="F4026" s="161"/>
      <c r="G4026" s="164"/>
      <c r="H4026" s="76" t="b">
        <v>1</v>
      </c>
      <c r="I4026" s="76" t="b">
        <v>0</v>
      </c>
      <c r="J4026" s="76" t="b">
        <v>0</v>
      </c>
      <c r="K4026" s="76" t="b">
        <v>0</v>
      </c>
      <c r="L4026" s="76" t="b">
        <v>0</v>
      </c>
      <c r="M4026" s="76" t="b">
        <v>0</v>
      </c>
      <c r="N4026" s="76" t="b">
        <v>0</v>
      </c>
      <c r="O4026" s="76" t="b">
        <v>0</v>
      </c>
      <c r="P4026" s="76" t="b">
        <v>0</v>
      </c>
      <c r="Q4026" s="76" t="b">
        <v>0</v>
      </c>
      <c r="R4026" s="14"/>
      <c r="S4026" s="14"/>
      <c r="T4026" s="14"/>
      <c r="U4026" s="14"/>
      <c r="V4026" s="14"/>
      <c r="W4026" s="14"/>
    </row>
    <row r="4027" ht="31.5" customHeight="1">
      <c r="A4027" s="158"/>
      <c r="B4027" s="159"/>
      <c r="C4027" s="160"/>
      <c r="D4027" s="130"/>
      <c r="E4027" s="130"/>
      <c r="F4027" s="161"/>
      <c r="G4027" s="164"/>
      <c r="H4027" s="76" t="b">
        <v>1</v>
      </c>
      <c r="I4027" s="76" t="b">
        <v>0</v>
      </c>
      <c r="J4027" s="76" t="b">
        <v>0</v>
      </c>
      <c r="K4027" s="76" t="b">
        <v>0</v>
      </c>
      <c r="L4027" s="76" t="b">
        <v>0</v>
      </c>
      <c r="M4027" s="76" t="b">
        <v>0</v>
      </c>
      <c r="N4027" s="76" t="b">
        <v>0</v>
      </c>
      <c r="O4027" s="76" t="b">
        <v>0</v>
      </c>
      <c r="P4027" s="76" t="b">
        <v>0</v>
      </c>
      <c r="Q4027" s="76" t="b">
        <v>0</v>
      </c>
      <c r="R4027" s="14"/>
      <c r="S4027" s="14"/>
      <c r="T4027" s="14"/>
      <c r="U4027" s="14"/>
      <c r="V4027" s="14"/>
      <c r="W4027" s="14"/>
    </row>
    <row r="4028" ht="31.5" customHeight="1">
      <c r="A4028" s="158"/>
      <c r="B4028" s="159"/>
      <c r="C4028" s="160"/>
      <c r="D4028" s="130"/>
      <c r="E4028" s="130"/>
      <c r="F4028" s="161"/>
      <c r="G4028" s="164"/>
      <c r="H4028" s="76" t="b">
        <v>1</v>
      </c>
      <c r="I4028" s="76" t="b">
        <v>0</v>
      </c>
      <c r="J4028" s="76" t="b">
        <v>0</v>
      </c>
      <c r="K4028" s="76" t="b">
        <v>0</v>
      </c>
      <c r="L4028" s="76" t="b">
        <v>0</v>
      </c>
      <c r="M4028" s="76" t="b">
        <v>0</v>
      </c>
      <c r="N4028" s="76" t="b">
        <v>0</v>
      </c>
      <c r="O4028" s="76" t="b">
        <v>0</v>
      </c>
      <c r="P4028" s="76" t="b">
        <v>0</v>
      </c>
      <c r="Q4028" s="76" t="b">
        <v>0</v>
      </c>
      <c r="R4028" s="14"/>
      <c r="S4028" s="14"/>
      <c r="T4028" s="14"/>
      <c r="U4028" s="14"/>
      <c r="V4028" s="14"/>
      <c r="W4028" s="14"/>
    </row>
    <row r="4029" ht="31.5" customHeight="1">
      <c r="A4029" s="158"/>
      <c r="B4029" s="159"/>
      <c r="C4029" s="160"/>
      <c r="D4029" s="130"/>
      <c r="E4029" s="130"/>
      <c r="F4029" s="161"/>
      <c r="G4029" s="164"/>
      <c r="H4029" s="76" t="b">
        <v>1</v>
      </c>
      <c r="I4029" s="76" t="b">
        <v>0</v>
      </c>
      <c r="J4029" s="76" t="b">
        <v>0</v>
      </c>
      <c r="K4029" s="76" t="b">
        <v>0</v>
      </c>
      <c r="L4029" s="76" t="b">
        <v>0</v>
      </c>
      <c r="M4029" s="76" t="b">
        <v>0</v>
      </c>
      <c r="N4029" s="76" t="b">
        <v>0</v>
      </c>
      <c r="O4029" s="76" t="b">
        <v>0</v>
      </c>
      <c r="P4029" s="76" t="b">
        <v>0</v>
      </c>
      <c r="Q4029" s="76" t="b">
        <v>0</v>
      </c>
      <c r="R4029" s="14"/>
      <c r="S4029" s="14"/>
      <c r="T4029" s="14"/>
      <c r="U4029" s="14"/>
      <c r="V4029" s="14"/>
      <c r="W4029" s="14"/>
    </row>
    <row r="4030" ht="31.5" customHeight="1">
      <c r="A4030" s="158"/>
      <c r="B4030" s="159"/>
      <c r="C4030" s="160"/>
      <c r="D4030" s="130"/>
      <c r="E4030" s="130"/>
      <c r="F4030" s="161"/>
      <c r="G4030" s="164"/>
      <c r="H4030" s="76" t="b">
        <v>1</v>
      </c>
      <c r="I4030" s="76" t="b">
        <v>0</v>
      </c>
      <c r="J4030" s="76" t="b">
        <v>0</v>
      </c>
      <c r="K4030" s="76" t="b">
        <v>0</v>
      </c>
      <c r="L4030" s="76" t="b">
        <v>0</v>
      </c>
      <c r="M4030" s="76" t="b">
        <v>0</v>
      </c>
      <c r="N4030" s="76" t="b">
        <v>0</v>
      </c>
      <c r="O4030" s="76" t="b">
        <v>0</v>
      </c>
      <c r="P4030" s="76" t="b">
        <v>0</v>
      </c>
      <c r="Q4030" s="76" t="b">
        <v>0</v>
      </c>
      <c r="R4030" s="14"/>
      <c r="S4030" s="14"/>
      <c r="T4030" s="14"/>
      <c r="U4030" s="14"/>
      <c r="V4030" s="14"/>
      <c r="W4030" s="14"/>
    </row>
    <row r="4031" ht="31.5" customHeight="1">
      <c r="A4031" s="158"/>
      <c r="B4031" s="159"/>
      <c r="C4031" s="160"/>
      <c r="D4031" s="130"/>
      <c r="E4031" s="130"/>
      <c r="F4031" s="161"/>
      <c r="G4031" s="164"/>
      <c r="H4031" s="76" t="b">
        <v>1</v>
      </c>
      <c r="I4031" s="76" t="b">
        <v>0</v>
      </c>
      <c r="J4031" s="76" t="b">
        <v>0</v>
      </c>
      <c r="K4031" s="76" t="b">
        <v>0</v>
      </c>
      <c r="L4031" s="76" t="b">
        <v>0</v>
      </c>
      <c r="M4031" s="76" t="b">
        <v>0</v>
      </c>
      <c r="N4031" s="76" t="b">
        <v>0</v>
      </c>
      <c r="O4031" s="76" t="b">
        <v>0</v>
      </c>
      <c r="P4031" s="76" t="b">
        <v>0</v>
      </c>
      <c r="Q4031" s="76" t="b">
        <v>0</v>
      </c>
      <c r="R4031" s="14"/>
      <c r="S4031" s="14"/>
      <c r="T4031" s="14"/>
      <c r="U4031" s="14"/>
      <c r="V4031" s="14"/>
      <c r="W4031" s="14"/>
    </row>
    <row r="4032" ht="31.5" customHeight="1">
      <c r="A4032" s="158"/>
      <c r="B4032" s="159"/>
      <c r="C4032" s="160"/>
      <c r="D4032" s="130"/>
      <c r="E4032" s="130"/>
      <c r="F4032" s="161"/>
      <c r="G4032" s="164"/>
      <c r="H4032" s="76" t="b">
        <v>1</v>
      </c>
      <c r="I4032" s="76" t="b">
        <v>0</v>
      </c>
      <c r="J4032" s="76" t="b">
        <v>0</v>
      </c>
      <c r="K4032" s="76" t="b">
        <v>0</v>
      </c>
      <c r="L4032" s="76" t="b">
        <v>0</v>
      </c>
      <c r="M4032" s="76" t="b">
        <v>0</v>
      </c>
      <c r="N4032" s="76" t="b">
        <v>0</v>
      </c>
      <c r="O4032" s="76" t="b">
        <v>0</v>
      </c>
      <c r="P4032" s="76" t="b">
        <v>0</v>
      </c>
      <c r="Q4032" s="76" t="b">
        <v>0</v>
      </c>
      <c r="R4032" s="14"/>
      <c r="S4032" s="14"/>
      <c r="T4032" s="14"/>
      <c r="U4032" s="14"/>
      <c r="V4032" s="14"/>
      <c r="W4032" s="14"/>
    </row>
    <row r="4033" ht="31.5" customHeight="1">
      <c r="A4033" s="158"/>
      <c r="B4033" s="159"/>
      <c r="C4033" s="160"/>
      <c r="D4033" s="130"/>
      <c r="E4033" s="130"/>
      <c r="F4033" s="161"/>
      <c r="G4033" s="164"/>
      <c r="H4033" s="76" t="b">
        <v>1</v>
      </c>
      <c r="I4033" s="76" t="b">
        <v>0</v>
      </c>
      <c r="J4033" s="76" t="b">
        <v>0</v>
      </c>
      <c r="K4033" s="76" t="b">
        <v>0</v>
      </c>
      <c r="L4033" s="76" t="b">
        <v>0</v>
      </c>
      <c r="M4033" s="76" t="b">
        <v>0</v>
      </c>
      <c r="N4033" s="76" t="b">
        <v>0</v>
      </c>
      <c r="O4033" s="76" t="b">
        <v>0</v>
      </c>
      <c r="P4033" s="76" t="b">
        <v>0</v>
      </c>
      <c r="Q4033" s="76" t="b">
        <v>0</v>
      </c>
      <c r="R4033" s="14"/>
      <c r="S4033" s="14"/>
      <c r="T4033" s="14"/>
      <c r="U4033" s="14"/>
      <c r="V4033" s="14"/>
      <c r="W4033" s="14"/>
    </row>
    <row r="4034" ht="31.5" customHeight="1">
      <c r="A4034" s="158"/>
      <c r="B4034" s="159"/>
      <c r="C4034" s="160"/>
      <c r="D4034" s="130"/>
      <c r="E4034" s="130"/>
      <c r="F4034" s="161"/>
      <c r="G4034" s="164"/>
      <c r="H4034" s="76" t="b">
        <v>1</v>
      </c>
      <c r="I4034" s="76" t="b">
        <v>0</v>
      </c>
      <c r="J4034" s="76" t="b">
        <v>0</v>
      </c>
      <c r="K4034" s="76" t="b">
        <v>0</v>
      </c>
      <c r="L4034" s="76" t="b">
        <v>0</v>
      </c>
      <c r="M4034" s="76" t="b">
        <v>0</v>
      </c>
      <c r="N4034" s="76" t="b">
        <v>0</v>
      </c>
      <c r="O4034" s="76" t="b">
        <v>0</v>
      </c>
      <c r="P4034" s="76" t="b">
        <v>0</v>
      </c>
      <c r="Q4034" s="76" t="b">
        <v>0</v>
      </c>
      <c r="R4034" s="14"/>
      <c r="S4034" s="14"/>
      <c r="T4034" s="14"/>
      <c r="U4034" s="14"/>
      <c r="V4034" s="14"/>
      <c r="W4034" s="14"/>
    </row>
    <row r="4035" ht="31.5" customHeight="1">
      <c r="A4035" s="158"/>
      <c r="B4035" s="159"/>
      <c r="C4035" s="160"/>
      <c r="D4035" s="130"/>
      <c r="E4035" s="130"/>
      <c r="F4035" s="161"/>
      <c r="G4035" s="164"/>
      <c r="H4035" s="76" t="b">
        <v>1</v>
      </c>
      <c r="I4035" s="76" t="b">
        <v>0</v>
      </c>
      <c r="J4035" s="76" t="b">
        <v>0</v>
      </c>
      <c r="K4035" s="76" t="b">
        <v>0</v>
      </c>
      <c r="L4035" s="76" t="b">
        <v>0</v>
      </c>
      <c r="M4035" s="76" t="b">
        <v>0</v>
      </c>
      <c r="N4035" s="76" t="b">
        <v>0</v>
      </c>
      <c r="O4035" s="76" t="b">
        <v>0</v>
      </c>
      <c r="P4035" s="76" t="b">
        <v>0</v>
      </c>
      <c r="Q4035" s="76" t="b">
        <v>0</v>
      </c>
      <c r="R4035" s="14"/>
      <c r="S4035" s="14"/>
      <c r="T4035" s="14"/>
      <c r="U4035" s="14"/>
      <c r="V4035" s="14"/>
      <c r="W4035" s="14"/>
    </row>
    <row r="4036" ht="31.5" customHeight="1">
      <c r="A4036" s="158"/>
      <c r="B4036" s="159"/>
      <c r="C4036" s="160"/>
      <c r="D4036" s="130"/>
      <c r="E4036" s="130"/>
      <c r="F4036" s="161"/>
      <c r="G4036" s="164"/>
      <c r="H4036" s="76" t="b">
        <v>1</v>
      </c>
      <c r="I4036" s="76" t="b">
        <v>0</v>
      </c>
      <c r="J4036" s="76" t="b">
        <v>0</v>
      </c>
      <c r="K4036" s="76" t="b">
        <v>0</v>
      </c>
      <c r="L4036" s="76" t="b">
        <v>0</v>
      </c>
      <c r="M4036" s="76" t="b">
        <v>0</v>
      </c>
      <c r="N4036" s="76" t="b">
        <v>0</v>
      </c>
      <c r="O4036" s="76" t="b">
        <v>0</v>
      </c>
      <c r="P4036" s="76" t="b">
        <v>0</v>
      </c>
      <c r="Q4036" s="76" t="b">
        <v>0</v>
      </c>
      <c r="R4036" s="14"/>
      <c r="S4036" s="14"/>
      <c r="T4036" s="14"/>
      <c r="U4036" s="14"/>
      <c r="V4036" s="14"/>
      <c r="W4036" s="14"/>
    </row>
    <row r="4037" ht="31.5" customHeight="1">
      <c r="A4037" s="158"/>
      <c r="B4037" s="159"/>
      <c r="C4037" s="160"/>
      <c r="D4037" s="130"/>
      <c r="E4037" s="130"/>
      <c r="F4037" s="161"/>
      <c r="G4037" s="164"/>
      <c r="H4037" s="76" t="b">
        <v>1</v>
      </c>
      <c r="I4037" s="76" t="b">
        <v>0</v>
      </c>
      <c r="J4037" s="76" t="b">
        <v>0</v>
      </c>
      <c r="K4037" s="76" t="b">
        <v>0</v>
      </c>
      <c r="L4037" s="76" t="b">
        <v>0</v>
      </c>
      <c r="M4037" s="76" t="b">
        <v>0</v>
      </c>
      <c r="N4037" s="76" t="b">
        <v>0</v>
      </c>
      <c r="O4037" s="76" t="b">
        <v>0</v>
      </c>
      <c r="P4037" s="76" t="b">
        <v>0</v>
      </c>
      <c r="Q4037" s="76" t="b">
        <v>0</v>
      </c>
      <c r="R4037" s="14"/>
      <c r="S4037" s="14"/>
      <c r="T4037" s="14"/>
      <c r="U4037" s="14"/>
      <c r="V4037" s="14"/>
      <c r="W4037" s="14"/>
    </row>
    <row r="4038" ht="31.5" customHeight="1">
      <c r="A4038" s="158"/>
      <c r="B4038" s="159"/>
      <c r="C4038" s="160"/>
      <c r="D4038" s="130"/>
      <c r="E4038" s="130"/>
      <c r="F4038" s="161"/>
      <c r="G4038" s="164"/>
      <c r="H4038" s="76" t="b">
        <v>1</v>
      </c>
      <c r="I4038" s="76" t="b">
        <v>0</v>
      </c>
      <c r="J4038" s="76" t="b">
        <v>0</v>
      </c>
      <c r="K4038" s="76" t="b">
        <v>0</v>
      </c>
      <c r="L4038" s="76" t="b">
        <v>0</v>
      </c>
      <c r="M4038" s="76" t="b">
        <v>0</v>
      </c>
      <c r="N4038" s="76" t="b">
        <v>0</v>
      </c>
      <c r="O4038" s="76" t="b">
        <v>0</v>
      </c>
      <c r="P4038" s="76" t="b">
        <v>0</v>
      </c>
      <c r="Q4038" s="76" t="b">
        <v>0</v>
      </c>
      <c r="R4038" s="14"/>
      <c r="S4038" s="14"/>
      <c r="T4038" s="14"/>
      <c r="U4038" s="14"/>
      <c r="V4038" s="14"/>
      <c r="W4038" s="14"/>
    </row>
    <row r="4039" ht="31.5" customHeight="1">
      <c r="A4039" s="158"/>
      <c r="B4039" s="159"/>
      <c r="C4039" s="160"/>
      <c r="D4039" s="130"/>
      <c r="E4039" s="130"/>
      <c r="F4039" s="161"/>
      <c r="G4039" s="164"/>
      <c r="H4039" s="76" t="b">
        <v>1</v>
      </c>
      <c r="I4039" s="76" t="b">
        <v>0</v>
      </c>
      <c r="J4039" s="76" t="b">
        <v>0</v>
      </c>
      <c r="K4039" s="76" t="b">
        <v>0</v>
      </c>
      <c r="L4039" s="76" t="b">
        <v>0</v>
      </c>
      <c r="M4039" s="76" t="b">
        <v>0</v>
      </c>
      <c r="N4039" s="76" t="b">
        <v>0</v>
      </c>
      <c r="O4039" s="76" t="b">
        <v>0</v>
      </c>
      <c r="P4039" s="76" t="b">
        <v>0</v>
      </c>
      <c r="Q4039" s="76" t="b">
        <v>0</v>
      </c>
      <c r="R4039" s="14"/>
      <c r="S4039" s="14"/>
      <c r="T4039" s="14"/>
      <c r="U4039" s="14"/>
      <c r="V4039" s="14"/>
      <c r="W4039" s="14"/>
    </row>
    <row r="4040" ht="31.5" customHeight="1">
      <c r="A4040" s="158"/>
      <c r="B4040" s="159"/>
      <c r="C4040" s="160"/>
      <c r="D4040" s="130"/>
      <c r="E4040" s="130"/>
      <c r="F4040" s="161"/>
      <c r="G4040" s="164"/>
      <c r="H4040" s="76" t="b">
        <v>1</v>
      </c>
      <c r="I4040" s="76" t="b">
        <v>0</v>
      </c>
      <c r="J4040" s="76" t="b">
        <v>0</v>
      </c>
      <c r="K4040" s="76" t="b">
        <v>0</v>
      </c>
      <c r="L4040" s="76" t="b">
        <v>0</v>
      </c>
      <c r="M4040" s="76" t="b">
        <v>0</v>
      </c>
      <c r="N4040" s="76" t="b">
        <v>0</v>
      </c>
      <c r="O4040" s="76" t="b">
        <v>0</v>
      </c>
      <c r="P4040" s="76" t="b">
        <v>0</v>
      </c>
      <c r="Q4040" s="76" t="b">
        <v>0</v>
      </c>
      <c r="R4040" s="14"/>
      <c r="S4040" s="14"/>
      <c r="T4040" s="14"/>
      <c r="U4040" s="14"/>
      <c r="V4040" s="14"/>
      <c r="W4040" s="14"/>
    </row>
    <row r="4041" ht="31.5" customHeight="1">
      <c r="A4041" s="158"/>
      <c r="B4041" s="159"/>
      <c r="C4041" s="160"/>
      <c r="D4041" s="130"/>
      <c r="E4041" s="130"/>
      <c r="F4041" s="161"/>
      <c r="G4041" s="164"/>
      <c r="H4041" s="76" t="b">
        <v>1</v>
      </c>
      <c r="I4041" s="76" t="b">
        <v>0</v>
      </c>
      <c r="J4041" s="76" t="b">
        <v>0</v>
      </c>
      <c r="K4041" s="76" t="b">
        <v>0</v>
      </c>
      <c r="L4041" s="76" t="b">
        <v>0</v>
      </c>
      <c r="M4041" s="76" t="b">
        <v>0</v>
      </c>
      <c r="N4041" s="76" t="b">
        <v>0</v>
      </c>
      <c r="O4041" s="76" t="b">
        <v>0</v>
      </c>
      <c r="P4041" s="76" t="b">
        <v>0</v>
      </c>
      <c r="Q4041" s="76" t="b">
        <v>0</v>
      </c>
      <c r="R4041" s="14"/>
      <c r="S4041" s="14"/>
      <c r="T4041" s="14"/>
      <c r="U4041" s="14"/>
      <c r="V4041" s="14"/>
      <c r="W4041" s="14"/>
    </row>
    <row r="4042" ht="31.5" customHeight="1">
      <c r="A4042" s="158"/>
      <c r="B4042" s="159"/>
      <c r="C4042" s="160"/>
      <c r="D4042" s="130"/>
      <c r="E4042" s="130"/>
      <c r="F4042" s="161"/>
      <c r="G4042" s="164"/>
      <c r="H4042" s="76" t="b">
        <v>1</v>
      </c>
      <c r="I4042" s="76" t="b">
        <v>0</v>
      </c>
      <c r="J4042" s="76" t="b">
        <v>0</v>
      </c>
      <c r="K4042" s="76" t="b">
        <v>0</v>
      </c>
      <c r="L4042" s="76" t="b">
        <v>0</v>
      </c>
      <c r="M4042" s="76" t="b">
        <v>0</v>
      </c>
      <c r="N4042" s="76" t="b">
        <v>0</v>
      </c>
      <c r="O4042" s="76" t="b">
        <v>0</v>
      </c>
      <c r="P4042" s="76" t="b">
        <v>0</v>
      </c>
      <c r="Q4042" s="76" t="b">
        <v>0</v>
      </c>
      <c r="R4042" s="14"/>
      <c r="S4042" s="14"/>
      <c r="T4042" s="14"/>
      <c r="U4042" s="14"/>
      <c r="V4042" s="14"/>
      <c r="W4042" s="14"/>
    </row>
    <row r="4043" ht="31.5" customHeight="1">
      <c r="A4043" s="158"/>
      <c r="B4043" s="159"/>
      <c r="C4043" s="160"/>
      <c r="D4043" s="130"/>
      <c r="E4043" s="130"/>
      <c r="F4043" s="161"/>
      <c r="G4043" s="164"/>
      <c r="H4043" s="76" t="b">
        <v>1</v>
      </c>
      <c r="I4043" s="76" t="b">
        <v>0</v>
      </c>
      <c r="J4043" s="76" t="b">
        <v>0</v>
      </c>
      <c r="K4043" s="76" t="b">
        <v>0</v>
      </c>
      <c r="L4043" s="76" t="b">
        <v>0</v>
      </c>
      <c r="M4043" s="76" t="b">
        <v>0</v>
      </c>
      <c r="N4043" s="76" t="b">
        <v>0</v>
      </c>
      <c r="O4043" s="76" t="b">
        <v>0</v>
      </c>
      <c r="P4043" s="76" t="b">
        <v>0</v>
      </c>
      <c r="Q4043" s="76" t="b">
        <v>0</v>
      </c>
      <c r="R4043" s="14"/>
      <c r="S4043" s="14"/>
      <c r="T4043" s="14"/>
      <c r="U4043" s="14"/>
      <c r="V4043" s="14"/>
      <c r="W4043" s="14"/>
    </row>
    <row r="4044" ht="31.5" customHeight="1">
      <c r="A4044" s="158"/>
      <c r="B4044" s="159"/>
      <c r="C4044" s="160"/>
      <c r="D4044" s="130"/>
      <c r="E4044" s="130"/>
      <c r="F4044" s="161"/>
      <c r="G4044" s="164"/>
      <c r="H4044" s="76" t="b">
        <v>1</v>
      </c>
      <c r="I4044" s="76" t="b">
        <v>0</v>
      </c>
      <c r="J4044" s="76" t="b">
        <v>0</v>
      </c>
      <c r="K4044" s="76" t="b">
        <v>0</v>
      </c>
      <c r="L4044" s="76" t="b">
        <v>0</v>
      </c>
      <c r="M4044" s="76" t="b">
        <v>0</v>
      </c>
      <c r="N4044" s="76" t="b">
        <v>0</v>
      </c>
      <c r="O4044" s="76" t="b">
        <v>0</v>
      </c>
      <c r="P4044" s="76" t="b">
        <v>0</v>
      </c>
      <c r="Q4044" s="76" t="b">
        <v>0</v>
      </c>
      <c r="R4044" s="14"/>
      <c r="S4044" s="14"/>
      <c r="T4044" s="14"/>
      <c r="U4044" s="14"/>
      <c r="V4044" s="14"/>
      <c r="W4044" s="14"/>
    </row>
    <row r="4045" ht="31.5" customHeight="1">
      <c r="A4045" s="158"/>
      <c r="B4045" s="159"/>
      <c r="C4045" s="160"/>
      <c r="D4045" s="130"/>
      <c r="E4045" s="130"/>
      <c r="F4045" s="161"/>
      <c r="G4045" s="164"/>
      <c r="H4045" s="76" t="b">
        <v>1</v>
      </c>
      <c r="I4045" s="76" t="b">
        <v>0</v>
      </c>
      <c r="J4045" s="76" t="b">
        <v>0</v>
      </c>
      <c r="K4045" s="76" t="b">
        <v>0</v>
      </c>
      <c r="L4045" s="76" t="b">
        <v>0</v>
      </c>
      <c r="M4045" s="76" t="b">
        <v>0</v>
      </c>
      <c r="N4045" s="76" t="b">
        <v>0</v>
      </c>
      <c r="O4045" s="76" t="b">
        <v>0</v>
      </c>
      <c r="P4045" s="76" t="b">
        <v>0</v>
      </c>
      <c r="Q4045" s="76" t="b">
        <v>0</v>
      </c>
      <c r="R4045" s="14"/>
      <c r="S4045" s="14"/>
      <c r="T4045" s="14"/>
      <c r="U4045" s="14"/>
      <c r="V4045" s="14"/>
      <c r="W4045" s="14"/>
    </row>
    <row r="4046" ht="31.5" customHeight="1">
      <c r="A4046" s="158"/>
      <c r="B4046" s="159"/>
      <c r="C4046" s="160"/>
      <c r="D4046" s="130"/>
      <c r="E4046" s="130"/>
      <c r="F4046" s="161"/>
      <c r="G4046" s="164"/>
      <c r="H4046" s="76" t="b">
        <v>1</v>
      </c>
      <c r="I4046" s="76" t="b">
        <v>0</v>
      </c>
      <c r="J4046" s="76" t="b">
        <v>0</v>
      </c>
      <c r="K4046" s="76" t="b">
        <v>0</v>
      </c>
      <c r="L4046" s="76" t="b">
        <v>0</v>
      </c>
      <c r="M4046" s="76" t="b">
        <v>0</v>
      </c>
      <c r="N4046" s="76" t="b">
        <v>0</v>
      </c>
      <c r="O4046" s="76" t="b">
        <v>0</v>
      </c>
      <c r="P4046" s="76" t="b">
        <v>0</v>
      </c>
      <c r="Q4046" s="76" t="b">
        <v>0</v>
      </c>
      <c r="R4046" s="14"/>
      <c r="S4046" s="14"/>
      <c r="T4046" s="14"/>
      <c r="U4046" s="14"/>
      <c r="V4046" s="14"/>
      <c r="W4046" s="14"/>
    </row>
    <row r="4047" ht="31.5" customHeight="1">
      <c r="A4047" s="158"/>
      <c r="B4047" s="159"/>
      <c r="C4047" s="160"/>
      <c r="D4047" s="130"/>
      <c r="E4047" s="130"/>
      <c r="F4047" s="161"/>
      <c r="G4047" s="164"/>
      <c r="H4047" s="76" t="b">
        <v>1</v>
      </c>
      <c r="I4047" s="76" t="b">
        <v>0</v>
      </c>
      <c r="J4047" s="76" t="b">
        <v>0</v>
      </c>
      <c r="K4047" s="76" t="b">
        <v>0</v>
      </c>
      <c r="L4047" s="76" t="b">
        <v>0</v>
      </c>
      <c r="M4047" s="76" t="b">
        <v>0</v>
      </c>
      <c r="N4047" s="76" t="b">
        <v>0</v>
      </c>
      <c r="O4047" s="76" t="b">
        <v>0</v>
      </c>
      <c r="P4047" s="76" t="b">
        <v>0</v>
      </c>
      <c r="Q4047" s="76" t="b">
        <v>0</v>
      </c>
      <c r="R4047" s="14"/>
      <c r="S4047" s="14"/>
      <c r="T4047" s="14"/>
      <c r="U4047" s="14"/>
      <c r="V4047" s="14"/>
      <c r="W4047" s="14"/>
    </row>
    <row r="4048" ht="31.5" customHeight="1">
      <c r="A4048" s="158"/>
      <c r="B4048" s="159"/>
      <c r="C4048" s="160"/>
      <c r="D4048" s="130"/>
      <c r="E4048" s="130"/>
      <c r="F4048" s="161"/>
      <c r="G4048" s="164"/>
      <c r="H4048" s="76" t="b">
        <v>1</v>
      </c>
      <c r="I4048" s="76" t="b">
        <v>0</v>
      </c>
      <c r="J4048" s="76" t="b">
        <v>0</v>
      </c>
      <c r="K4048" s="76" t="b">
        <v>0</v>
      </c>
      <c r="L4048" s="76" t="b">
        <v>0</v>
      </c>
      <c r="M4048" s="76" t="b">
        <v>0</v>
      </c>
      <c r="N4048" s="76" t="b">
        <v>0</v>
      </c>
      <c r="O4048" s="76" t="b">
        <v>0</v>
      </c>
      <c r="P4048" s="76" t="b">
        <v>0</v>
      </c>
      <c r="Q4048" s="76" t="b">
        <v>0</v>
      </c>
      <c r="R4048" s="14"/>
      <c r="S4048" s="14"/>
      <c r="T4048" s="14"/>
      <c r="U4048" s="14"/>
      <c r="V4048" s="14"/>
      <c r="W4048" s="14"/>
    </row>
    <row r="4049" ht="31.5" customHeight="1">
      <c r="A4049" s="158"/>
      <c r="B4049" s="159"/>
      <c r="C4049" s="160"/>
      <c r="D4049" s="130"/>
      <c r="E4049" s="130"/>
      <c r="F4049" s="161"/>
      <c r="G4049" s="164"/>
      <c r="H4049" s="76" t="b">
        <v>1</v>
      </c>
      <c r="I4049" s="76" t="b">
        <v>0</v>
      </c>
      <c r="J4049" s="76" t="b">
        <v>0</v>
      </c>
      <c r="K4049" s="76" t="b">
        <v>0</v>
      </c>
      <c r="L4049" s="76" t="b">
        <v>0</v>
      </c>
      <c r="M4049" s="76" t="b">
        <v>0</v>
      </c>
      <c r="N4049" s="76" t="b">
        <v>0</v>
      </c>
      <c r="O4049" s="76" t="b">
        <v>0</v>
      </c>
      <c r="P4049" s="76" t="b">
        <v>0</v>
      </c>
      <c r="Q4049" s="76" t="b">
        <v>0</v>
      </c>
      <c r="R4049" s="14"/>
      <c r="S4049" s="14"/>
      <c r="T4049" s="14"/>
      <c r="U4049" s="14"/>
      <c r="V4049" s="14"/>
      <c r="W4049" s="14"/>
    </row>
    <row r="4050" ht="31.5" customHeight="1">
      <c r="A4050" s="158"/>
      <c r="B4050" s="159"/>
      <c r="C4050" s="160"/>
      <c r="D4050" s="130"/>
      <c r="E4050" s="130"/>
      <c r="F4050" s="161"/>
      <c r="G4050" s="164"/>
      <c r="H4050" s="76" t="b">
        <v>1</v>
      </c>
      <c r="I4050" s="76" t="b">
        <v>0</v>
      </c>
      <c r="J4050" s="76" t="b">
        <v>0</v>
      </c>
      <c r="K4050" s="76" t="b">
        <v>0</v>
      </c>
      <c r="L4050" s="76" t="b">
        <v>0</v>
      </c>
      <c r="M4050" s="76" t="b">
        <v>0</v>
      </c>
      <c r="N4050" s="76" t="b">
        <v>0</v>
      </c>
      <c r="O4050" s="76" t="b">
        <v>0</v>
      </c>
      <c r="P4050" s="76" t="b">
        <v>0</v>
      </c>
      <c r="Q4050" s="76" t="b">
        <v>0</v>
      </c>
      <c r="R4050" s="14"/>
      <c r="S4050" s="14"/>
      <c r="T4050" s="14"/>
      <c r="U4050" s="14"/>
      <c r="V4050" s="14"/>
      <c r="W4050" s="14"/>
    </row>
    <row r="4051" ht="31.5" customHeight="1">
      <c r="A4051" s="158"/>
      <c r="B4051" s="159"/>
      <c r="C4051" s="160"/>
      <c r="D4051" s="130"/>
      <c r="E4051" s="130"/>
      <c r="F4051" s="161"/>
      <c r="G4051" s="164"/>
      <c r="H4051" s="76" t="b">
        <v>1</v>
      </c>
      <c r="I4051" s="76" t="b">
        <v>0</v>
      </c>
      <c r="J4051" s="76" t="b">
        <v>0</v>
      </c>
      <c r="K4051" s="76" t="b">
        <v>0</v>
      </c>
      <c r="L4051" s="76" t="b">
        <v>0</v>
      </c>
      <c r="M4051" s="76" t="b">
        <v>0</v>
      </c>
      <c r="N4051" s="76" t="b">
        <v>0</v>
      </c>
      <c r="O4051" s="76" t="b">
        <v>0</v>
      </c>
      <c r="P4051" s="76" t="b">
        <v>0</v>
      </c>
      <c r="Q4051" s="76" t="b">
        <v>0</v>
      </c>
      <c r="R4051" s="14"/>
      <c r="S4051" s="14"/>
      <c r="T4051" s="14"/>
      <c r="U4051" s="14"/>
      <c r="V4051" s="14"/>
      <c r="W4051" s="14"/>
    </row>
    <row r="4052" ht="31.5" customHeight="1">
      <c r="A4052" s="158"/>
      <c r="B4052" s="159"/>
      <c r="C4052" s="160"/>
      <c r="D4052" s="130"/>
      <c r="E4052" s="130"/>
      <c r="F4052" s="161"/>
      <c r="G4052" s="164"/>
      <c r="H4052" s="76" t="b">
        <v>1</v>
      </c>
      <c r="I4052" s="76" t="b">
        <v>0</v>
      </c>
      <c r="J4052" s="76" t="b">
        <v>0</v>
      </c>
      <c r="K4052" s="76" t="b">
        <v>0</v>
      </c>
      <c r="L4052" s="76" t="b">
        <v>0</v>
      </c>
      <c r="M4052" s="76" t="b">
        <v>0</v>
      </c>
      <c r="N4052" s="76" t="b">
        <v>0</v>
      </c>
      <c r="O4052" s="76" t="b">
        <v>0</v>
      </c>
      <c r="P4052" s="76" t="b">
        <v>0</v>
      </c>
      <c r="Q4052" s="76" t="b">
        <v>0</v>
      </c>
      <c r="R4052" s="14"/>
      <c r="S4052" s="14"/>
      <c r="T4052" s="14"/>
      <c r="U4052" s="14"/>
      <c r="V4052" s="14"/>
      <c r="W4052" s="14"/>
    </row>
    <row r="4053" ht="31.5" customHeight="1">
      <c r="A4053" s="158"/>
      <c r="B4053" s="159"/>
      <c r="C4053" s="160"/>
      <c r="D4053" s="130"/>
      <c r="E4053" s="130"/>
      <c r="F4053" s="161"/>
      <c r="G4053" s="164"/>
      <c r="H4053" s="76" t="b">
        <v>1</v>
      </c>
      <c r="I4053" s="76" t="b">
        <v>0</v>
      </c>
      <c r="J4053" s="76" t="b">
        <v>0</v>
      </c>
      <c r="K4053" s="76" t="b">
        <v>0</v>
      </c>
      <c r="L4053" s="76" t="b">
        <v>0</v>
      </c>
      <c r="M4053" s="76" t="b">
        <v>0</v>
      </c>
      <c r="N4053" s="76" t="b">
        <v>0</v>
      </c>
      <c r="O4053" s="76" t="b">
        <v>0</v>
      </c>
      <c r="P4053" s="76" t="b">
        <v>0</v>
      </c>
      <c r="Q4053" s="76" t="b">
        <v>0</v>
      </c>
      <c r="R4053" s="14"/>
      <c r="S4053" s="14"/>
      <c r="T4053" s="14"/>
      <c r="U4053" s="14"/>
      <c r="V4053" s="14"/>
      <c r="W4053" s="14"/>
    </row>
    <row r="4054" ht="31.5" customHeight="1">
      <c r="A4054" s="158"/>
      <c r="B4054" s="159"/>
      <c r="C4054" s="160"/>
      <c r="D4054" s="130"/>
      <c r="E4054" s="130"/>
      <c r="F4054" s="161"/>
      <c r="G4054" s="164"/>
      <c r="H4054" s="76" t="b">
        <v>1</v>
      </c>
      <c r="I4054" s="76" t="b">
        <v>0</v>
      </c>
      <c r="J4054" s="76" t="b">
        <v>0</v>
      </c>
      <c r="K4054" s="76" t="b">
        <v>0</v>
      </c>
      <c r="L4054" s="76" t="b">
        <v>0</v>
      </c>
      <c r="M4054" s="76" t="b">
        <v>0</v>
      </c>
      <c r="N4054" s="76" t="b">
        <v>0</v>
      </c>
      <c r="O4054" s="76" t="b">
        <v>0</v>
      </c>
      <c r="P4054" s="76" t="b">
        <v>0</v>
      </c>
      <c r="Q4054" s="76" t="b">
        <v>0</v>
      </c>
      <c r="R4054" s="14"/>
      <c r="S4054" s="14"/>
      <c r="T4054" s="14"/>
      <c r="U4054" s="14"/>
      <c r="V4054" s="14"/>
      <c r="W4054" s="14"/>
    </row>
    <row r="4055" ht="31.5" customHeight="1">
      <c r="A4055" s="158"/>
      <c r="B4055" s="159"/>
      <c r="C4055" s="160"/>
      <c r="D4055" s="130"/>
      <c r="E4055" s="130"/>
      <c r="F4055" s="161"/>
      <c r="G4055" s="164"/>
      <c r="H4055" s="76" t="b">
        <v>1</v>
      </c>
      <c r="I4055" s="76" t="b">
        <v>0</v>
      </c>
      <c r="J4055" s="76" t="b">
        <v>0</v>
      </c>
      <c r="K4055" s="76" t="b">
        <v>0</v>
      </c>
      <c r="L4055" s="76" t="b">
        <v>0</v>
      </c>
      <c r="M4055" s="76" t="b">
        <v>0</v>
      </c>
      <c r="N4055" s="76" t="b">
        <v>0</v>
      </c>
      <c r="O4055" s="76" t="b">
        <v>0</v>
      </c>
      <c r="P4055" s="76" t="b">
        <v>0</v>
      </c>
      <c r="Q4055" s="76" t="b">
        <v>0</v>
      </c>
      <c r="R4055" s="14"/>
      <c r="S4055" s="14"/>
      <c r="T4055" s="14"/>
      <c r="U4055" s="14"/>
      <c r="V4055" s="14"/>
      <c r="W4055" s="14"/>
    </row>
    <row r="4056" ht="31.5" customHeight="1">
      <c r="A4056" s="158"/>
      <c r="B4056" s="159"/>
      <c r="C4056" s="160"/>
      <c r="D4056" s="130"/>
      <c r="E4056" s="130"/>
      <c r="F4056" s="161"/>
      <c r="G4056" s="164"/>
      <c r="H4056" s="76" t="b">
        <v>0</v>
      </c>
      <c r="I4056" s="76" t="b">
        <v>0</v>
      </c>
      <c r="J4056" s="76" t="b">
        <v>0</v>
      </c>
      <c r="K4056" s="76" t="b">
        <v>0</v>
      </c>
      <c r="L4056" s="76" t="b">
        <v>0</v>
      </c>
      <c r="M4056" s="76" t="b">
        <v>0</v>
      </c>
      <c r="N4056" s="76" t="b">
        <v>0</v>
      </c>
      <c r="O4056" s="76" t="b">
        <v>0</v>
      </c>
      <c r="P4056" s="76" t="b">
        <v>0</v>
      </c>
      <c r="Q4056" s="76" t="b">
        <v>0</v>
      </c>
      <c r="R4056" s="14"/>
      <c r="S4056" s="14"/>
      <c r="T4056" s="14"/>
      <c r="U4056" s="14"/>
      <c r="V4056" s="14"/>
      <c r="W4056" s="14"/>
    </row>
    <row r="4057" ht="31.5" customHeight="1">
      <c r="A4057" s="158"/>
      <c r="B4057" s="159"/>
      <c r="C4057" s="160"/>
      <c r="D4057" s="130"/>
      <c r="E4057" s="130"/>
      <c r="F4057" s="161"/>
      <c r="G4057" s="164"/>
      <c r="H4057" s="76" t="b">
        <v>0</v>
      </c>
      <c r="I4057" s="76" t="b">
        <v>0</v>
      </c>
      <c r="J4057" s="76" t="b">
        <v>0</v>
      </c>
      <c r="K4057" s="76" t="b">
        <v>0</v>
      </c>
      <c r="L4057" s="76" t="b">
        <v>0</v>
      </c>
      <c r="M4057" s="76" t="b">
        <v>0</v>
      </c>
      <c r="N4057" s="76" t="b">
        <v>0</v>
      </c>
      <c r="O4057" s="76" t="b">
        <v>0</v>
      </c>
      <c r="P4057" s="76" t="b">
        <v>0</v>
      </c>
      <c r="Q4057" s="76" t="b">
        <v>0</v>
      </c>
      <c r="R4057" s="14"/>
      <c r="S4057" s="14"/>
      <c r="T4057" s="14"/>
      <c r="U4057" s="14"/>
      <c r="V4057" s="14"/>
      <c r="W4057" s="14"/>
    </row>
    <row r="4058" ht="31.5" customHeight="1">
      <c r="A4058" s="158"/>
      <c r="B4058" s="159"/>
      <c r="C4058" s="160"/>
      <c r="D4058" s="130"/>
      <c r="E4058" s="130"/>
      <c r="F4058" s="161"/>
      <c r="G4058" s="164"/>
      <c r="H4058" s="76" t="b">
        <v>0</v>
      </c>
      <c r="I4058" s="76" t="b">
        <v>0</v>
      </c>
      <c r="J4058" s="76" t="b">
        <v>0</v>
      </c>
      <c r="K4058" s="76" t="b">
        <v>0</v>
      </c>
      <c r="L4058" s="76" t="b">
        <v>0</v>
      </c>
      <c r="M4058" s="76" t="b">
        <v>0</v>
      </c>
      <c r="N4058" s="76" t="b">
        <v>0</v>
      </c>
      <c r="O4058" s="76" t="b">
        <v>0</v>
      </c>
      <c r="P4058" s="76" t="b">
        <v>0</v>
      </c>
      <c r="Q4058" s="76" t="b">
        <v>0</v>
      </c>
      <c r="R4058" s="14"/>
      <c r="S4058" s="14"/>
      <c r="T4058" s="14"/>
      <c r="U4058" s="14"/>
      <c r="V4058" s="14"/>
      <c r="W4058" s="14"/>
    </row>
    <row r="4059" ht="31.5" customHeight="1">
      <c r="A4059" s="158"/>
      <c r="B4059" s="159"/>
      <c r="C4059" s="160"/>
      <c r="D4059" s="130"/>
      <c r="E4059" s="130"/>
      <c r="F4059" s="161"/>
      <c r="G4059" s="164"/>
      <c r="H4059" s="76" t="b">
        <v>0</v>
      </c>
      <c r="I4059" s="76" t="b">
        <v>0</v>
      </c>
      <c r="J4059" s="76" t="b">
        <v>0</v>
      </c>
      <c r="K4059" s="76" t="b">
        <v>0</v>
      </c>
      <c r="L4059" s="76" t="b">
        <v>0</v>
      </c>
      <c r="M4059" s="76" t="b">
        <v>0</v>
      </c>
      <c r="N4059" s="76" t="b">
        <v>0</v>
      </c>
      <c r="O4059" s="76" t="b">
        <v>0</v>
      </c>
      <c r="P4059" s="76" t="b">
        <v>0</v>
      </c>
      <c r="Q4059" s="76" t="b">
        <v>0</v>
      </c>
      <c r="R4059" s="14"/>
      <c r="S4059" s="14"/>
      <c r="T4059" s="14"/>
      <c r="U4059" s="14"/>
      <c r="V4059" s="14"/>
      <c r="W4059" s="14"/>
    </row>
    <row r="4060" ht="31.5" customHeight="1">
      <c r="A4060" s="158"/>
      <c r="B4060" s="159"/>
      <c r="C4060" s="160"/>
      <c r="D4060" s="130"/>
      <c r="E4060" s="130"/>
      <c r="F4060" s="161"/>
      <c r="G4060" s="164"/>
      <c r="H4060" s="76" t="b">
        <v>0</v>
      </c>
      <c r="I4060" s="76" t="b">
        <v>0</v>
      </c>
      <c r="J4060" s="76" t="b">
        <v>0</v>
      </c>
      <c r="K4060" s="76" t="b">
        <v>0</v>
      </c>
      <c r="L4060" s="76" t="b">
        <v>0</v>
      </c>
      <c r="M4060" s="76" t="b">
        <v>0</v>
      </c>
      <c r="N4060" s="76" t="b">
        <v>0</v>
      </c>
      <c r="O4060" s="76" t="b">
        <v>0</v>
      </c>
      <c r="P4060" s="76" t="b">
        <v>0</v>
      </c>
      <c r="Q4060" s="76" t="b">
        <v>0</v>
      </c>
      <c r="R4060" s="14"/>
      <c r="S4060" s="14"/>
      <c r="T4060" s="14"/>
      <c r="U4060" s="14"/>
      <c r="V4060" s="14"/>
      <c r="W4060" s="14"/>
    </row>
    <row r="4061" ht="31.5" customHeight="1">
      <c r="A4061" s="158"/>
      <c r="B4061" s="159"/>
      <c r="C4061" s="160"/>
      <c r="D4061" s="130"/>
      <c r="E4061" s="130"/>
      <c r="F4061" s="161"/>
      <c r="G4061" s="164"/>
      <c r="H4061" s="76" t="b">
        <v>0</v>
      </c>
      <c r="I4061" s="76" t="b">
        <v>0</v>
      </c>
      <c r="J4061" s="76" t="b">
        <v>0</v>
      </c>
      <c r="K4061" s="76" t="b">
        <v>0</v>
      </c>
      <c r="L4061" s="76" t="b">
        <v>0</v>
      </c>
      <c r="M4061" s="76" t="b">
        <v>0</v>
      </c>
      <c r="N4061" s="76" t="b">
        <v>0</v>
      </c>
      <c r="O4061" s="76" t="b">
        <v>0</v>
      </c>
      <c r="P4061" s="76" t="b">
        <v>0</v>
      </c>
      <c r="Q4061" s="76" t="b">
        <v>0</v>
      </c>
      <c r="R4061" s="14"/>
      <c r="S4061" s="14"/>
      <c r="T4061" s="14"/>
      <c r="U4061" s="14"/>
      <c r="V4061" s="14"/>
      <c r="W4061" s="14"/>
    </row>
    <row r="4062" ht="31.5" customHeight="1">
      <c r="A4062" s="158"/>
      <c r="B4062" s="159"/>
      <c r="C4062" s="160"/>
      <c r="D4062" s="130"/>
      <c r="E4062" s="130"/>
      <c r="F4062" s="161"/>
      <c r="G4062" s="164"/>
      <c r="H4062" s="76" t="b">
        <v>0</v>
      </c>
      <c r="I4062" s="76" t="b">
        <v>0</v>
      </c>
      <c r="J4062" s="76" t="b">
        <v>0</v>
      </c>
      <c r="K4062" s="76" t="b">
        <v>0</v>
      </c>
      <c r="L4062" s="76" t="b">
        <v>0</v>
      </c>
      <c r="M4062" s="76" t="b">
        <v>0</v>
      </c>
      <c r="N4062" s="76" t="b">
        <v>0</v>
      </c>
      <c r="O4062" s="76" t="b">
        <v>0</v>
      </c>
      <c r="P4062" s="76" t="b">
        <v>0</v>
      </c>
      <c r="Q4062" s="76" t="b">
        <v>0</v>
      </c>
      <c r="R4062" s="14"/>
      <c r="S4062" s="14"/>
      <c r="T4062" s="14"/>
      <c r="U4062" s="14"/>
      <c r="V4062" s="14"/>
      <c r="W4062" s="14"/>
    </row>
    <row r="4063" ht="31.5" customHeight="1">
      <c r="A4063" s="158"/>
      <c r="B4063" s="159"/>
      <c r="C4063" s="160"/>
      <c r="D4063" s="130"/>
      <c r="E4063" s="130"/>
      <c r="F4063" s="161"/>
      <c r="G4063" s="164"/>
      <c r="H4063" s="76" t="b">
        <v>0</v>
      </c>
      <c r="I4063" s="76" t="b">
        <v>0</v>
      </c>
      <c r="J4063" s="76" t="b">
        <v>0</v>
      </c>
      <c r="K4063" s="76" t="b">
        <v>0</v>
      </c>
      <c r="L4063" s="76" t="b">
        <v>0</v>
      </c>
      <c r="M4063" s="76" t="b">
        <v>0</v>
      </c>
      <c r="N4063" s="76" t="b">
        <v>0</v>
      </c>
      <c r="O4063" s="76" t="b">
        <v>0</v>
      </c>
      <c r="P4063" s="76" t="b">
        <v>0</v>
      </c>
      <c r="Q4063" s="76" t="b">
        <v>0</v>
      </c>
      <c r="R4063" s="14"/>
      <c r="S4063" s="14"/>
      <c r="T4063" s="14"/>
      <c r="U4063" s="14"/>
      <c r="V4063" s="14"/>
      <c r="W4063" s="14"/>
    </row>
    <row r="4064" ht="31.5" customHeight="1">
      <c r="A4064" s="158"/>
      <c r="B4064" s="159"/>
      <c r="C4064" s="160"/>
      <c r="D4064" s="130"/>
      <c r="E4064" s="130"/>
      <c r="F4064" s="161"/>
      <c r="G4064" s="164"/>
      <c r="H4064" s="76" t="b">
        <v>0</v>
      </c>
      <c r="I4064" s="76" t="b">
        <v>0</v>
      </c>
      <c r="J4064" s="76" t="b">
        <v>0</v>
      </c>
      <c r="K4064" s="76" t="b">
        <v>0</v>
      </c>
      <c r="L4064" s="76" t="b">
        <v>0</v>
      </c>
      <c r="M4064" s="76" t="b">
        <v>0</v>
      </c>
      <c r="N4064" s="76" t="b">
        <v>0</v>
      </c>
      <c r="O4064" s="76" t="b">
        <v>0</v>
      </c>
      <c r="P4064" s="76" t="b">
        <v>0</v>
      </c>
      <c r="Q4064" s="76" t="b">
        <v>0</v>
      </c>
      <c r="R4064" s="14"/>
      <c r="S4064" s="14"/>
      <c r="T4064" s="14"/>
      <c r="U4064" s="14"/>
      <c r="V4064" s="14"/>
      <c r="W4064" s="14"/>
    </row>
    <row r="4065" ht="31.5" customHeight="1">
      <c r="A4065" s="158"/>
      <c r="B4065" s="159"/>
      <c r="C4065" s="160"/>
      <c r="D4065" s="130"/>
      <c r="E4065" s="130"/>
      <c r="F4065" s="161"/>
      <c r="G4065" s="164"/>
      <c r="H4065" s="76" t="b">
        <v>0</v>
      </c>
      <c r="I4065" s="76" t="b">
        <v>0</v>
      </c>
      <c r="J4065" s="76" t="b">
        <v>0</v>
      </c>
      <c r="K4065" s="76" t="b">
        <v>0</v>
      </c>
      <c r="L4065" s="76" t="b">
        <v>0</v>
      </c>
      <c r="M4065" s="76" t="b">
        <v>0</v>
      </c>
      <c r="N4065" s="76" t="b">
        <v>0</v>
      </c>
      <c r="O4065" s="76" t="b">
        <v>0</v>
      </c>
      <c r="P4065" s="76" t="b">
        <v>0</v>
      </c>
      <c r="Q4065" s="76" t="b">
        <v>0</v>
      </c>
      <c r="R4065" s="14"/>
      <c r="S4065" s="14"/>
      <c r="T4065" s="14"/>
      <c r="U4065" s="14"/>
      <c r="V4065" s="14"/>
      <c r="W4065" s="14"/>
    </row>
    <row r="4066" ht="31.5" customHeight="1">
      <c r="A4066" s="158"/>
      <c r="B4066" s="159"/>
      <c r="C4066" s="160"/>
      <c r="D4066" s="130"/>
      <c r="E4066" s="130"/>
      <c r="F4066" s="161"/>
      <c r="G4066" s="164"/>
      <c r="H4066" s="76" t="b">
        <v>0</v>
      </c>
      <c r="I4066" s="76" t="b">
        <v>0</v>
      </c>
      <c r="J4066" s="76" t="b">
        <v>0</v>
      </c>
      <c r="K4066" s="76" t="b">
        <v>0</v>
      </c>
      <c r="L4066" s="76" t="b">
        <v>0</v>
      </c>
      <c r="M4066" s="76" t="b">
        <v>0</v>
      </c>
      <c r="N4066" s="76" t="b">
        <v>0</v>
      </c>
      <c r="O4066" s="76" t="b">
        <v>0</v>
      </c>
      <c r="P4066" s="76" t="b">
        <v>0</v>
      </c>
      <c r="Q4066" s="76" t="b">
        <v>0</v>
      </c>
      <c r="R4066" s="14"/>
      <c r="S4066" s="14"/>
      <c r="T4066" s="14"/>
      <c r="U4066" s="14"/>
      <c r="V4066" s="14"/>
      <c r="W4066" s="14"/>
    </row>
    <row r="4067" ht="31.5" customHeight="1">
      <c r="A4067" s="158"/>
      <c r="B4067" s="159"/>
      <c r="C4067" s="160"/>
      <c r="D4067" s="130"/>
      <c r="E4067" s="130"/>
      <c r="F4067" s="161"/>
      <c r="G4067" s="164"/>
      <c r="H4067" s="76" t="b">
        <v>0</v>
      </c>
      <c r="I4067" s="76" t="b">
        <v>0</v>
      </c>
      <c r="J4067" s="76" t="b">
        <v>0</v>
      </c>
      <c r="K4067" s="76" t="b">
        <v>0</v>
      </c>
      <c r="L4067" s="76" t="b">
        <v>0</v>
      </c>
      <c r="M4067" s="76" t="b">
        <v>0</v>
      </c>
      <c r="N4067" s="76" t="b">
        <v>0</v>
      </c>
      <c r="O4067" s="76" t="b">
        <v>0</v>
      </c>
      <c r="P4067" s="76" t="b">
        <v>0</v>
      </c>
      <c r="Q4067" s="76" t="b">
        <v>0</v>
      </c>
      <c r="R4067" s="14"/>
      <c r="S4067" s="14"/>
      <c r="T4067" s="14"/>
      <c r="U4067" s="14"/>
      <c r="V4067" s="14"/>
      <c r="W4067" s="14"/>
    </row>
    <row r="4068" ht="31.5" customHeight="1">
      <c r="A4068" s="158"/>
      <c r="B4068" s="159"/>
      <c r="C4068" s="160"/>
      <c r="D4068" s="130"/>
      <c r="E4068" s="130"/>
      <c r="F4068" s="161"/>
      <c r="G4068" s="164"/>
      <c r="H4068" s="76" t="b">
        <v>0</v>
      </c>
      <c r="I4068" s="76" t="b">
        <v>0</v>
      </c>
      <c r="J4068" s="76" t="b">
        <v>0</v>
      </c>
      <c r="K4068" s="76" t="b">
        <v>0</v>
      </c>
      <c r="L4068" s="76" t="b">
        <v>0</v>
      </c>
      <c r="M4068" s="76" t="b">
        <v>0</v>
      </c>
      <c r="N4068" s="76" t="b">
        <v>0</v>
      </c>
      <c r="O4068" s="76" t="b">
        <v>0</v>
      </c>
      <c r="P4068" s="76" t="b">
        <v>0</v>
      </c>
      <c r="Q4068" s="76" t="b">
        <v>0</v>
      </c>
      <c r="R4068" s="14"/>
      <c r="S4068" s="14"/>
      <c r="T4068" s="14"/>
      <c r="U4068" s="14"/>
      <c r="V4068" s="14"/>
      <c r="W4068" s="14"/>
    </row>
    <row r="4069" ht="31.5" customHeight="1">
      <c r="A4069" s="158"/>
      <c r="B4069" s="159"/>
      <c r="C4069" s="160"/>
      <c r="D4069" s="130"/>
      <c r="E4069" s="130"/>
      <c r="F4069" s="161"/>
      <c r="G4069" s="164"/>
      <c r="H4069" s="76" t="b">
        <v>0</v>
      </c>
      <c r="I4069" s="76" t="b">
        <v>0</v>
      </c>
      <c r="J4069" s="76" t="b">
        <v>0</v>
      </c>
      <c r="K4069" s="76" t="b">
        <v>0</v>
      </c>
      <c r="L4069" s="76" t="b">
        <v>0</v>
      </c>
      <c r="M4069" s="76" t="b">
        <v>0</v>
      </c>
      <c r="N4069" s="76" t="b">
        <v>0</v>
      </c>
      <c r="O4069" s="76" t="b">
        <v>0</v>
      </c>
      <c r="P4069" s="76" t="b">
        <v>0</v>
      </c>
      <c r="Q4069" s="76" t="b">
        <v>0</v>
      </c>
      <c r="R4069" s="14"/>
      <c r="S4069" s="14"/>
      <c r="T4069" s="14"/>
      <c r="U4069" s="14"/>
      <c r="V4069" s="14"/>
      <c r="W4069" s="14"/>
    </row>
    <row r="4070" ht="31.5" customHeight="1">
      <c r="A4070" s="158"/>
      <c r="B4070" s="159"/>
      <c r="C4070" s="160"/>
      <c r="D4070" s="130"/>
      <c r="E4070" s="130"/>
      <c r="F4070" s="161"/>
      <c r="G4070" s="164"/>
      <c r="H4070" s="76" t="b">
        <v>0</v>
      </c>
      <c r="I4070" s="76" t="b">
        <v>0</v>
      </c>
      <c r="J4070" s="76" t="b">
        <v>0</v>
      </c>
      <c r="K4070" s="76" t="b">
        <v>0</v>
      </c>
      <c r="L4070" s="76" t="b">
        <v>0</v>
      </c>
      <c r="M4070" s="76" t="b">
        <v>0</v>
      </c>
      <c r="N4070" s="76" t="b">
        <v>0</v>
      </c>
      <c r="O4070" s="76" t="b">
        <v>0</v>
      </c>
      <c r="P4070" s="76" t="b">
        <v>0</v>
      </c>
      <c r="Q4070" s="76" t="b">
        <v>0</v>
      </c>
      <c r="R4070" s="14"/>
      <c r="S4070" s="14"/>
      <c r="T4070" s="14"/>
      <c r="U4070" s="14"/>
      <c r="V4070" s="14"/>
      <c r="W4070" s="14"/>
    </row>
    <row r="4071" ht="31.5" customHeight="1">
      <c r="A4071" s="158"/>
      <c r="B4071" s="159"/>
      <c r="C4071" s="160"/>
      <c r="D4071" s="130"/>
      <c r="E4071" s="130"/>
      <c r="F4071" s="161"/>
      <c r="G4071" s="164"/>
      <c r="H4071" s="76" t="b">
        <v>0</v>
      </c>
      <c r="I4071" s="76" t="b">
        <v>0</v>
      </c>
      <c r="J4071" s="76" t="b">
        <v>0</v>
      </c>
      <c r="K4071" s="76" t="b">
        <v>0</v>
      </c>
      <c r="L4071" s="76" t="b">
        <v>0</v>
      </c>
      <c r="M4071" s="76" t="b">
        <v>0</v>
      </c>
      <c r="N4071" s="76" t="b">
        <v>0</v>
      </c>
      <c r="O4071" s="76" t="b">
        <v>0</v>
      </c>
      <c r="P4071" s="76" t="b">
        <v>0</v>
      </c>
      <c r="Q4071" s="76" t="b">
        <v>0</v>
      </c>
      <c r="R4071" s="14"/>
      <c r="S4071" s="14"/>
      <c r="T4071" s="14"/>
      <c r="U4071" s="14"/>
      <c r="V4071" s="14"/>
      <c r="W4071" s="14"/>
    </row>
    <row r="4072" ht="31.5" customHeight="1">
      <c r="A4072" s="158"/>
      <c r="B4072" s="159"/>
      <c r="C4072" s="160"/>
      <c r="D4072" s="130"/>
      <c r="E4072" s="130"/>
      <c r="F4072" s="161"/>
      <c r="G4072" s="164"/>
      <c r="H4072" s="76" t="b">
        <v>0</v>
      </c>
      <c r="I4072" s="76" t="b">
        <v>0</v>
      </c>
      <c r="J4072" s="76" t="b">
        <v>0</v>
      </c>
      <c r="K4072" s="76" t="b">
        <v>0</v>
      </c>
      <c r="L4072" s="76" t="b">
        <v>0</v>
      </c>
      <c r="M4072" s="76" t="b">
        <v>0</v>
      </c>
      <c r="N4072" s="76" t="b">
        <v>0</v>
      </c>
      <c r="O4072" s="76" t="b">
        <v>0</v>
      </c>
      <c r="P4072" s="76" t="b">
        <v>0</v>
      </c>
      <c r="Q4072" s="76" t="b">
        <v>0</v>
      </c>
      <c r="R4072" s="14"/>
      <c r="S4072" s="14"/>
      <c r="T4072" s="14"/>
      <c r="U4072" s="14"/>
      <c r="V4072" s="14"/>
      <c r="W4072" s="14"/>
    </row>
    <row r="4073" ht="31.5" customHeight="1">
      <c r="A4073" s="158"/>
      <c r="B4073" s="159"/>
      <c r="C4073" s="160"/>
      <c r="D4073" s="130"/>
      <c r="E4073" s="130"/>
      <c r="F4073" s="161"/>
      <c r="G4073" s="164"/>
      <c r="H4073" s="76" t="b">
        <v>0</v>
      </c>
      <c r="I4073" s="76" t="b">
        <v>0</v>
      </c>
      <c r="J4073" s="76" t="b">
        <v>0</v>
      </c>
      <c r="K4073" s="76" t="b">
        <v>0</v>
      </c>
      <c r="L4073" s="76" t="b">
        <v>0</v>
      </c>
      <c r="M4073" s="76" t="b">
        <v>0</v>
      </c>
      <c r="N4073" s="76" t="b">
        <v>0</v>
      </c>
      <c r="O4073" s="76" t="b">
        <v>0</v>
      </c>
      <c r="P4073" s="76" t="b">
        <v>0</v>
      </c>
      <c r="Q4073" s="76" t="b">
        <v>0</v>
      </c>
      <c r="R4073" s="14"/>
      <c r="S4073" s="14"/>
      <c r="T4073" s="14"/>
      <c r="U4073" s="14"/>
      <c r="V4073" s="14"/>
      <c r="W4073" s="14"/>
    </row>
    <row r="4074" ht="31.5" customHeight="1">
      <c r="A4074" s="158"/>
      <c r="B4074" s="159"/>
      <c r="C4074" s="160"/>
      <c r="D4074" s="130"/>
      <c r="E4074" s="130"/>
      <c r="F4074" s="161"/>
      <c r="G4074" s="164"/>
      <c r="H4074" s="76" t="b">
        <v>0</v>
      </c>
      <c r="I4074" s="76" t="b">
        <v>0</v>
      </c>
      <c r="J4074" s="76" t="b">
        <v>0</v>
      </c>
      <c r="K4074" s="76" t="b">
        <v>0</v>
      </c>
      <c r="L4074" s="76" t="b">
        <v>0</v>
      </c>
      <c r="M4074" s="76" t="b">
        <v>0</v>
      </c>
      <c r="N4074" s="76" t="b">
        <v>0</v>
      </c>
      <c r="O4074" s="76" t="b">
        <v>0</v>
      </c>
      <c r="P4074" s="76" t="b">
        <v>0</v>
      </c>
      <c r="Q4074" s="76" t="b">
        <v>0</v>
      </c>
      <c r="R4074" s="14"/>
      <c r="S4074" s="14"/>
      <c r="T4074" s="14"/>
      <c r="U4074" s="14"/>
      <c r="V4074" s="14"/>
      <c r="W4074" s="14"/>
    </row>
    <row r="4075" ht="31.5" customHeight="1">
      <c r="A4075" s="158"/>
      <c r="B4075" s="159"/>
      <c r="C4075" s="160"/>
      <c r="D4075" s="130"/>
      <c r="E4075" s="130"/>
      <c r="F4075" s="161"/>
      <c r="G4075" s="164"/>
      <c r="H4075" s="76" t="b">
        <v>0</v>
      </c>
      <c r="I4075" s="76" t="b">
        <v>0</v>
      </c>
      <c r="J4075" s="76" t="b">
        <v>0</v>
      </c>
      <c r="K4075" s="76" t="b">
        <v>0</v>
      </c>
      <c r="L4075" s="76" t="b">
        <v>0</v>
      </c>
      <c r="M4075" s="76" t="b">
        <v>0</v>
      </c>
      <c r="N4075" s="76" t="b">
        <v>0</v>
      </c>
      <c r="O4075" s="76" t="b">
        <v>0</v>
      </c>
      <c r="P4075" s="76" t="b">
        <v>0</v>
      </c>
      <c r="Q4075" s="76" t="b">
        <v>0</v>
      </c>
      <c r="R4075" s="14"/>
      <c r="S4075" s="14"/>
      <c r="T4075" s="14"/>
      <c r="U4075" s="14"/>
      <c r="V4075" s="14"/>
      <c r="W4075" s="14"/>
    </row>
    <row r="4076" ht="31.5" customHeight="1">
      <c r="A4076" s="158"/>
      <c r="B4076" s="159"/>
      <c r="C4076" s="160"/>
      <c r="D4076" s="130"/>
      <c r="E4076" s="130"/>
      <c r="F4076" s="161"/>
      <c r="G4076" s="164"/>
      <c r="H4076" s="76" t="b">
        <v>0</v>
      </c>
      <c r="I4076" s="76" t="b">
        <v>0</v>
      </c>
      <c r="J4076" s="76" t="b">
        <v>0</v>
      </c>
      <c r="K4076" s="76" t="b">
        <v>0</v>
      </c>
      <c r="L4076" s="76" t="b">
        <v>0</v>
      </c>
      <c r="M4076" s="76" t="b">
        <v>0</v>
      </c>
      <c r="N4076" s="76" t="b">
        <v>0</v>
      </c>
      <c r="O4076" s="76" t="b">
        <v>0</v>
      </c>
      <c r="P4076" s="76" t="b">
        <v>0</v>
      </c>
      <c r="Q4076" s="76" t="b">
        <v>0</v>
      </c>
      <c r="R4076" s="14"/>
      <c r="S4076" s="14"/>
      <c r="T4076" s="14"/>
      <c r="U4076" s="14"/>
      <c r="V4076" s="14"/>
      <c r="W4076" s="14"/>
    </row>
    <row r="4077" ht="31.5" customHeight="1">
      <c r="A4077" s="158"/>
      <c r="B4077" s="159"/>
      <c r="C4077" s="160"/>
      <c r="D4077" s="130"/>
      <c r="E4077" s="130"/>
      <c r="F4077" s="161"/>
      <c r="G4077" s="164"/>
      <c r="H4077" s="76" t="b">
        <v>0</v>
      </c>
      <c r="I4077" s="76" t="b">
        <v>0</v>
      </c>
      <c r="J4077" s="76" t="b">
        <v>0</v>
      </c>
      <c r="K4077" s="76" t="b">
        <v>0</v>
      </c>
      <c r="L4077" s="76" t="b">
        <v>0</v>
      </c>
      <c r="M4077" s="76" t="b">
        <v>0</v>
      </c>
      <c r="N4077" s="76" t="b">
        <v>0</v>
      </c>
      <c r="O4077" s="76" t="b">
        <v>0</v>
      </c>
      <c r="P4077" s="76" t="b">
        <v>0</v>
      </c>
      <c r="Q4077" s="76" t="b">
        <v>0</v>
      </c>
      <c r="R4077" s="14"/>
      <c r="S4077" s="14"/>
      <c r="T4077" s="14"/>
      <c r="U4077" s="14"/>
      <c r="V4077" s="14"/>
      <c r="W4077" s="14"/>
    </row>
    <row r="4078" ht="31.5" customHeight="1">
      <c r="A4078" s="158"/>
      <c r="B4078" s="159"/>
      <c r="C4078" s="160"/>
      <c r="D4078" s="130"/>
      <c r="E4078" s="130"/>
      <c r="F4078" s="161"/>
      <c r="G4078" s="164"/>
      <c r="H4078" s="76" t="b">
        <v>0</v>
      </c>
      <c r="I4078" s="76" t="b">
        <v>0</v>
      </c>
      <c r="J4078" s="76" t="b">
        <v>0</v>
      </c>
      <c r="K4078" s="76" t="b">
        <v>0</v>
      </c>
      <c r="L4078" s="76" t="b">
        <v>0</v>
      </c>
      <c r="M4078" s="76" t="b">
        <v>0</v>
      </c>
      <c r="N4078" s="76" t="b">
        <v>0</v>
      </c>
      <c r="O4078" s="76" t="b">
        <v>0</v>
      </c>
      <c r="P4078" s="76" t="b">
        <v>0</v>
      </c>
      <c r="Q4078" s="76" t="b">
        <v>0</v>
      </c>
      <c r="R4078" s="14"/>
      <c r="S4078" s="14"/>
      <c r="T4078" s="14"/>
      <c r="U4078" s="14"/>
      <c r="V4078" s="14"/>
      <c r="W4078" s="14"/>
    </row>
    <row r="4079" ht="31.5" customHeight="1">
      <c r="A4079" s="158"/>
      <c r="B4079" s="159"/>
      <c r="C4079" s="160"/>
      <c r="D4079" s="130"/>
      <c r="E4079" s="130"/>
      <c r="F4079" s="161"/>
      <c r="G4079" s="164"/>
      <c r="H4079" s="76" t="b">
        <v>0</v>
      </c>
      <c r="I4079" s="76" t="b">
        <v>0</v>
      </c>
      <c r="J4079" s="76" t="b">
        <v>0</v>
      </c>
      <c r="K4079" s="76" t="b">
        <v>0</v>
      </c>
      <c r="L4079" s="76" t="b">
        <v>0</v>
      </c>
      <c r="M4079" s="76" t="b">
        <v>0</v>
      </c>
      <c r="N4079" s="76" t="b">
        <v>0</v>
      </c>
      <c r="O4079" s="76" t="b">
        <v>0</v>
      </c>
      <c r="P4079" s="76" t="b">
        <v>0</v>
      </c>
      <c r="Q4079" s="76" t="b">
        <v>0</v>
      </c>
      <c r="R4079" s="14"/>
      <c r="S4079" s="14"/>
      <c r="T4079" s="14"/>
      <c r="U4079" s="14"/>
      <c r="V4079" s="14"/>
      <c r="W4079" s="14"/>
    </row>
    <row r="4080" ht="31.5" customHeight="1">
      <c r="A4080" s="158"/>
      <c r="B4080" s="159"/>
      <c r="C4080" s="160"/>
      <c r="D4080" s="130"/>
      <c r="E4080" s="130"/>
      <c r="F4080" s="161"/>
      <c r="G4080" s="164"/>
      <c r="H4080" s="76" t="b">
        <v>0</v>
      </c>
      <c r="I4080" s="76" t="b">
        <v>0</v>
      </c>
      <c r="J4080" s="76" t="b">
        <v>0</v>
      </c>
      <c r="K4080" s="76" t="b">
        <v>0</v>
      </c>
      <c r="L4080" s="76" t="b">
        <v>0</v>
      </c>
      <c r="M4080" s="76" t="b">
        <v>0</v>
      </c>
      <c r="N4080" s="76" t="b">
        <v>0</v>
      </c>
      <c r="O4080" s="76" t="b">
        <v>0</v>
      </c>
      <c r="P4080" s="76" t="b">
        <v>0</v>
      </c>
      <c r="Q4080" s="76" t="b">
        <v>0</v>
      </c>
      <c r="R4080" s="14"/>
      <c r="S4080" s="14"/>
      <c r="T4080" s="14"/>
      <c r="U4080" s="14"/>
      <c r="V4080" s="14"/>
      <c r="W4080" s="14"/>
    </row>
    <row r="4081" ht="31.5" customHeight="1">
      <c r="A4081" s="158"/>
      <c r="B4081" s="159"/>
      <c r="C4081" s="160"/>
      <c r="D4081" s="130"/>
      <c r="E4081" s="130"/>
      <c r="F4081" s="161"/>
      <c r="G4081" s="164"/>
      <c r="H4081" s="76" t="b">
        <v>0</v>
      </c>
      <c r="I4081" s="76" t="b">
        <v>0</v>
      </c>
      <c r="J4081" s="76" t="b">
        <v>0</v>
      </c>
      <c r="K4081" s="76" t="b">
        <v>0</v>
      </c>
      <c r="L4081" s="76" t="b">
        <v>0</v>
      </c>
      <c r="M4081" s="76" t="b">
        <v>0</v>
      </c>
      <c r="N4081" s="76" t="b">
        <v>0</v>
      </c>
      <c r="O4081" s="76" t="b">
        <v>0</v>
      </c>
      <c r="P4081" s="76" t="b">
        <v>0</v>
      </c>
      <c r="Q4081" s="76" t="b">
        <v>0</v>
      </c>
      <c r="R4081" s="14"/>
      <c r="S4081" s="14"/>
      <c r="T4081" s="14"/>
      <c r="U4081" s="14"/>
      <c r="V4081" s="14"/>
      <c r="W4081" s="14"/>
    </row>
    <row r="4082" ht="31.5" customHeight="1">
      <c r="A4082" s="158"/>
      <c r="B4082" s="159"/>
      <c r="C4082" s="160"/>
      <c r="D4082" s="130"/>
      <c r="E4082" s="130"/>
      <c r="F4082" s="161"/>
      <c r="G4082" s="164"/>
      <c r="H4082" s="76" t="b">
        <v>0</v>
      </c>
      <c r="I4082" s="76" t="b">
        <v>0</v>
      </c>
      <c r="J4082" s="76" t="b">
        <v>0</v>
      </c>
      <c r="K4082" s="76" t="b">
        <v>0</v>
      </c>
      <c r="L4082" s="76" t="b">
        <v>0</v>
      </c>
      <c r="M4082" s="76" t="b">
        <v>0</v>
      </c>
      <c r="N4082" s="76" t="b">
        <v>0</v>
      </c>
      <c r="O4082" s="76" t="b">
        <v>0</v>
      </c>
      <c r="P4082" s="76" t="b">
        <v>0</v>
      </c>
      <c r="Q4082" s="76" t="b">
        <v>0</v>
      </c>
      <c r="R4082" s="14"/>
      <c r="S4082" s="14"/>
      <c r="T4082" s="14"/>
      <c r="U4082" s="14"/>
      <c r="V4082" s="14"/>
      <c r="W4082" s="14"/>
    </row>
    <row r="4083" ht="31.5" customHeight="1">
      <c r="A4083" s="158"/>
      <c r="B4083" s="159"/>
      <c r="C4083" s="160"/>
      <c r="D4083" s="130"/>
      <c r="E4083" s="130"/>
      <c r="F4083" s="161"/>
      <c r="G4083" s="164"/>
      <c r="H4083" s="76" t="b">
        <v>0</v>
      </c>
      <c r="I4083" s="76" t="b">
        <v>0</v>
      </c>
      <c r="J4083" s="76" t="b">
        <v>0</v>
      </c>
      <c r="K4083" s="76" t="b">
        <v>0</v>
      </c>
      <c r="L4083" s="76" t="b">
        <v>0</v>
      </c>
      <c r="M4083" s="76" t="b">
        <v>0</v>
      </c>
      <c r="N4083" s="76" t="b">
        <v>0</v>
      </c>
      <c r="O4083" s="76" t="b">
        <v>0</v>
      </c>
      <c r="P4083" s="76" t="b">
        <v>0</v>
      </c>
      <c r="Q4083" s="76" t="b">
        <v>0</v>
      </c>
      <c r="R4083" s="14"/>
      <c r="S4083" s="14"/>
      <c r="T4083" s="14"/>
      <c r="U4083" s="14"/>
      <c r="V4083" s="14"/>
      <c r="W4083" s="14"/>
    </row>
    <row r="4084" ht="31.5" customHeight="1">
      <c r="A4084" s="158"/>
      <c r="B4084" s="159"/>
      <c r="C4084" s="160"/>
      <c r="D4084" s="130"/>
      <c r="E4084" s="130"/>
      <c r="F4084" s="161"/>
      <c r="G4084" s="164"/>
      <c r="H4084" s="76" t="b">
        <v>0</v>
      </c>
      <c r="I4084" s="76" t="b">
        <v>0</v>
      </c>
      <c r="J4084" s="76" t="b">
        <v>0</v>
      </c>
      <c r="K4084" s="76" t="b">
        <v>0</v>
      </c>
      <c r="L4084" s="76" t="b">
        <v>0</v>
      </c>
      <c r="M4084" s="76" t="b">
        <v>0</v>
      </c>
      <c r="N4084" s="76" t="b">
        <v>0</v>
      </c>
      <c r="O4084" s="76" t="b">
        <v>0</v>
      </c>
      <c r="P4084" s="76" t="b">
        <v>0</v>
      </c>
      <c r="Q4084" s="76" t="b">
        <v>0</v>
      </c>
      <c r="R4084" s="14"/>
      <c r="S4084" s="14"/>
      <c r="T4084" s="14"/>
      <c r="U4084" s="14"/>
      <c r="V4084" s="14"/>
      <c r="W4084" s="14"/>
    </row>
    <row r="4085" ht="31.5" customHeight="1">
      <c r="A4085" s="158"/>
      <c r="B4085" s="159"/>
      <c r="C4085" s="160"/>
      <c r="D4085" s="130"/>
      <c r="E4085" s="130"/>
      <c r="F4085" s="161"/>
      <c r="G4085" s="164"/>
      <c r="H4085" s="76" t="b">
        <v>0</v>
      </c>
      <c r="I4085" s="76" t="b">
        <v>0</v>
      </c>
      <c r="J4085" s="76" t="b">
        <v>0</v>
      </c>
      <c r="K4085" s="76" t="b">
        <v>0</v>
      </c>
      <c r="L4085" s="76" t="b">
        <v>0</v>
      </c>
      <c r="M4085" s="76" t="b">
        <v>0</v>
      </c>
      <c r="N4085" s="76" t="b">
        <v>0</v>
      </c>
      <c r="O4085" s="76" t="b">
        <v>0</v>
      </c>
      <c r="P4085" s="76" t="b">
        <v>0</v>
      </c>
      <c r="Q4085" s="76" t="b">
        <v>0</v>
      </c>
      <c r="R4085" s="14"/>
      <c r="S4085" s="14"/>
      <c r="T4085" s="14"/>
      <c r="U4085" s="14"/>
      <c r="V4085" s="14"/>
      <c r="W4085" s="14"/>
    </row>
    <row r="4086" ht="31.5" customHeight="1">
      <c r="A4086" s="158"/>
      <c r="B4086" s="159"/>
      <c r="C4086" s="160"/>
      <c r="D4086" s="130"/>
      <c r="E4086" s="130"/>
      <c r="F4086" s="161"/>
      <c r="G4086" s="164"/>
      <c r="H4086" s="76" t="b">
        <v>0</v>
      </c>
      <c r="I4086" s="76" t="b">
        <v>0</v>
      </c>
      <c r="J4086" s="76" t="b">
        <v>0</v>
      </c>
      <c r="K4086" s="76" t="b">
        <v>0</v>
      </c>
      <c r="L4086" s="76" t="b">
        <v>0</v>
      </c>
      <c r="M4086" s="76" t="b">
        <v>0</v>
      </c>
      <c r="N4086" s="76" t="b">
        <v>0</v>
      </c>
      <c r="O4086" s="76" t="b">
        <v>0</v>
      </c>
      <c r="P4086" s="76" t="b">
        <v>0</v>
      </c>
      <c r="Q4086" s="76" t="b">
        <v>0</v>
      </c>
      <c r="R4086" s="14"/>
      <c r="S4086" s="14"/>
      <c r="T4086" s="14"/>
      <c r="U4086" s="14"/>
      <c r="V4086" s="14"/>
      <c r="W4086" s="14"/>
    </row>
    <row r="4087" ht="31.5" customHeight="1">
      <c r="A4087" s="158"/>
      <c r="B4087" s="159"/>
      <c r="C4087" s="160"/>
      <c r="D4087" s="130"/>
      <c r="E4087" s="130"/>
      <c r="F4087" s="161"/>
      <c r="G4087" s="164"/>
      <c r="H4087" s="76" t="b">
        <v>0</v>
      </c>
      <c r="I4087" s="76" t="b">
        <v>0</v>
      </c>
      <c r="J4087" s="76" t="b">
        <v>0</v>
      </c>
      <c r="K4087" s="76" t="b">
        <v>0</v>
      </c>
      <c r="L4087" s="76" t="b">
        <v>0</v>
      </c>
      <c r="M4087" s="76" t="b">
        <v>0</v>
      </c>
      <c r="N4087" s="76" t="b">
        <v>0</v>
      </c>
      <c r="O4087" s="76" t="b">
        <v>0</v>
      </c>
      <c r="P4087" s="76" t="b">
        <v>0</v>
      </c>
      <c r="Q4087" s="76" t="b">
        <v>0</v>
      </c>
      <c r="R4087" s="14"/>
      <c r="S4087" s="14"/>
      <c r="T4087" s="14"/>
      <c r="U4087" s="14"/>
      <c r="V4087" s="14"/>
      <c r="W4087" s="14"/>
    </row>
    <row r="4088" ht="31.5" customHeight="1">
      <c r="A4088" s="158"/>
      <c r="B4088" s="159"/>
      <c r="C4088" s="160"/>
      <c r="D4088" s="130"/>
      <c r="E4088" s="130"/>
      <c r="F4088" s="161"/>
      <c r="G4088" s="164"/>
      <c r="H4088" s="76" t="b">
        <v>0</v>
      </c>
      <c r="I4088" s="76" t="b">
        <v>0</v>
      </c>
      <c r="J4088" s="76" t="b">
        <v>0</v>
      </c>
      <c r="K4088" s="76" t="b">
        <v>0</v>
      </c>
      <c r="L4088" s="76" t="b">
        <v>0</v>
      </c>
      <c r="M4088" s="76" t="b">
        <v>0</v>
      </c>
      <c r="N4088" s="76" t="b">
        <v>0</v>
      </c>
      <c r="O4088" s="76" t="b">
        <v>0</v>
      </c>
      <c r="P4088" s="76" t="b">
        <v>0</v>
      </c>
      <c r="Q4088" s="76" t="b">
        <v>0</v>
      </c>
      <c r="R4088" s="14"/>
      <c r="S4088" s="14"/>
      <c r="T4088" s="14"/>
      <c r="U4088" s="14"/>
      <c r="V4088" s="14"/>
      <c r="W4088" s="14"/>
    </row>
    <row r="4089" ht="31.5" customHeight="1">
      <c r="A4089" s="158"/>
      <c r="B4089" s="159"/>
      <c r="C4089" s="160"/>
      <c r="D4089" s="130"/>
      <c r="E4089" s="130"/>
      <c r="F4089" s="161"/>
      <c r="G4089" s="164"/>
      <c r="H4089" s="76" t="b">
        <v>0</v>
      </c>
      <c r="I4089" s="76" t="b">
        <v>0</v>
      </c>
      <c r="J4089" s="76" t="b">
        <v>0</v>
      </c>
      <c r="K4089" s="76" t="b">
        <v>0</v>
      </c>
      <c r="L4089" s="76" t="b">
        <v>0</v>
      </c>
      <c r="M4089" s="76" t="b">
        <v>0</v>
      </c>
      <c r="N4089" s="76" t="b">
        <v>0</v>
      </c>
      <c r="O4089" s="76" t="b">
        <v>0</v>
      </c>
      <c r="P4089" s="76" t="b">
        <v>0</v>
      </c>
      <c r="Q4089" s="76" t="b">
        <v>0</v>
      </c>
      <c r="R4089" s="14"/>
      <c r="S4089" s="14"/>
      <c r="T4089" s="14"/>
      <c r="U4089" s="14"/>
      <c r="V4089" s="14"/>
      <c r="W4089" s="14"/>
    </row>
    <row r="4090" ht="31.5" customHeight="1">
      <c r="A4090" s="158"/>
      <c r="B4090" s="159"/>
      <c r="C4090" s="160"/>
      <c r="D4090" s="130"/>
      <c r="E4090" s="130"/>
      <c r="F4090" s="161"/>
      <c r="G4090" s="164"/>
      <c r="H4090" s="76" t="b">
        <v>0</v>
      </c>
      <c r="I4090" s="76" t="b">
        <v>0</v>
      </c>
      <c r="J4090" s="76" t="b">
        <v>0</v>
      </c>
      <c r="K4090" s="76" t="b">
        <v>0</v>
      </c>
      <c r="L4090" s="76" t="b">
        <v>0</v>
      </c>
      <c r="M4090" s="76" t="b">
        <v>0</v>
      </c>
      <c r="N4090" s="76" t="b">
        <v>0</v>
      </c>
      <c r="O4090" s="76" t="b">
        <v>0</v>
      </c>
      <c r="P4090" s="76" t="b">
        <v>0</v>
      </c>
      <c r="Q4090" s="76" t="b">
        <v>0</v>
      </c>
      <c r="R4090" s="14"/>
      <c r="S4090" s="14"/>
      <c r="T4090" s="14"/>
      <c r="U4090" s="14"/>
      <c r="V4090" s="14"/>
      <c r="W4090" s="14"/>
    </row>
    <row r="4091" ht="31.5" customHeight="1">
      <c r="A4091" s="158"/>
      <c r="B4091" s="159"/>
      <c r="C4091" s="160"/>
      <c r="D4091" s="130"/>
      <c r="E4091" s="130"/>
      <c r="F4091" s="161"/>
      <c r="G4091" s="164"/>
      <c r="H4091" s="76" t="b">
        <v>0</v>
      </c>
      <c r="I4091" s="76" t="b">
        <v>0</v>
      </c>
      <c r="J4091" s="76" t="b">
        <v>0</v>
      </c>
      <c r="K4091" s="76" t="b">
        <v>0</v>
      </c>
      <c r="L4091" s="76" t="b">
        <v>0</v>
      </c>
      <c r="M4091" s="76" t="b">
        <v>0</v>
      </c>
      <c r="N4091" s="76" t="b">
        <v>0</v>
      </c>
      <c r="O4091" s="76" t="b">
        <v>0</v>
      </c>
      <c r="P4091" s="76" t="b">
        <v>0</v>
      </c>
      <c r="Q4091" s="76" t="b">
        <v>0</v>
      </c>
      <c r="R4091" s="14"/>
      <c r="S4091" s="14"/>
      <c r="T4091" s="14"/>
      <c r="U4091" s="14"/>
      <c r="V4091" s="14"/>
      <c r="W4091" s="14"/>
    </row>
    <row r="4092" ht="31.5" customHeight="1">
      <c r="A4092" s="158"/>
      <c r="B4092" s="159"/>
      <c r="C4092" s="160"/>
      <c r="D4092" s="130"/>
      <c r="E4092" s="130"/>
      <c r="F4092" s="161"/>
      <c r="G4092" s="164"/>
      <c r="H4092" s="76" t="b">
        <v>0</v>
      </c>
      <c r="I4092" s="76" t="b">
        <v>0</v>
      </c>
      <c r="J4092" s="76" t="b">
        <v>0</v>
      </c>
      <c r="K4092" s="76" t="b">
        <v>0</v>
      </c>
      <c r="L4092" s="76" t="b">
        <v>0</v>
      </c>
      <c r="M4092" s="76" t="b">
        <v>0</v>
      </c>
      <c r="N4092" s="76" t="b">
        <v>0</v>
      </c>
      <c r="O4092" s="76" t="b">
        <v>0</v>
      </c>
      <c r="P4092" s="76" t="b">
        <v>0</v>
      </c>
      <c r="Q4092" s="76" t="b">
        <v>0</v>
      </c>
      <c r="R4092" s="14"/>
      <c r="S4092" s="14"/>
      <c r="T4092" s="14"/>
      <c r="U4092" s="14"/>
      <c r="V4092" s="14"/>
      <c r="W4092" s="14"/>
    </row>
    <row r="4093" ht="31.5" customHeight="1">
      <c r="A4093" s="158"/>
      <c r="B4093" s="159"/>
      <c r="C4093" s="160"/>
      <c r="D4093" s="130"/>
      <c r="E4093" s="130"/>
      <c r="F4093" s="161"/>
      <c r="G4093" s="164"/>
      <c r="H4093" s="76" t="b">
        <v>0</v>
      </c>
      <c r="I4093" s="76" t="b">
        <v>0</v>
      </c>
      <c r="J4093" s="76" t="b">
        <v>0</v>
      </c>
      <c r="K4093" s="76" t="b">
        <v>0</v>
      </c>
      <c r="L4093" s="76" t="b">
        <v>0</v>
      </c>
      <c r="M4093" s="76" t="b">
        <v>0</v>
      </c>
      <c r="N4093" s="76" t="b">
        <v>0</v>
      </c>
      <c r="O4093" s="76" t="b">
        <v>0</v>
      </c>
      <c r="P4093" s="76" t="b">
        <v>0</v>
      </c>
      <c r="Q4093" s="76" t="b">
        <v>0</v>
      </c>
      <c r="R4093" s="14"/>
      <c r="S4093" s="14"/>
      <c r="T4093" s="14"/>
      <c r="U4093" s="14"/>
      <c r="V4093" s="14"/>
      <c r="W4093" s="14"/>
    </row>
    <row r="4094" ht="31.5" customHeight="1">
      <c r="A4094" s="158"/>
      <c r="B4094" s="159"/>
      <c r="C4094" s="160"/>
      <c r="D4094" s="130"/>
      <c r="E4094" s="130"/>
      <c r="F4094" s="161"/>
      <c r="G4094" s="164"/>
      <c r="H4094" s="76" t="b">
        <v>0</v>
      </c>
      <c r="I4094" s="76" t="b">
        <v>0</v>
      </c>
      <c r="J4094" s="76" t="b">
        <v>0</v>
      </c>
      <c r="K4094" s="76" t="b">
        <v>0</v>
      </c>
      <c r="L4094" s="76" t="b">
        <v>0</v>
      </c>
      <c r="M4094" s="76" t="b">
        <v>0</v>
      </c>
      <c r="N4094" s="76" t="b">
        <v>0</v>
      </c>
      <c r="O4094" s="76" t="b">
        <v>0</v>
      </c>
      <c r="P4094" s="76" t="b">
        <v>0</v>
      </c>
      <c r="Q4094" s="76" t="b">
        <v>0</v>
      </c>
      <c r="R4094" s="14"/>
      <c r="S4094" s="14"/>
      <c r="T4094" s="14"/>
      <c r="U4094" s="14"/>
      <c r="V4094" s="14"/>
      <c r="W4094" s="14"/>
    </row>
    <row r="4095" ht="31.5" customHeight="1">
      <c r="A4095" s="158"/>
      <c r="B4095" s="159"/>
      <c r="C4095" s="160"/>
      <c r="D4095" s="130"/>
      <c r="E4095" s="130"/>
      <c r="F4095" s="161"/>
      <c r="G4095" s="164"/>
      <c r="H4095" s="76" t="b">
        <v>0</v>
      </c>
      <c r="I4095" s="76" t="b">
        <v>0</v>
      </c>
      <c r="J4095" s="76" t="b">
        <v>0</v>
      </c>
      <c r="K4095" s="76" t="b">
        <v>0</v>
      </c>
      <c r="L4095" s="76" t="b">
        <v>0</v>
      </c>
      <c r="M4095" s="76" t="b">
        <v>0</v>
      </c>
      <c r="N4095" s="76" t="b">
        <v>0</v>
      </c>
      <c r="O4095" s="76" t="b">
        <v>0</v>
      </c>
      <c r="P4095" s="76" t="b">
        <v>0</v>
      </c>
      <c r="Q4095" s="76" t="b">
        <v>0</v>
      </c>
      <c r="R4095" s="14"/>
      <c r="S4095" s="14"/>
      <c r="T4095" s="14"/>
      <c r="U4095" s="14"/>
      <c r="V4095" s="14"/>
      <c r="W4095" s="14"/>
    </row>
    <row r="4096" ht="31.5" customHeight="1">
      <c r="A4096" s="158"/>
      <c r="B4096" s="159"/>
      <c r="C4096" s="160"/>
      <c r="D4096" s="130"/>
      <c r="E4096" s="130"/>
      <c r="F4096" s="161"/>
      <c r="G4096" s="164"/>
      <c r="H4096" s="76" t="b">
        <v>0</v>
      </c>
      <c r="I4096" s="76" t="b">
        <v>0</v>
      </c>
      <c r="J4096" s="76" t="b">
        <v>0</v>
      </c>
      <c r="K4096" s="76" t="b">
        <v>0</v>
      </c>
      <c r="L4096" s="76" t="b">
        <v>0</v>
      </c>
      <c r="M4096" s="76" t="b">
        <v>0</v>
      </c>
      <c r="N4096" s="76" t="b">
        <v>0</v>
      </c>
      <c r="O4096" s="76" t="b">
        <v>0</v>
      </c>
      <c r="P4096" s="76" t="b">
        <v>0</v>
      </c>
      <c r="Q4096" s="76" t="b">
        <v>0</v>
      </c>
      <c r="R4096" s="14"/>
      <c r="S4096" s="14"/>
      <c r="T4096" s="14"/>
      <c r="U4096" s="14"/>
      <c r="V4096" s="14"/>
      <c r="W4096" s="14"/>
    </row>
    <row r="4097" ht="31.5" customHeight="1">
      <c r="A4097" s="158"/>
      <c r="B4097" s="159"/>
      <c r="C4097" s="160"/>
      <c r="D4097" s="130"/>
      <c r="E4097" s="130"/>
      <c r="F4097" s="161"/>
      <c r="G4097" s="164"/>
      <c r="H4097" s="76" t="b">
        <v>0</v>
      </c>
      <c r="I4097" s="76" t="b">
        <v>0</v>
      </c>
      <c r="J4097" s="76" t="b">
        <v>0</v>
      </c>
      <c r="K4097" s="76" t="b">
        <v>0</v>
      </c>
      <c r="L4097" s="76" t="b">
        <v>0</v>
      </c>
      <c r="M4097" s="76" t="b">
        <v>0</v>
      </c>
      <c r="N4097" s="76" t="b">
        <v>0</v>
      </c>
      <c r="O4097" s="76" t="b">
        <v>0</v>
      </c>
      <c r="P4097" s="76" t="b">
        <v>0</v>
      </c>
      <c r="Q4097" s="76" t="b">
        <v>0</v>
      </c>
      <c r="R4097" s="14"/>
      <c r="S4097" s="14"/>
      <c r="T4097" s="14"/>
      <c r="U4097" s="14"/>
      <c r="V4097" s="14"/>
      <c r="W4097" s="14"/>
    </row>
    <row r="4098" ht="31.5" customHeight="1">
      <c r="A4098" s="158"/>
      <c r="B4098" s="159"/>
      <c r="C4098" s="160"/>
      <c r="D4098" s="130"/>
      <c r="E4098" s="130"/>
      <c r="F4098" s="161"/>
      <c r="G4098" s="164"/>
      <c r="H4098" s="76" t="b">
        <v>0</v>
      </c>
      <c r="I4098" s="76" t="b">
        <v>0</v>
      </c>
      <c r="J4098" s="76" t="b">
        <v>0</v>
      </c>
      <c r="K4098" s="76" t="b">
        <v>0</v>
      </c>
      <c r="L4098" s="76" t="b">
        <v>0</v>
      </c>
      <c r="M4098" s="76" t="b">
        <v>0</v>
      </c>
      <c r="N4098" s="76" t="b">
        <v>0</v>
      </c>
      <c r="O4098" s="76" t="b">
        <v>0</v>
      </c>
      <c r="P4098" s="76" t="b">
        <v>0</v>
      </c>
      <c r="Q4098" s="76" t="b">
        <v>0</v>
      </c>
      <c r="R4098" s="14"/>
      <c r="S4098" s="14"/>
      <c r="T4098" s="14"/>
      <c r="U4098" s="14"/>
      <c r="V4098" s="14"/>
      <c r="W4098" s="14"/>
    </row>
    <row r="4099" ht="31.5" customHeight="1">
      <c r="A4099" s="158"/>
      <c r="B4099" s="159"/>
      <c r="C4099" s="160"/>
      <c r="D4099" s="130"/>
      <c r="E4099" s="130"/>
      <c r="F4099" s="161"/>
      <c r="G4099" s="164"/>
      <c r="H4099" s="76" t="b">
        <v>0</v>
      </c>
      <c r="I4099" s="76" t="b">
        <v>0</v>
      </c>
      <c r="J4099" s="76" t="b">
        <v>0</v>
      </c>
      <c r="K4099" s="76" t="b">
        <v>0</v>
      </c>
      <c r="L4099" s="76" t="b">
        <v>0</v>
      </c>
      <c r="M4099" s="76" t="b">
        <v>0</v>
      </c>
      <c r="N4099" s="76" t="b">
        <v>0</v>
      </c>
      <c r="O4099" s="76" t="b">
        <v>0</v>
      </c>
      <c r="P4099" s="76" t="b">
        <v>0</v>
      </c>
      <c r="Q4099" s="76" t="b">
        <v>0</v>
      </c>
      <c r="R4099" s="14"/>
      <c r="S4099" s="14"/>
      <c r="T4099" s="14"/>
      <c r="U4099" s="14"/>
      <c r="V4099" s="14"/>
      <c r="W4099" s="14"/>
    </row>
    <row r="4100" ht="31.5" customHeight="1">
      <c r="A4100" s="158"/>
      <c r="B4100" s="159"/>
      <c r="C4100" s="160"/>
      <c r="D4100" s="130"/>
      <c r="E4100" s="130"/>
      <c r="F4100" s="161"/>
      <c r="G4100" s="164"/>
      <c r="H4100" s="76" t="b">
        <v>1</v>
      </c>
      <c r="I4100" s="76" t="b">
        <v>0</v>
      </c>
      <c r="J4100" s="76" t="b">
        <v>0</v>
      </c>
      <c r="K4100" s="76" t="b">
        <v>0</v>
      </c>
      <c r="L4100" s="76" t="b">
        <v>0</v>
      </c>
      <c r="M4100" s="76" t="b">
        <v>0</v>
      </c>
      <c r="N4100" s="76" t="b">
        <v>0</v>
      </c>
      <c r="O4100" s="76" t="b">
        <v>0</v>
      </c>
      <c r="P4100" s="76" t="b">
        <v>0</v>
      </c>
      <c r="Q4100" s="76" t="b">
        <v>0</v>
      </c>
      <c r="R4100" s="14"/>
      <c r="S4100" s="14"/>
      <c r="T4100" s="14"/>
      <c r="U4100" s="14"/>
      <c r="V4100" s="14"/>
      <c r="W4100" s="14"/>
    </row>
    <row r="4101" ht="31.5" customHeight="1">
      <c r="A4101" s="158"/>
      <c r="B4101" s="159"/>
      <c r="C4101" s="160"/>
      <c r="D4101" s="130"/>
      <c r="E4101" s="130"/>
      <c r="F4101" s="161"/>
      <c r="G4101" s="164"/>
      <c r="H4101" s="76" t="b">
        <v>1</v>
      </c>
      <c r="I4101" s="76" t="b">
        <v>0</v>
      </c>
      <c r="J4101" s="76" t="b">
        <v>0</v>
      </c>
      <c r="K4101" s="76" t="b">
        <v>0</v>
      </c>
      <c r="L4101" s="76" t="b">
        <v>0</v>
      </c>
      <c r="M4101" s="76" t="b">
        <v>0</v>
      </c>
      <c r="N4101" s="76" t="b">
        <v>0</v>
      </c>
      <c r="O4101" s="76" t="b">
        <v>0</v>
      </c>
      <c r="P4101" s="76" t="b">
        <v>0</v>
      </c>
      <c r="Q4101" s="76" t="b">
        <v>0</v>
      </c>
      <c r="R4101" s="14"/>
      <c r="S4101" s="14"/>
      <c r="T4101" s="14"/>
      <c r="U4101" s="14"/>
      <c r="V4101" s="14"/>
      <c r="W4101" s="14"/>
    </row>
    <row r="4102" ht="31.5" customHeight="1">
      <c r="A4102" s="158"/>
      <c r="B4102" s="159"/>
      <c r="C4102" s="160"/>
      <c r="D4102" s="130"/>
      <c r="E4102" s="130"/>
      <c r="F4102" s="161"/>
      <c r="G4102" s="164"/>
      <c r="H4102" s="76" t="b">
        <v>1</v>
      </c>
      <c r="I4102" s="76" t="b">
        <v>0</v>
      </c>
      <c r="J4102" s="76" t="b">
        <v>0</v>
      </c>
      <c r="K4102" s="76" t="b">
        <v>0</v>
      </c>
      <c r="L4102" s="76" t="b">
        <v>0</v>
      </c>
      <c r="M4102" s="76" t="b">
        <v>0</v>
      </c>
      <c r="N4102" s="76" t="b">
        <v>0</v>
      </c>
      <c r="O4102" s="76" t="b">
        <v>0</v>
      </c>
      <c r="P4102" s="76" t="b">
        <v>0</v>
      </c>
      <c r="Q4102" s="76" t="b">
        <v>0</v>
      </c>
      <c r="R4102" s="14"/>
      <c r="S4102" s="14"/>
      <c r="T4102" s="14"/>
      <c r="U4102" s="14"/>
      <c r="V4102" s="14"/>
      <c r="W4102" s="14"/>
    </row>
    <row r="4103" ht="31.5" customHeight="1">
      <c r="A4103" s="158"/>
      <c r="B4103" s="159"/>
      <c r="C4103" s="160"/>
      <c r="D4103" s="130"/>
      <c r="E4103" s="130"/>
      <c r="F4103" s="161"/>
      <c r="G4103" s="164"/>
      <c r="H4103" s="76" t="b">
        <v>1</v>
      </c>
      <c r="I4103" s="76" t="b">
        <v>0</v>
      </c>
      <c r="J4103" s="76" t="b">
        <v>0</v>
      </c>
      <c r="K4103" s="76" t="b">
        <v>0</v>
      </c>
      <c r="L4103" s="76" t="b">
        <v>0</v>
      </c>
      <c r="M4103" s="76" t="b">
        <v>0</v>
      </c>
      <c r="N4103" s="76" t="b">
        <v>0</v>
      </c>
      <c r="O4103" s="76" t="b">
        <v>0</v>
      </c>
      <c r="P4103" s="76" t="b">
        <v>0</v>
      </c>
      <c r="Q4103" s="76" t="b">
        <v>0</v>
      </c>
      <c r="R4103" s="14"/>
      <c r="S4103" s="14"/>
      <c r="T4103" s="14"/>
      <c r="U4103" s="14"/>
      <c r="V4103" s="14"/>
      <c r="W4103" s="14"/>
    </row>
    <row r="4104" ht="31.5" customHeight="1">
      <c r="A4104" s="158"/>
      <c r="B4104" s="159"/>
      <c r="C4104" s="160"/>
      <c r="D4104" s="130"/>
      <c r="E4104" s="130"/>
      <c r="F4104" s="161"/>
      <c r="G4104" s="164"/>
      <c r="H4104" s="76" t="b">
        <v>1</v>
      </c>
      <c r="I4104" s="76" t="b">
        <v>0</v>
      </c>
      <c r="J4104" s="76" t="b">
        <v>0</v>
      </c>
      <c r="K4104" s="76" t="b">
        <v>0</v>
      </c>
      <c r="L4104" s="76" t="b">
        <v>0</v>
      </c>
      <c r="M4104" s="76" t="b">
        <v>0</v>
      </c>
      <c r="N4104" s="76" t="b">
        <v>0</v>
      </c>
      <c r="O4104" s="76" t="b">
        <v>0</v>
      </c>
      <c r="P4104" s="76" t="b">
        <v>0</v>
      </c>
      <c r="Q4104" s="76" t="b">
        <v>0</v>
      </c>
      <c r="R4104" s="14"/>
      <c r="S4104" s="14"/>
      <c r="T4104" s="14"/>
      <c r="U4104" s="14"/>
      <c r="V4104" s="14"/>
      <c r="W4104" s="14"/>
    </row>
    <row r="4105" ht="31.5" customHeight="1">
      <c r="A4105" s="158"/>
      <c r="B4105" s="159"/>
      <c r="C4105" s="160"/>
      <c r="D4105" s="130"/>
      <c r="E4105" s="130"/>
      <c r="F4105" s="161"/>
      <c r="G4105" s="164"/>
      <c r="H4105" s="76" t="b">
        <v>1</v>
      </c>
      <c r="I4105" s="76" t="b">
        <v>0</v>
      </c>
      <c r="J4105" s="76" t="b">
        <v>0</v>
      </c>
      <c r="K4105" s="76" t="b">
        <v>0</v>
      </c>
      <c r="L4105" s="76" t="b">
        <v>0</v>
      </c>
      <c r="M4105" s="76" t="b">
        <v>0</v>
      </c>
      <c r="N4105" s="76" t="b">
        <v>0</v>
      </c>
      <c r="O4105" s="76" t="b">
        <v>0</v>
      </c>
      <c r="P4105" s="76" t="b">
        <v>0</v>
      </c>
      <c r="Q4105" s="76" t="b">
        <v>0</v>
      </c>
      <c r="R4105" s="14"/>
      <c r="S4105" s="14"/>
      <c r="T4105" s="14"/>
      <c r="U4105" s="14"/>
      <c r="V4105" s="14"/>
      <c r="W4105" s="14"/>
    </row>
    <row r="4106" ht="31.5" customHeight="1">
      <c r="A4106" s="158"/>
      <c r="B4106" s="159"/>
      <c r="C4106" s="160"/>
      <c r="D4106" s="130"/>
      <c r="E4106" s="130"/>
      <c r="F4106" s="161"/>
      <c r="G4106" s="164"/>
      <c r="H4106" s="76" t="b">
        <v>1</v>
      </c>
      <c r="I4106" s="76" t="b">
        <v>0</v>
      </c>
      <c r="J4106" s="76" t="b">
        <v>0</v>
      </c>
      <c r="K4106" s="76" t="b">
        <v>0</v>
      </c>
      <c r="L4106" s="76" t="b">
        <v>0</v>
      </c>
      <c r="M4106" s="76" t="b">
        <v>0</v>
      </c>
      <c r="N4106" s="76" t="b">
        <v>0</v>
      </c>
      <c r="O4106" s="76" t="b">
        <v>0</v>
      </c>
      <c r="P4106" s="76" t="b">
        <v>0</v>
      </c>
      <c r="Q4106" s="76" t="b">
        <v>0</v>
      </c>
      <c r="R4106" s="14"/>
      <c r="S4106" s="14"/>
      <c r="T4106" s="14"/>
      <c r="U4106" s="14"/>
      <c r="V4106" s="14"/>
      <c r="W4106" s="14"/>
    </row>
    <row r="4107" ht="31.5" customHeight="1">
      <c r="A4107" s="158"/>
      <c r="B4107" s="159"/>
      <c r="C4107" s="160"/>
      <c r="D4107" s="130"/>
      <c r="E4107" s="130"/>
      <c r="F4107" s="161"/>
      <c r="G4107" s="164"/>
      <c r="H4107" s="76" t="b">
        <v>1</v>
      </c>
      <c r="I4107" s="76" t="b">
        <v>0</v>
      </c>
      <c r="J4107" s="76" t="b">
        <v>0</v>
      </c>
      <c r="K4107" s="76" t="b">
        <v>0</v>
      </c>
      <c r="L4107" s="76" t="b">
        <v>0</v>
      </c>
      <c r="M4107" s="76" t="b">
        <v>0</v>
      </c>
      <c r="N4107" s="76" t="b">
        <v>0</v>
      </c>
      <c r="O4107" s="76" t="b">
        <v>0</v>
      </c>
      <c r="P4107" s="76" t="b">
        <v>0</v>
      </c>
      <c r="Q4107" s="76" t="b">
        <v>0</v>
      </c>
      <c r="R4107" s="14"/>
      <c r="S4107" s="14"/>
      <c r="T4107" s="14"/>
      <c r="U4107" s="14"/>
      <c r="V4107" s="14"/>
      <c r="W4107" s="14"/>
    </row>
    <row r="4108" ht="31.5" customHeight="1">
      <c r="A4108" s="158"/>
      <c r="B4108" s="159"/>
      <c r="C4108" s="160"/>
      <c r="D4108" s="130"/>
      <c r="E4108" s="130"/>
      <c r="F4108" s="161"/>
      <c r="G4108" s="164"/>
      <c r="H4108" s="76" t="b">
        <v>1</v>
      </c>
      <c r="I4108" s="76" t="b">
        <v>0</v>
      </c>
      <c r="J4108" s="76" t="b">
        <v>0</v>
      </c>
      <c r="K4108" s="76" t="b">
        <v>0</v>
      </c>
      <c r="L4108" s="76" t="b">
        <v>0</v>
      </c>
      <c r="M4108" s="76" t="b">
        <v>0</v>
      </c>
      <c r="N4108" s="76" t="b">
        <v>0</v>
      </c>
      <c r="O4108" s="76" t="b">
        <v>0</v>
      </c>
      <c r="P4108" s="76" t="b">
        <v>0</v>
      </c>
      <c r="Q4108" s="76" t="b">
        <v>0</v>
      </c>
      <c r="R4108" s="14"/>
      <c r="S4108" s="14"/>
      <c r="T4108" s="14"/>
      <c r="U4108" s="14"/>
      <c r="V4108" s="14"/>
      <c r="W4108" s="14"/>
    </row>
    <row r="4109" ht="31.5" customHeight="1">
      <c r="A4109" s="158"/>
      <c r="B4109" s="159"/>
      <c r="C4109" s="160"/>
      <c r="D4109" s="130"/>
      <c r="E4109" s="130"/>
      <c r="F4109" s="161"/>
      <c r="G4109" s="164"/>
      <c r="H4109" s="76" t="b">
        <v>1</v>
      </c>
      <c r="I4109" s="76" t="b">
        <v>0</v>
      </c>
      <c r="J4109" s="76" t="b">
        <v>0</v>
      </c>
      <c r="K4109" s="76" t="b">
        <v>0</v>
      </c>
      <c r="L4109" s="76" t="b">
        <v>0</v>
      </c>
      <c r="M4109" s="76" t="b">
        <v>0</v>
      </c>
      <c r="N4109" s="76" t="b">
        <v>0</v>
      </c>
      <c r="O4109" s="76" t="b">
        <v>0</v>
      </c>
      <c r="P4109" s="76" t="b">
        <v>0</v>
      </c>
      <c r="Q4109" s="76" t="b">
        <v>0</v>
      </c>
      <c r="R4109" s="14"/>
      <c r="S4109" s="14"/>
      <c r="T4109" s="14"/>
      <c r="U4109" s="14"/>
      <c r="V4109" s="14"/>
      <c r="W4109" s="14"/>
    </row>
    <row r="4110" ht="31.5" customHeight="1">
      <c r="A4110" s="158"/>
      <c r="B4110" s="159"/>
      <c r="C4110" s="160"/>
      <c r="D4110" s="130"/>
      <c r="E4110" s="130"/>
      <c r="F4110" s="161"/>
      <c r="G4110" s="164"/>
      <c r="H4110" s="76" t="b">
        <v>1</v>
      </c>
      <c r="I4110" s="76" t="b">
        <v>0</v>
      </c>
      <c r="J4110" s="76" t="b">
        <v>0</v>
      </c>
      <c r="K4110" s="76" t="b">
        <v>0</v>
      </c>
      <c r="L4110" s="76" t="b">
        <v>0</v>
      </c>
      <c r="M4110" s="76" t="b">
        <v>0</v>
      </c>
      <c r="N4110" s="76" t="b">
        <v>0</v>
      </c>
      <c r="O4110" s="76" t="b">
        <v>0</v>
      </c>
      <c r="P4110" s="76" t="b">
        <v>0</v>
      </c>
      <c r="Q4110" s="76" t="b">
        <v>0</v>
      </c>
      <c r="R4110" s="14"/>
      <c r="S4110" s="14"/>
      <c r="T4110" s="14"/>
      <c r="U4110" s="14"/>
      <c r="V4110" s="14"/>
      <c r="W4110" s="14"/>
    </row>
    <row r="4111" ht="31.5" customHeight="1">
      <c r="A4111" s="158"/>
      <c r="B4111" s="159"/>
      <c r="C4111" s="160"/>
      <c r="D4111" s="130"/>
      <c r="E4111" s="130"/>
      <c r="F4111" s="161"/>
      <c r="G4111" s="164"/>
      <c r="H4111" s="76" t="b">
        <v>1</v>
      </c>
      <c r="I4111" s="76" t="b">
        <v>0</v>
      </c>
      <c r="J4111" s="76" t="b">
        <v>0</v>
      </c>
      <c r="K4111" s="76" t="b">
        <v>0</v>
      </c>
      <c r="L4111" s="76" t="b">
        <v>0</v>
      </c>
      <c r="M4111" s="76" t="b">
        <v>0</v>
      </c>
      <c r="N4111" s="76" t="b">
        <v>0</v>
      </c>
      <c r="O4111" s="76" t="b">
        <v>0</v>
      </c>
      <c r="P4111" s="76" t="b">
        <v>0</v>
      </c>
      <c r="Q4111" s="76" t="b">
        <v>0</v>
      </c>
      <c r="R4111" s="14"/>
      <c r="S4111" s="14"/>
      <c r="T4111" s="14"/>
      <c r="U4111" s="14"/>
      <c r="V4111" s="14"/>
      <c r="W4111" s="14"/>
    </row>
    <row r="4112" ht="31.5" customHeight="1">
      <c r="A4112" s="158"/>
      <c r="B4112" s="159"/>
      <c r="C4112" s="160"/>
      <c r="D4112" s="130"/>
      <c r="E4112" s="130"/>
      <c r="F4112" s="161"/>
      <c r="G4112" s="164"/>
      <c r="H4112" s="76" t="b">
        <v>1</v>
      </c>
      <c r="I4112" s="76" t="b">
        <v>0</v>
      </c>
      <c r="J4112" s="76" t="b">
        <v>0</v>
      </c>
      <c r="K4112" s="76" t="b">
        <v>0</v>
      </c>
      <c r="L4112" s="76" t="b">
        <v>0</v>
      </c>
      <c r="M4112" s="76" t="b">
        <v>0</v>
      </c>
      <c r="N4112" s="76" t="b">
        <v>0</v>
      </c>
      <c r="O4112" s="76" t="b">
        <v>0</v>
      </c>
      <c r="P4112" s="76" t="b">
        <v>0</v>
      </c>
      <c r="Q4112" s="76" t="b">
        <v>0</v>
      </c>
      <c r="R4112" s="14"/>
      <c r="S4112" s="14"/>
      <c r="T4112" s="14"/>
      <c r="U4112" s="14"/>
      <c r="V4112" s="14"/>
      <c r="W4112" s="14"/>
    </row>
    <row r="4113" ht="31.5" customHeight="1">
      <c r="A4113" s="158"/>
      <c r="B4113" s="159"/>
      <c r="C4113" s="160"/>
      <c r="D4113" s="130"/>
      <c r="E4113" s="130"/>
      <c r="F4113" s="161"/>
      <c r="G4113" s="164"/>
      <c r="H4113" s="76" t="b">
        <v>1</v>
      </c>
      <c r="I4113" s="76" t="b">
        <v>0</v>
      </c>
      <c r="J4113" s="76" t="b">
        <v>0</v>
      </c>
      <c r="K4113" s="76" t="b">
        <v>0</v>
      </c>
      <c r="L4113" s="76" t="b">
        <v>0</v>
      </c>
      <c r="M4113" s="76" t="b">
        <v>0</v>
      </c>
      <c r="N4113" s="76" t="b">
        <v>0</v>
      </c>
      <c r="O4113" s="76" t="b">
        <v>0</v>
      </c>
      <c r="P4113" s="76" t="b">
        <v>0</v>
      </c>
      <c r="Q4113" s="76" t="b">
        <v>0</v>
      </c>
      <c r="R4113" s="14"/>
      <c r="S4113" s="14"/>
      <c r="T4113" s="14"/>
      <c r="U4113" s="14"/>
      <c r="V4113" s="14"/>
      <c r="W4113" s="14"/>
    </row>
    <row r="4114" ht="31.5" customHeight="1">
      <c r="A4114" s="158"/>
      <c r="B4114" s="159"/>
      <c r="C4114" s="160"/>
      <c r="D4114" s="130"/>
      <c r="E4114" s="130"/>
      <c r="F4114" s="161"/>
      <c r="G4114" s="164"/>
      <c r="H4114" s="76" t="b">
        <v>1</v>
      </c>
      <c r="I4114" s="76" t="b">
        <v>0</v>
      </c>
      <c r="J4114" s="76" t="b">
        <v>0</v>
      </c>
      <c r="K4114" s="76" t="b">
        <v>0</v>
      </c>
      <c r="L4114" s="76" t="b">
        <v>0</v>
      </c>
      <c r="M4114" s="76" t="b">
        <v>0</v>
      </c>
      <c r="N4114" s="76" t="b">
        <v>0</v>
      </c>
      <c r="O4114" s="76" t="b">
        <v>0</v>
      </c>
      <c r="P4114" s="76" t="b">
        <v>0</v>
      </c>
      <c r="Q4114" s="76" t="b">
        <v>0</v>
      </c>
      <c r="R4114" s="14"/>
      <c r="S4114" s="14"/>
      <c r="T4114" s="14"/>
      <c r="U4114" s="14"/>
      <c r="V4114" s="14"/>
      <c r="W4114" s="14"/>
    </row>
    <row r="4115" ht="31.5" customHeight="1">
      <c r="A4115" s="158"/>
      <c r="B4115" s="159"/>
      <c r="C4115" s="160"/>
      <c r="D4115" s="130"/>
      <c r="E4115" s="130"/>
      <c r="F4115" s="161"/>
      <c r="G4115" s="164"/>
      <c r="H4115" s="76" t="b">
        <v>1</v>
      </c>
      <c r="I4115" s="76" t="b">
        <v>0</v>
      </c>
      <c r="J4115" s="76" t="b">
        <v>0</v>
      </c>
      <c r="K4115" s="76" t="b">
        <v>0</v>
      </c>
      <c r="L4115" s="76" t="b">
        <v>0</v>
      </c>
      <c r="M4115" s="76" t="b">
        <v>0</v>
      </c>
      <c r="N4115" s="76" t="b">
        <v>0</v>
      </c>
      <c r="O4115" s="76" t="b">
        <v>0</v>
      </c>
      <c r="P4115" s="76" t="b">
        <v>0</v>
      </c>
      <c r="Q4115" s="76" t="b">
        <v>0</v>
      </c>
      <c r="R4115" s="14"/>
      <c r="S4115" s="14"/>
      <c r="T4115" s="14"/>
      <c r="U4115" s="14"/>
      <c r="V4115" s="14"/>
      <c r="W4115" s="14"/>
    </row>
    <row r="4116" ht="31.5" customHeight="1">
      <c r="A4116" s="158"/>
      <c r="B4116" s="159"/>
      <c r="C4116" s="160"/>
      <c r="D4116" s="130"/>
      <c r="E4116" s="130"/>
      <c r="F4116" s="161"/>
      <c r="G4116" s="164"/>
      <c r="H4116" s="76" t="b">
        <v>1</v>
      </c>
      <c r="I4116" s="76" t="b">
        <v>0</v>
      </c>
      <c r="J4116" s="76" t="b">
        <v>0</v>
      </c>
      <c r="K4116" s="76" t="b">
        <v>0</v>
      </c>
      <c r="L4116" s="76" t="b">
        <v>0</v>
      </c>
      <c r="M4116" s="76" t="b">
        <v>0</v>
      </c>
      <c r="N4116" s="76" t="b">
        <v>0</v>
      </c>
      <c r="O4116" s="76" t="b">
        <v>0</v>
      </c>
      <c r="P4116" s="76" t="b">
        <v>0</v>
      </c>
      <c r="Q4116" s="76" t="b">
        <v>0</v>
      </c>
      <c r="R4116" s="14"/>
      <c r="S4116" s="14"/>
      <c r="T4116" s="14"/>
      <c r="U4116" s="14"/>
      <c r="V4116" s="14"/>
      <c r="W4116" s="14"/>
    </row>
    <row r="4117" ht="31.5" customHeight="1">
      <c r="A4117" s="158"/>
      <c r="B4117" s="159"/>
      <c r="C4117" s="160"/>
      <c r="D4117" s="130"/>
      <c r="E4117" s="130"/>
      <c r="F4117" s="161"/>
      <c r="G4117" s="164"/>
      <c r="H4117" s="76" t="b">
        <v>1</v>
      </c>
      <c r="I4117" s="76" t="b">
        <v>0</v>
      </c>
      <c r="J4117" s="76" t="b">
        <v>0</v>
      </c>
      <c r="K4117" s="76" t="b">
        <v>0</v>
      </c>
      <c r="L4117" s="76" t="b">
        <v>0</v>
      </c>
      <c r="M4117" s="76" t="b">
        <v>0</v>
      </c>
      <c r="N4117" s="76" t="b">
        <v>0</v>
      </c>
      <c r="O4117" s="76" t="b">
        <v>0</v>
      </c>
      <c r="P4117" s="76" t="b">
        <v>0</v>
      </c>
      <c r="Q4117" s="76" t="b">
        <v>0</v>
      </c>
      <c r="R4117" s="14"/>
      <c r="S4117" s="14"/>
      <c r="T4117" s="14"/>
      <c r="U4117" s="14"/>
      <c r="V4117" s="14"/>
      <c r="W4117" s="14"/>
    </row>
    <row r="4118" ht="31.5" customHeight="1">
      <c r="A4118" s="158"/>
      <c r="B4118" s="159"/>
      <c r="C4118" s="160"/>
      <c r="D4118" s="130"/>
      <c r="E4118" s="130"/>
      <c r="F4118" s="161"/>
      <c r="G4118" s="164"/>
      <c r="H4118" s="76" t="b">
        <v>1</v>
      </c>
      <c r="I4118" s="76" t="b">
        <v>0</v>
      </c>
      <c r="J4118" s="76" t="b">
        <v>0</v>
      </c>
      <c r="K4118" s="76" t="b">
        <v>0</v>
      </c>
      <c r="L4118" s="76" t="b">
        <v>0</v>
      </c>
      <c r="M4118" s="76" t="b">
        <v>0</v>
      </c>
      <c r="N4118" s="76" t="b">
        <v>0</v>
      </c>
      <c r="O4118" s="76" t="b">
        <v>0</v>
      </c>
      <c r="P4118" s="76" t="b">
        <v>0</v>
      </c>
      <c r="Q4118" s="76" t="b">
        <v>0</v>
      </c>
      <c r="R4118" s="14"/>
      <c r="S4118" s="14"/>
      <c r="T4118" s="14"/>
      <c r="U4118" s="14"/>
      <c r="V4118" s="14"/>
      <c r="W4118" s="14"/>
    </row>
    <row r="4119" ht="31.5" customHeight="1">
      <c r="A4119" s="158"/>
      <c r="B4119" s="159"/>
      <c r="C4119" s="160"/>
      <c r="D4119" s="130"/>
      <c r="E4119" s="130"/>
      <c r="F4119" s="161"/>
      <c r="G4119" s="164"/>
      <c r="H4119" s="76" t="b">
        <v>1</v>
      </c>
      <c r="I4119" s="76" t="b">
        <v>0</v>
      </c>
      <c r="J4119" s="76" t="b">
        <v>0</v>
      </c>
      <c r="K4119" s="76" t="b">
        <v>0</v>
      </c>
      <c r="L4119" s="76" t="b">
        <v>0</v>
      </c>
      <c r="M4119" s="76" t="b">
        <v>0</v>
      </c>
      <c r="N4119" s="76" t="b">
        <v>0</v>
      </c>
      <c r="O4119" s="76" t="b">
        <v>0</v>
      </c>
      <c r="P4119" s="76" t="b">
        <v>0</v>
      </c>
      <c r="Q4119" s="76" t="b">
        <v>0</v>
      </c>
      <c r="R4119" s="14"/>
      <c r="S4119" s="14"/>
      <c r="T4119" s="14"/>
      <c r="U4119" s="14"/>
      <c r="V4119" s="14"/>
      <c r="W4119" s="14"/>
    </row>
    <row r="4120" ht="31.5" customHeight="1">
      <c r="A4120" s="158"/>
      <c r="B4120" s="159"/>
      <c r="C4120" s="160"/>
      <c r="D4120" s="130"/>
      <c r="E4120" s="130"/>
      <c r="F4120" s="161"/>
      <c r="G4120" s="164"/>
      <c r="H4120" s="76" t="b">
        <v>1</v>
      </c>
      <c r="I4120" s="76" t="b">
        <v>0</v>
      </c>
      <c r="J4120" s="76" t="b">
        <v>0</v>
      </c>
      <c r="K4120" s="76" t="b">
        <v>0</v>
      </c>
      <c r="L4120" s="76" t="b">
        <v>0</v>
      </c>
      <c r="M4120" s="76" t="b">
        <v>0</v>
      </c>
      <c r="N4120" s="76" t="b">
        <v>0</v>
      </c>
      <c r="O4120" s="76" t="b">
        <v>0</v>
      </c>
      <c r="P4120" s="76" t="b">
        <v>0</v>
      </c>
      <c r="Q4120" s="76" t="b">
        <v>0</v>
      </c>
      <c r="R4120" s="14"/>
      <c r="S4120" s="14"/>
      <c r="T4120" s="14"/>
      <c r="U4120" s="14"/>
      <c r="V4120" s="14"/>
      <c r="W4120" s="14"/>
    </row>
    <row r="4121" ht="31.5" customHeight="1">
      <c r="A4121" s="158"/>
      <c r="B4121" s="159"/>
      <c r="C4121" s="160"/>
      <c r="D4121" s="130"/>
      <c r="E4121" s="130"/>
      <c r="F4121" s="161"/>
      <c r="G4121" s="164"/>
      <c r="H4121" s="76" t="b">
        <v>1</v>
      </c>
      <c r="I4121" s="76" t="b">
        <v>0</v>
      </c>
      <c r="J4121" s="76" t="b">
        <v>0</v>
      </c>
      <c r="K4121" s="76" t="b">
        <v>0</v>
      </c>
      <c r="L4121" s="76" t="b">
        <v>0</v>
      </c>
      <c r="M4121" s="76" t="b">
        <v>0</v>
      </c>
      <c r="N4121" s="76" t="b">
        <v>0</v>
      </c>
      <c r="O4121" s="76" t="b">
        <v>0</v>
      </c>
      <c r="P4121" s="76" t="b">
        <v>0</v>
      </c>
      <c r="Q4121" s="76" t="b">
        <v>0</v>
      </c>
      <c r="R4121" s="14"/>
      <c r="S4121" s="14"/>
      <c r="T4121" s="14"/>
      <c r="U4121" s="14"/>
      <c r="V4121" s="14"/>
      <c r="W4121" s="14"/>
    </row>
    <row r="4122" ht="31.5" customHeight="1">
      <c r="A4122" s="158"/>
      <c r="B4122" s="159"/>
      <c r="C4122" s="160"/>
      <c r="D4122" s="130"/>
      <c r="E4122" s="130"/>
      <c r="F4122" s="161"/>
      <c r="G4122" s="164"/>
      <c r="H4122" s="76" t="b">
        <v>1</v>
      </c>
      <c r="I4122" s="76" t="b">
        <v>0</v>
      </c>
      <c r="J4122" s="76" t="b">
        <v>0</v>
      </c>
      <c r="K4122" s="76" t="b">
        <v>0</v>
      </c>
      <c r="L4122" s="76" t="b">
        <v>0</v>
      </c>
      <c r="M4122" s="76" t="b">
        <v>0</v>
      </c>
      <c r="N4122" s="76" t="b">
        <v>0</v>
      </c>
      <c r="O4122" s="76" t="b">
        <v>0</v>
      </c>
      <c r="P4122" s="76" t="b">
        <v>0</v>
      </c>
      <c r="Q4122" s="76" t="b">
        <v>0</v>
      </c>
      <c r="R4122" s="14"/>
      <c r="S4122" s="14"/>
      <c r="T4122" s="14"/>
      <c r="U4122" s="14"/>
      <c r="V4122" s="14"/>
      <c r="W4122" s="14"/>
    </row>
    <row r="4123" ht="31.5" customHeight="1">
      <c r="A4123" s="158"/>
      <c r="B4123" s="159"/>
      <c r="C4123" s="160"/>
      <c r="D4123" s="130"/>
      <c r="E4123" s="130"/>
      <c r="F4123" s="161"/>
      <c r="G4123" s="164"/>
      <c r="H4123" s="76" t="b">
        <v>1</v>
      </c>
      <c r="I4123" s="76" t="b">
        <v>0</v>
      </c>
      <c r="J4123" s="76" t="b">
        <v>0</v>
      </c>
      <c r="K4123" s="76" t="b">
        <v>0</v>
      </c>
      <c r="L4123" s="76" t="b">
        <v>0</v>
      </c>
      <c r="M4123" s="76" t="b">
        <v>0</v>
      </c>
      <c r="N4123" s="76" t="b">
        <v>0</v>
      </c>
      <c r="O4123" s="76" t="b">
        <v>0</v>
      </c>
      <c r="P4123" s="76" t="b">
        <v>0</v>
      </c>
      <c r="Q4123" s="76" t="b">
        <v>0</v>
      </c>
      <c r="R4123" s="14"/>
      <c r="S4123" s="14"/>
      <c r="T4123" s="14"/>
      <c r="U4123" s="14"/>
      <c r="V4123" s="14"/>
      <c r="W4123" s="14"/>
    </row>
    <row r="4124" ht="31.5" customHeight="1">
      <c r="A4124" s="158"/>
      <c r="B4124" s="159"/>
      <c r="C4124" s="160"/>
      <c r="D4124" s="130"/>
      <c r="E4124" s="130"/>
      <c r="F4124" s="161"/>
      <c r="G4124" s="164"/>
      <c r="H4124" s="76" t="b">
        <v>1</v>
      </c>
      <c r="I4124" s="76" t="b">
        <v>0</v>
      </c>
      <c r="J4124" s="76" t="b">
        <v>0</v>
      </c>
      <c r="K4124" s="76" t="b">
        <v>0</v>
      </c>
      <c r="L4124" s="76" t="b">
        <v>0</v>
      </c>
      <c r="M4124" s="76" t="b">
        <v>0</v>
      </c>
      <c r="N4124" s="76" t="b">
        <v>0</v>
      </c>
      <c r="O4124" s="76" t="b">
        <v>0</v>
      </c>
      <c r="P4124" s="76" t="b">
        <v>0</v>
      </c>
      <c r="Q4124" s="76" t="b">
        <v>0</v>
      </c>
      <c r="R4124" s="14"/>
      <c r="S4124" s="14"/>
      <c r="T4124" s="14"/>
      <c r="U4124" s="14"/>
      <c r="V4124" s="14"/>
      <c r="W4124" s="14"/>
    </row>
    <row r="4125" ht="31.5" customHeight="1">
      <c r="A4125" s="158"/>
      <c r="B4125" s="159"/>
      <c r="C4125" s="160"/>
      <c r="D4125" s="130"/>
      <c r="E4125" s="130"/>
      <c r="F4125" s="161"/>
      <c r="G4125" s="164"/>
      <c r="H4125" s="76" t="b">
        <v>1</v>
      </c>
      <c r="I4125" s="76" t="b">
        <v>0</v>
      </c>
      <c r="J4125" s="76" t="b">
        <v>0</v>
      </c>
      <c r="K4125" s="76" t="b">
        <v>0</v>
      </c>
      <c r="L4125" s="76" t="b">
        <v>0</v>
      </c>
      <c r="M4125" s="76" t="b">
        <v>0</v>
      </c>
      <c r="N4125" s="76" t="b">
        <v>0</v>
      </c>
      <c r="O4125" s="76" t="b">
        <v>0</v>
      </c>
      <c r="P4125" s="76" t="b">
        <v>0</v>
      </c>
      <c r="Q4125" s="76" t="b">
        <v>0</v>
      </c>
      <c r="R4125" s="14"/>
      <c r="S4125" s="14"/>
      <c r="T4125" s="14"/>
      <c r="U4125" s="14"/>
      <c r="V4125" s="14"/>
      <c r="W4125" s="14"/>
    </row>
    <row r="4126" ht="31.5" customHeight="1">
      <c r="A4126" s="158"/>
      <c r="B4126" s="159"/>
      <c r="C4126" s="160"/>
      <c r="D4126" s="130"/>
      <c r="E4126" s="130"/>
      <c r="F4126" s="161"/>
      <c r="G4126" s="164"/>
      <c r="H4126" s="76" t="b">
        <v>1</v>
      </c>
      <c r="I4126" s="76" t="b">
        <v>0</v>
      </c>
      <c r="J4126" s="76" t="b">
        <v>0</v>
      </c>
      <c r="K4126" s="76" t="b">
        <v>0</v>
      </c>
      <c r="L4126" s="76" t="b">
        <v>0</v>
      </c>
      <c r="M4126" s="76" t="b">
        <v>0</v>
      </c>
      <c r="N4126" s="76" t="b">
        <v>0</v>
      </c>
      <c r="O4126" s="76" t="b">
        <v>0</v>
      </c>
      <c r="P4126" s="76" t="b">
        <v>0</v>
      </c>
      <c r="Q4126" s="76" t="b">
        <v>0</v>
      </c>
      <c r="R4126" s="14"/>
      <c r="S4126" s="14"/>
      <c r="T4126" s="14"/>
      <c r="U4126" s="14"/>
      <c r="V4126" s="14"/>
      <c r="W4126" s="14"/>
    </row>
    <row r="4127" ht="31.5" customHeight="1">
      <c r="A4127" s="158"/>
      <c r="B4127" s="159"/>
      <c r="C4127" s="160"/>
      <c r="D4127" s="130"/>
      <c r="E4127" s="130"/>
      <c r="F4127" s="161"/>
      <c r="G4127" s="164"/>
      <c r="H4127" s="76" t="b">
        <v>1</v>
      </c>
      <c r="I4127" s="76" t="b">
        <v>0</v>
      </c>
      <c r="J4127" s="76" t="b">
        <v>0</v>
      </c>
      <c r="K4127" s="76" t="b">
        <v>0</v>
      </c>
      <c r="L4127" s="76" t="b">
        <v>0</v>
      </c>
      <c r="M4127" s="76" t="b">
        <v>0</v>
      </c>
      <c r="N4127" s="76" t="b">
        <v>0</v>
      </c>
      <c r="O4127" s="76" t="b">
        <v>0</v>
      </c>
      <c r="P4127" s="76" t="b">
        <v>0</v>
      </c>
      <c r="Q4127" s="76" t="b">
        <v>0</v>
      </c>
      <c r="R4127" s="14"/>
      <c r="S4127" s="14"/>
      <c r="T4127" s="14"/>
      <c r="U4127" s="14"/>
      <c r="V4127" s="14"/>
      <c r="W4127" s="14"/>
    </row>
    <row r="4128" ht="31.5" customHeight="1">
      <c r="A4128" s="158"/>
      <c r="B4128" s="159"/>
      <c r="C4128" s="160"/>
      <c r="D4128" s="130"/>
      <c r="E4128" s="130"/>
      <c r="F4128" s="161"/>
      <c r="G4128" s="164"/>
      <c r="H4128" s="76" t="b">
        <v>1</v>
      </c>
      <c r="I4128" s="76" t="b">
        <v>0</v>
      </c>
      <c r="J4128" s="76" t="b">
        <v>0</v>
      </c>
      <c r="K4128" s="76" t="b">
        <v>0</v>
      </c>
      <c r="L4128" s="76" t="b">
        <v>0</v>
      </c>
      <c r="M4128" s="76" t="b">
        <v>0</v>
      </c>
      <c r="N4128" s="76" t="b">
        <v>0</v>
      </c>
      <c r="O4128" s="76" t="b">
        <v>0</v>
      </c>
      <c r="P4128" s="76" t="b">
        <v>0</v>
      </c>
      <c r="Q4128" s="76" t="b">
        <v>0</v>
      </c>
      <c r="R4128" s="14"/>
      <c r="S4128" s="14"/>
      <c r="T4128" s="14"/>
      <c r="U4128" s="14"/>
      <c r="V4128" s="14"/>
      <c r="W4128" s="14"/>
    </row>
    <row r="4129" ht="31.5" customHeight="1">
      <c r="A4129" s="158"/>
      <c r="B4129" s="159"/>
      <c r="C4129" s="160"/>
      <c r="D4129" s="130"/>
      <c r="E4129" s="130"/>
      <c r="F4129" s="161"/>
      <c r="G4129" s="164"/>
      <c r="H4129" s="76" t="b">
        <v>1</v>
      </c>
      <c r="I4129" s="76" t="b">
        <v>0</v>
      </c>
      <c r="J4129" s="76" t="b">
        <v>0</v>
      </c>
      <c r="K4129" s="76" t="b">
        <v>0</v>
      </c>
      <c r="L4129" s="76" t="b">
        <v>0</v>
      </c>
      <c r="M4129" s="76" t="b">
        <v>0</v>
      </c>
      <c r="N4129" s="76" t="b">
        <v>0</v>
      </c>
      <c r="O4129" s="76" t="b">
        <v>0</v>
      </c>
      <c r="P4129" s="76" t="b">
        <v>0</v>
      </c>
      <c r="Q4129" s="76" t="b">
        <v>0</v>
      </c>
      <c r="R4129" s="14"/>
      <c r="S4129" s="14"/>
      <c r="T4129" s="14"/>
      <c r="U4129" s="14"/>
      <c r="V4129" s="14"/>
      <c r="W4129" s="14"/>
    </row>
    <row r="4130" ht="31.5" customHeight="1">
      <c r="A4130" s="158"/>
      <c r="B4130" s="159"/>
      <c r="C4130" s="160"/>
      <c r="D4130" s="130"/>
      <c r="E4130" s="130"/>
      <c r="F4130" s="161"/>
      <c r="G4130" s="164"/>
      <c r="H4130" s="76" t="b">
        <v>1</v>
      </c>
      <c r="I4130" s="76" t="b">
        <v>0</v>
      </c>
      <c r="J4130" s="76" t="b">
        <v>0</v>
      </c>
      <c r="K4130" s="76" t="b">
        <v>0</v>
      </c>
      <c r="L4130" s="76" t="b">
        <v>0</v>
      </c>
      <c r="M4130" s="76" t="b">
        <v>0</v>
      </c>
      <c r="N4130" s="76" t="b">
        <v>0</v>
      </c>
      <c r="O4130" s="76" t="b">
        <v>0</v>
      </c>
      <c r="P4130" s="76" t="b">
        <v>0</v>
      </c>
      <c r="Q4130" s="76" t="b">
        <v>0</v>
      </c>
      <c r="R4130" s="14"/>
      <c r="S4130" s="14"/>
      <c r="T4130" s="14"/>
      <c r="U4130" s="14"/>
      <c r="V4130" s="14"/>
      <c r="W4130" s="14"/>
    </row>
    <row r="4131" ht="31.5" customHeight="1">
      <c r="A4131" s="158"/>
      <c r="B4131" s="159"/>
      <c r="C4131" s="160"/>
      <c r="D4131" s="130"/>
      <c r="E4131" s="130"/>
      <c r="F4131" s="161"/>
      <c r="G4131" s="164"/>
      <c r="H4131" s="76" t="b">
        <v>1</v>
      </c>
      <c r="I4131" s="76" t="b">
        <v>0</v>
      </c>
      <c r="J4131" s="76" t="b">
        <v>0</v>
      </c>
      <c r="K4131" s="76" t="b">
        <v>0</v>
      </c>
      <c r="L4131" s="76" t="b">
        <v>0</v>
      </c>
      <c r="M4131" s="76" t="b">
        <v>0</v>
      </c>
      <c r="N4131" s="76" t="b">
        <v>0</v>
      </c>
      <c r="O4131" s="76" t="b">
        <v>0</v>
      </c>
      <c r="P4131" s="76" t="b">
        <v>0</v>
      </c>
      <c r="Q4131" s="76" t="b">
        <v>0</v>
      </c>
      <c r="R4131" s="14"/>
      <c r="S4131" s="14"/>
      <c r="T4131" s="14"/>
      <c r="U4131" s="14"/>
      <c r="V4131" s="14"/>
      <c r="W4131" s="14"/>
    </row>
    <row r="4132" ht="31.5" customHeight="1">
      <c r="A4132" s="158"/>
      <c r="B4132" s="159"/>
      <c r="C4132" s="160"/>
      <c r="D4132" s="130"/>
      <c r="E4132" s="130"/>
      <c r="F4132" s="161"/>
      <c r="G4132" s="164"/>
      <c r="H4132" s="76" t="b">
        <v>1</v>
      </c>
      <c r="I4132" s="76" t="b">
        <v>0</v>
      </c>
      <c r="J4132" s="76" t="b">
        <v>0</v>
      </c>
      <c r="K4132" s="76" t="b">
        <v>0</v>
      </c>
      <c r="L4132" s="76" t="b">
        <v>0</v>
      </c>
      <c r="M4132" s="76" t="b">
        <v>0</v>
      </c>
      <c r="N4132" s="76" t="b">
        <v>0</v>
      </c>
      <c r="O4132" s="76" t="b">
        <v>0</v>
      </c>
      <c r="P4132" s="76" t="b">
        <v>0</v>
      </c>
      <c r="Q4132" s="76" t="b">
        <v>0</v>
      </c>
      <c r="R4132" s="14"/>
      <c r="S4132" s="14"/>
      <c r="T4132" s="14"/>
      <c r="U4132" s="14"/>
      <c r="V4132" s="14"/>
      <c r="W4132" s="14"/>
    </row>
    <row r="4133" ht="31.5" customHeight="1">
      <c r="A4133" s="158"/>
      <c r="B4133" s="159"/>
      <c r="C4133" s="160"/>
      <c r="D4133" s="130"/>
      <c r="E4133" s="130"/>
      <c r="F4133" s="161"/>
      <c r="G4133" s="164"/>
      <c r="H4133" s="76" t="b">
        <v>1</v>
      </c>
      <c r="I4133" s="76" t="b">
        <v>0</v>
      </c>
      <c r="J4133" s="76" t="b">
        <v>0</v>
      </c>
      <c r="K4133" s="76" t="b">
        <v>0</v>
      </c>
      <c r="L4133" s="76" t="b">
        <v>0</v>
      </c>
      <c r="M4133" s="76" t="b">
        <v>0</v>
      </c>
      <c r="N4133" s="76" t="b">
        <v>0</v>
      </c>
      <c r="O4133" s="76" t="b">
        <v>0</v>
      </c>
      <c r="P4133" s="76" t="b">
        <v>0</v>
      </c>
      <c r="Q4133" s="76" t="b">
        <v>0</v>
      </c>
      <c r="R4133" s="14"/>
      <c r="S4133" s="14"/>
      <c r="T4133" s="14"/>
      <c r="U4133" s="14"/>
      <c r="V4133" s="14"/>
      <c r="W4133" s="14"/>
    </row>
    <row r="4134" ht="31.5" customHeight="1">
      <c r="A4134" s="158"/>
      <c r="B4134" s="159"/>
      <c r="C4134" s="160"/>
      <c r="D4134" s="130"/>
      <c r="E4134" s="130"/>
      <c r="F4134" s="161"/>
      <c r="G4134" s="164"/>
      <c r="H4134" s="76" t="b">
        <v>1</v>
      </c>
      <c r="I4134" s="76" t="b">
        <v>0</v>
      </c>
      <c r="J4134" s="76" t="b">
        <v>0</v>
      </c>
      <c r="K4134" s="76" t="b">
        <v>0</v>
      </c>
      <c r="L4134" s="76" t="b">
        <v>0</v>
      </c>
      <c r="M4134" s="76" t="b">
        <v>0</v>
      </c>
      <c r="N4134" s="76" t="b">
        <v>0</v>
      </c>
      <c r="O4134" s="76" t="b">
        <v>0</v>
      </c>
      <c r="P4134" s="76" t="b">
        <v>0</v>
      </c>
      <c r="Q4134" s="76" t="b">
        <v>0</v>
      </c>
      <c r="R4134" s="14"/>
      <c r="S4134" s="14"/>
      <c r="T4134" s="14"/>
      <c r="U4134" s="14"/>
      <c r="V4134" s="14"/>
      <c r="W4134" s="14"/>
    </row>
    <row r="4135" ht="31.5" customHeight="1">
      <c r="A4135" s="158"/>
      <c r="B4135" s="159"/>
      <c r="C4135" s="160"/>
      <c r="D4135" s="130"/>
      <c r="E4135" s="130"/>
      <c r="F4135" s="161"/>
      <c r="G4135" s="164"/>
      <c r="H4135" s="76" t="b">
        <v>1</v>
      </c>
      <c r="I4135" s="76" t="b">
        <v>0</v>
      </c>
      <c r="J4135" s="76" t="b">
        <v>0</v>
      </c>
      <c r="K4135" s="76" t="b">
        <v>0</v>
      </c>
      <c r="L4135" s="76" t="b">
        <v>0</v>
      </c>
      <c r="M4135" s="76" t="b">
        <v>0</v>
      </c>
      <c r="N4135" s="76" t="b">
        <v>0</v>
      </c>
      <c r="O4135" s="76" t="b">
        <v>0</v>
      </c>
      <c r="P4135" s="76" t="b">
        <v>0</v>
      </c>
      <c r="Q4135" s="76" t="b">
        <v>0</v>
      </c>
      <c r="R4135" s="14"/>
      <c r="S4135" s="14"/>
      <c r="T4135" s="14"/>
      <c r="U4135" s="14"/>
      <c r="V4135" s="14"/>
      <c r="W4135" s="14"/>
    </row>
    <row r="4136" ht="31.5" customHeight="1">
      <c r="A4136" s="158"/>
      <c r="B4136" s="159"/>
      <c r="C4136" s="160"/>
      <c r="D4136" s="130"/>
      <c r="E4136" s="130"/>
      <c r="F4136" s="161"/>
      <c r="G4136" s="164"/>
      <c r="H4136" s="76" t="b">
        <v>1</v>
      </c>
      <c r="I4136" s="76" t="b">
        <v>0</v>
      </c>
      <c r="J4136" s="76" t="b">
        <v>0</v>
      </c>
      <c r="K4136" s="76" t="b">
        <v>0</v>
      </c>
      <c r="L4136" s="76" t="b">
        <v>0</v>
      </c>
      <c r="M4136" s="76" t="b">
        <v>0</v>
      </c>
      <c r="N4136" s="76" t="b">
        <v>0</v>
      </c>
      <c r="O4136" s="76" t="b">
        <v>0</v>
      </c>
      <c r="P4136" s="76" t="b">
        <v>0</v>
      </c>
      <c r="Q4136" s="76" t="b">
        <v>0</v>
      </c>
      <c r="R4136" s="14"/>
      <c r="S4136" s="14"/>
      <c r="T4136" s="14"/>
      <c r="U4136" s="14"/>
      <c r="V4136" s="14"/>
      <c r="W4136" s="14"/>
    </row>
    <row r="4137" ht="31.5" customHeight="1">
      <c r="A4137" s="158"/>
      <c r="B4137" s="159"/>
      <c r="C4137" s="160"/>
      <c r="D4137" s="130"/>
      <c r="E4137" s="130"/>
      <c r="F4137" s="161"/>
      <c r="G4137" s="164"/>
      <c r="H4137" s="76" t="b">
        <v>1</v>
      </c>
      <c r="I4137" s="76" t="b">
        <v>0</v>
      </c>
      <c r="J4137" s="76" t="b">
        <v>0</v>
      </c>
      <c r="K4137" s="76" t="b">
        <v>0</v>
      </c>
      <c r="L4137" s="76" t="b">
        <v>0</v>
      </c>
      <c r="M4137" s="76" t="b">
        <v>0</v>
      </c>
      <c r="N4137" s="76" t="b">
        <v>0</v>
      </c>
      <c r="O4137" s="76" t="b">
        <v>0</v>
      </c>
      <c r="P4137" s="76" t="b">
        <v>0</v>
      </c>
      <c r="Q4137" s="76" t="b">
        <v>0</v>
      </c>
      <c r="R4137" s="14"/>
      <c r="S4137" s="14"/>
      <c r="T4137" s="14"/>
      <c r="U4137" s="14"/>
      <c r="V4137" s="14"/>
      <c r="W4137" s="14"/>
    </row>
    <row r="4138" ht="31.5" customHeight="1">
      <c r="A4138" s="158"/>
      <c r="B4138" s="159"/>
      <c r="C4138" s="160"/>
      <c r="D4138" s="130"/>
      <c r="E4138" s="130"/>
      <c r="F4138" s="161"/>
      <c r="G4138" s="164"/>
      <c r="H4138" s="76" t="b">
        <v>1</v>
      </c>
      <c r="I4138" s="76" t="b">
        <v>0</v>
      </c>
      <c r="J4138" s="76" t="b">
        <v>0</v>
      </c>
      <c r="K4138" s="76" t="b">
        <v>0</v>
      </c>
      <c r="L4138" s="76" t="b">
        <v>0</v>
      </c>
      <c r="M4138" s="76" t="b">
        <v>0</v>
      </c>
      <c r="N4138" s="76" t="b">
        <v>0</v>
      </c>
      <c r="O4138" s="76" t="b">
        <v>0</v>
      </c>
      <c r="P4138" s="76" t="b">
        <v>0</v>
      </c>
      <c r="Q4138" s="76" t="b">
        <v>0</v>
      </c>
      <c r="R4138" s="14"/>
      <c r="S4138" s="14"/>
      <c r="T4138" s="14"/>
      <c r="U4138" s="14"/>
      <c r="V4138" s="14"/>
      <c r="W4138" s="14"/>
    </row>
    <row r="4139" ht="31.5" customHeight="1">
      <c r="A4139" s="158"/>
      <c r="B4139" s="159"/>
      <c r="C4139" s="160"/>
      <c r="D4139" s="130"/>
      <c r="E4139" s="130"/>
      <c r="F4139" s="161"/>
      <c r="G4139" s="164"/>
      <c r="H4139" s="76" t="b">
        <v>1</v>
      </c>
      <c r="I4139" s="76" t="b">
        <v>0</v>
      </c>
      <c r="J4139" s="76" t="b">
        <v>0</v>
      </c>
      <c r="K4139" s="76" t="b">
        <v>0</v>
      </c>
      <c r="L4139" s="76" t="b">
        <v>0</v>
      </c>
      <c r="M4139" s="76" t="b">
        <v>0</v>
      </c>
      <c r="N4139" s="76" t="b">
        <v>0</v>
      </c>
      <c r="O4139" s="76" t="b">
        <v>0</v>
      </c>
      <c r="P4139" s="76" t="b">
        <v>0</v>
      </c>
      <c r="Q4139" s="76" t="b">
        <v>0</v>
      </c>
      <c r="R4139" s="14"/>
      <c r="S4139" s="14"/>
      <c r="T4139" s="14"/>
      <c r="U4139" s="14"/>
      <c r="V4139" s="14"/>
      <c r="W4139" s="14"/>
    </row>
    <row r="4140" ht="31.5" customHeight="1">
      <c r="A4140" s="158"/>
      <c r="B4140" s="159"/>
      <c r="C4140" s="160"/>
      <c r="D4140" s="130"/>
      <c r="E4140" s="130"/>
      <c r="F4140" s="161"/>
      <c r="G4140" s="164"/>
      <c r="H4140" s="76" t="b">
        <v>1</v>
      </c>
      <c r="I4140" s="76" t="b">
        <v>0</v>
      </c>
      <c r="J4140" s="76" t="b">
        <v>0</v>
      </c>
      <c r="K4140" s="76" t="b">
        <v>0</v>
      </c>
      <c r="L4140" s="76" t="b">
        <v>0</v>
      </c>
      <c r="M4140" s="76" t="b">
        <v>0</v>
      </c>
      <c r="N4140" s="76" t="b">
        <v>0</v>
      </c>
      <c r="O4140" s="76" t="b">
        <v>0</v>
      </c>
      <c r="P4140" s="76" t="b">
        <v>0</v>
      </c>
      <c r="Q4140" s="76" t="b">
        <v>0</v>
      </c>
      <c r="R4140" s="14"/>
      <c r="S4140" s="14"/>
      <c r="T4140" s="14"/>
      <c r="U4140" s="14"/>
      <c r="V4140" s="14"/>
      <c r="W4140" s="14"/>
    </row>
    <row r="4141" ht="31.5" customHeight="1">
      <c r="A4141" s="158"/>
      <c r="B4141" s="159"/>
      <c r="C4141" s="160"/>
      <c r="D4141" s="130"/>
      <c r="E4141" s="130"/>
      <c r="F4141" s="161"/>
      <c r="G4141" s="164"/>
      <c r="H4141" s="76" t="b">
        <v>1</v>
      </c>
      <c r="I4141" s="76" t="b">
        <v>0</v>
      </c>
      <c r="J4141" s="76" t="b">
        <v>0</v>
      </c>
      <c r="K4141" s="76" t="b">
        <v>0</v>
      </c>
      <c r="L4141" s="76" t="b">
        <v>0</v>
      </c>
      <c r="M4141" s="76" t="b">
        <v>0</v>
      </c>
      <c r="N4141" s="76" t="b">
        <v>0</v>
      </c>
      <c r="O4141" s="76" t="b">
        <v>0</v>
      </c>
      <c r="P4141" s="76" t="b">
        <v>0</v>
      </c>
      <c r="Q4141" s="76" t="b">
        <v>0</v>
      </c>
      <c r="R4141" s="14"/>
      <c r="S4141" s="14"/>
      <c r="T4141" s="14"/>
      <c r="U4141" s="14"/>
      <c r="V4141" s="14"/>
      <c r="W4141" s="14"/>
    </row>
    <row r="4142" ht="31.5" customHeight="1">
      <c r="A4142" s="158"/>
      <c r="B4142" s="159"/>
      <c r="C4142" s="160"/>
      <c r="D4142" s="130"/>
      <c r="E4142" s="130"/>
      <c r="F4142" s="161"/>
      <c r="G4142" s="164"/>
      <c r="H4142" s="76" t="b">
        <v>1</v>
      </c>
      <c r="I4142" s="76" t="b">
        <v>0</v>
      </c>
      <c r="J4142" s="76" t="b">
        <v>0</v>
      </c>
      <c r="K4142" s="76" t="b">
        <v>0</v>
      </c>
      <c r="L4142" s="76" t="b">
        <v>0</v>
      </c>
      <c r="M4142" s="76" t="b">
        <v>0</v>
      </c>
      <c r="N4142" s="76" t="b">
        <v>0</v>
      </c>
      <c r="O4142" s="76" t="b">
        <v>0</v>
      </c>
      <c r="P4142" s="76" t="b">
        <v>0</v>
      </c>
      <c r="Q4142" s="76" t="b">
        <v>0</v>
      </c>
      <c r="R4142" s="14"/>
      <c r="S4142" s="14"/>
      <c r="T4142" s="14"/>
      <c r="U4142" s="14"/>
      <c r="V4142" s="14"/>
      <c r="W4142" s="14"/>
    </row>
    <row r="4143" ht="31.5" customHeight="1">
      <c r="A4143" s="158"/>
      <c r="B4143" s="159"/>
      <c r="C4143" s="160"/>
      <c r="D4143" s="130"/>
      <c r="E4143" s="130"/>
      <c r="F4143" s="161"/>
      <c r="G4143" s="164"/>
      <c r="H4143" s="76" t="b">
        <v>1</v>
      </c>
      <c r="I4143" s="76" t="b">
        <v>0</v>
      </c>
      <c r="J4143" s="76" t="b">
        <v>0</v>
      </c>
      <c r="K4143" s="76" t="b">
        <v>0</v>
      </c>
      <c r="L4143" s="76" t="b">
        <v>0</v>
      </c>
      <c r="M4143" s="76" t="b">
        <v>0</v>
      </c>
      <c r="N4143" s="76" t="b">
        <v>0</v>
      </c>
      <c r="O4143" s="76" t="b">
        <v>0</v>
      </c>
      <c r="P4143" s="76" t="b">
        <v>0</v>
      </c>
      <c r="Q4143" s="76" t="b">
        <v>0</v>
      </c>
      <c r="R4143" s="14"/>
      <c r="S4143" s="14"/>
      <c r="T4143" s="14"/>
      <c r="U4143" s="14"/>
      <c r="V4143" s="14"/>
      <c r="W4143" s="14"/>
    </row>
    <row r="4144" ht="31.5" customHeight="1">
      <c r="A4144" s="158"/>
      <c r="B4144" s="159"/>
      <c r="C4144" s="160"/>
      <c r="D4144" s="130"/>
      <c r="E4144" s="130"/>
      <c r="F4144" s="161"/>
      <c r="G4144" s="164"/>
      <c r="H4144" s="76" t="b">
        <v>1</v>
      </c>
      <c r="I4144" s="76" t="b">
        <v>0</v>
      </c>
      <c r="J4144" s="76" t="b">
        <v>0</v>
      </c>
      <c r="K4144" s="76" t="b">
        <v>0</v>
      </c>
      <c r="L4144" s="76" t="b">
        <v>0</v>
      </c>
      <c r="M4144" s="76" t="b">
        <v>0</v>
      </c>
      <c r="N4144" s="76" t="b">
        <v>0</v>
      </c>
      <c r="O4144" s="76" t="b">
        <v>0</v>
      </c>
      <c r="P4144" s="76" t="b">
        <v>0</v>
      </c>
      <c r="Q4144" s="76" t="b">
        <v>0</v>
      </c>
      <c r="R4144" s="14"/>
      <c r="S4144" s="14"/>
      <c r="T4144" s="14"/>
      <c r="U4144" s="14"/>
      <c r="V4144" s="14"/>
      <c r="W4144" s="14"/>
    </row>
    <row r="4145" ht="31.5" customHeight="1">
      <c r="A4145" s="158"/>
      <c r="B4145" s="159"/>
      <c r="C4145" s="160"/>
      <c r="D4145" s="130"/>
      <c r="E4145" s="130"/>
      <c r="F4145" s="161"/>
      <c r="G4145" s="164"/>
      <c r="H4145" s="76" t="b">
        <v>1</v>
      </c>
      <c r="I4145" s="76" t="b">
        <v>0</v>
      </c>
      <c r="J4145" s="76" t="b">
        <v>0</v>
      </c>
      <c r="K4145" s="76" t="b">
        <v>0</v>
      </c>
      <c r="L4145" s="76" t="b">
        <v>0</v>
      </c>
      <c r="M4145" s="76" t="b">
        <v>0</v>
      </c>
      <c r="N4145" s="76" t="b">
        <v>0</v>
      </c>
      <c r="O4145" s="76" t="b">
        <v>0</v>
      </c>
      <c r="P4145" s="76" t="b">
        <v>0</v>
      </c>
      <c r="Q4145" s="76" t="b">
        <v>0</v>
      </c>
      <c r="R4145" s="14"/>
      <c r="S4145" s="14"/>
      <c r="T4145" s="14"/>
      <c r="U4145" s="14"/>
      <c r="V4145" s="14"/>
      <c r="W4145" s="14"/>
    </row>
    <row r="4146" ht="31.5" customHeight="1">
      <c r="A4146" s="158"/>
      <c r="B4146" s="159"/>
      <c r="C4146" s="160"/>
      <c r="D4146" s="130"/>
      <c r="E4146" s="130"/>
      <c r="F4146" s="161"/>
      <c r="G4146" s="164"/>
      <c r="H4146" s="76" t="b">
        <v>1</v>
      </c>
      <c r="I4146" s="76" t="b">
        <v>0</v>
      </c>
      <c r="J4146" s="76" t="b">
        <v>0</v>
      </c>
      <c r="K4146" s="76" t="b">
        <v>0</v>
      </c>
      <c r="L4146" s="76" t="b">
        <v>0</v>
      </c>
      <c r="M4146" s="76" t="b">
        <v>0</v>
      </c>
      <c r="N4146" s="76" t="b">
        <v>0</v>
      </c>
      <c r="O4146" s="76" t="b">
        <v>0</v>
      </c>
      <c r="P4146" s="76" t="b">
        <v>0</v>
      </c>
      <c r="Q4146" s="76" t="b">
        <v>0</v>
      </c>
      <c r="R4146" s="14"/>
      <c r="S4146" s="14"/>
      <c r="T4146" s="14"/>
      <c r="U4146" s="14"/>
      <c r="V4146" s="14"/>
      <c r="W4146" s="14"/>
    </row>
    <row r="4147" ht="31.5" customHeight="1">
      <c r="A4147" s="158"/>
      <c r="B4147" s="159"/>
      <c r="C4147" s="160"/>
      <c r="D4147" s="130"/>
      <c r="E4147" s="130"/>
      <c r="F4147" s="161"/>
      <c r="G4147" s="164"/>
      <c r="H4147" s="76" t="b">
        <v>1</v>
      </c>
      <c r="I4147" s="76" t="b">
        <v>0</v>
      </c>
      <c r="J4147" s="76" t="b">
        <v>0</v>
      </c>
      <c r="K4147" s="76" t="b">
        <v>0</v>
      </c>
      <c r="L4147" s="76" t="b">
        <v>0</v>
      </c>
      <c r="M4147" s="76" t="b">
        <v>0</v>
      </c>
      <c r="N4147" s="76" t="b">
        <v>0</v>
      </c>
      <c r="O4147" s="76" t="b">
        <v>0</v>
      </c>
      <c r="P4147" s="76" t="b">
        <v>0</v>
      </c>
      <c r="Q4147" s="76" t="b">
        <v>0</v>
      </c>
      <c r="R4147" s="14"/>
      <c r="S4147" s="14"/>
      <c r="T4147" s="14"/>
      <c r="U4147" s="14"/>
      <c r="V4147" s="14"/>
      <c r="W4147" s="14"/>
    </row>
    <row r="4148" ht="31.5" customHeight="1">
      <c r="A4148" s="158"/>
      <c r="B4148" s="159"/>
      <c r="C4148" s="160"/>
      <c r="D4148" s="130"/>
      <c r="E4148" s="130"/>
      <c r="F4148" s="161"/>
      <c r="G4148" s="164"/>
      <c r="H4148" s="76" t="b">
        <v>1</v>
      </c>
      <c r="I4148" s="76" t="b">
        <v>0</v>
      </c>
      <c r="J4148" s="76" t="b">
        <v>0</v>
      </c>
      <c r="K4148" s="76" t="b">
        <v>0</v>
      </c>
      <c r="L4148" s="76" t="b">
        <v>0</v>
      </c>
      <c r="M4148" s="76" t="b">
        <v>0</v>
      </c>
      <c r="N4148" s="76" t="b">
        <v>0</v>
      </c>
      <c r="O4148" s="76" t="b">
        <v>0</v>
      </c>
      <c r="P4148" s="76" t="b">
        <v>0</v>
      </c>
      <c r="Q4148" s="76" t="b">
        <v>0</v>
      </c>
      <c r="R4148" s="14"/>
      <c r="S4148" s="14"/>
      <c r="T4148" s="14"/>
      <c r="U4148" s="14"/>
      <c r="V4148" s="14"/>
      <c r="W4148" s="14"/>
    </row>
    <row r="4149" ht="31.5" customHeight="1">
      <c r="A4149" s="158"/>
      <c r="B4149" s="159"/>
      <c r="C4149" s="160"/>
      <c r="D4149" s="130"/>
      <c r="E4149" s="130"/>
      <c r="F4149" s="161"/>
      <c r="G4149" s="164"/>
      <c r="H4149" s="76" t="b">
        <v>1</v>
      </c>
      <c r="I4149" s="76" t="b">
        <v>0</v>
      </c>
      <c r="J4149" s="76" t="b">
        <v>0</v>
      </c>
      <c r="K4149" s="76" t="b">
        <v>0</v>
      </c>
      <c r="L4149" s="76" t="b">
        <v>0</v>
      </c>
      <c r="M4149" s="76" t="b">
        <v>0</v>
      </c>
      <c r="N4149" s="76" t="b">
        <v>0</v>
      </c>
      <c r="O4149" s="76" t="b">
        <v>0</v>
      </c>
      <c r="P4149" s="76" t="b">
        <v>0</v>
      </c>
      <c r="Q4149" s="76" t="b">
        <v>0</v>
      </c>
      <c r="R4149" s="14"/>
      <c r="S4149" s="14"/>
      <c r="T4149" s="14"/>
      <c r="U4149" s="14"/>
      <c r="V4149" s="14"/>
      <c r="W4149" s="14"/>
    </row>
    <row r="4150" ht="31.5" customHeight="1">
      <c r="A4150" s="158"/>
      <c r="B4150" s="159"/>
      <c r="C4150" s="160"/>
      <c r="D4150" s="130"/>
      <c r="E4150" s="130"/>
      <c r="F4150" s="161"/>
      <c r="G4150" s="164"/>
      <c r="H4150" s="76" t="b">
        <v>1</v>
      </c>
      <c r="I4150" s="76" t="b">
        <v>0</v>
      </c>
      <c r="J4150" s="76" t="b">
        <v>0</v>
      </c>
      <c r="K4150" s="76" t="b">
        <v>0</v>
      </c>
      <c r="L4150" s="76" t="b">
        <v>0</v>
      </c>
      <c r="M4150" s="76" t="b">
        <v>0</v>
      </c>
      <c r="N4150" s="76" t="b">
        <v>0</v>
      </c>
      <c r="O4150" s="76" t="b">
        <v>0</v>
      </c>
      <c r="P4150" s="76" t="b">
        <v>0</v>
      </c>
      <c r="Q4150" s="76" t="b">
        <v>0</v>
      </c>
      <c r="R4150" s="14"/>
      <c r="S4150" s="14"/>
      <c r="T4150" s="14"/>
      <c r="U4150" s="14"/>
      <c r="V4150" s="14"/>
      <c r="W4150" s="14"/>
    </row>
    <row r="4151" ht="31.5" customHeight="1">
      <c r="A4151" s="158"/>
      <c r="B4151" s="159"/>
      <c r="C4151" s="160"/>
      <c r="D4151" s="130"/>
      <c r="E4151" s="130"/>
      <c r="F4151" s="161"/>
      <c r="G4151" s="164"/>
      <c r="H4151" s="76" t="b">
        <v>1</v>
      </c>
      <c r="I4151" s="76" t="b">
        <v>0</v>
      </c>
      <c r="J4151" s="76" t="b">
        <v>0</v>
      </c>
      <c r="K4151" s="76" t="b">
        <v>0</v>
      </c>
      <c r="L4151" s="76" t="b">
        <v>0</v>
      </c>
      <c r="M4151" s="76" t="b">
        <v>0</v>
      </c>
      <c r="N4151" s="76" t="b">
        <v>0</v>
      </c>
      <c r="O4151" s="76" t="b">
        <v>0</v>
      </c>
      <c r="P4151" s="76" t="b">
        <v>0</v>
      </c>
      <c r="Q4151" s="76" t="b">
        <v>0</v>
      </c>
      <c r="R4151" s="14"/>
      <c r="S4151" s="14"/>
      <c r="T4151" s="14"/>
      <c r="U4151" s="14"/>
      <c r="V4151" s="14"/>
      <c r="W4151" s="14"/>
    </row>
    <row r="4152" ht="31.5" customHeight="1">
      <c r="A4152" s="158"/>
      <c r="B4152" s="159"/>
      <c r="C4152" s="160"/>
      <c r="D4152" s="130"/>
      <c r="E4152" s="130"/>
      <c r="F4152" s="161"/>
      <c r="G4152" s="164"/>
      <c r="H4152" s="76" t="b">
        <v>1</v>
      </c>
      <c r="I4152" s="76" t="b">
        <v>0</v>
      </c>
      <c r="J4152" s="76" t="b">
        <v>0</v>
      </c>
      <c r="K4152" s="76" t="b">
        <v>0</v>
      </c>
      <c r="L4152" s="76" t="b">
        <v>0</v>
      </c>
      <c r="M4152" s="76" t="b">
        <v>0</v>
      </c>
      <c r="N4152" s="76" t="b">
        <v>0</v>
      </c>
      <c r="O4152" s="76" t="b">
        <v>0</v>
      </c>
      <c r="P4152" s="76" t="b">
        <v>0</v>
      </c>
      <c r="Q4152" s="76" t="b">
        <v>0</v>
      </c>
      <c r="R4152" s="14"/>
      <c r="S4152" s="14"/>
      <c r="T4152" s="14"/>
      <c r="U4152" s="14"/>
      <c r="V4152" s="14"/>
      <c r="W4152" s="14"/>
    </row>
    <row r="4153" ht="31.5" customHeight="1">
      <c r="A4153" s="158"/>
      <c r="B4153" s="159"/>
      <c r="C4153" s="160"/>
      <c r="D4153" s="130"/>
      <c r="E4153" s="130"/>
      <c r="F4153" s="161"/>
      <c r="G4153" s="164"/>
      <c r="H4153" s="76" t="b">
        <v>1</v>
      </c>
      <c r="I4153" s="76" t="b">
        <v>0</v>
      </c>
      <c r="J4153" s="76" t="b">
        <v>0</v>
      </c>
      <c r="K4153" s="76" t="b">
        <v>0</v>
      </c>
      <c r="L4153" s="76" t="b">
        <v>0</v>
      </c>
      <c r="M4153" s="76" t="b">
        <v>0</v>
      </c>
      <c r="N4153" s="76" t="b">
        <v>0</v>
      </c>
      <c r="O4153" s="76" t="b">
        <v>0</v>
      </c>
      <c r="P4153" s="76" t="b">
        <v>0</v>
      </c>
      <c r="Q4153" s="76" t="b">
        <v>0</v>
      </c>
      <c r="R4153" s="14"/>
      <c r="S4153" s="14"/>
      <c r="T4153" s="14"/>
      <c r="U4153" s="14"/>
      <c r="V4153" s="14"/>
      <c r="W4153" s="14"/>
    </row>
    <row r="4154" ht="31.5" customHeight="1">
      <c r="A4154" s="158"/>
      <c r="B4154" s="159"/>
      <c r="C4154" s="160"/>
      <c r="D4154" s="130"/>
      <c r="E4154" s="130"/>
      <c r="F4154" s="161"/>
      <c r="G4154" s="164"/>
      <c r="H4154" s="76" t="b">
        <v>1</v>
      </c>
      <c r="I4154" s="76" t="b">
        <v>0</v>
      </c>
      <c r="J4154" s="76" t="b">
        <v>0</v>
      </c>
      <c r="K4154" s="76" t="b">
        <v>0</v>
      </c>
      <c r="L4154" s="76" t="b">
        <v>0</v>
      </c>
      <c r="M4154" s="76" t="b">
        <v>0</v>
      </c>
      <c r="N4154" s="76" t="b">
        <v>0</v>
      </c>
      <c r="O4154" s="76" t="b">
        <v>0</v>
      </c>
      <c r="P4154" s="76" t="b">
        <v>0</v>
      </c>
      <c r="Q4154" s="76" t="b">
        <v>0</v>
      </c>
      <c r="R4154" s="14"/>
      <c r="S4154" s="14"/>
      <c r="T4154" s="14"/>
      <c r="U4154" s="14"/>
      <c r="V4154" s="14"/>
      <c r="W4154" s="14"/>
    </row>
    <row r="4155" ht="31.5" customHeight="1">
      <c r="A4155" s="158"/>
      <c r="B4155" s="159"/>
      <c r="C4155" s="160"/>
      <c r="D4155" s="130"/>
      <c r="E4155" s="130"/>
      <c r="F4155" s="161"/>
      <c r="G4155" s="164"/>
      <c r="H4155" s="76" t="b">
        <v>1</v>
      </c>
      <c r="I4155" s="76" t="b">
        <v>0</v>
      </c>
      <c r="J4155" s="76" t="b">
        <v>0</v>
      </c>
      <c r="K4155" s="76" t="b">
        <v>0</v>
      </c>
      <c r="L4155" s="76" t="b">
        <v>0</v>
      </c>
      <c r="M4155" s="76" t="b">
        <v>0</v>
      </c>
      <c r="N4155" s="76" t="b">
        <v>0</v>
      </c>
      <c r="O4155" s="76" t="b">
        <v>0</v>
      </c>
      <c r="P4155" s="76" t="b">
        <v>0</v>
      </c>
      <c r="Q4155" s="76" t="b">
        <v>0</v>
      </c>
      <c r="R4155" s="14"/>
      <c r="S4155" s="14"/>
      <c r="T4155" s="14"/>
      <c r="U4155" s="14"/>
      <c r="V4155" s="14"/>
      <c r="W4155" s="14"/>
    </row>
    <row r="4156" ht="31.5" customHeight="1">
      <c r="A4156" s="158"/>
      <c r="B4156" s="159"/>
      <c r="C4156" s="160"/>
      <c r="D4156" s="130"/>
      <c r="E4156" s="130"/>
      <c r="F4156" s="161"/>
      <c r="G4156" s="164"/>
      <c r="H4156" s="76" t="b">
        <v>1</v>
      </c>
      <c r="I4156" s="76" t="b">
        <v>0</v>
      </c>
      <c r="J4156" s="76" t="b">
        <v>0</v>
      </c>
      <c r="K4156" s="76" t="b">
        <v>0</v>
      </c>
      <c r="L4156" s="76" t="b">
        <v>0</v>
      </c>
      <c r="M4156" s="76" t="b">
        <v>0</v>
      </c>
      <c r="N4156" s="76" t="b">
        <v>0</v>
      </c>
      <c r="O4156" s="76" t="b">
        <v>0</v>
      </c>
      <c r="P4156" s="76" t="b">
        <v>0</v>
      </c>
      <c r="Q4156" s="76" t="b">
        <v>0</v>
      </c>
      <c r="R4156" s="14"/>
      <c r="S4156" s="14"/>
      <c r="T4156" s="14"/>
      <c r="U4156" s="14"/>
      <c r="V4156" s="14"/>
      <c r="W4156" s="14"/>
    </row>
    <row r="4157" ht="31.5" customHeight="1">
      <c r="A4157" s="158"/>
      <c r="B4157" s="159"/>
      <c r="C4157" s="160"/>
      <c r="D4157" s="130"/>
      <c r="E4157" s="130"/>
      <c r="F4157" s="161"/>
      <c r="G4157" s="164"/>
      <c r="H4157" s="76" t="b">
        <v>1</v>
      </c>
      <c r="I4157" s="76" t="b">
        <v>0</v>
      </c>
      <c r="J4157" s="76" t="b">
        <v>0</v>
      </c>
      <c r="K4157" s="76" t="b">
        <v>0</v>
      </c>
      <c r="L4157" s="76" t="b">
        <v>0</v>
      </c>
      <c r="M4157" s="76" t="b">
        <v>0</v>
      </c>
      <c r="N4157" s="76" t="b">
        <v>0</v>
      </c>
      <c r="O4157" s="76" t="b">
        <v>0</v>
      </c>
      <c r="P4157" s="76" t="b">
        <v>0</v>
      </c>
      <c r="Q4157" s="76" t="b">
        <v>0</v>
      </c>
      <c r="R4157" s="14"/>
      <c r="S4157" s="14"/>
      <c r="T4157" s="14"/>
      <c r="U4157" s="14"/>
      <c r="V4157" s="14"/>
      <c r="W4157" s="14"/>
    </row>
    <row r="4158" ht="31.5" customHeight="1">
      <c r="A4158" s="158"/>
      <c r="B4158" s="159"/>
      <c r="C4158" s="160"/>
      <c r="D4158" s="130"/>
      <c r="E4158" s="130"/>
      <c r="F4158" s="161"/>
      <c r="G4158" s="164"/>
      <c r="H4158" s="76" t="b">
        <v>1</v>
      </c>
      <c r="I4158" s="76" t="b">
        <v>0</v>
      </c>
      <c r="J4158" s="76" t="b">
        <v>0</v>
      </c>
      <c r="K4158" s="76" t="b">
        <v>0</v>
      </c>
      <c r="L4158" s="76" t="b">
        <v>0</v>
      </c>
      <c r="M4158" s="76" t="b">
        <v>0</v>
      </c>
      <c r="N4158" s="76" t="b">
        <v>0</v>
      </c>
      <c r="O4158" s="76" t="b">
        <v>0</v>
      </c>
      <c r="P4158" s="76" t="b">
        <v>0</v>
      </c>
      <c r="Q4158" s="76" t="b">
        <v>0</v>
      </c>
      <c r="R4158" s="14"/>
      <c r="S4158" s="14"/>
      <c r="T4158" s="14"/>
      <c r="U4158" s="14"/>
      <c r="V4158" s="14"/>
      <c r="W4158" s="14"/>
    </row>
    <row r="4159" ht="31.5" customHeight="1">
      <c r="A4159" s="158"/>
      <c r="B4159" s="159"/>
      <c r="C4159" s="160"/>
      <c r="D4159" s="130"/>
      <c r="E4159" s="130"/>
      <c r="F4159" s="161"/>
      <c r="G4159" s="164"/>
      <c r="H4159" s="76" t="b">
        <v>1</v>
      </c>
      <c r="I4159" s="76" t="b">
        <v>0</v>
      </c>
      <c r="J4159" s="76" t="b">
        <v>0</v>
      </c>
      <c r="K4159" s="76" t="b">
        <v>0</v>
      </c>
      <c r="L4159" s="76" t="b">
        <v>0</v>
      </c>
      <c r="M4159" s="76" t="b">
        <v>0</v>
      </c>
      <c r="N4159" s="76" t="b">
        <v>0</v>
      </c>
      <c r="O4159" s="76" t="b">
        <v>0</v>
      </c>
      <c r="P4159" s="76" t="b">
        <v>0</v>
      </c>
      <c r="Q4159" s="76" t="b">
        <v>0</v>
      </c>
      <c r="R4159" s="14"/>
      <c r="S4159" s="14"/>
      <c r="T4159" s="14"/>
      <c r="U4159" s="14"/>
      <c r="V4159" s="14"/>
      <c r="W4159" s="14"/>
    </row>
    <row r="4160" ht="31.5" customHeight="1">
      <c r="A4160" s="158"/>
      <c r="B4160" s="159"/>
      <c r="C4160" s="160"/>
      <c r="D4160" s="130"/>
      <c r="E4160" s="130"/>
      <c r="F4160" s="161"/>
      <c r="G4160" s="164"/>
      <c r="H4160" s="76" t="b">
        <v>1</v>
      </c>
      <c r="I4160" s="76" t="b">
        <v>0</v>
      </c>
      <c r="J4160" s="76" t="b">
        <v>0</v>
      </c>
      <c r="K4160" s="76" t="b">
        <v>0</v>
      </c>
      <c r="L4160" s="76" t="b">
        <v>0</v>
      </c>
      <c r="M4160" s="76" t="b">
        <v>0</v>
      </c>
      <c r="N4160" s="76" t="b">
        <v>0</v>
      </c>
      <c r="O4160" s="76" t="b">
        <v>0</v>
      </c>
      <c r="P4160" s="76" t="b">
        <v>0</v>
      </c>
      <c r="Q4160" s="76" t="b">
        <v>0</v>
      </c>
      <c r="R4160" s="14"/>
      <c r="S4160" s="14"/>
      <c r="T4160" s="14"/>
      <c r="U4160" s="14"/>
      <c r="V4160" s="14"/>
      <c r="W4160" s="14"/>
    </row>
    <row r="4161" ht="31.5" customHeight="1">
      <c r="A4161" s="158"/>
      <c r="B4161" s="159"/>
      <c r="C4161" s="160"/>
      <c r="D4161" s="130"/>
      <c r="E4161" s="130"/>
      <c r="F4161" s="161"/>
      <c r="G4161" s="164"/>
      <c r="H4161" s="76" t="b">
        <v>1</v>
      </c>
      <c r="I4161" s="76" t="b">
        <v>0</v>
      </c>
      <c r="J4161" s="76" t="b">
        <v>0</v>
      </c>
      <c r="K4161" s="76" t="b">
        <v>0</v>
      </c>
      <c r="L4161" s="76" t="b">
        <v>0</v>
      </c>
      <c r="M4161" s="76" t="b">
        <v>0</v>
      </c>
      <c r="N4161" s="76" t="b">
        <v>0</v>
      </c>
      <c r="O4161" s="76" t="b">
        <v>0</v>
      </c>
      <c r="P4161" s="76" t="b">
        <v>0</v>
      </c>
      <c r="Q4161" s="76" t="b">
        <v>0</v>
      </c>
      <c r="R4161" s="14"/>
      <c r="S4161" s="14"/>
      <c r="T4161" s="14"/>
      <c r="U4161" s="14"/>
      <c r="V4161" s="14"/>
      <c r="W4161" s="14"/>
    </row>
    <row r="4162" ht="31.5" customHeight="1">
      <c r="A4162" s="158"/>
      <c r="B4162" s="159"/>
      <c r="C4162" s="160"/>
      <c r="D4162" s="130"/>
      <c r="E4162" s="130"/>
      <c r="F4162" s="161"/>
      <c r="G4162" s="164"/>
      <c r="H4162" s="76" t="b">
        <v>1</v>
      </c>
      <c r="I4162" s="76" t="b">
        <v>0</v>
      </c>
      <c r="J4162" s="76" t="b">
        <v>0</v>
      </c>
      <c r="K4162" s="76" t="b">
        <v>0</v>
      </c>
      <c r="L4162" s="76" t="b">
        <v>0</v>
      </c>
      <c r="M4162" s="76" t="b">
        <v>0</v>
      </c>
      <c r="N4162" s="76" t="b">
        <v>0</v>
      </c>
      <c r="O4162" s="76" t="b">
        <v>0</v>
      </c>
      <c r="P4162" s="76" t="b">
        <v>0</v>
      </c>
      <c r="Q4162" s="76" t="b">
        <v>0</v>
      </c>
      <c r="R4162" s="14"/>
      <c r="S4162" s="14"/>
      <c r="T4162" s="14"/>
      <c r="U4162" s="14"/>
      <c r="V4162" s="14"/>
      <c r="W4162" s="14"/>
    </row>
    <row r="4163" ht="31.5" customHeight="1">
      <c r="A4163" s="158"/>
      <c r="B4163" s="159"/>
      <c r="C4163" s="160"/>
      <c r="D4163" s="130"/>
      <c r="E4163" s="130"/>
      <c r="F4163" s="161"/>
      <c r="G4163" s="164"/>
      <c r="H4163" s="76" t="b">
        <v>1</v>
      </c>
      <c r="I4163" s="76" t="b">
        <v>0</v>
      </c>
      <c r="J4163" s="76" t="b">
        <v>0</v>
      </c>
      <c r="K4163" s="76" t="b">
        <v>0</v>
      </c>
      <c r="L4163" s="76" t="b">
        <v>0</v>
      </c>
      <c r="M4163" s="76" t="b">
        <v>0</v>
      </c>
      <c r="N4163" s="76" t="b">
        <v>0</v>
      </c>
      <c r="O4163" s="76" t="b">
        <v>0</v>
      </c>
      <c r="P4163" s="76" t="b">
        <v>0</v>
      </c>
      <c r="Q4163" s="76" t="b">
        <v>0</v>
      </c>
      <c r="R4163" s="14"/>
      <c r="S4163" s="14"/>
      <c r="T4163" s="14"/>
      <c r="U4163" s="14"/>
      <c r="V4163" s="14"/>
      <c r="W4163" s="14"/>
    </row>
    <row r="4164" ht="31.5" customHeight="1">
      <c r="A4164" s="158"/>
      <c r="B4164" s="159"/>
      <c r="C4164" s="160"/>
      <c r="D4164" s="130"/>
      <c r="E4164" s="130"/>
      <c r="F4164" s="161"/>
      <c r="G4164" s="164"/>
      <c r="H4164" s="76" t="b">
        <v>1</v>
      </c>
      <c r="I4164" s="76" t="b">
        <v>0</v>
      </c>
      <c r="J4164" s="76" t="b">
        <v>0</v>
      </c>
      <c r="K4164" s="76" t="b">
        <v>0</v>
      </c>
      <c r="L4164" s="76" t="b">
        <v>0</v>
      </c>
      <c r="M4164" s="76" t="b">
        <v>0</v>
      </c>
      <c r="N4164" s="76" t="b">
        <v>0</v>
      </c>
      <c r="O4164" s="76" t="b">
        <v>0</v>
      </c>
      <c r="P4164" s="76" t="b">
        <v>0</v>
      </c>
      <c r="Q4164" s="76" t="b">
        <v>0</v>
      </c>
      <c r="R4164" s="14"/>
      <c r="S4164" s="14"/>
      <c r="T4164" s="14"/>
      <c r="U4164" s="14"/>
      <c r="V4164" s="14"/>
      <c r="W4164" s="14"/>
    </row>
    <row r="4165" ht="31.5" customHeight="1">
      <c r="A4165" s="158"/>
      <c r="B4165" s="159"/>
      <c r="C4165" s="160"/>
      <c r="D4165" s="130"/>
      <c r="E4165" s="130"/>
      <c r="F4165" s="161"/>
      <c r="G4165" s="164"/>
      <c r="H4165" s="76" t="b">
        <v>1</v>
      </c>
      <c r="I4165" s="76" t="b">
        <v>0</v>
      </c>
      <c r="J4165" s="76" t="b">
        <v>0</v>
      </c>
      <c r="K4165" s="76" t="b">
        <v>0</v>
      </c>
      <c r="L4165" s="76" t="b">
        <v>0</v>
      </c>
      <c r="M4165" s="76" t="b">
        <v>0</v>
      </c>
      <c r="N4165" s="76" t="b">
        <v>0</v>
      </c>
      <c r="O4165" s="76" t="b">
        <v>0</v>
      </c>
      <c r="P4165" s="76" t="b">
        <v>0</v>
      </c>
      <c r="Q4165" s="76" t="b">
        <v>0</v>
      </c>
      <c r="R4165" s="14"/>
      <c r="S4165" s="14"/>
      <c r="T4165" s="14"/>
      <c r="U4165" s="14"/>
      <c r="V4165" s="14"/>
      <c r="W4165" s="14"/>
    </row>
    <row r="4166" ht="31.5" customHeight="1">
      <c r="A4166" s="158"/>
      <c r="B4166" s="159"/>
      <c r="C4166" s="160"/>
      <c r="D4166" s="130"/>
      <c r="E4166" s="130"/>
      <c r="F4166" s="161"/>
      <c r="G4166" s="164"/>
      <c r="H4166" s="76" t="b">
        <v>1</v>
      </c>
      <c r="I4166" s="76" t="b">
        <v>0</v>
      </c>
      <c r="J4166" s="76" t="b">
        <v>0</v>
      </c>
      <c r="K4166" s="76" t="b">
        <v>0</v>
      </c>
      <c r="L4166" s="76" t="b">
        <v>0</v>
      </c>
      <c r="M4166" s="76" t="b">
        <v>0</v>
      </c>
      <c r="N4166" s="76" t="b">
        <v>0</v>
      </c>
      <c r="O4166" s="76" t="b">
        <v>0</v>
      </c>
      <c r="P4166" s="76" t="b">
        <v>0</v>
      </c>
      <c r="Q4166" s="76" t="b">
        <v>0</v>
      </c>
      <c r="R4166" s="14"/>
      <c r="S4166" s="14"/>
      <c r="T4166" s="14"/>
      <c r="U4166" s="14"/>
      <c r="V4166" s="14"/>
      <c r="W4166" s="14"/>
    </row>
    <row r="4167" ht="31.5" customHeight="1">
      <c r="A4167" s="158"/>
      <c r="B4167" s="159"/>
      <c r="C4167" s="160"/>
      <c r="D4167" s="130"/>
      <c r="E4167" s="130"/>
      <c r="F4167" s="161"/>
      <c r="G4167" s="164"/>
      <c r="H4167" s="76" t="b">
        <v>1</v>
      </c>
      <c r="I4167" s="76" t="b">
        <v>0</v>
      </c>
      <c r="J4167" s="76" t="b">
        <v>0</v>
      </c>
      <c r="K4167" s="76" t="b">
        <v>0</v>
      </c>
      <c r="L4167" s="76" t="b">
        <v>0</v>
      </c>
      <c r="M4167" s="76" t="b">
        <v>0</v>
      </c>
      <c r="N4167" s="76" t="b">
        <v>0</v>
      </c>
      <c r="O4167" s="76" t="b">
        <v>0</v>
      </c>
      <c r="P4167" s="76" t="b">
        <v>0</v>
      </c>
      <c r="Q4167" s="76" t="b">
        <v>0</v>
      </c>
      <c r="R4167" s="14"/>
      <c r="S4167" s="14"/>
      <c r="T4167" s="14"/>
      <c r="U4167" s="14"/>
      <c r="V4167" s="14"/>
      <c r="W4167" s="14"/>
    </row>
    <row r="4168" ht="31.5" customHeight="1">
      <c r="A4168" s="158"/>
      <c r="B4168" s="159"/>
      <c r="C4168" s="160"/>
      <c r="D4168" s="130"/>
      <c r="E4168" s="130"/>
      <c r="F4168" s="161"/>
      <c r="G4168" s="164"/>
      <c r="H4168" s="76" t="b">
        <v>1</v>
      </c>
      <c r="I4168" s="76" t="b">
        <v>0</v>
      </c>
      <c r="J4168" s="76" t="b">
        <v>0</v>
      </c>
      <c r="K4168" s="76" t="b">
        <v>0</v>
      </c>
      <c r="L4168" s="76" t="b">
        <v>0</v>
      </c>
      <c r="M4168" s="76" t="b">
        <v>0</v>
      </c>
      <c r="N4168" s="76" t="b">
        <v>0</v>
      </c>
      <c r="O4168" s="76" t="b">
        <v>0</v>
      </c>
      <c r="P4168" s="76" t="b">
        <v>0</v>
      </c>
      <c r="Q4168" s="76" t="b">
        <v>0</v>
      </c>
      <c r="R4168" s="14"/>
      <c r="S4168" s="14"/>
      <c r="T4168" s="14"/>
      <c r="U4168" s="14"/>
      <c r="V4168" s="14"/>
      <c r="W4168" s="14"/>
    </row>
    <row r="4169" ht="31.5" customHeight="1">
      <c r="A4169" s="158"/>
      <c r="B4169" s="159"/>
      <c r="C4169" s="160"/>
      <c r="D4169" s="130"/>
      <c r="E4169" s="130"/>
      <c r="F4169" s="161"/>
      <c r="G4169" s="164"/>
      <c r="H4169" s="76" t="b">
        <v>1</v>
      </c>
      <c r="I4169" s="76" t="b">
        <v>0</v>
      </c>
      <c r="J4169" s="76" t="b">
        <v>0</v>
      </c>
      <c r="K4169" s="76" t="b">
        <v>0</v>
      </c>
      <c r="L4169" s="76" t="b">
        <v>0</v>
      </c>
      <c r="M4169" s="76" t="b">
        <v>0</v>
      </c>
      <c r="N4169" s="76" t="b">
        <v>0</v>
      </c>
      <c r="O4169" s="76" t="b">
        <v>0</v>
      </c>
      <c r="P4169" s="76" t="b">
        <v>0</v>
      </c>
      <c r="Q4169" s="76" t="b">
        <v>0</v>
      </c>
      <c r="R4169" s="14"/>
      <c r="S4169" s="14"/>
      <c r="T4169" s="14"/>
      <c r="U4169" s="14"/>
      <c r="V4169" s="14"/>
      <c r="W4169" s="14"/>
    </row>
    <row r="4170" ht="31.5" customHeight="1">
      <c r="A4170" s="158"/>
      <c r="B4170" s="159"/>
      <c r="C4170" s="160"/>
      <c r="D4170" s="130"/>
      <c r="E4170" s="130"/>
      <c r="F4170" s="161"/>
      <c r="G4170" s="164"/>
      <c r="H4170" s="76" t="b">
        <v>1</v>
      </c>
      <c r="I4170" s="76" t="b">
        <v>0</v>
      </c>
      <c r="J4170" s="76" t="b">
        <v>0</v>
      </c>
      <c r="K4170" s="76" t="b">
        <v>0</v>
      </c>
      <c r="L4170" s="76" t="b">
        <v>0</v>
      </c>
      <c r="M4170" s="76" t="b">
        <v>0</v>
      </c>
      <c r="N4170" s="76" t="b">
        <v>0</v>
      </c>
      <c r="O4170" s="76" t="b">
        <v>0</v>
      </c>
      <c r="P4170" s="76" t="b">
        <v>0</v>
      </c>
      <c r="Q4170" s="76" t="b">
        <v>0</v>
      </c>
      <c r="R4170" s="14"/>
      <c r="S4170" s="14"/>
      <c r="T4170" s="14"/>
      <c r="U4170" s="14"/>
      <c r="V4170" s="14"/>
      <c r="W4170" s="14"/>
    </row>
    <row r="4171" ht="31.5" customHeight="1">
      <c r="A4171" s="158"/>
      <c r="B4171" s="159"/>
      <c r="C4171" s="160"/>
      <c r="D4171" s="130"/>
      <c r="E4171" s="130"/>
      <c r="F4171" s="161"/>
      <c r="G4171" s="164"/>
      <c r="H4171" s="76" t="b">
        <v>1</v>
      </c>
      <c r="I4171" s="76" t="b">
        <v>0</v>
      </c>
      <c r="J4171" s="76" t="b">
        <v>0</v>
      </c>
      <c r="K4171" s="76" t="b">
        <v>0</v>
      </c>
      <c r="L4171" s="76" t="b">
        <v>0</v>
      </c>
      <c r="M4171" s="76" t="b">
        <v>0</v>
      </c>
      <c r="N4171" s="76" t="b">
        <v>0</v>
      </c>
      <c r="O4171" s="76" t="b">
        <v>0</v>
      </c>
      <c r="P4171" s="76" t="b">
        <v>0</v>
      </c>
      <c r="Q4171" s="76" t="b">
        <v>0</v>
      </c>
      <c r="R4171" s="14"/>
      <c r="S4171" s="14"/>
      <c r="T4171" s="14"/>
      <c r="U4171" s="14"/>
      <c r="V4171" s="14"/>
      <c r="W4171" s="14"/>
    </row>
    <row r="4172" ht="31.5" customHeight="1">
      <c r="A4172" s="158"/>
      <c r="B4172" s="159"/>
      <c r="C4172" s="160"/>
      <c r="D4172" s="130"/>
      <c r="E4172" s="130"/>
      <c r="F4172" s="161"/>
      <c r="G4172" s="164"/>
      <c r="H4172" s="76" t="b">
        <v>1</v>
      </c>
      <c r="I4172" s="76" t="b">
        <v>0</v>
      </c>
      <c r="J4172" s="76" t="b">
        <v>0</v>
      </c>
      <c r="K4172" s="76" t="b">
        <v>0</v>
      </c>
      <c r="L4172" s="76" t="b">
        <v>0</v>
      </c>
      <c r="M4172" s="76" t="b">
        <v>0</v>
      </c>
      <c r="N4172" s="76" t="b">
        <v>0</v>
      </c>
      <c r="O4172" s="76" t="b">
        <v>0</v>
      </c>
      <c r="P4172" s="76" t="b">
        <v>0</v>
      </c>
      <c r="Q4172" s="76" t="b">
        <v>0</v>
      </c>
      <c r="R4172" s="14"/>
      <c r="S4172" s="14"/>
      <c r="T4172" s="14"/>
      <c r="U4172" s="14"/>
      <c r="V4172" s="14"/>
      <c r="W4172" s="14"/>
    </row>
    <row r="4173" ht="31.5" customHeight="1">
      <c r="A4173" s="158"/>
      <c r="B4173" s="159"/>
      <c r="C4173" s="160"/>
      <c r="D4173" s="130"/>
      <c r="E4173" s="130"/>
      <c r="F4173" s="161"/>
      <c r="G4173" s="164"/>
      <c r="H4173" s="76" t="b">
        <v>1</v>
      </c>
      <c r="I4173" s="76" t="b">
        <v>0</v>
      </c>
      <c r="J4173" s="76" t="b">
        <v>0</v>
      </c>
      <c r="K4173" s="76" t="b">
        <v>0</v>
      </c>
      <c r="L4173" s="76" t="b">
        <v>0</v>
      </c>
      <c r="M4173" s="76" t="b">
        <v>0</v>
      </c>
      <c r="N4173" s="76" t="b">
        <v>0</v>
      </c>
      <c r="O4173" s="76" t="b">
        <v>0</v>
      </c>
      <c r="P4173" s="76" t="b">
        <v>0</v>
      </c>
      <c r="Q4173" s="76" t="b">
        <v>0</v>
      </c>
      <c r="R4173" s="14"/>
      <c r="S4173" s="14"/>
      <c r="T4173" s="14"/>
      <c r="U4173" s="14"/>
      <c r="V4173" s="14"/>
      <c r="W4173" s="14"/>
    </row>
    <row r="4174" ht="31.5" customHeight="1">
      <c r="A4174" s="158"/>
      <c r="B4174" s="159"/>
      <c r="C4174" s="160"/>
      <c r="D4174" s="130"/>
      <c r="E4174" s="130"/>
      <c r="F4174" s="161"/>
      <c r="G4174" s="164"/>
      <c r="H4174" s="76" t="b">
        <v>1</v>
      </c>
      <c r="I4174" s="76" t="b">
        <v>0</v>
      </c>
      <c r="J4174" s="76" t="b">
        <v>0</v>
      </c>
      <c r="K4174" s="76" t="b">
        <v>0</v>
      </c>
      <c r="L4174" s="76" t="b">
        <v>0</v>
      </c>
      <c r="M4174" s="76" t="b">
        <v>0</v>
      </c>
      <c r="N4174" s="76" t="b">
        <v>0</v>
      </c>
      <c r="O4174" s="76" t="b">
        <v>0</v>
      </c>
      <c r="P4174" s="76" t="b">
        <v>0</v>
      </c>
      <c r="Q4174" s="76" t="b">
        <v>0</v>
      </c>
      <c r="R4174" s="14"/>
      <c r="S4174" s="14"/>
      <c r="T4174" s="14"/>
      <c r="U4174" s="14"/>
      <c r="V4174" s="14"/>
      <c r="W4174" s="14"/>
    </row>
    <row r="4175" ht="31.5" customHeight="1">
      <c r="A4175" s="158"/>
      <c r="B4175" s="159"/>
      <c r="C4175" s="160"/>
      <c r="D4175" s="130"/>
      <c r="E4175" s="130"/>
      <c r="F4175" s="161"/>
      <c r="G4175" s="164"/>
      <c r="H4175" s="76" t="b">
        <v>1</v>
      </c>
      <c r="I4175" s="76" t="b">
        <v>0</v>
      </c>
      <c r="J4175" s="76" t="b">
        <v>0</v>
      </c>
      <c r="K4175" s="76" t="b">
        <v>0</v>
      </c>
      <c r="L4175" s="76" t="b">
        <v>0</v>
      </c>
      <c r="M4175" s="76" t="b">
        <v>0</v>
      </c>
      <c r="N4175" s="76" t="b">
        <v>0</v>
      </c>
      <c r="O4175" s="76" t="b">
        <v>0</v>
      </c>
      <c r="P4175" s="76" t="b">
        <v>0</v>
      </c>
      <c r="Q4175" s="76" t="b">
        <v>0</v>
      </c>
      <c r="R4175" s="14"/>
      <c r="S4175" s="14"/>
      <c r="T4175" s="14"/>
      <c r="U4175" s="14"/>
      <c r="V4175" s="14"/>
      <c r="W4175" s="14"/>
    </row>
    <row r="4176" ht="31.5" customHeight="1">
      <c r="A4176" s="158"/>
      <c r="B4176" s="159"/>
      <c r="C4176" s="160"/>
      <c r="D4176" s="130"/>
      <c r="E4176" s="130"/>
      <c r="F4176" s="161"/>
      <c r="G4176" s="164"/>
      <c r="H4176" s="76" t="b">
        <v>1</v>
      </c>
      <c r="I4176" s="76" t="b">
        <v>0</v>
      </c>
      <c r="J4176" s="76" t="b">
        <v>0</v>
      </c>
      <c r="K4176" s="76" t="b">
        <v>0</v>
      </c>
      <c r="L4176" s="76" t="b">
        <v>0</v>
      </c>
      <c r="M4176" s="76" t="b">
        <v>0</v>
      </c>
      <c r="N4176" s="76" t="b">
        <v>0</v>
      </c>
      <c r="O4176" s="76" t="b">
        <v>0</v>
      </c>
      <c r="P4176" s="76" t="b">
        <v>0</v>
      </c>
      <c r="Q4176" s="76" t="b">
        <v>0</v>
      </c>
      <c r="R4176" s="14"/>
      <c r="S4176" s="14"/>
      <c r="T4176" s="14"/>
      <c r="U4176" s="14"/>
      <c r="V4176" s="14"/>
      <c r="W4176" s="14"/>
    </row>
    <row r="4177" ht="31.5" customHeight="1">
      <c r="A4177" s="158"/>
      <c r="B4177" s="159"/>
      <c r="C4177" s="160"/>
      <c r="D4177" s="130"/>
      <c r="E4177" s="130"/>
      <c r="F4177" s="161"/>
      <c r="G4177" s="164"/>
      <c r="H4177" s="76" t="b">
        <v>1</v>
      </c>
      <c r="I4177" s="76" t="b">
        <v>0</v>
      </c>
      <c r="J4177" s="76" t="b">
        <v>0</v>
      </c>
      <c r="K4177" s="76" t="b">
        <v>0</v>
      </c>
      <c r="L4177" s="76" t="b">
        <v>0</v>
      </c>
      <c r="M4177" s="76" t="b">
        <v>0</v>
      </c>
      <c r="N4177" s="76" t="b">
        <v>0</v>
      </c>
      <c r="O4177" s="76" t="b">
        <v>0</v>
      </c>
      <c r="P4177" s="76" t="b">
        <v>0</v>
      </c>
      <c r="Q4177" s="76" t="b">
        <v>0</v>
      </c>
      <c r="R4177" s="14"/>
      <c r="S4177" s="14"/>
      <c r="T4177" s="14"/>
      <c r="U4177" s="14"/>
      <c r="V4177" s="14"/>
      <c r="W4177" s="14"/>
    </row>
    <row r="4178" ht="31.5" customHeight="1">
      <c r="A4178" s="158"/>
      <c r="B4178" s="159"/>
      <c r="C4178" s="160"/>
      <c r="D4178" s="130"/>
      <c r="E4178" s="130"/>
      <c r="F4178" s="161"/>
      <c r="G4178" s="164"/>
      <c r="H4178" s="76" t="b">
        <v>1</v>
      </c>
      <c r="I4178" s="76" t="b">
        <v>0</v>
      </c>
      <c r="J4178" s="76" t="b">
        <v>0</v>
      </c>
      <c r="K4178" s="76" t="b">
        <v>0</v>
      </c>
      <c r="L4178" s="76" t="b">
        <v>0</v>
      </c>
      <c r="M4178" s="76" t="b">
        <v>0</v>
      </c>
      <c r="N4178" s="76" t="b">
        <v>0</v>
      </c>
      <c r="O4178" s="76" t="b">
        <v>0</v>
      </c>
      <c r="P4178" s="76" t="b">
        <v>0</v>
      </c>
      <c r="Q4178" s="76" t="b">
        <v>0</v>
      </c>
      <c r="R4178" s="14"/>
      <c r="S4178" s="14"/>
      <c r="T4178" s="14"/>
      <c r="U4178" s="14"/>
      <c r="V4178" s="14"/>
      <c r="W4178" s="14"/>
    </row>
    <row r="4179" ht="31.5" customHeight="1">
      <c r="A4179" s="158"/>
      <c r="B4179" s="159"/>
      <c r="C4179" s="160"/>
      <c r="D4179" s="130"/>
      <c r="E4179" s="130"/>
      <c r="F4179" s="161"/>
      <c r="G4179" s="164"/>
      <c r="H4179" s="76" t="b">
        <v>1</v>
      </c>
      <c r="I4179" s="76" t="b">
        <v>0</v>
      </c>
      <c r="J4179" s="76" t="b">
        <v>0</v>
      </c>
      <c r="K4179" s="76" t="b">
        <v>0</v>
      </c>
      <c r="L4179" s="76" t="b">
        <v>0</v>
      </c>
      <c r="M4179" s="76" t="b">
        <v>0</v>
      </c>
      <c r="N4179" s="76" t="b">
        <v>0</v>
      </c>
      <c r="O4179" s="76" t="b">
        <v>0</v>
      </c>
      <c r="P4179" s="76" t="b">
        <v>0</v>
      </c>
      <c r="Q4179" s="76" t="b">
        <v>0</v>
      </c>
      <c r="R4179" s="14"/>
      <c r="S4179" s="14"/>
      <c r="T4179" s="14"/>
      <c r="U4179" s="14"/>
      <c r="V4179" s="14"/>
      <c r="W4179" s="14"/>
    </row>
    <row r="4180" ht="31.5" customHeight="1">
      <c r="A4180" s="158"/>
      <c r="B4180" s="159"/>
      <c r="C4180" s="160"/>
      <c r="D4180" s="130"/>
      <c r="E4180" s="130"/>
      <c r="F4180" s="161"/>
      <c r="G4180" s="164"/>
      <c r="H4180" s="76" t="b">
        <v>1</v>
      </c>
      <c r="I4180" s="76" t="b">
        <v>0</v>
      </c>
      <c r="J4180" s="76" t="b">
        <v>0</v>
      </c>
      <c r="K4180" s="76" t="b">
        <v>0</v>
      </c>
      <c r="L4180" s="76" t="b">
        <v>0</v>
      </c>
      <c r="M4180" s="76" t="b">
        <v>0</v>
      </c>
      <c r="N4180" s="76" t="b">
        <v>0</v>
      </c>
      <c r="O4180" s="76" t="b">
        <v>0</v>
      </c>
      <c r="P4180" s="76" t="b">
        <v>0</v>
      </c>
      <c r="Q4180" s="76" t="b">
        <v>0</v>
      </c>
      <c r="R4180" s="14"/>
      <c r="S4180" s="14"/>
      <c r="T4180" s="14"/>
      <c r="U4180" s="14"/>
      <c r="V4180" s="14"/>
      <c r="W4180" s="14"/>
    </row>
    <row r="4181" ht="31.5" customHeight="1">
      <c r="A4181" s="158"/>
      <c r="B4181" s="159"/>
      <c r="C4181" s="160"/>
      <c r="D4181" s="130"/>
      <c r="E4181" s="130"/>
      <c r="F4181" s="161"/>
      <c r="G4181" s="164"/>
      <c r="H4181" s="76" t="b">
        <v>1</v>
      </c>
      <c r="I4181" s="76" t="b">
        <v>0</v>
      </c>
      <c r="J4181" s="76" t="b">
        <v>0</v>
      </c>
      <c r="K4181" s="76" t="b">
        <v>0</v>
      </c>
      <c r="L4181" s="76" t="b">
        <v>0</v>
      </c>
      <c r="M4181" s="76" t="b">
        <v>0</v>
      </c>
      <c r="N4181" s="76" t="b">
        <v>0</v>
      </c>
      <c r="O4181" s="76" t="b">
        <v>0</v>
      </c>
      <c r="P4181" s="76" t="b">
        <v>0</v>
      </c>
      <c r="Q4181" s="76" t="b">
        <v>0</v>
      </c>
      <c r="R4181" s="14"/>
      <c r="S4181" s="14"/>
      <c r="T4181" s="14"/>
      <c r="U4181" s="14"/>
      <c r="V4181" s="14"/>
      <c r="W4181" s="14"/>
    </row>
    <row r="4182" ht="31.5" customHeight="1">
      <c r="A4182" s="158"/>
      <c r="B4182" s="159"/>
      <c r="C4182" s="160"/>
      <c r="D4182" s="130"/>
      <c r="E4182" s="130"/>
      <c r="F4182" s="161"/>
      <c r="G4182" s="164"/>
      <c r="H4182" s="76" t="b">
        <v>1</v>
      </c>
      <c r="I4182" s="76" t="b">
        <v>0</v>
      </c>
      <c r="J4182" s="76" t="b">
        <v>0</v>
      </c>
      <c r="K4182" s="76" t="b">
        <v>0</v>
      </c>
      <c r="L4182" s="76" t="b">
        <v>0</v>
      </c>
      <c r="M4182" s="76" t="b">
        <v>0</v>
      </c>
      <c r="N4182" s="76" t="b">
        <v>0</v>
      </c>
      <c r="O4182" s="76" t="b">
        <v>0</v>
      </c>
      <c r="P4182" s="76" t="b">
        <v>0</v>
      </c>
      <c r="Q4182" s="76" t="b">
        <v>0</v>
      </c>
      <c r="R4182" s="14"/>
      <c r="S4182" s="14"/>
      <c r="T4182" s="14"/>
      <c r="U4182" s="14"/>
      <c r="V4182" s="14"/>
      <c r="W4182" s="14"/>
    </row>
    <row r="4183" ht="31.5" customHeight="1">
      <c r="A4183" s="158"/>
      <c r="B4183" s="159"/>
      <c r="C4183" s="160"/>
      <c r="D4183" s="130"/>
      <c r="E4183" s="130"/>
      <c r="F4183" s="161"/>
      <c r="G4183" s="164"/>
      <c r="H4183" s="76" t="b">
        <v>1</v>
      </c>
      <c r="I4183" s="76" t="b">
        <v>0</v>
      </c>
      <c r="J4183" s="76" t="b">
        <v>0</v>
      </c>
      <c r="K4183" s="76" t="b">
        <v>0</v>
      </c>
      <c r="L4183" s="76" t="b">
        <v>0</v>
      </c>
      <c r="M4183" s="76" t="b">
        <v>0</v>
      </c>
      <c r="N4183" s="76" t="b">
        <v>0</v>
      </c>
      <c r="O4183" s="76" t="b">
        <v>0</v>
      </c>
      <c r="P4183" s="76" t="b">
        <v>0</v>
      </c>
      <c r="Q4183" s="76" t="b">
        <v>0</v>
      </c>
      <c r="R4183" s="14"/>
      <c r="S4183" s="14"/>
      <c r="T4183" s="14"/>
      <c r="U4183" s="14"/>
      <c r="V4183" s="14"/>
      <c r="W4183" s="14"/>
    </row>
    <row r="4184" ht="31.5" customHeight="1">
      <c r="A4184" s="158"/>
      <c r="B4184" s="159"/>
      <c r="C4184" s="160"/>
      <c r="D4184" s="130"/>
      <c r="E4184" s="130"/>
      <c r="F4184" s="161"/>
      <c r="G4184" s="164"/>
      <c r="H4184" s="76" t="b">
        <v>1</v>
      </c>
      <c r="I4184" s="76" t="b">
        <v>0</v>
      </c>
      <c r="J4184" s="76" t="b">
        <v>0</v>
      </c>
      <c r="K4184" s="76" t="b">
        <v>0</v>
      </c>
      <c r="L4184" s="76" t="b">
        <v>0</v>
      </c>
      <c r="M4184" s="76" t="b">
        <v>0</v>
      </c>
      <c r="N4184" s="76" t="b">
        <v>0</v>
      </c>
      <c r="O4184" s="76" t="b">
        <v>0</v>
      </c>
      <c r="P4184" s="76" t="b">
        <v>0</v>
      </c>
      <c r="Q4184" s="76" t="b">
        <v>0</v>
      </c>
      <c r="R4184" s="14"/>
      <c r="S4184" s="14"/>
      <c r="T4184" s="14"/>
      <c r="U4184" s="14"/>
      <c r="V4184" s="14"/>
      <c r="W4184" s="14"/>
    </row>
    <row r="4185" ht="31.5" customHeight="1">
      <c r="A4185" s="158"/>
      <c r="B4185" s="159"/>
      <c r="C4185" s="160"/>
      <c r="D4185" s="130"/>
      <c r="E4185" s="130"/>
      <c r="F4185" s="161"/>
      <c r="G4185" s="164"/>
      <c r="H4185" s="76" t="b">
        <v>1</v>
      </c>
      <c r="I4185" s="76" t="b">
        <v>0</v>
      </c>
      <c r="J4185" s="76" t="b">
        <v>0</v>
      </c>
      <c r="K4185" s="76" t="b">
        <v>0</v>
      </c>
      <c r="L4185" s="76" t="b">
        <v>0</v>
      </c>
      <c r="M4185" s="76" t="b">
        <v>0</v>
      </c>
      <c r="N4185" s="76" t="b">
        <v>0</v>
      </c>
      <c r="O4185" s="76" t="b">
        <v>0</v>
      </c>
      <c r="P4185" s="76" t="b">
        <v>0</v>
      </c>
      <c r="Q4185" s="76" t="b">
        <v>0</v>
      </c>
      <c r="R4185" s="14"/>
      <c r="S4185" s="14"/>
      <c r="T4185" s="14"/>
      <c r="U4185" s="14"/>
      <c r="V4185" s="14"/>
      <c r="W4185" s="14"/>
    </row>
    <row r="4186" ht="31.5" customHeight="1">
      <c r="A4186" s="158"/>
      <c r="B4186" s="159"/>
      <c r="C4186" s="160"/>
      <c r="D4186" s="130"/>
      <c r="E4186" s="130"/>
      <c r="F4186" s="161"/>
      <c r="G4186" s="164"/>
      <c r="H4186" s="76" t="b">
        <v>1</v>
      </c>
      <c r="I4186" s="76" t="b">
        <v>0</v>
      </c>
      <c r="J4186" s="76" t="b">
        <v>0</v>
      </c>
      <c r="K4186" s="76" t="b">
        <v>0</v>
      </c>
      <c r="L4186" s="76" t="b">
        <v>0</v>
      </c>
      <c r="M4186" s="76" t="b">
        <v>0</v>
      </c>
      <c r="N4186" s="76" t="b">
        <v>0</v>
      </c>
      <c r="O4186" s="76" t="b">
        <v>0</v>
      </c>
      <c r="P4186" s="76" t="b">
        <v>0</v>
      </c>
      <c r="Q4186" s="76" t="b">
        <v>0</v>
      </c>
      <c r="R4186" s="14"/>
      <c r="S4186" s="14"/>
      <c r="T4186" s="14"/>
      <c r="U4186" s="14"/>
      <c r="V4186" s="14"/>
      <c r="W4186" s="14"/>
    </row>
    <row r="4187" ht="31.5" customHeight="1">
      <c r="A4187" s="158"/>
      <c r="B4187" s="159"/>
      <c r="C4187" s="160"/>
      <c r="D4187" s="130"/>
      <c r="E4187" s="130"/>
      <c r="F4187" s="161"/>
      <c r="G4187" s="164"/>
      <c r="H4187" s="76" t="b">
        <v>1</v>
      </c>
      <c r="I4187" s="76" t="b">
        <v>0</v>
      </c>
      <c r="J4187" s="76" t="b">
        <v>0</v>
      </c>
      <c r="K4187" s="76" t="b">
        <v>0</v>
      </c>
      <c r="L4187" s="76" t="b">
        <v>0</v>
      </c>
      <c r="M4187" s="76" t="b">
        <v>0</v>
      </c>
      <c r="N4187" s="76" t="b">
        <v>0</v>
      </c>
      <c r="O4187" s="76" t="b">
        <v>0</v>
      </c>
      <c r="P4187" s="76" t="b">
        <v>0</v>
      </c>
      <c r="Q4187" s="76" t="b">
        <v>0</v>
      </c>
      <c r="R4187" s="14"/>
      <c r="S4187" s="14"/>
      <c r="T4187" s="14"/>
      <c r="U4187" s="14"/>
      <c r="V4187" s="14"/>
      <c r="W4187" s="14"/>
    </row>
    <row r="4188" ht="31.5" customHeight="1">
      <c r="A4188" s="158"/>
      <c r="B4188" s="159"/>
      <c r="C4188" s="160"/>
      <c r="D4188" s="130"/>
      <c r="E4188" s="130"/>
      <c r="F4188" s="161"/>
      <c r="G4188" s="164"/>
      <c r="H4188" s="76" t="b">
        <v>1</v>
      </c>
      <c r="I4188" s="76" t="b">
        <v>0</v>
      </c>
      <c r="J4188" s="76" t="b">
        <v>0</v>
      </c>
      <c r="K4188" s="76" t="b">
        <v>0</v>
      </c>
      <c r="L4188" s="76" t="b">
        <v>0</v>
      </c>
      <c r="M4188" s="76" t="b">
        <v>0</v>
      </c>
      <c r="N4188" s="76" t="b">
        <v>0</v>
      </c>
      <c r="O4188" s="76" t="b">
        <v>0</v>
      </c>
      <c r="P4188" s="76" t="b">
        <v>0</v>
      </c>
      <c r="Q4188" s="76" t="b">
        <v>0</v>
      </c>
      <c r="R4188" s="14"/>
      <c r="S4188" s="14"/>
      <c r="T4188" s="14"/>
      <c r="U4188" s="14"/>
      <c r="V4188" s="14"/>
      <c r="W4188" s="14"/>
    </row>
    <row r="4189" ht="31.5" customHeight="1">
      <c r="A4189" s="158"/>
      <c r="B4189" s="159"/>
      <c r="C4189" s="160"/>
      <c r="D4189" s="130"/>
      <c r="E4189" s="130"/>
      <c r="F4189" s="161"/>
      <c r="G4189" s="164"/>
      <c r="H4189" s="76" t="b">
        <v>1</v>
      </c>
      <c r="I4189" s="76" t="b">
        <v>0</v>
      </c>
      <c r="J4189" s="76" t="b">
        <v>0</v>
      </c>
      <c r="K4189" s="76" t="b">
        <v>0</v>
      </c>
      <c r="L4189" s="76" t="b">
        <v>0</v>
      </c>
      <c r="M4189" s="76" t="b">
        <v>0</v>
      </c>
      <c r="N4189" s="76" t="b">
        <v>0</v>
      </c>
      <c r="O4189" s="76" t="b">
        <v>0</v>
      </c>
      <c r="P4189" s="76" t="b">
        <v>0</v>
      </c>
      <c r="Q4189" s="76" t="b">
        <v>0</v>
      </c>
      <c r="R4189" s="14"/>
      <c r="S4189" s="14"/>
      <c r="T4189" s="14"/>
      <c r="U4189" s="14"/>
      <c r="V4189" s="14"/>
      <c r="W4189" s="14"/>
    </row>
    <row r="4190" ht="31.5" customHeight="1">
      <c r="A4190" s="158"/>
      <c r="B4190" s="159"/>
      <c r="C4190" s="160"/>
      <c r="D4190" s="130"/>
      <c r="E4190" s="130"/>
      <c r="F4190" s="161"/>
      <c r="G4190" s="164"/>
      <c r="H4190" s="76" t="b">
        <v>1</v>
      </c>
      <c r="I4190" s="76" t="b">
        <v>0</v>
      </c>
      <c r="J4190" s="76" t="b">
        <v>0</v>
      </c>
      <c r="K4190" s="76" t="b">
        <v>0</v>
      </c>
      <c r="L4190" s="76" t="b">
        <v>0</v>
      </c>
      <c r="M4190" s="76" t="b">
        <v>0</v>
      </c>
      <c r="N4190" s="76" t="b">
        <v>0</v>
      </c>
      <c r="O4190" s="76" t="b">
        <v>0</v>
      </c>
      <c r="P4190" s="76" t="b">
        <v>0</v>
      </c>
      <c r="Q4190" s="76" t="b">
        <v>0</v>
      </c>
      <c r="R4190" s="14"/>
      <c r="S4190" s="14"/>
      <c r="T4190" s="14"/>
      <c r="U4190" s="14"/>
      <c r="V4190" s="14"/>
      <c r="W4190" s="14"/>
    </row>
    <row r="4191" ht="31.5" customHeight="1">
      <c r="A4191" s="158"/>
      <c r="B4191" s="159"/>
      <c r="C4191" s="160"/>
      <c r="D4191" s="130"/>
      <c r="E4191" s="130"/>
      <c r="F4191" s="161"/>
      <c r="G4191" s="164"/>
      <c r="H4191" s="76" t="b">
        <v>1</v>
      </c>
      <c r="I4191" s="76" t="b">
        <v>0</v>
      </c>
      <c r="J4191" s="76" t="b">
        <v>0</v>
      </c>
      <c r="K4191" s="76" t="b">
        <v>0</v>
      </c>
      <c r="L4191" s="76" t="b">
        <v>0</v>
      </c>
      <c r="M4191" s="76" t="b">
        <v>0</v>
      </c>
      <c r="N4191" s="76" t="b">
        <v>0</v>
      </c>
      <c r="O4191" s="76" t="b">
        <v>0</v>
      </c>
      <c r="P4191" s="76" t="b">
        <v>0</v>
      </c>
      <c r="Q4191" s="76" t="b">
        <v>0</v>
      </c>
      <c r="R4191" s="14"/>
      <c r="S4191" s="14"/>
      <c r="T4191" s="14"/>
      <c r="U4191" s="14"/>
      <c r="V4191" s="14"/>
      <c r="W4191" s="14"/>
    </row>
    <row r="4192" ht="31.5" customHeight="1">
      <c r="A4192" s="158"/>
      <c r="B4192" s="159"/>
      <c r="C4192" s="160"/>
      <c r="D4192" s="130"/>
      <c r="E4192" s="130"/>
      <c r="F4192" s="161"/>
      <c r="G4192" s="164"/>
      <c r="H4192" s="76" t="b">
        <v>1</v>
      </c>
      <c r="I4192" s="76" t="b">
        <v>0</v>
      </c>
      <c r="J4192" s="76" t="b">
        <v>0</v>
      </c>
      <c r="K4192" s="76" t="b">
        <v>0</v>
      </c>
      <c r="L4192" s="76" t="b">
        <v>0</v>
      </c>
      <c r="M4192" s="76" t="b">
        <v>0</v>
      </c>
      <c r="N4192" s="76" t="b">
        <v>0</v>
      </c>
      <c r="O4192" s="76" t="b">
        <v>0</v>
      </c>
      <c r="P4192" s="76" t="b">
        <v>0</v>
      </c>
      <c r="Q4192" s="76" t="b">
        <v>0</v>
      </c>
      <c r="R4192" s="14"/>
      <c r="S4192" s="14"/>
      <c r="T4192" s="14"/>
      <c r="U4192" s="14"/>
      <c r="V4192" s="14"/>
      <c r="W4192" s="14"/>
    </row>
    <row r="4193" ht="31.5" customHeight="1">
      <c r="A4193" s="158"/>
      <c r="B4193" s="159"/>
      <c r="C4193" s="160"/>
      <c r="D4193" s="130"/>
      <c r="E4193" s="130"/>
      <c r="F4193" s="161"/>
      <c r="G4193" s="164"/>
      <c r="H4193" s="76" t="b">
        <v>1</v>
      </c>
      <c r="I4193" s="76" t="b">
        <v>0</v>
      </c>
      <c r="J4193" s="76" t="b">
        <v>0</v>
      </c>
      <c r="K4193" s="76" t="b">
        <v>0</v>
      </c>
      <c r="L4193" s="76" t="b">
        <v>0</v>
      </c>
      <c r="M4193" s="76" t="b">
        <v>0</v>
      </c>
      <c r="N4193" s="76" t="b">
        <v>0</v>
      </c>
      <c r="O4193" s="76" t="b">
        <v>0</v>
      </c>
      <c r="P4193" s="76" t="b">
        <v>0</v>
      </c>
      <c r="Q4193" s="76" t="b">
        <v>0</v>
      </c>
      <c r="R4193" s="14"/>
      <c r="S4193" s="14"/>
      <c r="T4193" s="14"/>
      <c r="U4193" s="14"/>
      <c r="V4193" s="14"/>
      <c r="W4193" s="14"/>
    </row>
    <row r="4194" ht="31.5" customHeight="1">
      <c r="A4194" s="158"/>
      <c r="B4194" s="159"/>
      <c r="C4194" s="160"/>
      <c r="D4194" s="130"/>
      <c r="E4194" s="130"/>
      <c r="F4194" s="161"/>
      <c r="G4194" s="164"/>
      <c r="H4194" s="76" t="b">
        <v>1</v>
      </c>
      <c r="I4194" s="76" t="b">
        <v>0</v>
      </c>
      <c r="J4194" s="76" t="b">
        <v>0</v>
      </c>
      <c r="K4194" s="76" t="b">
        <v>0</v>
      </c>
      <c r="L4194" s="76" t="b">
        <v>0</v>
      </c>
      <c r="M4194" s="76" t="b">
        <v>0</v>
      </c>
      <c r="N4194" s="76" t="b">
        <v>0</v>
      </c>
      <c r="O4194" s="76" t="b">
        <v>0</v>
      </c>
      <c r="P4194" s="76" t="b">
        <v>0</v>
      </c>
      <c r="Q4194" s="76" t="b">
        <v>0</v>
      </c>
      <c r="R4194" s="14"/>
      <c r="S4194" s="14"/>
      <c r="T4194" s="14"/>
      <c r="U4194" s="14"/>
      <c r="V4194" s="14"/>
      <c r="W4194" s="14"/>
    </row>
    <row r="4195" ht="31.5" customHeight="1">
      <c r="A4195" s="158"/>
      <c r="B4195" s="159"/>
      <c r="C4195" s="160"/>
      <c r="D4195" s="130"/>
      <c r="E4195" s="130"/>
      <c r="F4195" s="161"/>
      <c r="G4195" s="164"/>
      <c r="H4195" s="76" t="b">
        <v>1</v>
      </c>
      <c r="I4195" s="76" t="b">
        <v>0</v>
      </c>
      <c r="J4195" s="76" t="b">
        <v>0</v>
      </c>
      <c r="K4195" s="76" t="b">
        <v>0</v>
      </c>
      <c r="L4195" s="76" t="b">
        <v>0</v>
      </c>
      <c r="M4195" s="76" t="b">
        <v>0</v>
      </c>
      <c r="N4195" s="76" t="b">
        <v>0</v>
      </c>
      <c r="O4195" s="76" t="b">
        <v>0</v>
      </c>
      <c r="P4195" s="76" t="b">
        <v>0</v>
      </c>
      <c r="Q4195" s="76" t="b">
        <v>0</v>
      </c>
      <c r="R4195" s="14"/>
      <c r="S4195" s="14"/>
      <c r="T4195" s="14"/>
      <c r="U4195" s="14"/>
      <c r="V4195" s="14"/>
      <c r="W4195" s="14"/>
    </row>
    <row r="4196" ht="31.5" customHeight="1">
      <c r="A4196" s="158"/>
      <c r="B4196" s="159"/>
      <c r="C4196" s="160"/>
      <c r="D4196" s="130"/>
      <c r="E4196" s="130"/>
      <c r="F4196" s="161"/>
      <c r="G4196" s="164"/>
      <c r="H4196" s="76" t="b">
        <v>1</v>
      </c>
      <c r="I4196" s="76" t="b">
        <v>0</v>
      </c>
      <c r="J4196" s="76" t="b">
        <v>0</v>
      </c>
      <c r="K4196" s="76" t="b">
        <v>0</v>
      </c>
      <c r="L4196" s="76" t="b">
        <v>0</v>
      </c>
      <c r="M4196" s="76" t="b">
        <v>0</v>
      </c>
      <c r="N4196" s="76" t="b">
        <v>0</v>
      </c>
      <c r="O4196" s="76" t="b">
        <v>0</v>
      </c>
      <c r="P4196" s="76" t="b">
        <v>0</v>
      </c>
      <c r="Q4196" s="76" t="b">
        <v>0</v>
      </c>
      <c r="R4196" s="14"/>
      <c r="S4196" s="14"/>
      <c r="T4196" s="14"/>
      <c r="U4196" s="14"/>
      <c r="V4196" s="14"/>
      <c r="W4196" s="14"/>
    </row>
    <row r="4197" ht="31.5" customHeight="1">
      <c r="A4197" s="158"/>
      <c r="B4197" s="159"/>
      <c r="C4197" s="160"/>
      <c r="D4197" s="130"/>
      <c r="E4197" s="130"/>
      <c r="F4197" s="161"/>
      <c r="G4197" s="164"/>
      <c r="H4197" s="76" t="b">
        <v>1</v>
      </c>
      <c r="I4197" s="76" t="b">
        <v>0</v>
      </c>
      <c r="J4197" s="76" t="b">
        <v>0</v>
      </c>
      <c r="K4197" s="76" t="b">
        <v>0</v>
      </c>
      <c r="L4197" s="76" t="b">
        <v>0</v>
      </c>
      <c r="M4197" s="76" t="b">
        <v>0</v>
      </c>
      <c r="N4197" s="76" t="b">
        <v>0</v>
      </c>
      <c r="O4197" s="76" t="b">
        <v>0</v>
      </c>
      <c r="P4197" s="76" t="b">
        <v>0</v>
      </c>
      <c r="Q4197" s="76" t="b">
        <v>0</v>
      </c>
      <c r="R4197" s="14"/>
      <c r="S4197" s="14"/>
      <c r="T4197" s="14"/>
      <c r="U4197" s="14"/>
      <c r="V4197" s="14"/>
      <c r="W4197" s="14"/>
    </row>
    <row r="4198" ht="31.5" customHeight="1">
      <c r="A4198" s="158"/>
      <c r="B4198" s="159"/>
      <c r="C4198" s="160"/>
      <c r="D4198" s="130"/>
      <c r="E4198" s="130"/>
      <c r="F4198" s="161"/>
      <c r="G4198" s="164"/>
      <c r="H4198" s="76" t="b">
        <v>1</v>
      </c>
      <c r="I4198" s="76" t="b">
        <v>0</v>
      </c>
      <c r="J4198" s="76" t="b">
        <v>0</v>
      </c>
      <c r="K4198" s="76" t="b">
        <v>0</v>
      </c>
      <c r="L4198" s="76" t="b">
        <v>0</v>
      </c>
      <c r="M4198" s="76" t="b">
        <v>0</v>
      </c>
      <c r="N4198" s="76" t="b">
        <v>0</v>
      </c>
      <c r="O4198" s="76" t="b">
        <v>0</v>
      </c>
      <c r="P4198" s="76" t="b">
        <v>0</v>
      </c>
      <c r="Q4198" s="76" t="b">
        <v>0</v>
      </c>
      <c r="R4198" s="14"/>
      <c r="S4198" s="14"/>
      <c r="T4198" s="14"/>
      <c r="U4198" s="14"/>
      <c r="V4198" s="14"/>
      <c r="W4198" s="14"/>
    </row>
    <row r="4199" ht="31.5" customHeight="1">
      <c r="A4199" s="158"/>
      <c r="B4199" s="159"/>
      <c r="C4199" s="160"/>
      <c r="D4199" s="130"/>
      <c r="E4199" s="130"/>
      <c r="F4199" s="161"/>
      <c r="G4199" s="164"/>
      <c r="H4199" s="76" t="b">
        <v>1</v>
      </c>
      <c r="I4199" s="76" t="b">
        <v>0</v>
      </c>
      <c r="J4199" s="76" t="b">
        <v>0</v>
      </c>
      <c r="K4199" s="76" t="b">
        <v>0</v>
      </c>
      <c r="L4199" s="76" t="b">
        <v>0</v>
      </c>
      <c r="M4199" s="76" t="b">
        <v>0</v>
      </c>
      <c r="N4199" s="76" t="b">
        <v>0</v>
      </c>
      <c r="O4199" s="76" t="b">
        <v>0</v>
      </c>
      <c r="P4199" s="76" t="b">
        <v>0</v>
      </c>
      <c r="Q4199" s="76" t="b">
        <v>0</v>
      </c>
      <c r="R4199" s="14"/>
      <c r="S4199" s="14"/>
      <c r="T4199" s="14"/>
      <c r="U4199" s="14"/>
      <c r="V4199" s="14"/>
      <c r="W4199" s="14"/>
    </row>
    <row r="4200" ht="31.5" customHeight="1">
      <c r="A4200" s="158"/>
      <c r="B4200" s="159"/>
      <c r="C4200" s="160"/>
      <c r="D4200" s="130"/>
      <c r="E4200" s="130"/>
      <c r="F4200" s="161"/>
      <c r="G4200" s="164"/>
      <c r="H4200" s="76" t="b">
        <v>1</v>
      </c>
      <c r="I4200" s="76" t="b">
        <v>0</v>
      </c>
      <c r="J4200" s="76" t="b">
        <v>0</v>
      </c>
      <c r="K4200" s="76" t="b">
        <v>0</v>
      </c>
      <c r="L4200" s="76" t="b">
        <v>0</v>
      </c>
      <c r="M4200" s="76" t="b">
        <v>0</v>
      </c>
      <c r="N4200" s="76" t="b">
        <v>0</v>
      </c>
      <c r="O4200" s="76" t="b">
        <v>0</v>
      </c>
      <c r="P4200" s="76" t="b">
        <v>0</v>
      </c>
      <c r="Q4200" s="76" t="b">
        <v>0</v>
      </c>
      <c r="R4200" s="14"/>
      <c r="S4200" s="14"/>
      <c r="T4200" s="14"/>
      <c r="U4200" s="14"/>
      <c r="V4200" s="14"/>
      <c r="W4200" s="14"/>
    </row>
    <row r="4201" ht="31.5" customHeight="1">
      <c r="A4201" s="158"/>
      <c r="B4201" s="159"/>
      <c r="C4201" s="160"/>
      <c r="D4201" s="130"/>
      <c r="E4201" s="130"/>
      <c r="F4201" s="161"/>
      <c r="G4201" s="164"/>
      <c r="H4201" s="76" t="b">
        <v>1</v>
      </c>
      <c r="I4201" s="76" t="b">
        <v>0</v>
      </c>
      <c r="J4201" s="76" t="b">
        <v>0</v>
      </c>
      <c r="K4201" s="76" t="b">
        <v>0</v>
      </c>
      <c r="L4201" s="76" t="b">
        <v>0</v>
      </c>
      <c r="M4201" s="76" t="b">
        <v>0</v>
      </c>
      <c r="N4201" s="76" t="b">
        <v>0</v>
      </c>
      <c r="O4201" s="76" t="b">
        <v>0</v>
      </c>
      <c r="P4201" s="76" t="b">
        <v>0</v>
      </c>
      <c r="Q4201" s="76" t="b">
        <v>0</v>
      </c>
      <c r="R4201" s="14"/>
      <c r="S4201" s="14"/>
      <c r="T4201" s="14"/>
      <c r="U4201" s="14"/>
      <c r="V4201" s="14"/>
      <c r="W4201" s="14"/>
    </row>
    <row r="4202" ht="31.5" customHeight="1">
      <c r="A4202" s="158"/>
      <c r="B4202" s="159"/>
      <c r="C4202" s="160"/>
      <c r="D4202" s="130"/>
      <c r="E4202" s="130"/>
      <c r="F4202" s="161"/>
      <c r="G4202" s="164"/>
      <c r="H4202" s="76" t="b">
        <v>1</v>
      </c>
      <c r="I4202" s="76" t="b">
        <v>0</v>
      </c>
      <c r="J4202" s="76" t="b">
        <v>0</v>
      </c>
      <c r="K4202" s="76" t="b">
        <v>0</v>
      </c>
      <c r="L4202" s="76" t="b">
        <v>0</v>
      </c>
      <c r="M4202" s="76" t="b">
        <v>0</v>
      </c>
      <c r="N4202" s="76" t="b">
        <v>0</v>
      </c>
      <c r="O4202" s="76" t="b">
        <v>0</v>
      </c>
      <c r="P4202" s="76" t="b">
        <v>0</v>
      </c>
      <c r="Q4202" s="76" t="b">
        <v>0</v>
      </c>
      <c r="R4202" s="14"/>
      <c r="S4202" s="14"/>
      <c r="T4202" s="14"/>
      <c r="U4202" s="14"/>
      <c r="V4202" s="14"/>
      <c r="W4202" s="14"/>
    </row>
    <row r="4203" ht="31.5" customHeight="1">
      <c r="A4203" s="158"/>
      <c r="B4203" s="159"/>
      <c r="C4203" s="160"/>
      <c r="D4203" s="130"/>
      <c r="E4203" s="130"/>
      <c r="F4203" s="161"/>
      <c r="G4203" s="164"/>
      <c r="H4203" s="76" t="b">
        <v>1</v>
      </c>
      <c r="I4203" s="76" t="b">
        <v>0</v>
      </c>
      <c r="J4203" s="76" t="b">
        <v>0</v>
      </c>
      <c r="K4203" s="76" t="b">
        <v>0</v>
      </c>
      <c r="L4203" s="76" t="b">
        <v>0</v>
      </c>
      <c r="M4203" s="76" t="b">
        <v>0</v>
      </c>
      <c r="N4203" s="76" t="b">
        <v>0</v>
      </c>
      <c r="O4203" s="76" t="b">
        <v>0</v>
      </c>
      <c r="P4203" s="76" t="b">
        <v>0</v>
      </c>
      <c r="Q4203" s="76" t="b">
        <v>0</v>
      </c>
      <c r="R4203" s="14"/>
      <c r="S4203" s="14"/>
      <c r="T4203" s="14"/>
      <c r="U4203" s="14"/>
      <c r="V4203" s="14"/>
      <c r="W4203" s="14"/>
    </row>
    <row r="4204" ht="31.5" customHeight="1">
      <c r="A4204" s="158"/>
      <c r="B4204" s="159"/>
      <c r="C4204" s="160"/>
      <c r="D4204" s="130"/>
      <c r="E4204" s="130"/>
      <c r="F4204" s="161"/>
      <c r="G4204" s="164"/>
      <c r="H4204" s="76" t="b">
        <v>1</v>
      </c>
      <c r="I4204" s="76" t="b">
        <v>0</v>
      </c>
      <c r="J4204" s="76" t="b">
        <v>0</v>
      </c>
      <c r="K4204" s="76" t="b">
        <v>0</v>
      </c>
      <c r="L4204" s="76" t="b">
        <v>0</v>
      </c>
      <c r="M4204" s="76" t="b">
        <v>0</v>
      </c>
      <c r="N4204" s="76" t="b">
        <v>0</v>
      </c>
      <c r="O4204" s="76" t="b">
        <v>0</v>
      </c>
      <c r="P4204" s="76" t="b">
        <v>0</v>
      </c>
      <c r="Q4204" s="76" t="b">
        <v>0</v>
      </c>
      <c r="R4204" s="14"/>
      <c r="S4204" s="14"/>
      <c r="T4204" s="14"/>
      <c r="U4204" s="14"/>
      <c r="V4204" s="14"/>
      <c r="W4204" s="14"/>
    </row>
    <row r="4205" ht="31.5" customHeight="1">
      <c r="A4205" s="158"/>
      <c r="B4205" s="159"/>
      <c r="C4205" s="160"/>
      <c r="D4205" s="130"/>
      <c r="E4205" s="130"/>
      <c r="F4205" s="161"/>
      <c r="G4205" s="164"/>
      <c r="H4205" s="76" t="b">
        <v>1</v>
      </c>
      <c r="I4205" s="76" t="b">
        <v>0</v>
      </c>
      <c r="J4205" s="76" t="b">
        <v>0</v>
      </c>
      <c r="K4205" s="76" t="b">
        <v>0</v>
      </c>
      <c r="L4205" s="76" t="b">
        <v>0</v>
      </c>
      <c r="M4205" s="76" t="b">
        <v>0</v>
      </c>
      <c r="N4205" s="76" t="b">
        <v>0</v>
      </c>
      <c r="O4205" s="76" t="b">
        <v>0</v>
      </c>
      <c r="P4205" s="76" t="b">
        <v>0</v>
      </c>
      <c r="Q4205" s="76" t="b">
        <v>0</v>
      </c>
      <c r="R4205" s="14"/>
      <c r="S4205" s="14"/>
      <c r="T4205" s="14"/>
      <c r="U4205" s="14"/>
      <c r="V4205" s="14"/>
      <c r="W4205" s="14"/>
    </row>
    <row r="4206" ht="31.5" customHeight="1">
      <c r="A4206" s="158"/>
      <c r="B4206" s="159"/>
      <c r="C4206" s="160"/>
      <c r="D4206" s="130"/>
      <c r="E4206" s="130"/>
      <c r="F4206" s="161"/>
      <c r="G4206" s="164"/>
      <c r="H4206" s="76" t="b">
        <v>1</v>
      </c>
      <c r="I4206" s="76" t="b">
        <v>0</v>
      </c>
      <c r="J4206" s="76" t="b">
        <v>0</v>
      </c>
      <c r="K4206" s="76" t="b">
        <v>0</v>
      </c>
      <c r="L4206" s="76" t="b">
        <v>0</v>
      </c>
      <c r="M4206" s="76" t="b">
        <v>0</v>
      </c>
      <c r="N4206" s="76" t="b">
        <v>0</v>
      </c>
      <c r="O4206" s="76" t="b">
        <v>0</v>
      </c>
      <c r="P4206" s="76" t="b">
        <v>0</v>
      </c>
      <c r="Q4206" s="76" t="b">
        <v>0</v>
      </c>
      <c r="R4206" s="14"/>
      <c r="S4206" s="14"/>
      <c r="T4206" s="14"/>
      <c r="U4206" s="14"/>
      <c r="V4206" s="14"/>
      <c r="W4206" s="14"/>
    </row>
    <row r="4207" ht="31.5" customHeight="1">
      <c r="A4207" s="158"/>
      <c r="B4207" s="159"/>
      <c r="C4207" s="160"/>
      <c r="D4207" s="130"/>
      <c r="E4207" s="130"/>
      <c r="F4207" s="161"/>
      <c r="G4207" s="164"/>
      <c r="H4207" s="76" t="b">
        <v>1</v>
      </c>
      <c r="I4207" s="76" t="b">
        <v>0</v>
      </c>
      <c r="J4207" s="76" t="b">
        <v>0</v>
      </c>
      <c r="K4207" s="76" t="b">
        <v>0</v>
      </c>
      <c r="L4207" s="76" t="b">
        <v>0</v>
      </c>
      <c r="M4207" s="76" t="b">
        <v>0</v>
      </c>
      <c r="N4207" s="76" t="b">
        <v>0</v>
      </c>
      <c r="O4207" s="76" t="b">
        <v>0</v>
      </c>
      <c r="P4207" s="76" t="b">
        <v>0</v>
      </c>
      <c r="Q4207" s="76" t="b">
        <v>0</v>
      </c>
      <c r="R4207" s="14"/>
      <c r="S4207" s="14"/>
      <c r="T4207" s="14"/>
      <c r="U4207" s="14"/>
      <c r="V4207" s="14"/>
      <c r="W4207" s="14"/>
    </row>
    <row r="4208" ht="31.5" customHeight="1">
      <c r="A4208" s="158"/>
      <c r="B4208" s="159"/>
      <c r="C4208" s="160"/>
      <c r="D4208" s="130"/>
      <c r="E4208" s="130"/>
      <c r="F4208" s="161"/>
      <c r="G4208" s="164"/>
      <c r="H4208" s="76" t="b">
        <v>1</v>
      </c>
      <c r="I4208" s="76" t="b">
        <v>0</v>
      </c>
      <c r="J4208" s="76" t="b">
        <v>0</v>
      </c>
      <c r="K4208" s="76" t="b">
        <v>0</v>
      </c>
      <c r="L4208" s="76" t="b">
        <v>0</v>
      </c>
      <c r="M4208" s="76" t="b">
        <v>0</v>
      </c>
      <c r="N4208" s="76" t="b">
        <v>0</v>
      </c>
      <c r="O4208" s="76" t="b">
        <v>0</v>
      </c>
      <c r="P4208" s="76" t="b">
        <v>0</v>
      </c>
      <c r="Q4208" s="76" t="b">
        <v>0</v>
      </c>
      <c r="R4208" s="14"/>
      <c r="S4208" s="14"/>
      <c r="T4208" s="14"/>
      <c r="U4208" s="14"/>
      <c r="V4208" s="14"/>
      <c r="W4208" s="14"/>
    </row>
    <row r="4209" ht="31.5" customHeight="1">
      <c r="A4209" s="158"/>
      <c r="B4209" s="159"/>
      <c r="C4209" s="160"/>
      <c r="D4209" s="130"/>
      <c r="E4209" s="130"/>
      <c r="F4209" s="161"/>
      <c r="G4209" s="164"/>
      <c r="H4209" s="76" t="b">
        <v>0</v>
      </c>
      <c r="I4209" s="76" t="b">
        <v>0</v>
      </c>
      <c r="J4209" s="76" t="b">
        <v>0</v>
      </c>
      <c r="K4209" s="76" t="b">
        <v>0</v>
      </c>
      <c r="L4209" s="76" t="b">
        <v>0</v>
      </c>
      <c r="M4209" s="76" t="b">
        <v>0</v>
      </c>
      <c r="N4209" s="76" t="b">
        <v>0</v>
      </c>
      <c r="O4209" s="76" t="b">
        <v>0</v>
      </c>
      <c r="P4209" s="76" t="b">
        <v>0</v>
      </c>
      <c r="Q4209" s="76" t="b">
        <v>0</v>
      </c>
      <c r="R4209" s="14"/>
      <c r="S4209" s="14"/>
      <c r="T4209" s="14"/>
      <c r="U4209" s="14"/>
      <c r="V4209" s="14"/>
      <c r="W4209" s="14"/>
    </row>
    <row r="4210" ht="31.5" customHeight="1">
      <c r="A4210" s="158"/>
      <c r="B4210" s="159"/>
      <c r="C4210" s="160"/>
      <c r="D4210" s="130"/>
      <c r="E4210" s="130"/>
      <c r="F4210" s="161"/>
      <c r="G4210" s="164"/>
      <c r="H4210" s="76" t="b">
        <v>0</v>
      </c>
      <c r="I4210" s="76" t="b">
        <v>0</v>
      </c>
      <c r="J4210" s="76" t="b">
        <v>0</v>
      </c>
      <c r="K4210" s="76" t="b">
        <v>0</v>
      </c>
      <c r="L4210" s="76" t="b">
        <v>0</v>
      </c>
      <c r="M4210" s="76" t="b">
        <v>0</v>
      </c>
      <c r="N4210" s="76" t="b">
        <v>0</v>
      </c>
      <c r="O4210" s="76" t="b">
        <v>0</v>
      </c>
      <c r="P4210" s="76" t="b">
        <v>0</v>
      </c>
      <c r="Q4210" s="76" t="b">
        <v>0</v>
      </c>
      <c r="R4210" s="14"/>
      <c r="S4210" s="14"/>
      <c r="T4210" s="14"/>
      <c r="U4210" s="14"/>
      <c r="V4210" s="14"/>
      <c r="W4210" s="14"/>
    </row>
    <row r="4211" ht="31.5" customHeight="1">
      <c r="A4211" s="158"/>
      <c r="B4211" s="159"/>
      <c r="C4211" s="160"/>
      <c r="D4211" s="130"/>
      <c r="E4211" s="130"/>
      <c r="F4211" s="161"/>
      <c r="G4211" s="164"/>
      <c r="H4211" s="76" t="b">
        <v>0</v>
      </c>
      <c r="I4211" s="76" t="b">
        <v>0</v>
      </c>
      <c r="J4211" s="76" t="b">
        <v>0</v>
      </c>
      <c r="K4211" s="76" t="b">
        <v>0</v>
      </c>
      <c r="L4211" s="76" t="b">
        <v>0</v>
      </c>
      <c r="M4211" s="76" t="b">
        <v>0</v>
      </c>
      <c r="N4211" s="76" t="b">
        <v>0</v>
      </c>
      <c r="O4211" s="76" t="b">
        <v>0</v>
      </c>
      <c r="P4211" s="76" t="b">
        <v>0</v>
      </c>
      <c r="Q4211" s="76" t="b">
        <v>0</v>
      </c>
      <c r="R4211" s="14"/>
      <c r="S4211" s="14"/>
      <c r="T4211" s="14"/>
      <c r="U4211" s="14"/>
      <c r="V4211" s="14"/>
      <c r="W4211" s="14"/>
    </row>
    <row r="4212" ht="31.5" customHeight="1">
      <c r="A4212" s="158"/>
      <c r="B4212" s="159"/>
      <c r="C4212" s="160"/>
      <c r="D4212" s="130"/>
      <c r="E4212" s="130"/>
      <c r="F4212" s="161"/>
      <c r="G4212" s="164"/>
      <c r="H4212" s="76" t="b">
        <v>0</v>
      </c>
      <c r="I4212" s="76" t="b">
        <v>0</v>
      </c>
      <c r="J4212" s="76" t="b">
        <v>0</v>
      </c>
      <c r="K4212" s="76" t="b">
        <v>0</v>
      </c>
      <c r="L4212" s="76" t="b">
        <v>0</v>
      </c>
      <c r="M4212" s="76" t="b">
        <v>0</v>
      </c>
      <c r="N4212" s="76" t="b">
        <v>0</v>
      </c>
      <c r="O4212" s="76" t="b">
        <v>0</v>
      </c>
      <c r="P4212" s="76" t="b">
        <v>0</v>
      </c>
      <c r="Q4212" s="76" t="b">
        <v>0</v>
      </c>
      <c r="R4212" s="14"/>
      <c r="S4212" s="14"/>
      <c r="T4212" s="14"/>
      <c r="U4212" s="14"/>
      <c r="V4212" s="14"/>
      <c r="W4212" s="14"/>
    </row>
    <row r="4213" ht="31.5" customHeight="1">
      <c r="A4213" s="158"/>
      <c r="B4213" s="159"/>
      <c r="C4213" s="160"/>
      <c r="D4213" s="130"/>
      <c r="E4213" s="130"/>
      <c r="F4213" s="161"/>
      <c r="G4213" s="164"/>
      <c r="H4213" s="76" t="b">
        <v>0</v>
      </c>
      <c r="I4213" s="76" t="b">
        <v>0</v>
      </c>
      <c r="J4213" s="76" t="b">
        <v>0</v>
      </c>
      <c r="K4213" s="76" t="b">
        <v>0</v>
      </c>
      <c r="L4213" s="76" t="b">
        <v>0</v>
      </c>
      <c r="M4213" s="76" t="b">
        <v>0</v>
      </c>
      <c r="N4213" s="76" t="b">
        <v>0</v>
      </c>
      <c r="O4213" s="76" t="b">
        <v>0</v>
      </c>
      <c r="P4213" s="76" t="b">
        <v>0</v>
      </c>
      <c r="Q4213" s="76" t="b">
        <v>0</v>
      </c>
      <c r="R4213" s="14"/>
      <c r="S4213" s="14"/>
      <c r="T4213" s="14"/>
      <c r="U4213" s="14"/>
      <c r="V4213" s="14"/>
      <c r="W4213" s="14"/>
    </row>
    <row r="4214" ht="31.5" customHeight="1">
      <c r="A4214" s="158"/>
      <c r="B4214" s="159"/>
      <c r="C4214" s="160"/>
      <c r="D4214" s="130"/>
      <c r="E4214" s="130"/>
      <c r="F4214" s="161"/>
      <c r="G4214" s="164"/>
      <c r="H4214" s="76" t="b">
        <v>0</v>
      </c>
      <c r="I4214" s="76" t="b">
        <v>0</v>
      </c>
      <c r="J4214" s="76" t="b">
        <v>0</v>
      </c>
      <c r="K4214" s="76" t="b">
        <v>0</v>
      </c>
      <c r="L4214" s="76" t="b">
        <v>0</v>
      </c>
      <c r="M4214" s="76" t="b">
        <v>0</v>
      </c>
      <c r="N4214" s="76" t="b">
        <v>0</v>
      </c>
      <c r="O4214" s="76" t="b">
        <v>0</v>
      </c>
      <c r="P4214" s="76" t="b">
        <v>0</v>
      </c>
      <c r="Q4214" s="76" t="b">
        <v>0</v>
      </c>
      <c r="R4214" s="14"/>
      <c r="S4214" s="14"/>
      <c r="T4214" s="14"/>
      <c r="U4214" s="14"/>
      <c r="V4214" s="14"/>
      <c r="W4214" s="14"/>
    </row>
    <row r="4215" ht="31.5" customHeight="1">
      <c r="A4215" s="158"/>
      <c r="B4215" s="159"/>
      <c r="C4215" s="160"/>
      <c r="D4215" s="130"/>
      <c r="E4215" s="130"/>
      <c r="F4215" s="161"/>
      <c r="G4215" s="164"/>
      <c r="H4215" s="76" t="b">
        <v>0</v>
      </c>
      <c r="I4215" s="76" t="b">
        <v>0</v>
      </c>
      <c r="J4215" s="76" t="b">
        <v>0</v>
      </c>
      <c r="K4215" s="76" t="b">
        <v>0</v>
      </c>
      <c r="L4215" s="76" t="b">
        <v>0</v>
      </c>
      <c r="M4215" s="76" t="b">
        <v>0</v>
      </c>
      <c r="N4215" s="76" t="b">
        <v>0</v>
      </c>
      <c r="O4215" s="76" t="b">
        <v>0</v>
      </c>
      <c r="P4215" s="76" t="b">
        <v>0</v>
      </c>
      <c r="Q4215" s="76" t="b">
        <v>0</v>
      </c>
      <c r="R4215" s="14"/>
      <c r="S4215" s="14"/>
      <c r="T4215" s="14"/>
      <c r="U4215" s="14"/>
      <c r="V4215" s="14"/>
      <c r="W4215" s="14"/>
    </row>
    <row r="4216" ht="31.5" customHeight="1">
      <c r="A4216" s="158"/>
      <c r="B4216" s="159"/>
      <c r="C4216" s="160"/>
      <c r="D4216" s="130"/>
      <c r="E4216" s="130"/>
      <c r="F4216" s="161"/>
      <c r="G4216" s="164"/>
      <c r="H4216" s="76" t="b">
        <v>0</v>
      </c>
      <c r="I4216" s="76" t="b">
        <v>0</v>
      </c>
      <c r="J4216" s="76" t="b">
        <v>0</v>
      </c>
      <c r="K4216" s="76" t="b">
        <v>0</v>
      </c>
      <c r="L4216" s="76" t="b">
        <v>0</v>
      </c>
      <c r="M4216" s="76" t="b">
        <v>0</v>
      </c>
      <c r="N4216" s="76" t="b">
        <v>0</v>
      </c>
      <c r="O4216" s="76" t="b">
        <v>0</v>
      </c>
      <c r="P4216" s="76" t="b">
        <v>0</v>
      </c>
      <c r="Q4216" s="76" t="b">
        <v>0</v>
      </c>
      <c r="R4216" s="14"/>
      <c r="S4216" s="14"/>
      <c r="T4216" s="14"/>
      <c r="U4216" s="14"/>
      <c r="V4216" s="14"/>
      <c r="W4216" s="14"/>
    </row>
    <row r="4217" ht="31.5" customHeight="1">
      <c r="A4217" s="158"/>
      <c r="B4217" s="159"/>
      <c r="C4217" s="160"/>
      <c r="D4217" s="130"/>
      <c r="E4217" s="130"/>
      <c r="F4217" s="161"/>
      <c r="G4217" s="164"/>
      <c r="H4217" s="76" t="b">
        <v>0</v>
      </c>
      <c r="I4217" s="76" t="b">
        <v>0</v>
      </c>
      <c r="J4217" s="76" t="b">
        <v>0</v>
      </c>
      <c r="K4217" s="76" t="b">
        <v>0</v>
      </c>
      <c r="L4217" s="76" t="b">
        <v>0</v>
      </c>
      <c r="M4217" s="76" t="b">
        <v>0</v>
      </c>
      <c r="N4217" s="76" t="b">
        <v>0</v>
      </c>
      <c r="O4217" s="76" t="b">
        <v>0</v>
      </c>
      <c r="P4217" s="76" t="b">
        <v>0</v>
      </c>
      <c r="Q4217" s="76" t="b">
        <v>0</v>
      </c>
      <c r="R4217" s="14"/>
      <c r="S4217" s="14"/>
      <c r="T4217" s="14"/>
      <c r="U4217" s="14"/>
      <c r="V4217" s="14"/>
      <c r="W4217" s="14"/>
    </row>
    <row r="4218" ht="31.5" customHeight="1">
      <c r="A4218" s="158"/>
      <c r="B4218" s="159"/>
      <c r="C4218" s="160"/>
      <c r="D4218" s="130"/>
      <c r="E4218" s="130"/>
      <c r="F4218" s="161"/>
      <c r="G4218" s="164"/>
      <c r="H4218" s="76" t="b">
        <v>0</v>
      </c>
      <c r="I4218" s="76" t="b">
        <v>0</v>
      </c>
      <c r="J4218" s="76" t="b">
        <v>0</v>
      </c>
      <c r="K4218" s="76" t="b">
        <v>0</v>
      </c>
      <c r="L4218" s="76" t="b">
        <v>0</v>
      </c>
      <c r="M4218" s="76" t="b">
        <v>0</v>
      </c>
      <c r="N4218" s="76" t="b">
        <v>0</v>
      </c>
      <c r="O4218" s="76" t="b">
        <v>0</v>
      </c>
      <c r="P4218" s="76" t="b">
        <v>0</v>
      </c>
      <c r="Q4218" s="76" t="b">
        <v>0</v>
      </c>
      <c r="R4218" s="14"/>
      <c r="S4218" s="14"/>
      <c r="T4218" s="14"/>
      <c r="U4218" s="14"/>
      <c r="V4218" s="14"/>
      <c r="W4218" s="14"/>
    </row>
    <row r="4219" ht="31.5" customHeight="1">
      <c r="A4219" s="158"/>
      <c r="B4219" s="159"/>
      <c r="C4219" s="160"/>
      <c r="D4219" s="130"/>
      <c r="E4219" s="130"/>
      <c r="F4219" s="161"/>
      <c r="G4219" s="164"/>
      <c r="H4219" s="76" t="b">
        <v>0</v>
      </c>
      <c r="I4219" s="76" t="b">
        <v>0</v>
      </c>
      <c r="J4219" s="76" t="b">
        <v>0</v>
      </c>
      <c r="K4219" s="76" t="b">
        <v>0</v>
      </c>
      <c r="L4219" s="76" t="b">
        <v>0</v>
      </c>
      <c r="M4219" s="76" t="b">
        <v>0</v>
      </c>
      <c r="N4219" s="76" t="b">
        <v>0</v>
      </c>
      <c r="O4219" s="76" t="b">
        <v>0</v>
      </c>
      <c r="P4219" s="76" t="b">
        <v>0</v>
      </c>
      <c r="Q4219" s="76" t="b">
        <v>0</v>
      </c>
      <c r="R4219" s="14"/>
      <c r="S4219" s="14"/>
      <c r="T4219" s="14"/>
      <c r="U4219" s="14"/>
      <c r="V4219" s="14"/>
      <c r="W4219" s="14"/>
    </row>
    <row r="4220" ht="31.5" customHeight="1">
      <c r="A4220" s="158"/>
      <c r="B4220" s="159"/>
      <c r="C4220" s="160"/>
      <c r="D4220" s="130"/>
      <c r="E4220" s="130"/>
      <c r="F4220" s="161"/>
      <c r="G4220" s="164"/>
      <c r="H4220" s="76" t="b">
        <v>0</v>
      </c>
      <c r="I4220" s="76" t="b">
        <v>0</v>
      </c>
      <c r="J4220" s="76" t="b">
        <v>0</v>
      </c>
      <c r="K4220" s="76" t="b">
        <v>0</v>
      </c>
      <c r="L4220" s="76" t="b">
        <v>0</v>
      </c>
      <c r="M4220" s="76" t="b">
        <v>0</v>
      </c>
      <c r="N4220" s="76" t="b">
        <v>0</v>
      </c>
      <c r="O4220" s="76" t="b">
        <v>0</v>
      </c>
      <c r="P4220" s="76" t="b">
        <v>0</v>
      </c>
      <c r="Q4220" s="76" t="b">
        <v>0</v>
      </c>
      <c r="R4220" s="14"/>
      <c r="S4220" s="14"/>
      <c r="T4220" s="14"/>
      <c r="U4220" s="14"/>
      <c r="V4220" s="14"/>
      <c r="W4220" s="14"/>
    </row>
    <row r="4221" ht="31.5" customHeight="1">
      <c r="A4221" s="158"/>
      <c r="B4221" s="159"/>
      <c r="C4221" s="160"/>
      <c r="D4221" s="130"/>
      <c r="E4221" s="130"/>
      <c r="F4221" s="161"/>
      <c r="G4221" s="164"/>
      <c r="H4221" s="76" t="b">
        <v>0</v>
      </c>
      <c r="I4221" s="76" t="b">
        <v>0</v>
      </c>
      <c r="J4221" s="76" t="b">
        <v>0</v>
      </c>
      <c r="K4221" s="76" t="b">
        <v>0</v>
      </c>
      <c r="L4221" s="76" t="b">
        <v>0</v>
      </c>
      <c r="M4221" s="76" t="b">
        <v>0</v>
      </c>
      <c r="N4221" s="76" t="b">
        <v>0</v>
      </c>
      <c r="O4221" s="76" t="b">
        <v>0</v>
      </c>
      <c r="P4221" s="76" t="b">
        <v>0</v>
      </c>
      <c r="Q4221" s="76" t="b">
        <v>0</v>
      </c>
      <c r="R4221" s="14"/>
      <c r="S4221" s="14"/>
      <c r="T4221" s="14"/>
      <c r="U4221" s="14"/>
      <c r="V4221" s="14"/>
      <c r="W4221" s="14"/>
    </row>
    <row r="4222" ht="31.5" customHeight="1">
      <c r="A4222" s="158"/>
      <c r="B4222" s="159"/>
      <c r="C4222" s="160"/>
      <c r="D4222" s="130"/>
      <c r="E4222" s="130"/>
      <c r="F4222" s="161"/>
      <c r="G4222" s="164"/>
      <c r="H4222" s="76" t="b">
        <v>0</v>
      </c>
      <c r="I4222" s="76" t="b">
        <v>0</v>
      </c>
      <c r="J4222" s="76" t="b">
        <v>0</v>
      </c>
      <c r="K4222" s="76" t="b">
        <v>0</v>
      </c>
      <c r="L4222" s="76" t="b">
        <v>0</v>
      </c>
      <c r="M4222" s="76" t="b">
        <v>0</v>
      </c>
      <c r="N4222" s="76" t="b">
        <v>0</v>
      </c>
      <c r="O4222" s="76" t="b">
        <v>0</v>
      </c>
      <c r="P4222" s="76" t="b">
        <v>0</v>
      </c>
      <c r="Q4222" s="76" t="b">
        <v>0</v>
      </c>
      <c r="R4222" s="14"/>
      <c r="S4222" s="14"/>
      <c r="T4222" s="14"/>
      <c r="U4222" s="14"/>
      <c r="V4222" s="14"/>
      <c r="W4222" s="14"/>
    </row>
    <row r="4223" ht="31.5" customHeight="1">
      <c r="A4223" s="158"/>
      <c r="B4223" s="159"/>
      <c r="C4223" s="160"/>
      <c r="D4223" s="130"/>
      <c r="E4223" s="130"/>
      <c r="F4223" s="161"/>
      <c r="G4223" s="164"/>
      <c r="H4223" s="76" t="b">
        <v>0</v>
      </c>
      <c r="I4223" s="76" t="b">
        <v>0</v>
      </c>
      <c r="J4223" s="76" t="b">
        <v>0</v>
      </c>
      <c r="K4223" s="76" t="b">
        <v>0</v>
      </c>
      <c r="L4223" s="76" t="b">
        <v>0</v>
      </c>
      <c r="M4223" s="76" t="b">
        <v>0</v>
      </c>
      <c r="N4223" s="76" t="b">
        <v>0</v>
      </c>
      <c r="O4223" s="76" t="b">
        <v>0</v>
      </c>
      <c r="P4223" s="76" t="b">
        <v>0</v>
      </c>
      <c r="Q4223" s="76" t="b">
        <v>0</v>
      </c>
      <c r="R4223" s="14"/>
      <c r="S4223" s="14"/>
      <c r="T4223" s="14"/>
      <c r="U4223" s="14"/>
      <c r="V4223" s="14"/>
      <c r="W4223" s="14"/>
    </row>
    <row r="4224" ht="31.5" customHeight="1">
      <c r="A4224" s="158"/>
      <c r="B4224" s="159"/>
      <c r="C4224" s="160"/>
      <c r="D4224" s="130"/>
      <c r="E4224" s="130"/>
      <c r="F4224" s="161"/>
      <c r="G4224" s="164"/>
      <c r="H4224" s="76" t="b">
        <v>0</v>
      </c>
      <c r="I4224" s="76" t="b">
        <v>0</v>
      </c>
      <c r="J4224" s="76" t="b">
        <v>0</v>
      </c>
      <c r="K4224" s="76" t="b">
        <v>0</v>
      </c>
      <c r="L4224" s="76" t="b">
        <v>0</v>
      </c>
      <c r="M4224" s="76" t="b">
        <v>0</v>
      </c>
      <c r="N4224" s="76" t="b">
        <v>0</v>
      </c>
      <c r="O4224" s="76" t="b">
        <v>0</v>
      </c>
      <c r="P4224" s="76" t="b">
        <v>0</v>
      </c>
      <c r="Q4224" s="76" t="b">
        <v>0</v>
      </c>
      <c r="R4224" s="14"/>
      <c r="S4224" s="14"/>
      <c r="T4224" s="14"/>
      <c r="U4224" s="14"/>
      <c r="V4224" s="14"/>
      <c r="W4224" s="14"/>
    </row>
    <row r="4225" ht="31.5" customHeight="1">
      <c r="A4225" s="158"/>
      <c r="B4225" s="159"/>
      <c r="C4225" s="160"/>
      <c r="D4225" s="130"/>
      <c r="E4225" s="130"/>
      <c r="F4225" s="161"/>
      <c r="G4225" s="164"/>
      <c r="H4225" s="76" t="b">
        <v>0</v>
      </c>
      <c r="I4225" s="76" t="b">
        <v>0</v>
      </c>
      <c r="J4225" s="76" t="b">
        <v>0</v>
      </c>
      <c r="K4225" s="76" t="b">
        <v>0</v>
      </c>
      <c r="L4225" s="76" t="b">
        <v>0</v>
      </c>
      <c r="M4225" s="76" t="b">
        <v>0</v>
      </c>
      <c r="N4225" s="76" t="b">
        <v>0</v>
      </c>
      <c r="O4225" s="76" t="b">
        <v>0</v>
      </c>
      <c r="P4225" s="76" t="b">
        <v>0</v>
      </c>
      <c r="Q4225" s="76" t="b">
        <v>0</v>
      </c>
      <c r="R4225" s="14"/>
      <c r="S4225" s="14"/>
      <c r="T4225" s="14"/>
      <c r="U4225" s="14"/>
      <c r="V4225" s="14"/>
      <c r="W4225" s="14"/>
    </row>
    <row r="4226" ht="31.5" customHeight="1">
      <c r="A4226" s="158"/>
      <c r="B4226" s="159"/>
      <c r="C4226" s="160"/>
      <c r="D4226" s="130"/>
      <c r="E4226" s="130"/>
      <c r="F4226" s="161"/>
      <c r="G4226" s="164"/>
      <c r="H4226" s="76" t="b">
        <v>0</v>
      </c>
      <c r="I4226" s="76" t="b">
        <v>0</v>
      </c>
      <c r="J4226" s="76" t="b">
        <v>0</v>
      </c>
      <c r="K4226" s="76" t="b">
        <v>0</v>
      </c>
      <c r="L4226" s="76" t="b">
        <v>0</v>
      </c>
      <c r="M4226" s="76" t="b">
        <v>0</v>
      </c>
      <c r="N4226" s="76" t="b">
        <v>0</v>
      </c>
      <c r="O4226" s="76" t="b">
        <v>0</v>
      </c>
      <c r="P4226" s="76" t="b">
        <v>0</v>
      </c>
      <c r="Q4226" s="76" t="b">
        <v>0</v>
      </c>
      <c r="R4226" s="14"/>
      <c r="S4226" s="14"/>
      <c r="T4226" s="14"/>
      <c r="U4226" s="14"/>
      <c r="V4226" s="14"/>
      <c r="W4226" s="14"/>
    </row>
    <row r="4227" ht="31.5" customHeight="1">
      <c r="A4227" s="158"/>
      <c r="B4227" s="159"/>
      <c r="C4227" s="160"/>
      <c r="D4227" s="130"/>
      <c r="E4227" s="130"/>
      <c r="F4227" s="161"/>
      <c r="G4227" s="164"/>
      <c r="H4227" s="76" t="b">
        <v>0</v>
      </c>
      <c r="I4227" s="76" t="b">
        <v>0</v>
      </c>
      <c r="J4227" s="76" t="b">
        <v>0</v>
      </c>
      <c r="K4227" s="76" t="b">
        <v>0</v>
      </c>
      <c r="L4227" s="76" t="b">
        <v>0</v>
      </c>
      <c r="M4227" s="76" t="b">
        <v>0</v>
      </c>
      <c r="N4227" s="76" t="b">
        <v>0</v>
      </c>
      <c r="O4227" s="76" t="b">
        <v>0</v>
      </c>
      <c r="P4227" s="76" t="b">
        <v>0</v>
      </c>
      <c r="Q4227" s="76" t="b">
        <v>0</v>
      </c>
      <c r="R4227" s="14"/>
      <c r="S4227" s="14"/>
      <c r="T4227" s="14"/>
      <c r="U4227" s="14"/>
      <c r="V4227" s="14"/>
      <c r="W4227" s="14"/>
    </row>
    <row r="4228" ht="31.5" customHeight="1">
      <c r="A4228" s="158"/>
      <c r="B4228" s="159"/>
      <c r="C4228" s="160"/>
      <c r="D4228" s="130"/>
      <c r="E4228" s="130"/>
      <c r="F4228" s="161"/>
      <c r="G4228" s="164"/>
      <c r="H4228" s="76" t="b">
        <v>0</v>
      </c>
      <c r="I4228" s="76" t="b">
        <v>0</v>
      </c>
      <c r="J4228" s="76" t="b">
        <v>0</v>
      </c>
      <c r="K4228" s="76" t="b">
        <v>0</v>
      </c>
      <c r="L4228" s="76" t="b">
        <v>0</v>
      </c>
      <c r="M4228" s="76" t="b">
        <v>0</v>
      </c>
      <c r="N4228" s="76" t="b">
        <v>0</v>
      </c>
      <c r="O4228" s="76" t="b">
        <v>0</v>
      </c>
      <c r="P4228" s="76" t="b">
        <v>0</v>
      </c>
      <c r="Q4228" s="76" t="b">
        <v>0</v>
      </c>
      <c r="R4228" s="14"/>
      <c r="S4228" s="14"/>
      <c r="T4228" s="14"/>
      <c r="U4228" s="14"/>
      <c r="V4228" s="14"/>
      <c r="W4228" s="14"/>
    </row>
    <row r="4229" ht="31.5" customHeight="1">
      <c r="A4229" s="158"/>
      <c r="B4229" s="159"/>
      <c r="C4229" s="160"/>
      <c r="D4229" s="130"/>
      <c r="E4229" s="130"/>
      <c r="F4229" s="161"/>
      <c r="G4229" s="164"/>
      <c r="H4229" s="76" t="b">
        <v>0</v>
      </c>
      <c r="I4229" s="76" t="b">
        <v>0</v>
      </c>
      <c r="J4229" s="76" t="b">
        <v>0</v>
      </c>
      <c r="K4229" s="76" t="b">
        <v>0</v>
      </c>
      <c r="L4229" s="76" t="b">
        <v>0</v>
      </c>
      <c r="M4229" s="76" t="b">
        <v>0</v>
      </c>
      <c r="N4229" s="76" t="b">
        <v>0</v>
      </c>
      <c r="O4229" s="76" t="b">
        <v>0</v>
      </c>
      <c r="P4229" s="76" t="b">
        <v>0</v>
      </c>
      <c r="Q4229" s="76" t="b">
        <v>0</v>
      </c>
      <c r="R4229" s="14"/>
      <c r="S4229" s="14"/>
      <c r="T4229" s="14"/>
      <c r="U4229" s="14"/>
      <c r="V4229" s="14"/>
      <c r="W4229" s="14"/>
    </row>
    <row r="4230" ht="31.5" customHeight="1">
      <c r="A4230" s="158"/>
      <c r="B4230" s="159"/>
      <c r="C4230" s="160"/>
      <c r="D4230" s="130"/>
      <c r="E4230" s="130"/>
      <c r="F4230" s="161"/>
      <c r="G4230" s="164"/>
      <c r="H4230" s="76" t="b">
        <v>0</v>
      </c>
      <c r="I4230" s="76" t="b">
        <v>0</v>
      </c>
      <c r="J4230" s="76" t="b">
        <v>0</v>
      </c>
      <c r="K4230" s="76" t="b">
        <v>0</v>
      </c>
      <c r="L4230" s="76" t="b">
        <v>0</v>
      </c>
      <c r="M4230" s="76" t="b">
        <v>0</v>
      </c>
      <c r="N4230" s="76" t="b">
        <v>0</v>
      </c>
      <c r="O4230" s="76" t="b">
        <v>0</v>
      </c>
      <c r="P4230" s="76" t="b">
        <v>0</v>
      </c>
      <c r="Q4230" s="76" t="b">
        <v>0</v>
      </c>
      <c r="R4230" s="14"/>
      <c r="S4230" s="14"/>
      <c r="T4230" s="14"/>
      <c r="U4230" s="14"/>
      <c r="V4230" s="14"/>
      <c r="W4230" s="14"/>
    </row>
    <row r="4231" ht="31.5" customHeight="1">
      <c r="A4231" s="158"/>
      <c r="B4231" s="159"/>
      <c r="C4231" s="160"/>
      <c r="D4231" s="130"/>
      <c r="E4231" s="130"/>
      <c r="F4231" s="161"/>
      <c r="G4231" s="164"/>
      <c r="H4231" s="76" t="b">
        <v>0</v>
      </c>
      <c r="I4231" s="76" t="b">
        <v>0</v>
      </c>
      <c r="J4231" s="76" t="b">
        <v>0</v>
      </c>
      <c r="K4231" s="76" t="b">
        <v>0</v>
      </c>
      <c r="L4231" s="76" t="b">
        <v>0</v>
      </c>
      <c r="M4231" s="76" t="b">
        <v>0</v>
      </c>
      <c r="N4231" s="76" t="b">
        <v>0</v>
      </c>
      <c r="O4231" s="76" t="b">
        <v>0</v>
      </c>
      <c r="P4231" s="76" t="b">
        <v>0</v>
      </c>
      <c r="Q4231" s="76" t="b">
        <v>0</v>
      </c>
      <c r="R4231" s="14"/>
      <c r="S4231" s="14"/>
      <c r="T4231" s="14"/>
      <c r="U4231" s="14"/>
      <c r="V4231" s="14"/>
      <c r="W4231" s="14"/>
    </row>
    <row r="4232" ht="31.5" customHeight="1">
      <c r="A4232" s="158"/>
      <c r="B4232" s="159"/>
      <c r="C4232" s="160"/>
      <c r="D4232" s="130"/>
      <c r="E4232" s="130"/>
      <c r="F4232" s="161"/>
      <c r="G4232" s="164"/>
      <c r="H4232" s="76" t="b">
        <v>0</v>
      </c>
      <c r="I4232" s="76" t="b">
        <v>0</v>
      </c>
      <c r="J4232" s="76" t="b">
        <v>0</v>
      </c>
      <c r="K4232" s="76" t="b">
        <v>0</v>
      </c>
      <c r="L4232" s="76" t="b">
        <v>0</v>
      </c>
      <c r="M4232" s="76" t="b">
        <v>0</v>
      </c>
      <c r="N4232" s="76" t="b">
        <v>0</v>
      </c>
      <c r="O4232" s="76" t="b">
        <v>0</v>
      </c>
      <c r="P4232" s="76" t="b">
        <v>0</v>
      </c>
      <c r="Q4232" s="76" t="b">
        <v>0</v>
      </c>
      <c r="R4232" s="14"/>
      <c r="S4232" s="14"/>
      <c r="T4232" s="14"/>
      <c r="U4232" s="14"/>
      <c r="V4232" s="14"/>
      <c r="W4232" s="14"/>
    </row>
    <row r="4233" ht="31.5" customHeight="1">
      <c r="A4233" s="158"/>
      <c r="B4233" s="159"/>
      <c r="C4233" s="160"/>
      <c r="D4233" s="130"/>
      <c r="E4233" s="130"/>
      <c r="F4233" s="161"/>
      <c r="G4233" s="164"/>
      <c r="H4233" s="76" t="b">
        <v>0</v>
      </c>
      <c r="I4233" s="76" t="b">
        <v>0</v>
      </c>
      <c r="J4233" s="76" t="b">
        <v>0</v>
      </c>
      <c r="K4233" s="76" t="b">
        <v>0</v>
      </c>
      <c r="L4233" s="76" t="b">
        <v>0</v>
      </c>
      <c r="M4233" s="76" t="b">
        <v>0</v>
      </c>
      <c r="N4233" s="76" t="b">
        <v>0</v>
      </c>
      <c r="O4233" s="76" t="b">
        <v>0</v>
      </c>
      <c r="P4233" s="76" t="b">
        <v>0</v>
      </c>
      <c r="Q4233" s="76" t="b">
        <v>0</v>
      </c>
      <c r="R4233" s="14"/>
      <c r="S4233" s="14"/>
      <c r="T4233" s="14"/>
      <c r="U4233" s="14"/>
      <c r="V4233" s="14"/>
      <c r="W4233" s="14"/>
    </row>
    <row r="4234" ht="31.5" customHeight="1">
      <c r="A4234" s="158"/>
      <c r="B4234" s="159"/>
      <c r="C4234" s="160"/>
      <c r="D4234" s="130"/>
      <c r="E4234" s="130"/>
      <c r="F4234" s="161"/>
      <c r="G4234" s="164"/>
      <c r="H4234" s="76" t="b">
        <v>0</v>
      </c>
      <c r="I4234" s="76" t="b">
        <v>0</v>
      </c>
      <c r="J4234" s="76" t="b">
        <v>0</v>
      </c>
      <c r="K4234" s="76" t="b">
        <v>0</v>
      </c>
      <c r="L4234" s="76" t="b">
        <v>0</v>
      </c>
      <c r="M4234" s="76" t="b">
        <v>0</v>
      </c>
      <c r="N4234" s="76" t="b">
        <v>0</v>
      </c>
      <c r="O4234" s="76" t="b">
        <v>0</v>
      </c>
      <c r="P4234" s="76" t="b">
        <v>0</v>
      </c>
      <c r="Q4234" s="76" t="b">
        <v>0</v>
      </c>
      <c r="R4234" s="14"/>
      <c r="S4234" s="14"/>
      <c r="T4234" s="14"/>
      <c r="U4234" s="14"/>
      <c r="V4234" s="14"/>
      <c r="W4234" s="14"/>
    </row>
    <row r="4235" ht="31.5" customHeight="1">
      <c r="A4235" s="158"/>
      <c r="B4235" s="159"/>
      <c r="C4235" s="160"/>
      <c r="D4235" s="130"/>
      <c r="E4235" s="130"/>
      <c r="F4235" s="161"/>
      <c r="G4235" s="164"/>
      <c r="H4235" s="76" t="b">
        <v>0</v>
      </c>
      <c r="I4235" s="76" t="b">
        <v>0</v>
      </c>
      <c r="J4235" s="76" t="b">
        <v>0</v>
      </c>
      <c r="K4235" s="76" t="b">
        <v>0</v>
      </c>
      <c r="L4235" s="76" t="b">
        <v>0</v>
      </c>
      <c r="M4235" s="76" t="b">
        <v>0</v>
      </c>
      <c r="N4235" s="76" t="b">
        <v>0</v>
      </c>
      <c r="O4235" s="76" t="b">
        <v>0</v>
      </c>
      <c r="P4235" s="76" t="b">
        <v>0</v>
      </c>
      <c r="Q4235" s="76" t="b">
        <v>0</v>
      </c>
      <c r="R4235" s="14"/>
      <c r="S4235" s="14"/>
      <c r="T4235" s="14"/>
      <c r="U4235" s="14"/>
      <c r="V4235" s="14"/>
      <c r="W4235" s="14"/>
    </row>
    <row r="4236" ht="31.5" customHeight="1">
      <c r="A4236" s="158"/>
      <c r="B4236" s="159"/>
      <c r="C4236" s="160"/>
      <c r="D4236" s="130"/>
      <c r="E4236" s="130"/>
      <c r="F4236" s="161"/>
      <c r="G4236" s="164"/>
      <c r="H4236" s="76" t="b">
        <v>0</v>
      </c>
      <c r="I4236" s="76" t="b">
        <v>0</v>
      </c>
      <c r="J4236" s="76" t="b">
        <v>0</v>
      </c>
      <c r="K4236" s="76" t="b">
        <v>0</v>
      </c>
      <c r="L4236" s="76" t="b">
        <v>0</v>
      </c>
      <c r="M4236" s="76" t="b">
        <v>0</v>
      </c>
      <c r="N4236" s="76" t="b">
        <v>0</v>
      </c>
      <c r="O4236" s="76" t="b">
        <v>0</v>
      </c>
      <c r="P4236" s="76" t="b">
        <v>0</v>
      </c>
      <c r="Q4236" s="76" t="b">
        <v>0</v>
      </c>
      <c r="R4236" s="14"/>
      <c r="S4236" s="14"/>
      <c r="T4236" s="14"/>
      <c r="U4236" s="14"/>
      <c r="V4236" s="14"/>
      <c r="W4236" s="14"/>
    </row>
    <row r="4237" ht="31.5" customHeight="1">
      <c r="A4237" s="158"/>
      <c r="B4237" s="159"/>
      <c r="C4237" s="160"/>
      <c r="D4237" s="130"/>
      <c r="E4237" s="130"/>
      <c r="F4237" s="161"/>
      <c r="G4237" s="164"/>
      <c r="H4237" s="76" t="b">
        <v>0</v>
      </c>
      <c r="I4237" s="76" t="b">
        <v>0</v>
      </c>
      <c r="J4237" s="76" t="b">
        <v>0</v>
      </c>
      <c r="K4237" s="76" t="b">
        <v>0</v>
      </c>
      <c r="L4237" s="76" t="b">
        <v>0</v>
      </c>
      <c r="M4237" s="76" t="b">
        <v>0</v>
      </c>
      <c r="N4237" s="76" t="b">
        <v>0</v>
      </c>
      <c r="O4237" s="76" t="b">
        <v>0</v>
      </c>
      <c r="P4237" s="76" t="b">
        <v>0</v>
      </c>
      <c r="Q4237" s="76" t="b">
        <v>0</v>
      </c>
      <c r="R4237" s="14"/>
      <c r="S4237" s="14"/>
      <c r="T4237" s="14"/>
      <c r="U4237" s="14"/>
      <c r="V4237" s="14"/>
      <c r="W4237" s="14"/>
    </row>
    <row r="4238" ht="31.5" customHeight="1">
      <c r="A4238" s="158"/>
      <c r="B4238" s="159"/>
      <c r="C4238" s="160"/>
      <c r="D4238" s="130"/>
      <c r="E4238" s="130"/>
      <c r="F4238" s="161"/>
      <c r="G4238" s="164"/>
      <c r="H4238" s="76" t="b">
        <v>0</v>
      </c>
      <c r="I4238" s="76" t="b">
        <v>0</v>
      </c>
      <c r="J4238" s="76" t="b">
        <v>0</v>
      </c>
      <c r="K4238" s="76" t="b">
        <v>0</v>
      </c>
      <c r="L4238" s="76" t="b">
        <v>0</v>
      </c>
      <c r="M4238" s="76" t="b">
        <v>0</v>
      </c>
      <c r="N4238" s="76" t="b">
        <v>0</v>
      </c>
      <c r="O4238" s="76" t="b">
        <v>0</v>
      </c>
      <c r="P4238" s="76" t="b">
        <v>0</v>
      </c>
      <c r="Q4238" s="76" t="b">
        <v>0</v>
      </c>
      <c r="R4238" s="14"/>
      <c r="S4238" s="14"/>
      <c r="T4238" s="14"/>
      <c r="U4238" s="14"/>
      <c r="V4238" s="14"/>
      <c r="W4238" s="14"/>
    </row>
    <row r="4239" ht="31.5" customHeight="1">
      <c r="A4239" s="158"/>
      <c r="B4239" s="159"/>
      <c r="C4239" s="160"/>
      <c r="D4239" s="130"/>
      <c r="E4239" s="130"/>
      <c r="F4239" s="161"/>
      <c r="G4239" s="164"/>
      <c r="H4239" s="76" t="b">
        <v>0</v>
      </c>
      <c r="I4239" s="76" t="b">
        <v>0</v>
      </c>
      <c r="J4239" s="76" t="b">
        <v>0</v>
      </c>
      <c r="K4239" s="76" t="b">
        <v>0</v>
      </c>
      <c r="L4239" s="76" t="b">
        <v>0</v>
      </c>
      <c r="M4239" s="76" t="b">
        <v>0</v>
      </c>
      <c r="N4239" s="76" t="b">
        <v>0</v>
      </c>
      <c r="O4239" s="76" t="b">
        <v>0</v>
      </c>
      <c r="P4239" s="76" t="b">
        <v>0</v>
      </c>
      <c r="Q4239" s="76" t="b">
        <v>0</v>
      </c>
      <c r="R4239" s="14"/>
      <c r="S4239" s="14"/>
      <c r="T4239" s="14"/>
      <c r="U4239" s="14"/>
      <c r="V4239" s="14"/>
      <c r="W4239" s="14"/>
    </row>
    <row r="4240" ht="31.5" customHeight="1">
      <c r="A4240" s="158"/>
      <c r="B4240" s="159"/>
      <c r="C4240" s="160"/>
      <c r="D4240" s="130"/>
      <c r="E4240" s="130"/>
      <c r="F4240" s="161"/>
      <c r="G4240" s="164"/>
      <c r="H4240" s="76" t="b">
        <v>0</v>
      </c>
      <c r="I4240" s="76" t="b">
        <v>0</v>
      </c>
      <c r="J4240" s="76" t="b">
        <v>0</v>
      </c>
      <c r="K4240" s="76" t="b">
        <v>0</v>
      </c>
      <c r="L4240" s="76" t="b">
        <v>0</v>
      </c>
      <c r="M4240" s="76" t="b">
        <v>0</v>
      </c>
      <c r="N4240" s="76" t="b">
        <v>0</v>
      </c>
      <c r="O4240" s="76" t="b">
        <v>0</v>
      </c>
      <c r="P4240" s="76" t="b">
        <v>0</v>
      </c>
      <c r="Q4240" s="76" t="b">
        <v>0</v>
      </c>
      <c r="R4240" s="14"/>
      <c r="S4240" s="14"/>
      <c r="T4240" s="14"/>
      <c r="U4240" s="14"/>
      <c r="V4240" s="14"/>
      <c r="W4240" s="14"/>
    </row>
    <row r="4241" ht="31.5" customHeight="1">
      <c r="A4241" s="158"/>
      <c r="B4241" s="159"/>
      <c r="C4241" s="160"/>
      <c r="D4241" s="130"/>
      <c r="E4241" s="130"/>
      <c r="F4241" s="161"/>
      <c r="G4241" s="164"/>
      <c r="H4241" s="76" t="b">
        <v>0</v>
      </c>
      <c r="I4241" s="76" t="b">
        <v>0</v>
      </c>
      <c r="J4241" s="76" t="b">
        <v>0</v>
      </c>
      <c r="K4241" s="76" t="b">
        <v>0</v>
      </c>
      <c r="L4241" s="76" t="b">
        <v>0</v>
      </c>
      <c r="M4241" s="76" t="b">
        <v>0</v>
      </c>
      <c r="N4241" s="76" t="b">
        <v>0</v>
      </c>
      <c r="O4241" s="76" t="b">
        <v>0</v>
      </c>
      <c r="P4241" s="76" t="b">
        <v>0</v>
      </c>
      <c r="Q4241" s="76" t="b">
        <v>0</v>
      </c>
      <c r="R4241" s="14"/>
      <c r="S4241" s="14"/>
      <c r="T4241" s="14"/>
      <c r="U4241" s="14"/>
      <c r="V4241" s="14"/>
      <c r="W4241" s="14"/>
    </row>
    <row r="4242" ht="31.5" customHeight="1">
      <c r="A4242" s="158"/>
      <c r="B4242" s="159"/>
      <c r="C4242" s="160"/>
      <c r="D4242" s="130"/>
      <c r="E4242" s="130"/>
      <c r="F4242" s="161"/>
      <c r="G4242" s="164"/>
      <c r="H4242" s="76" t="b">
        <v>0</v>
      </c>
      <c r="I4242" s="76" t="b">
        <v>0</v>
      </c>
      <c r="J4242" s="76" t="b">
        <v>0</v>
      </c>
      <c r="K4242" s="76" t="b">
        <v>0</v>
      </c>
      <c r="L4242" s="76" t="b">
        <v>0</v>
      </c>
      <c r="M4242" s="76" t="b">
        <v>0</v>
      </c>
      <c r="N4242" s="76" t="b">
        <v>0</v>
      </c>
      <c r="O4242" s="76" t="b">
        <v>0</v>
      </c>
      <c r="P4242" s="76" t="b">
        <v>0</v>
      </c>
      <c r="Q4242" s="76" t="b">
        <v>0</v>
      </c>
      <c r="R4242" s="14"/>
      <c r="S4242" s="14"/>
      <c r="T4242" s="14"/>
      <c r="U4242" s="14"/>
      <c r="V4242" s="14"/>
      <c r="W4242" s="14"/>
    </row>
    <row r="4243" ht="31.5" customHeight="1">
      <c r="A4243" s="158"/>
      <c r="B4243" s="159"/>
      <c r="C4243" s="160"/>
      <c r="D4243" s="130"/>
      <c r="E4243" s="130"/>
      <c r="F4243" s="161"/>
      <c r="G4243" s="164"/>
      <c r="H4243" s="76" t="b">
        <v>0</v>
      </c>
      <c r="I4243" s="76" t="b">
        <v>0</v>
      </c>
      <c r="J4243" s="76" t="b">
        <v>0</v>
      </c>
      <c r="K4243" s="76" t="b">
        <v>0</v>
      </c>
      <c r="L4243" s="76" t="b">
        <v>0</v>
      </c>
      <c r="M4243" s="76" t="b">
        <v>0</v>
      </c>
      <c r="N4243" s="76" t="b">
        <v>0</v>
      </c>
      <c r="O4243" s="76" t="b">
        <v>0</v>
      </c>
      <c r="P4243" s="76" t="b">
        <v>0</v>
      </c>
      <c r="Q4243" s="76" t="b">
        <v>0</v>
      </c>
      <c r="R4243" s="14"/>
      <c r="S4243" s="14"/>
      <c r="T4243" s="14"/>
      <c r="U4243" s="14"/>
      <c r="V4243" s="14"/>
      <c r="W4243" s="14"/>
    </row>
    <row r="4244" ht="31.5" customHeight="1">
      <c r="A4244" s="158"/>
      <c r="B4244" s="159"/>
      <c r="C4244" s="160"/>
      <c r="D4244" s="130"/>
      <c r="E4244" s="130"/>
      <c r="F4244" s="161"/>
      <c r="G4244" s="164"/>
      <c r="H4244" s="76" t="b">
        <v>0</v>
      </c>
      <c r="I4244" s="76" t="b">
        <v>0</v>
      </c>
      <c r="J4244" s="76" t="b">
        <v>0</v>
      </c>
      <c r="K4244" s="76" t="b">
        <v>0</v>
      </c>
      <c r="L4244" s="76" t="b">
        <v>0</v>
      </c>
      <c r="M4244" s="76" t="b">
        <v>0</v>
      </c>
      <c r="N4244" s="76" t="b">
        <v>0</v>
      </c>
      <c r="O4244" s="76" t="b">
        <v>0</v>
      </c>
      <c r="P4244" s="76" t="b">
        <v>0</v>
      </c>
      <c r="Q4244" s="76" t="b">
        <v>0</v>
      </c>
      <c r="R4244" s="14"/>
      <c r="S4244" s="14"/>
      <c r="T4244" s="14"/>
      <c r="U4244" s="14"/>
      <c r="V4244" s="14"/>
      <c r="W4244" s="14"/>
    </row>
    <row r="4245" ht="31.5" customHeight="1">
      <c r="A4245" s="158"/>
      <c r="B4245" s="159"/>
      <c r="C4245" s="160"/>
      <c r="D4245" s="130"/>
      <c r="E4245" s="130"/>
      <c r="F4245" s="161"/>
      <c r="G4245" s="164"/>
      <c r="H4245" s="76" t="b">
        <v>0</v>
      </c>
      <c r="I4245" s="76" t="b">
        <v>0</v>
      </c>
      <c r="J4245" s="76" t="b">
        <v>0</v>
      </c>
      <c r="K4245" s="76" t="b">
        <v>0</v>
      </c>
      <c r="L4245" s="76" t="b">
        <v>0</v>
      </c>
      <c r="M4245" s="76" t="b">
        <v>0</v>
      </c>
      <c r="N4245" s="76" t="b">
        <v>0</v>
      </c>
      <c r="O4245" s="76" t="b">
        <v>0</v>
      </c>
      <c r="P4245" s="76" t="b">
        <v>0</v>
      </c>
      <c r="Q4245" s="76" t="b">
        <v>0</v>
      </c>
      <c r="R4245" s="14"/>
      <c r="S4245" s="14"/>
      <c r="T4245" s="14"/>
      <c r="U4245" s="14"/>
      <c r="V4245" s="14"/>
      <c r="W4245" s="14"/>
    </row>
    <row r="4246" ht="31.5" customHeight="1">
      <c r="A4246" s="158"/>
      <c r="B4246" s="159"/>
      <c r="C4246" s="160"/>
      <c r="D4246" s="130"/>
      <c r="E4246" s="130"/>
      <c r="F4246" s="161"/>
      <c r="G4246" s="164"/>
      <c r="H4246" s="76" t="b">
        <v>0</v>
      </c>
      <c r="I4246" s="76" t="b">
        <v>0</v>
      </c>
      <c r="J4246" s="76" t="b">
        <v>0</v>
      </c>
      <c r="K4246" s="76" t="b">
        <v>0</v>
      </c>
      <c r="L4246" s="76" t="b">
        <v>0</v>
      </c>
      <c r="M4246" s="76" t="b">
        <v>0</v>
      </c>
      <c r="N4246" s="76" t="b">
        <v>0</v>
      </c>
      <c r="O4246" s="76" t="b">
        <v>0</v>
      </c>
      <c r="P4246" s="76" t="b">
        <v>0</v>
      </c>
      <c r="Q4246" s="76" t="b">
        <v>0</v>
      </c>
      <c r="R4246" s="14"/>
      <c r="S4246" s="14"/>
      <c r="T4246" s="14"/>
      <c r="U4246" s="14"/>
      <c r="V4246" s="14"/>
      <c r="W4246" s="14"/>
    </row>
    <row r="4247" ht="31.5" customHeight="1">
      <c r="A4247" s="158"/>
      <c r="B4247" s="159"/>
      <c r="C4247" s="160"/>
      <c r="D4247" s="130"/>
      <c r="E4247" s="130"/>
      <c r="F4247" s="161"/>
      <c r="G4247" s="164"/>
      <c r="H4247" s="76" t="b">
        <v>0</v>
      </c>
      <c r="I4247" s="76" t="b">
        <v>0</v>
      </c>
      <c r="J4247" s="76" t="b">
        <v>0</v>
      </c>
      <c r="K4247" s="76" t="b">
        <v>0</v>
      </c>
      <c r="L4247" s="76" t="b">
        <v>0</v>
      </c>
      <c r="M4247" s="76" t="b">
        <v>0</v>
      </c>
      <c r="N4247" s="76" t="b">
        <v>0</v>
      </c>
      <c r="O4247" s="76" t="b">
        <v>0</v>
      </c>
      <c r="P4247" s="76" t="b">
        <v>0</v>
      </c>
      <c r="Q4247" s="76" t="b">
        <v>0</v>
      </c>
      <c r="R4247" s="14"/>
      <c r="S4247" s="14"/>
      <c r="T4247" s="14"/>
      <c r="U4247" s="14"/>
      <c r="V4247" s="14"/>
      <c r="W4247" s="14"/>
    </row>
    <row r="4248" ht="31.5" customHeight="1">
      <c r="A4248" s="158"/>
      <c r="B4248" s="159"/>
      <c r="C4248" s="160"/>
      <c r="D4248" s="130"/>
      <c r="E4248" s="130"/>
      <c r="F4248" s="161"/>
      <c r="G4248" s="164"/>
      <c r="H4248" s="76" t="b">
        <v>0</v>
      </c>
      <c r="I4248" s="76" t="b">
        <v>0</v>
      </c>
      <c r="J4248" s="76" t="b">
        <v>0</v>
      </c>
      <c r="K4248" s="76" t="b">
        <v>0</v>
      </c>
      <c r="L4248" s="76" t="b">
        <v>0</v>
      </c>
      <c r="M4248" s="76" t="b">
        <v>0</v>
      </c>
      <c r="N4248" s="76" t="b">
        <v>0</v>
      </c>
      <c r="O4248" s="76" t="b">
        <v>0</v>
      </c>
      <c r="P4248" s="76" t="b">
        <v>0</v>
      </c>
      <c r="Q4248" s="76" t="b">
        <v>0</v>
      </c>
      <c r="R4248" s="14"/>
      <c r="S4248" s="14"/>
      <c r="T4248" s="14"/>
      <c r="U4248" s="14"/>
      <c r="V4248" s="14"/>
      <c r="W4248" s="14"/>
    </row>
    <row r="4249" ht="31.5" customHeight="1">
      <c r="A4249" s="158"/>
      <c r="B4249" s="159"/>
      <c r="C4249" s="160"/>
      <c r="D4249" s="130"/>
      <c r="E4249" s="130"/>
      <c r="F4249" s="161"/>
      <c r="G4249" s="164"/>
      <c r="H4249" s="76" t="b">
        <v>0</v>
      </c>
      <c r="I4249" s="76" t="b">
        <v>0</v>
      </c>
      <c r="J4249" s="76" t="b">
        <v>0</v>
      </c>
      <c r="K4249" s="76" t="b">
        <v>0</v>
      </c>
      <c r="L4249" s="76" t="b">
        <v>0</v>
      </c>
      <c r="M4249" s="76" t="b">
        <v>0</v>
      </c>
      <c r="N4249" s="76" t="b">
        <v>0</v>
      </c>
      <c r="O4249" s="76" t="b">
        <v>0</v>
      </c>
      <c r="P4249" s="76" t="b">
        <v>0</v>
      </c>
      <c r="Q4249" s="76" t="b">
        <v>0</v>
      </c>
      <c r="R4249" s="14"/>
      <c r="S4249" s="14"/>
      <c r="T4249" s="14"/>
      <c r="U4249" s="14"/>
      <c r="V4249" s="14"/>
      <c r="W4249" s="14"/>
    </row>
    <row r="4250" ht="31.5" customHeight="1">
      <c r="A4250" s="158"/>
      <c r="B4250" s="159"/>
      <c r="C4250" s="160"/>
      <c r="D4250" s="130"/>
      <c r="E4250" s="130"/>
      <c r="F4250" s="161"/>
      <c r="G4250" s="164"/>
      <c r="H4250" s="76" t="b">
        <v>0</v>
      </c>
      <c r="I4250" s="76" t="b">
        <v>0</v>
      </c>
      <c r="J4250" s="76" t="b">
        <v>0</v>
      </c>
      <c r="K4250" s="76" t="b">
        <v>0</v>
      </c>
      <c r="L4250" s="76" t="b">
        <v>0</v>
      </c>
      <c r="M4250" s="76" t="b">
        <v>0</v>
      </c>
      <c r="N4250" s="76" t="b">
        <v>0</v>
      </c>
      <c r="O4250" s="76" t="b">
        <v>0</v>
      </c>
      <c r="P4250" s="76" t="b">
        <v>0</v>
      </c>
      <c r="Q4250" s="76" t="b">
        <v>0</v>
      </c>
      <c r="R4250" s="14"/>
      <c r="S4250" s="14"/>
      <c r="T4250" s="14"/>
      <c r="U4250" s="14"/>
      <c r="V4250" s="14"/>
      <c r="W4250" s="14"/>
    </row>
    <row r="4251" ht="31.5" customHeight="1">
      <c r="A4251" s="158"/>
      <c r="B4251" s="159"/>
      <c r="C4251" s="160"/>
      <c r="D4251" s="130"/>
      <c r="E4251" s="130"/>
      <c r="F4251" s="161"/>
      <c r="G4251" s="164"/>
      <c r="H4251" s="76" t="b">
        <v>0</v>
      </c>
      <c r="I4251" s="76" t="b">
        <v>0</v>
      </c>
      <c r="J4251" s="76" t="b">
        <v>0</v>
      </c>
      <c r="K4251" s="76" t="b">
        <v>0</v>
      </c>
      <c r="L4251" s="76" t="b">
        <v>0</v>
      </c>
      <c r="M4251" s="76" t="b">
        <v>0</v>
      </c>
      <c r="N4251" s="76" t="b">
        <v>0</v>
      </c>
      <c r="O4251" s="76" t="b">
        <v>0</v>
      </c>
      <c r="P4251" s="76" t="b">
        <v>0</v>
      </c>
      <c r="Q4251" s="76" t="b">
        <v>0</v>
      </c>
      <c r="R4251" s="14"/>
      <c r="S4251" s="14"/>
      <c r="T4251" s="14"/>
      <c r="U4251" s="14"/>
      <c r="V4251" s="14"/>
      <c r="W4251" s="14"/>
    </row>
    <row r="4252" ht="31.5" customHeight="1">
      <c r="A4252" s="158"/>
      <c r="B4252" s="159"/>
      <c r="C4252" s="160"/>
      <c r="D4252" s="130"/>
      <c r="E4252" s="130"/>
      <c r="F4252" s="161"/>
      <c r="G4252" s="164"/>
      <c r="H4252" s="76" t="b">
        <v>0</v>
      </c>
      <c r="I4252" s="76" t="b">
        <v>0</v>
      </c>
      <c r="J4252" s="76" t="b">
        <v>0</v>
      </c>
      <c r="K4252" s="76" t="b">
        <v>0</v>
      </c>
      <c r="L4252" s="76" t="b">
        <v>0</v>
      </c>
      <c r="M4252" s="76" t="b">
        <v>0</v>
      </c>
      <c r="N4252" s="76" t="b">
        <v>0</v>
      </c>
      <c r="O4252" s="76" t="b">
        <v>0</v>
      </c>
      <c r="P4252" s="76" t="b">
        <v>0</v>
      </c>
      <c r="Q4252" s="76" t="b">
        <v>0</v>
      </c>
      <c r="R4252" s="14"/>
      <c r="S4252" s="14"/>
      <c r="T4252" s="14"/>
      <c r="U4252" s="14"/>
      <c r="V4252" s="14"/>
      <c r="W4252" s="14"/>
    </row>
    <row r="4253" ht="31.5" customHeight="1">
      <c r="A4253" s="158"/>
      <c r="B4253" s="159"/>
      <c r="C4253" s="160"/>
      <c r="D4253" s="130"/>
      <c r="E4253" s="130"/>
      <c r="F4253" s="161"/>
      <c r="G4253" s="164"/>
      <c r="H4253" s="76" t="b">
        <v>1</v>
      </c>
      <c r="I4253" s="76" t="b">
        <v>0</v>
      </c>
      <c r="J4253" s="76" t="b">
        <v>0</v>
      </c>
      <c r="K4253" s="76" t="b">
        <v>0</v>
      </c>
      <c r="L4253" s="76" t="b">
        <v>0</v>
      </c>
      <c r="M4253" s="76" t="b">
        <v>0</v>
      </c>
      <c r="N4253" s="76" t="b">
        <v>0</v>
      </c>
      <c r="O4253" s="76" t="b">
        <v>0</v>
      </c>
      <c r="P4253" s="76" t="b">
        <v>0</v>
      </c>
      <c r="Q4253" s="76" t="b">
        <v>0</v>
      </c>
      <c r="R4253" s="14"/>
      <c r="S4253" s="14"/>
      <c r="T4253" s="14"/>
      <c r="U4253" s="14"/>
      <c r="V4253" s="14"/>
      <c r="W4253" s="14"/>
    </row>
    <row r="4254" ht="31.5" customHeight="1">
      <c r="A4254" s="158"/>
      <c r="B4254" s="159"/>
      <c r="C4254" s="160"/>
      <c r="D4254" s="130"/>
      <c r="E4254" s="130"/>
      <c r="F4254" s="161"/>
      <c r="G4254" s="164"/>
      <c r="H4254" s="76" t="b">
        <v>1</v>
      </c>
      <c r="I4254" s="76" t="b">
        <v>0</v>
      </c>
      <c r="J4254" s="76" t="b">
        <v>0</v>
      </c>
      <c r="K4254" s="76" t="b">
        <v>0</v>
      </c>
      <c r="L4254" s="76" t="b">
        <v>0</v>
      </c>
      <c r="M4254" s="76" t="b">
        <v>0</v>
      </c>
      <c r="N4254" s="76" t="b">
        <v>0</v>
      </c>
      <c r="O4254" s="76" t="b">
        <v>0</v>
      </c>
      <c r="P4254" s="76" t="b">
        <v>0</v>
      </c>
      <c r="Q4254" s="76" t="b">
        <v>0</v>
      </c>
      <c r="R4254" s="14"/>
      <c r="S4254" s="14"/>
      <c r="T4254" s="14"/>
      <c r="U4254" s="14"/>
      <c r="V4254" s="14"/>
      <c r="W4254" s="14"/>
    </row>
    <row r="4255" ht="31.5" customHeight="1">
      <c r="A4255" s="158"/>
      <c r="B4255" s="159"/>
      <c r="C4255" s="160"/>
      <c r="D4255" s="130"/>
      <c r="E4255" s="130"/>
      <c r="F4255" s="161"/>
      <c r="G4255" s="164"/>
      <c r="H4255" s="76" t="b">
        <v>1</v>
      </c>
      <c r="I4255" s="76" t="b">
        <v>0</v>
      </c>
      <c r="J4255" s="76" t="b">
        <v>0</v>
      </c>
      <c r="K4255" s="76" t="b">
        <v>0</v>
      </c>
      <c r="L4255" s="76" t="b">
        <v>0</v>
      </c>
      <c r="M4255" s="76" t="b">
        <v>0</v>
      </c>
      <c r="N4255" s="76" t="b">
        <v>0</v>
      </c>
      <c r="O4255" s="76" t="b">
        <v>0</v>
      </c>
      <c r="P4255" s="76" t="b">
        <v>0</v>
      </c>
      <c r="Q4255" s="76" t="b">
        <v>0</v>
      </c>
      <c r="R4255" s="14"/>
      <c r="S4255" s="14"/>
      <c r="T4255" s="14"/>
      <c r="U4255" s="14"/>
      <c r="V4255" s="14"/>
      <c r="W4255" s="14"/>
    </row>
    <row r="4256" ht="31.5" customHeight="1">
      <c r="A4256" s="158"/>
      <c r="B4256" s="159"/>
      <c r="C4256" s="160"/>
      <c r="D4256" s="130"/>
      <c r="E4256" s="130"/>
      <c r="F4256" s="161"/>
      <c r="G4256" s="164"/>
      <c r="H4256" s="76" t="b">
        <v>1</v>
      </c>
      <c r="I4256" s="76" t="b">
        <v>0</v>
      </c>
      <c r="J4256" s="76" t="b">
        <v>0</v>
      </c>
      <c r="K4256" s="76" t="b">
        <v>0</v>
      </c>
      <c r="L4256" s="76" t="b">
        <v>0</v>
      </c>
      <c r="M4256" s="76" t="b">
        <v>0</v>
      </c>
      <c r="N4256" s="76" t="b">
        <v>0</v>
      </c>
      <c r="O4256" s="76" t="b">
        <v>0</v>
      </c>
      <c r="P4256" s="76" t="b">
        <v>0</v>
      </c>
      <c r="Q4256" s="76" t="b">
        <v>0</v>
      </c>
      <c r="R4256" s="14"/>
      <c r="S4256" s="14"/>
      <c r="T4256" s="14"/>
      <c r="U4256" s="14"/>
      <c r="V4256" s="14"/>
      <c r="W4256" s="14"/>
    </row>
    <row r="4257" ht="31.5" customHeight="1">
      <c r="A4257" s="158"/>
      <c r="B4257" s="159"/>
      <c r="C4257" s="160"/>
      <c r="D4257" s="130"/>
      <c r="E4257" s="130"/>
      <c r="F4257" s="161"/>
      <c r="G4257" s="164"/>
      <c r="H4257" s="76" t="b">
        <v>1</v>
      </c>
      <c r="I4257" s="76" t="b">
        <v>0</v>
      </c>
      <c r="J4257" s="76" t="b">
        <v>0</v>
      </c>
      <c r="K4257" s="76" t="b">
        <v>0</v>
      </c>
      <c r="L4257" s="76" t="b">
        <v>0</v>
      </c>
      <c r="M4257" s="76" t="b">
        <v>0</v>
      </c>
      <c r="N4257" s="76" t="b">
        <v>0</v>
      </c>
      <c r="O4257" s="76" t="b">
        <v>0</v>
      </c>
      <c r="P4257" s="76" t="b">
        <v>0</v>
      </c>
      <c r="Q4257" s="76" t="b">
        <v>0</v>
      </c>
      <c r="R4257" s="14"/>
      <c r="S4257" s="14"/>
      <c r="T4257" s="14"/>
      <c r="U4257" s="14"/>
      <c r="V4257" s="14"/>
      <c r="W4257" s="14"/>
    </row>
    <row r="4258" ht="31.5" customHeight="1">
      <c r="A4258" s="158"/>
      <c r="B4258" s="159"/>
      <c r="C4258" s="160"/>
      <c r="D4258" s="130"/>
      <c r="E4258" s="130"/>
      <c r="F4258" s="161"/>
      <c r="G4258" s="164"/>
      <c r="H4258" s="76" t="b">
        <v>1</v>
      </c>
      <c r="I4258" s="76" t="b">
        <v>0</v>
      </c>
      <c r="J4258" s="76" t="b">
        <v>0</v>
      </c>
      <c r="K4258" s="76" t="b">
        <v>0</v>
      </c>
      <c r="L4258" s="76" t="b">
        <v>0</v>
      </c>
      <c r="M4258" s="76" t="b">
        <v>0</v>
      </c>
      <c r="N4258" s="76" t="b">
        <v>0</v>
      </c>
      <c r="O4258" s="76" t="b">
        <v>0</v>
      </c>
      <c r="P4258" s="76" t="b">
        <v>0</v>
      </c>
      <c r="Q4258" s="76" t="b">
        <v>0</v>
      </c>
      <c r="R4258" s="14"/>
      <c r="S4258" s="14"/>
      <c r="T4258" s="14"/>
      <c r="U4258" s="14"/>
      <c r="V4258" s="14"/>
      <c r="W4258" s="14"/>
    </row>
    <row r="4259" ht="31.5" customHeight="1">
      <c r="A4259" s="158"/>
      <c r="B4259" s="159"/>
      <c r="C4259" s="160"/>
      <c r="D4259" s="130"/>
      <c r="E4259" s="130"/>
      <c r="F4259" s="161"/>
      <c r="G4259" s="164"/>
      <c r="H4259" s="76" t="b">
        <v>1</v>
      </c>
      <c r="I4259" s="76" t="b">
        <v>0</v>
      </c>
      <c r="J4259" s="76" t="b">
        <v>0</v>
      </c>
      <c r="K4259" s="76" t="b">
        <v>0</v>
      </c>
      <c r="L4259" s="76" t="b">
        <v>0</v>
      </c>
      <c r="M4259" s="76" t="b">
        <v>0</v>
      </c>
      <c r="N4259" s="76" t="b">
        <v>0</v>
      </c>
      <c r="O4259" s="76" t="b">
        <v>0</v>
      </c>
      <c r="P4259" s="76" t="b">
        <v>0</v>
      </c>
      <c r="Q4259" s="76" t="b">
        <v>0</v>
      </c>
      <c r="R4259" s="14"/>
      <c r="S4259" s="14"/>
      <c r="T4259" s="14"/>
      <c r="U4259" s="14"/>
      <c r="V4259" s="14"/>
      <c r="W4259" s="14"/>
    </row>
    <row r="4260" ht="31.5" customHeight="1">
      <c r="A4260" s="158"/>
      <c r="B4260" s="159"/>
      <c r="C4260" s="160"/>
      <c r="D4260" s="130"/>
      <c r="E4260" s="130"/>
      <c r="F4260" s="161"/>
      <c r="G4260" s="164"/>
      <c r="H4260" s="76" t="b">
        <v>1</v>
      </c>
      <c r="I4260" s="76" t="b">
        <v>0</v>
      </c>
      <c r="J4260" s="76" t="b">
        <v>0</v>
      </c>
      <c r="K4260" s="76" t="b">
        <v>0</v>
      </c>
      <c r="L4260" s="76" t="b">
        <v>0</v>
      </c>
      <c r="M4260" s="76" t="b">
        <v>0</v>
      </c>
      <c r="N4260" s="76" t="b">
        <v>0</v>
      </c>
      <c r="O4260" s="76" t="b">
        <v>0</v>
      </c>
      <c r="P4260" s="76" t="b">
        <v>0</v>
      </c>
      <c r="Q4260" s="76" t="b">
        <v>0</v>
      </c>
      <c r="R4260" s="14"/>
      <c r="S4260" s="14"/>
      <c r="T4260" s="14"/>
      <c r="U4260" s="14"/>
      <c r="V4260" s="14"/>
      <c r="W4260" s="14"/>
    </row>
    <row r="4261" ht="31.5" customHeight="1">
      <c r="A4261" s="158"/>
      <c r="B4261" s="159"/>
      <c r="C4261" s="160"/>
      <c r="D4261" s="130"/>
      <c r="E4261" s="130"/>
      <c r="F4261" s="161"/>
      <c r="G4261" s="164"/>
      <c r="H4261" s="76" t="b">
        <v>1</v>
      </c>
      <c r="I4261" s="76" t="b">
        <v>0</v>
      </c>
      <c r="J4261" s="76" t="b">
        <v>0</v>
      </c>
      <c r="K4261" s="76" t="b">
        <v>0</v>
      </c>
      <c r="L4261" s="76" t="b">
        <v>0</v>
      </c>
      <c r="M4261" s="76" t="b">
        <v>0</v>
      </c>
      <c r="N4261" s="76" t="b">
        <v>0</v>
      </c>
      <c r="O4261" s="76" t="b">
        <v>0</v>
      </c>
      <c r="P4261" s="76" t="b">
        <v>0</v>
      </c>
      <c r="Q4261" s="76" t="b">
        <v>0</v>
      </c>
      <c r="R4261" s="14"/>
      <c r="S4261" s="14"/>
      <c r="T4261" s="14"/>
      <c r="U4261" s="14"/>
      <c r="V4261" s="14"/>
      <c r="W4261" s="14"/>
    </row>
    <row r="4262" ht="31.5" customHeight="1">
      <c r="A4262" s="158"/>
      <c r="B4262" s="159"/>
      <c r="C4262" s="160"/>
      <c r="D4262" s="130"/>
      <c r="E4262" s="130"/>
      <c r="F4262" s="161"/>
      <c r="G4262" s="164"/>
      <c r="H4262" s="76" t="b">
        <v>1</v>
      </c>
      <c r="I4262" s="76" t="b">
        <v>0</v>
      </c>
      <c r="J4262" s="76" t="b">
        <v>0</v>
      </c>
      <c r="K4262" s="76" t="b">
        <v>0</v>
      </c>
      <c r="L4262" s="76" t="b">
        <v>0</v>
      </c>
      <c r="M4262" s="76" t="b">
        <v>0</v>
      </c>
      <c r="N4262" s="76" t="b">
        <v>0</v>
      </c>
      <c r="O4262" s="76" t="b">
        <v>0</v>
      </c>
      <c r="P4262" s="76" t="b">
        <v>0</v>
      </c>
      <c r="Q4262" s="76" t="b">
        <v>0</v>
      </c>
      <c r="R4262" s="14"/>
      <c r="S4262" s="14"/>
      <c r="T4262" s="14"/>
      <c r="U4262" s="14"/>
      <c r="V4262" s="14"/>
      <c r="W4262" s="14"/>
    </row>
    <row r="4263" ht="31.5" customHeight="1">
      <c r="A4263" s="158"/>
      <c r="B4263" s="159"/>
      <c r="C4263" s="160"/>
      <c r="D4263" s="130"/>
      <c r="E4263" s="130"/>
      <c r="F4263" s="161"/>
      <c r="G4263" s="164"/>
      <c r="H4263" s="76" t="b">
        <v>1</v>
      </c>
      <c r="I4263" s="76" t="b">
        <v>0</v>
      </c>
      <c r="J4263" s="76" t="b">
        <v>0</v>
      </c>
      <c r="K4263" s="76" t="b">
        <v>0</v>
      </c>
      <c r="L4263" s="76" t="b">
        <v>0</v>
      </c>
      <c r="M4263" s="76" t="b">
        <v>0</v>
      </c>
      <c r="N4263" s="76" t="b">
        <v>0</v>
      </c>
      <c r="O4263" s="76" t="b">
        <v>0</v>
      </c>
      <c r="P4263" s="76" t="b">
        <v>0</v>
      </c>
      <c r="Q4263" s="76" t="b">
        <v>0</v>
      </c>
      <c r="R4263" s="14"/>
      <c r="S4263" s="14"/>
      <c r="T4263" s="14"/>
      <c r="U4263" s="14"/>
      <c r="V4263" s="14"/>
      <c r="W4263" s="14"/>
    </row>
    <row r="4264" ht="31.5" customHeight="1">
      <c r="A4264" s="158"/>
      <c r="B4264" s="159"/>
      <c r="C4264" s="160"/>
      <c r="D4264" s="130"/>
      <c r="E4264" s="130"/>
      <c r="F4264" s="161"/>
      <c r="G4264" s="164"/>
      <c r="H4264" s="76" t="b">
        <v>1</v>
      </c>
      <c r="I4264" s="76" t="b">
        <v>0</v>
      </c>
      <c r="J4264" s="76" t="b">
        <v>0</v>
      </c>
      <c r="K4264" s="76" t="b">
        <v>0</v>
      </c>
      <c r="L4264" s="76" t="b">
        <v>0</v>
      </c>
      <c r="M4264" s="76" t="b">
        <v>0</v>
      </c>
      <c r="N4264" s="76" t="b">
        <v>0</v>
      </c>
      <c r="O4264" s="76" t="b">
        <v>0</v>
      </c>
      <c r="P4264" s="76" t="b">
        <v>0</v>
      </c>
      <c r="Q4264" s="76" t="b">
        <v>0</v>
      </c>
      <c r="R4264" s="14"/>
      <c r="S4264" s="14"/>
      <c r="T4264" s="14"/>
      <c r="U4264" s="14"/>
      <c r="V4264" s="14"/>
      <c r="W4264" s="14"/>
    </row>
    <row r="4265" ht="31.5" customHeight="1">
      <c r="A4265" s="158"/>
      <c r="B4265" s="159"/>
      <c r="C4265" s="160"/>
      <c r="D4265" s="130"/>
      <c r="E4265" s="130"/>
      <c r="F4265" s="161"/>
      <c r="G4265" s="164"/>
      <c r="H4265" s="76" t="b">
        <v>1</v>
      </c>
      <c r="I4265" s="76" t="b">
        <v>0</v>
      </c>
      <c r="J4265" s="76" t="b">
        <v>0</v>
      </c>
      <c r="K4265" s="76" t="b">
        <v>0</v>
      </c>
      <c r="L4265" s="76" t="b">
        <v>0</v>
      </c>
      <c r="M4265" s="76" t="b">
        <v>0</v>
      </c>
      <c r="N4265" s="76" t="b">
        <v>0</v>
      </c>
      <c r="O4265" s="76" t="b">
        <v>0</v>
      </c>
      <c r="P4265" s="76" t="b">
        <v>0</v>
      </c>
      <c r="Q4265" s="76" t="b">
        <v>0</v>
      </c>
      <c r="R4265" s="14"/>
      <c r="S4265" s="14"/>
      <c r="T4265" s="14"/>
      <c r="U4265" s="14"/>
      <c r="V4265" s="14"/>
      <c r="W4265" s="14"/>
    </row>
    <row r="4266" ht="31.5" customHeight="1">
      <c r="A4266" s="158"/>
      <c r="B4266" s="159"/>
      <c r="C4266" s="160"/>
      <c r="D4266" s="130"/>
      <c r="E4266" s="130"/>
      <c r="F4266" s="161"/>
      <c r="G4266" s="164"/>
      <c r="H4266" s="76" t="b">
        <v>1</v>
      </c>
      <c r="I4266" s="76" t="b">
        <v>0</v>
      </c>
      <c r="J4266" s="76" t="b">
        <v>0</v>
      </c>
      <c r="K4266" s="76" t="b">
        <v>0</v>
      </c>
      <c r="L4266" s="76" t="b">
        <v>0</v>
      </c>
      <c r="M4266" s="76" t="b">
        <v>0</v>
      </c>
      <c r="N4266" s="76" t="b">
        <v>0</v>
      </c>
      <c r="O4266" s="76" t="b">
        <v>0</v>
      </c>
      <c r="P4266" s="76" t="b">
        <v>0</v>
      </c>
      <c r="Q4266" s="76" t="b">
        <v>0</v>
      </c>
      <c r="R4266" s="14"/>
      <c r="S4266" s="14"/>
      <c r="T4266" s="14"/>
      <c r="U4266" s="14"/>
      <c r="V4266" s="14"/>
      <c r="W4266" s="14"/>
    </row>
    <row r="4267" ht="31.5" customHeight="1">
      <c r="A4267" s="158"/>
      <c r="B4267" s="159"/>
      <c r="C4267" s="160"/>
      <c r="D4267" s="130"/>
      <c r="E4267" s="130"/>
      <c r="F4267" s="161"/>
      <c r="G4267" s="164"/>
      <c r="H4267" s="76" t="b">
        <v>1</v>
      </c>
      <c r="I4267" s="76" t="b">
        <v>0</v>
      </c>
      <c r="J4267" s="76" t="b">
        <v>0</v>
      </c>
      <c r="K4267" s="76" t="b">
        <v>0</v>
      </c>
      <c r="L4267" s="76" t="b">
        <v>0</v>
      </c>
      <c r="M4267" s="76" t="b">
        <v>0</v>
      </c>
      <c r="N4267" s="76" t="b">
        <v>0</v>
      </c>
      <c r="O4267" s="76" t="b">
        <v>0</v>
      </c>
      <c r="P4267" s="76" t="b">
        <v>0</v>
      </c>
      <c r="Q4267" s="76" t="b">
        <v>0</v>
      </c>
      <c r="R4267" s="14"/>
      <c r="S4267" s="14"/>
      <c r="T4267" s="14"/>
      <c r="U4267" s="14"/>
      <c r="V4267" s="14"/>
      <c r="W4267" s="14"/>
    </row>
    <row r="4268" ht="31.5" customHeight="1">
      <c r="A4268" s="158"/>
      <c r="B4268" s="159"/>
      <c r="C4268" s="160"/>
      <c r="D4268" s="130"/>
      <c r="E4268" s="130"/>
      <c r="F4268" s="161"/>
      <c r="G4268" s="164"/>
      <c r="H4268" s="76" t="b">
        <v>1</v>
      </c>
      <c r="I4268" s="76" t="b">
        <v>0</v>
      </c>
      <c r="J4268" s="76" t="b">
        <v>0</v>
      </c>
      <c r="K4268" s="76" t="b">
        <v>0</v>
      </c>
      <c r="L4268" s="76" t="b">
        <v>0</v>
      </c>
      <c r="M4268" s="76" t="b">
        <v>0</v>
      </c>
      <c r="N4268" s="76" t="b">
        <v>0</v>
      </c>
      <c r="O4268" s="76" t="b">
        <v>0</v>
      </c>
      <c r="P4268" s="76" t="b">
        <v>0</v>
      </c>
      <c r="Q4268" s="76" t="b">
        <v>0</v>
      </c>
      <c r="R4268" s="14"/>
      <c r="S4268" s="14"/>
      <c r="T4268" s="14"/>
      <c r="U4268" s="14"/>
      <c r="V4268" s="14"/>
      <c r="W4268" s="14"/>
    </row>
    <row r="4269" ht="31.5" customHeight="1">
      <c r="A4269" s="158"/>
      <c r="B4269" s="159"/>
      <c r="C4269" s="160"/>
      <c r="D4269" s="130"/>
      <c r="E4269" s="130"/>
      <c r="F4269" s="161"/>
      <c r="G4269" s="164"/>
      <c r="H4269" s="76" t="b">
        <v>1</v>
      </c>
      <c r="I4269" s="76" t="b">
        <v>0</v>
      </c>
      <c r="J4269" s="76" t="b">
        <v>0</v>
      </c>
      <c r="K4269" s="76" t="b">
        <v>0</v>
      </c>
      <c r="L4269" s="76" t="b">
        <v>0</v>
      </c>
      <c r="M4269" s="76" t="b">
        <v>0</v>
      </c>
      <c r="N4269" s="76" t="b">
        <v>0</v>
      </c>
      <c r="O4269" s="76" t="b">
        <v>0</v>
      </c>
      <c r="P4269" s="76" t="b">
        <v>0</v>
      </c>
      <c r="Q4269" s="76" t="b">
        <v>0</v>
      </c>
      <c r="R4269" s="14"/>
      <c r="S4269" s="14"/>
      <c r="T4269" s="14"/>
      <c r="U4269" s="14"/>
      <c r="V4269" s="14"/>
      <c r="W4269" s="14"/>
    </row>
    <row r="4270" ht="31.5" customHeight="1">
      <c r="A4270" s="158"/>
      <c r="B4270" s="159"/>
      <c r="C4270" s="160"/>
      <c r="D4270" s="130"/>
      <c r="E4270" s="130"/>
      <c r="F4270" s="161"/>
      <c r="G4270" s="164"/>
      <c r="H4270" s="76" t="b">
        <v>1</v>
      </c>
      <c r="I4270" s="76" t="b">
        <v>0</v>
      </c>
      <c r="J4270" s="76" t="b">
        <v>0</v>
      </c>
      <c r="K4270" s="76" t="b">
        <v>0</v>
      </c>
      <c r="L4270" s="76" t="b">
        <v>0</v>
      </c>
      <c r="M4270" s="76" t="b">
        <v>0</v>
      </c>
      <c r="N4270" s="76" t="b">
        <v>0</v>
      </c>
      <c r="O4270" s="76" t="b">
        <v>0</v>
      </c>
      <c r="P4270" s="76" t="b">
        <v>0</v>
      </c>
      <c r="Q4270" s="76" t="b">
        <v>0</v>
      </c>
      <c r="R4270" s="14"/>
      <c r="S4270" s="14"/>
      <c r="T4270" s="14"/>
      <c r="U4270" s="14"/>
      <c r="V4270" s="14"/>
      <c r="W4270" s="14"/>
    </row>
    <row r="4271" ht="31.5" customHeight="1">
      <c r="A4271" s="158"/>
      <c r="B4271" s="159"/>
      <c r="C4271" s="160"/>
      <c r="D4271" s="130"/>
      <c r="E4271" s="130"/>
      <c r="F4271" s="161"/>
      <c r="G4271" s="164"/>
      <c r="H4271" s="76" t="b">
        <v>1</v>
      </c>
      <c r="I4271" s="76" t="b">
        <v>0</v>
      </c>
      <c r="J4271" s="76" t="b">
        <v>0</v>
      </c>
      <c r="K4271" s="76" t="b">
        <v>0</v>
      </c>
      <c r="L4271" s="76" t="b">
        <v>0</v>
      </c>
      <c r="M4271" s="76" t="b">
        <v>0</v>
      </c>
      <c r="N4271" s="76" t="b">
        <v>0</v>
      </c>
      <c r="O4271" s="76" t="b">
        <v>0</v>
      </c>
      <c r="P4271" s="76" t="b">
        <v>0</v>
      </c>
      <c r="Q4271" s="76" t="b">
        <v>0</v>
      </c>
      <c r="R4271" s="14"/>
      <c r="S4271" s="14"/>
      <c r="T4271" s="14"/>
      <c r="U4271" s="14"/>
      <c r="V4271" s="14"/>
      <c r="W4271" s="14"/>
    </row>
    <row r="4272" ht="31.5" customHeight="1">
      <c r="A4272" s="158"/>
      <c r="B4272" s="159"/>
      <c r="C4272" s="160"/>
      <c r="D4272" s="130"/>
      <c r="E4272" s="130"/>
      <c r="F4272" s="161"/>
      <c r="G4272" s="164"/>
      <c r="H4272" s="76" t="b">
        <v>1</v>
      </c>
      <c r="I4272" s="76" t="b">
        <v>0</v>
      </c>
      <c r="J4272" s="76" t="b">
        <v>0</v>
      </c>
      <c r="K4272" s="76" t="b">
        <v>0</v>
      </c>
      <c r="L4272" s="76" t="b">
        <v>0</v>
      </c>
      <c r="M4272" s="76" t="b">
        <v>0</v>
      </c>
      <c r="N4272" s="76" t="b">
        <v>0</v>
      </c>
      <c r="O4272" s="76" t="b">
        <v>0</v>
      </c>
      <c r="P4272" s="76" t="b">
        <v>0</v>
      </c>
      <c r="Q4272" s="76" t="b">
        <v>0</v>
      </c>
      <c r="R4272" s="14"/>
      <c r="S4272" s="14"/>
      <c r="T4272" s="14"/>
      <c r="U4272" s="14"/>
      <c r="V4272" s="14"/>
      <c r="W4272" s="14"/>
    </row>
    <row r="4273" ht="31.5" customHeight="1">
      <c r="A4273" s="158"/>
      <c r="B4273" s="159"/>
      <c r="C4273" s="160"/>
      <c r="D4273" s="130"/>
      <c r="E4273" s="130"/>
      <c r="F4273" s="161"/>
      <c r="G4273" s="164"/>
      <c r="H4273" s="76" t="b">
        <v>1</v>
      </c>
      <c r="I4273" s="76" t="b">
        <v>0</v>
      </c>
      <c r="J4273" s="76" t="b">
        <v>0</v>
      </c>
      <c r="K4273" s="76" t="b">
        <v>0</v>
      </c>
      <c r="L4273" s="76" t="b">
        <v>0</v>
      </c>
      <c r="M4273" s="76" t="b">
        <v>0</v>
      </c>
      <c r="N4273" s="76" t="b">
        <v>0</v>
      </c>
      <c r="O4273" s="76" t="b">
        <v>0</v>
      </c>
      <c r="P4273" s="76" t="b">
        <v>0</v>
      </c>
      <c r="Q4273" s="76" t="b">
        <v>0</v>
      </c>
      <c r="R4273" s="14"/>
      <c r="S4273" s="14"/>
      <c r="T4273" s="14"/>
      <c r="U4273" s="14"/>
      <c r="V4273" s="14"/>
      <c r="W4273" s="14"/>
    </row>
    <row r="4274" ht="31.5" customHeight="1">
      <c r="A4274" s="158"/>
      <c r="B4274" s="159"/>
      <c r="C4274" s="160"/>
      <c r="D4274" s="130"/>
      <c r="E4274" s="130"/>
      <c r="F4274" s="161"/>
      <c r="G4274" s="164"/>
      <c r="H4274" s="76" t="b">
        <v>1</v>
      </c>
      <c r="I4274" s="76" t="b">
        <v>0</v>
      </c>
      <c r="J4274" s="76" t="b">
        <v>0</v>
      </c>
      <c r="K4274" s="76" t="b">
        <v>0</v>
      </c>
      <c r="L4274" s="76" t="b">
        <v>0</v>
      </c>
      <c r="M4274" s="76" t="b">
        <v>0</v>
      </c>
      <c r="N4274" s="76" t="b">
        <v>0</v>
      </c>
      <c r="O4274" s="76" t="b">
        <v>0</v>
      </c>
      <c r="P4274" s="76" t="b">
        <v>0</v>
      </c>
      <c r="Q4274" s="76" t="b">
        <v>0</v>
      </c>
      <c r="R4274" s="14"/>
      <c r="S4274" s="14"/>
      <c r="T4274" s="14"/>
      <c r="U4274" s="14"/>
      <c r="V4274" s="14"/>
      <c r="W4274" s="14"/>
    </row>
    <row r="4275" ht="31.5" customHeight="1">
      <c r="A4275" s="158"/>
      <c r="B4275" s="159"/>
      <c r="C4275" s="160"/>
      <c r="D4275" s="130"/>
      <c r="E4275" s="130"/>
      <c r="F4275" s="161"/>
      <c r="G4275" s="164"/>
      <c r="H4275" s="76" t="b">
        <v>1</v>
      </c>
      <c r="I4275" s="76" t="b">
        <v>0</v>
      </c>
      <c r="J4275" s="76" t="b">
        <v>0</v>
      </c>
      <c r="K4275" s="76" t="b">
        <v>0</v>
      </c>
      <c r="L4275" s="76" t="b">
        <v>0</v>
      </c>
      <c r="M4275" s="76" t="b">
        <v>0</v>
      </c>
      <c r="N4275" s="76" t="b">
        <v>0</v>
      </c>
      <c r="O4275" s="76" t="b">
        <v>0</v>
      </c>
      <c r="P4275" s="76" t="b">
        <v>0</v>
      </c>
      <c r="Q4275" s="76" t="b">
        <v>0</v>
      </c>
      <c r="R4275" s="14"/>
      <c r="S4275" s="14"/>
      <c r="T4275" s="14"/>
      <c r="U4275" s="14"/>
      <c r="V4275" s="14"/>
      <c r="W4275" s="14"/>
    </row>
    <row r="4276" ht="31.5" customHeight="1">
      <c r="A4276" s="158"/>
      <c r="B4276" s="159"/>
      <c r="C4276" s="160"/>
      <c r="D4276" s="130"/>
      <c r="E4276" s="130"/>
      <c r="F4276" s="161"/>
      <c r="G4276" s="164"/>
      <c r="H4276" s="76" t="b">
        <v>1</v>
      </c>
      <c r="I4276" s="76" t="b">
        <v>0</v>
      </c>
      <c r="J4276" s="76" t="b">
        <v>0</v>
      </c>
      <c r="K4276" s="76" t="b">
        <v>0</v>
      </c>
      <c r="L4276" s="76" t="b">
        <v>0</v>
      </c>
      <c r="M4276" s="76" t="b">
        <v>0</v>
      </c>
      <c r="N4276" s="76" t="b">
        <v>0</v>
      </c>
      <c r="O4276" s="76" t="b">
        <v>0</v>
      </c>
      <c r="P4276" s="76" t="b">
        <v>0</v>
      </c>
      <c r="Q4276" s="76" t="b">
        <v>0</v>
      </c>
      <c r="R4276" s="14"/>
      <c r="S4276" s="14"/>
      <c r="T4276" s="14"/>
      <c r="U4276" s="14"/>
      <c r="V4276" s="14"/>
      <c r="W4276" s="14"/>
    </row>
    <row r="4277" ht="31.5" customHeight="1">
      <c r="A4277" s="158"/>
      <c r="B4277" s="159"/>
      <c r="C4277" s="160"/>
      <c r="D4277" s="130"/>
      <c r="E4277" s="130"/>
      <c r="F4277" s="161"/>
      <c r="G4277" s="164"/>
      <c r="H4277" s="76" t="b">
        <v>1</v>
      </c>
      <c r="I4277" s="76" t="b">
        <v>0</v>
      </c>
      <c r="J4277" s="76" t="b">
        <v>0</v>
      </c>
      <c r="K4277" s="76" t="b">
        <v>0</v>
      </c>
      <c r="L4277" s="76" t="b">
        <v>0</v>
      </c>
      <c r="M4277" s="76" t="b">
        <v>0</v>
      </c>
      <c r="N4277" s="76" t="b">
        <v>0</v>
      </c>
      <c r="O4277" s="76" t="b">
        <v>0</v>
      </c>
      <c r="P4277" s="76" t="b">
        <v>0</v>
      </c>
      <c r="Q4277" s="76" t="b">
        <v>0</v>
      </c>
      <c r="R4277" s="14"/>
      <c r="S4277" s="14"/>
      <c r="T4277" s="14"/>
      <c r="U4277" s="14"/>
      <c r="V4277" s="14"/>
      <c r="W4277" s="14"/>
    </row>
    <row r="4278" ht="31.5" customHeight="1">
      <c r="A4278" s="158"/>
      <c r="B4278" s="159"/>
      <c r="C4278" s="160"/>
      <c r="D4278" s="130"/>
      <c r="E4278" s="130"/>
      <c r="F4278" s="161"/>
      <c r="G4278" s="164"/>
      <c r="H4278" s="76" t="b">
        <v>1</v>
      </c>
      <c r="I4278" s="76" t="b">
        <v>0</v>
      </c>
      <c r="J4278" s="76" t="b">
        <v>0</v>
      </c>
      <c r="K4278" s="76" t="b">
        <v>0</v>
      </c>
      <c r="L4278" s="76" t="b">
        <v>0</v>
      </c>
      <c r="M4278" s="76" t="b">
        <v>0</v>
      </c>
      <c r="N4278" s="76" t="b">
        <v>0</v>
      </c>
      <c r="O4278" s="76" t="b">
        <v>0</v>
      </c>
      <c r="P4278" s="76" t="b">
        <v>0</v>
      </c>
      <c r="Q4278" s="76" t="b">
        <v>0</v>
      </c>
      <c r="R4278" s="14"/>
      <c r="S4278" s="14"/>
      <c r="T4278" s="14"/>
      <c r="U4278" s="14"/>
      <c r="V4278" s="14"/>
      <c r="W4278" s="14"/>
    </row>
    <row r="4279" ht="31.5" customHeight="1">
      <c r="A4279" s="158"/>
      <c r="B4279" s="159"/>
      <c r="C4279" s="160"/>
      <c r="D4279" s="130"/>
      <c r="E4279" s="130"/>
      <c r="F4279" s="161"/>
      <c r="G4279" s="164"/>
      <c r="H4279" s="76" t="b">
        <v>1</v>
      </c>
      <c r="I4279" s="76" t="b">
        <v>0</v>
      </c>
      <c r="J4279" s="76" t="b">
        <v>0</v>
      </c>
      <c r="K4279" s="76" t="b">
        <v>0</v>
      </c>
      <c r="L4279" s="76" t="b">
        <v>0</v>
      </c>
      <c r="M4279" s="76" t="b">
        <v>0</v>
      </c>
      <c r="N4279" s="76" t="b">
        <v>0</v>
      </c>
      <c r="O4279" s="76" t="b">
        <v>0</v>
      </c>
      <c r="P4279" s="76" t="b">
        <v>0</v>
      </c>
      <c r="Q4279" s="76" t="b">
        <v>0</v>
      </c>
      <c r="R4279" s="14"/>
      <c r="S4279" s="14"/>
      <c r="T4279" s="14"/>
      <c r="U4279" s="14"/>
      <c r="V4279" s="14"/>
      <c r="W4279" s="14"/>
    </row>
    <row r="4280" ht="31.5" customHeight="1">
      <c r="A4280" s="158"/>
      <c r="B4280" s="159"/>
      <c r="C4280" s="160"/>
      <c r="D4280" s="130"/>
      <c r="E4280" s="130"/>
      <c r="F4280" s="161"/>
      <c r="G4280" s="164"/>
      <c r="H4280" s="76" t="b">
        <v>1</v>
      </c>
      <c r="I4280" s="76" t="b">
        <v>0</v>
      </c>
      <c r="J4280" s="76" t="b">
        <v>0</v>
      </c>
      <c r="K4280" s="76" t="b">
        <v>0</v>
      </c>
      <c r="L4280" s="76" t="b">
        <v>0</v>
      </c>
      <c r="M4280" s="76" t="b">
        <v>0</v>
      </c>
      <c r="N4280" s="76" t="b">
        <v>0</v>
      </c>
      <c r="O4280" s="76" t="b">
        <v>0</v>
      </c>
      <c r="P4280" s="76" t="b">
        <v>0</v>
      </c>
      <c r="Q4280" s="76" t="b">
        <v>0</v>
      </c>
      <c r="R4280" s="14"/>
      <c r="S4280" s="14"/>
      <c r="T4280" s="14"/>
      <c r="U4280" s="14"/>
      <c r="V4280" s="14"/>
      <c r="W4280" s="14"/>
    </row>
    <row r="4281" ht="31.5" customHeight="1">
      <c r="A4281" s="158"/>
      <c r="B4281" s="159"/>
      <c r="C4281" s="160"/>
      <c r="D4281" s="130"/>
      <c r="E4281" s="130"/>
      <c r="F4281" s="161"/>
      <c r="G4281" s="164"/>
      <c r="H4281" s="76" t="b">
        <v>1</v>
      </c>
      <c r="I4281" s="76" t="b">
        <v>0</v>
      </c>
      <c r="J4281" s="76" t="b">
        <v>0</v>
      </c>
      <c r="K4281" s="76" t="b">
        <v>0</v>
      </c>
      <c r="L4281" s="76" t="b">
        <v>0</v>
      </c>
      <c r="M4281" s="76" t="b">
        <v>0</v>
      </c>
      <c r="N4281" s="76" t="b">
        <v>0</v>
      </c>
      <c r="O4281" s="76" t="b">
        <v>0</v>
      </c>
      <c r="P4281" s="76" t="b">
        <v>0</v>
      </c>
      <c r="Q4281" s="76" t="b">
        <v>0</v>
      </c>
      <c r="R4281" s="14"/>
      <c r="S4281" s="14"/>
      <c r="T4281" s="14"/>
      <c r="U4281" s="14"/>
      <c r="V4281" s="14"/>
      <c r="W4281" s="14"/>
    </row>
    <row r="4282" ht="31.5" customHeight="1">
      <c r="A4282" s="158"/>
      <c r="B4282" s="159"/>
      <c r="C4282" s="160"/>
      <c r="D4282" s="130"/>
      <c r="E4282" s="130"/>
      <c r="F4282" s="161"/>
      <c r="G4282" s="164"/>
      <c r="H4282" s="76" t="b">
        <v>1</v>
      </c>
      <c r="I4282" s="76" t="b">
        <v>0</v>
      </c>
      <c r="J4282" s="76" t="b">
        <v>0</v>
      </c>
      <c r="K4282" s="76" t="b">
        <v>0</v>
      </c>
      <c r="L4282" s="76" t="b">
        <v>0</v>
      </c>
      <c r="M4282" s="76" t="b">
        <v>0</v>
      </c>
      <c r="N4282" s="76" t="b">
        <v>0</v>
      </c>
      <c r="O4282" s="76" t="b">
        <v>0</v>
      </c>
      <c r="P4282" s="76" t="b">
        <v>0</v>
      </c>
      <c r="Q4282" s="76" t="b">
        <v>0</v>
      </c>
      <c r="R4282" s="14"/>
      <c r="S4282" s="14"/>
      <c r="T4282" s="14"/>
      <c r="U4282" s="14"/>
      <c r="V4282" s="14"/>
      <c r="W4282" s="14"/>
    </row>
    <row r="4283" ht="31.5" customHeight="1">
      <c r="A4283" s="158"/>
      <c r="B4283" s="159"/>
      <c r="C4283" s="160"/>
      <c r="D4283" s="130"/>
      <c r="E4283" s="130"/>
      <c r="F4283" s="161"/>
      <c r="G4283" s="164"/>
      <c r="H4283" s="76" t="b">
        <v>1</v>
      </c>
      <c r="I4283" s="76" t="b">
        <v>0</v>
      </c>
      <c r="J4283" s="76" t="b">
        <v>0</v>
      </c>
      <c r="K4283" s="76" t="b">
        <v>0</v>
      </c>
      <c r="L4283" s="76" t="b">
        <v>0</v>
      </c>
      <c r="M4283" s="76" t="b">
        <v>0</v>
      </c>
      <c r="N4283" s="76" t="b">
        <v>0</v>
      </c>
      <c r="O4283" s="76" t="b">
        <v>0</v>
      </c>
      <c r="P4283" s="76" t="b">
        <v>0</v>
      </c>
      <c r="Q4283" s="76" t="b">
        <v>0</v>
      </c>
      <c r="R4283" s="14"/>
      <c r="S4283" s="14"/>
      <c r="T4283" s="14"/>
      <c r="U4283" s="14"/>
      <c r="V4283" s="14"/>
      <c r="W4283" s="14"/>
    </row>
    <row r="4284" ht="31.5" customHeight="1">
      <c r="A4284" s="158"/>
      <c r="B4284" s="159"/>
      <c r="C4284" s="160"/>
      <c r="D4284" s="130"/>
      <c r="E4284" s="130"/>
      <c r="F4284" s="161"/>
      <c r="G4284" s="164"/>
      <c r="H4284" s="76" t="b">
        <v>1</v>
      </c>
      <c r="I4284" s="76" t="b">
        <v>0</v>
      </c>
      <c r="J4284" s="76" t="b">
        <v>0</v>
      </c>
      <c r="K4284" s="76" t="b">
        <v>0</v>
      </c>
      <c r="L4284" s="76" t="b">
        <v>0</v>
      </c>
      <c r="M4284" s="76" t="b">
        <v>0</v>
      </c>
      <c r="N4284" s="76" t="b">
        <v>0</v>
      </c>
      <c r="O4284" s="76" t="b">
        <v>0</v>
      </c>
      <c r="P4284" s="76" t="b">
        <v>0</v>
      </c>
      <c r="Q4284" s="76" t="b">
        <v>0</v>
      </c>
      <c r="R4284" s="14"/>
      <c r="S4284" s="14"/>
      <c r="T4284" s="14"/>
      <c r="U4284" s="14"/>
      <c r="V4284" s="14"/>
      <c r="W4284" s="14"/>
    </row>
    <row r="4285" ht="31.5" customHeight="1">
      <c r="A4285" s="158"/>
      <c r="B4285" s="159"/>
      <c r="C4285" s="160"/>
      <c r="D4285" s="130"/>
      <c r="E4285" s="130"/>
      <c r="F4285" s="161"/>
      <c r="G4285" s="164"/>
      <c r="H4285" s="76" t="b">
        <v>1</v>
      </c>
      <c r="I4285" s="76" t="b">
        <v>0</v>
      </c>
      <c r="J4285" s="76" t="b">
        <v>0</v>
      </c>
      <c r="K4285" s="76" t="b">
        <v>0</v>
      </c>
      <c r="L4285" s="76" t="b">
        <v>0</v>
      </c>
      <c r="M4285" s="76" t="b">
        <v>0</v>
      </c>
      <c r="N4285" s="76" t="b">
        <v>0</v>
      </c>
      <c r="O4285" s="76" t="b">
        <v>0</v>
      </c>
      <c r="P4285" s="76" t="b">
        <v>0</v>
      </c>
      <c r="Q4285" s="76" t="b">
        <v>0</v>
      </c>
      <c r="R4285" s="14"/>
      <c r="S4285" s="14"/>
      <c r="T4285" s="14"/>
      <c r="U4285" s="14"/>
      <c r="V4285" s="14"/>
      <c r="W4285" s="14"/>
    </row>
    <row r="4286" ht="31.5" customHeight="1">
      <c r="A4286" s="158"/>
      <c r="B4286" s="159"/>
      <c r="C4286" s="160"/>
      <c r="D4286" s="130"/>
      <c r="E4286" s="130"/>
      <c r="F4286" s="161"/>
      <c r="G4286" s="164"/>
      <c r="H4286" s="76" t="b">
        <v>1</v>
      </c>
      <c r="I4286" s="76" t="b">
        <v>0</v>
      </c>
      <c r="J4286" s="76" t="b">
        <v>0</v>
      </c>
      <c r="K4286" s="76" t="b">
        <v>0</v>
      </c>
      <c r="L4286" s="76" t="b">
        <v>0</v>
      </c>
      <c r="M4286" s="76" t="b">
        <v>0</v>
      </c>
      <c r="N4286" s="76" t="b">
        <v>0</v>
      </c>
      <c r="O4286" s="76" t="b">
        <v>0</v>
      </c>
      <c r="P4286" s="76" t="b">
        <v>0</v>
      </c>
      <c r="Q4286" s="76" t="b">
        <v>0</v>
      </c>
      <c r="R4286" s="14"/>
      <c r="S4286" s="14"/>
      <c r="T4286" s="14"/>
      <c r="U4286" s="14"/>
      <c r="V4286" s="14"/>
      <c r="W4286" s="14"/>
    </row>
    <row r="4287" ht="31.5" customHeight="1">
      <c r="A4287" s="158"/>
      <c r="B4287" s="159"/>
      <c r="C4287" s="160"/>
      <c r="D4287" s="130"/>
      <c r="E4287" s="130"/>
      <c r="F4287" s="161"/>
      <c r="G4287" s="164"/>
      <c r="H4287" s="76" t="b">
        <v>1</v>
      </c>
      <c r="I4287" s="76" t="b">
        <v>0</v>
      </c>
      <c r="J4287" s="76" t="b">
        <v>0</v>
      </c>
      <c r="K4287" s="76" t="b">
        <v>0</v>
      </c>
      <c r="L4287" s="76" t="b">
        <v>0</v>
      </c>
      <c r="M4287" s="76" t="b">
        <v>0</v>
      </c>
      <c r="N4287" s="76" t="b">
        <v>0</v>
      </c>
      <c r="O4287" s="76" t="b">
        <v>0</v>
      </c>
      <c r="P4287" s="76" t="b">
        <v>0</v>
      </c>
      <c r="Q4287" s="76" t="b">
        <v>0</v>
      </c>
      <c r="R4287" s="14"/>
      <c r="S4287" s="14"/>
      <c r="T4287" s="14"/>
      <c r="U4287" s="14"/>
      <c r="V4287" s="14"/>
      <c r="W4287" s="14"/>
    </row>
    <row r="4288" ht="31.5" customHeight="1">
      <c r="A4288" s="158"/>
      <c r="B4288" s="159"/>
      <c r="C4288" s="160"/>
      <c r="D4288" s="130"/>
      <c r="E4288" s="130"/>
      <c r="F4288" s="161"/>
      <c r="G4288" s="164"/>
      <c r="H4288" s="76" t="b">
        <v>1</v>
      </c>
      <c r="I4288" s="76" t="b">
        <v>0</v>
      </c>
      <c r="J4288" s="76" t="b">
        <v>0</v>
      </c>
      <c r="K4288" s="76" t="b">
        <v>0</v>
      </c>
      <c r="L4288" s="76" t="b">
        <v>0</v>
      </c>
      <c r="M4288" s="76" t="b">
        <v>0</v>
      </c>
      <c r="N4288" s="76" t="b">
        <v>0</v>
      </c>
      <c r="O4288" s="76" t="b">
        <v>0</v>
      </c>
      <c r="P4288" s="76" t="b">
        <v>0</v>
      </c>
      <c r="Q4288" s="76" t="b">
        <v>0</v>
      </c>
      <c r="R4288" s="14"/>
      <c r="S4288" s="14"/>
      <c r="T4288" s="14"/>
      <c r="U4288" s="14"/>
      <c r="V4288" s="14"/>
      <c r="W4288" s="14"/>
    </row>
    <row r="4289" ht="31.5" customHeight="1">
      <c r="A4289" s="158"/>
      <c r="B4289" s="159"/>
      <c r="C4289" s="160"/>
      <c r="D4289" s="130"/>
      <c r="E4289" s="130"/>
      <c r="F4289" s="161"/>
      <c r="G4289" s="164"/>
      <c r="H4289" s="76" t="b">
        <v>1</v>
      </c>
      <c r="I4289" s="76" t="b">
        <v>0</v>
      </c>
      <c r="J4289" s="76" t="b">
        <v>0</v>
      </c>
      <c r="K4289" s="76" t="b">
        <v>0</v>
      </c>
      <c r="L4289" s="76" t="b">
        <v>0</v>
      </c>
      <c r="M4289" s="76" t="b">
        <v>0</v>
      </c>
      <c r="N4289" s="76" t="b">
        <v>0</v>
      </c>
      <c r="O4289" s="76" t="b">
        <v>0</v>
      </c>
      <c r="P4289" s="76" t="b">
        <v>0</v>
      </c>
      <c r="Q4289" s="76" t="b">
        <v>0</v>
      </c>
      <c r="R4289" s="14"/>
      <c r="S4289" s="14"/>
      <c r="T4289" s="14"/>
      <c r="U4289" s="14"/>
      <c r="V4289" s="14"/>
      <c r="W4289" s="14"/>
    </row>
    <row r="4290" ht="31.5" customHeight="1">
      <c r="A4290" s="158"/>
      <c r="B4290" s="159"/>
      <c r="C4290" s="160"/>
      <c r="D4290" s="130"/>
      <c r="E4290" s="130"/>
      <c r="F4290" s="161"/>
      <c r="G4290" s="164"/>
      <c r="H4290" s="76" t="b">
        <v>1</v>
      </c>
      <c r="I4290" s="76" t="b">
        <v>0</v>
      </c>
      <c r="J4290" s="76" t="b">
        <v>0</v>
      </c>
      <c r="K4290" s="76" t="b">
        <v>0</v>
      </c>
      <c r="L4290" s="76" t="b">
        <v>0</v>
      </c>
      <c r="M4290" s="76" t="b">
        <v>0</v>
      </c>
      <c r="N4290" s="76" t="b">
        <v>0</v>
      </c>
      <c r="O4290" s="76" t="b">
        <v>0</v>
      </c>
      <c r="P4290" s="76" t="b">
        <v>0</v>
      </c>
      <c r="Q4290" s="76" t="b">
        <v>0</v>
      </c>
      <c r="R4290" s="14"/>
      <c r="S4290" s="14"/>
      <c r="T4290" s="14"/>
      <c r="U4290" s="14"/>
      <c r="V4290" s="14"/>
      <c r="W4290" s="14"/>
    </row>
    <row r="4291" ht="31.5" customHeight="1">
      <c r="A4291" s="158"/>
      <c r="B4291" s="159"/>
      <c r="C4291" s="160"/>
      <c r="D4291" s="130"/>
      <c r="E4291" s="130"/>
      <c r="F4291" s="161"/>
      <c r="G4291" s="164"/>
      <c r="H4291" s="76" t="b">
        <v>1</v>
      </c>
      <c r="I4291" s="76" t="b">
        <v>0</v>
      </c>
      <c r="J4291" s="76" t="b">
        <v>0</v>
      </c>
      <c r="K4291" s="76" t="b">
        <v>0</v>
      </c>
      <c r="L4291" s="76" t="b">
        <v>0</v>
      </c>
      <c r="M4291" s="76" t="b">
        <v>0</v>
      </c>
      <c r="N4291" s="76" t="b">
        <v>0</v>
      </c>
      <c r="O4291" s="76" t="b">
        <v>0</v>
      </c>
      <c r="P4291" s="76" t="b">
        <v>0</v>
      </c>
      <c r="Q4291" s="76" t="b">
        <v>0</v>
      </c>
      <c r="R4291" s="14"/>
      <c r="S4291" s="14"/>
      <c r="T4291" s="14"/>
      <c r="U4291" s="14"/>
      <c r="V4291" s="14"/>
      <c r="W4291" s="14"/>
    </row>
    <row r="4292" ht="31.5" customHeight="1">
      <c r="A4292" s="158"/>
      <c r="B4292" s="159"/>
      <c r="C4292" s="160"/>
      <c r="D4292" s="130"/>
      <c r="E4292" s="130"/>
      <c r="F4292" s="161"/>
      <c r="G4292" s="164"/>
      <c r="H4292" s="76" t="b">
        <v>1</v>
      </c>
      <c r="I4292" s="76" t="b">
        <v>0</v>
      </c>
      <c r="J4292" s="76" t="b">
        <v>0</v>
      </c>
      <c r="K4292" s="76" t="b">
        <v>0</v>
      </c>
      <c r="L4292" s="76" t="b">
        <v>0</v>
      </c>
      <c r="M4292" s="76" t="b">
        <v>0</v>
      </c>
      <c r="N4292" s="76" t="b">
        <v>0</v>
      </c>
      <c r="O4292" s="76" t="b">
        <v>0</v>
      </c>
      <c r="P4292" s="76" t="b">
        <v>0</v>
      </c>
      <c r="Q4292" s="76" t="b">
        <v>0</v>
      </c>
      <c r="R4292" s="14"/>
      <c r="S4292" s="14"/>
      <c r="T4292" s="14"/>
      <c r="U4292" s="14"/>
      <c r="V4292" s="14"/>
      <c r="W4292" s="14"/>
    </row>
    <row r="4293" ht="31.5" customHeight="1">
      <c r="A4293" s="158"/>
      <c r="B4293" s="159"/>
      <c r="C4293" s="160"/>
      <c r="D4293" s="130"/>
      <c r="E4293" s="130"/>
      <c r="F4293" s="161"/>
      <c r="G4293" s="164"/>
      <c r="H4293" s="76" t="b">
        <v>1</v>
      </c>
      <c r="I4293" s="76" t="b">
        <v>0</v>
      </c>
      <c r="J4293" s="76" t="b">
        <v>0</v>
      </c>
      <c r="K4293" s="76" t="b">
        <v>0</v>
      </c>
      <c r="L4293" s="76" t="b">
        <v>0</v>
      </c>
      <c r="M4293" s="76" t="b">
        <v>0</v>
      </c>
      <c r="N4293" s="76" t="b">
        <v>0</v>
      </c>
      <c r="O4293" s="76" t="b">
        <v>0</v>
      </c>
      <c r="P4293" s="76" t="b">
        <v>0</v>
      </c>
      <c r="Q4293" s="76" t="b">
        <v>0</v>
      </c>
      <c r="R4293" s="14"/>
      <c r="S4293" s="14"/>
      <c r="T4293" s="14"/>
      <c r="U4293" s="14"/>
      <c r="V4293" s="14"/>
      <c r="W4293" s="14"/>
    </row>
    <row r="4294" ht="31.5" customHeight="1">
      <c r="A4294" s="158"/>
      <c r="B4294" s="159"/>
      <c r="C4294" s="160"/>
      <c r="D4294" s="130"/>
      <c r="E4294" s="130"/>
      <c r="F4294" s="161"/>
      <c r="G4294" s="164"/>
      <c r="H4294" s="76" t="b">
        <v>1</v>
      </c>
      <c r="I4294" s="76" t="b">
        <v>0</v>
      </c>
      <c r="J4294" s="76" t="b">
        <v>0</v>
      </c>
      <c r="K4294" s="76" t="b">
        <v>0</v>
      </c>
      <c r="L4294" s="76" t="b">
        <v>0</v>
      </c>
      <c r="M4294" s="76" t="b">
        <v>0</v>
      </c>
      <c r="N4294" s="76" t="b">
        <v>0</v>
      </c>
      <c r="O4294" s="76" t="b">
        <v>0</v>
      </c>
      <c r="P4294" s="76" t="b">
        <v>0</v>
      </c>
      <c r="Q4294" s="76" t="b">
        <v>0</v>
      </c>
      <c r="R4294" s="14"/>
      <c r="S4294" s="14"/>
      <c r="T4294" s="14"/>
      <c r="U4294" s="14"/>
      <c r="V4294" s="14"/>
      <c r="W4294" s="14"/>
    </row>
    <row r="4295" ht="31.5" customHeight="1">
      <c r="A4295" s="158"/>
      <c r="B4295" s="159"/>
      <c r="C4295" s="160"/>
      <c r="D4295" s="130"/>
      <c r="E4295" s="130"/>
      <c r="F4295" s="161"/>
      <c r="G4295" s="164"/>
      <c r="H4295" s="76" t="b">
        <v>1</v>
      </c>
      <c r="I4295" s="76" t="b">
        <v>0</v>
      </c>
      <c r="J4295" s="76" t="b">
        <v>0</v>
      </c>
      <c r="K4295" s="76" t="b">
        <v>0</v>
      </c>
      <c r="L4295" s="76" t="b">
        <v>0</v>
      </c>
      <c r="M4295" s="76" t="b">
        <v>0</v>
      </c>
      <c r="N4295" s="76" t="b">
        <v>0</v>
      </c>
      <c r="O4295" s="76" t="b">
        <v>0</v>
      </c>
      <c r="P4295" s="76" t="b">
        <v>0</v>
      </c>
      <c r="Q4295" s="76" t="b">
        <v>0</v>
      </c>
      <c r="R4295" s="14"/>
      <c r="S4295" s="14"/>
      <c r="T4295" s="14"/>
      <c r="U4295" s="14"/>
      <c r="V4295" s="14"/>
      <c r="W4295" s="14"/>
    </row>
    <row r="4296" ht="31.5" customHeight="1">
      <c r="A4296" s="158"/>
      <c r="B4296" s="159"/>
      <c r="C4296" s="160"/>
      <c r="D4296" s="130"/>
      <c r="E4296" s="130"/>
      <c r="F4296" s="161"/>
      <c r="G4296" s="164"/>
      <c r="H4296" s="76" t="b">
        <v>1</v>
      </c>
      <c r="I4296" s="76" t="b">
        <v>0</v>
      </c>
      <c r="J4296" s="76" t="b">
        <v>0</v>
      </c>
      <c r="K4296" s="76" t="b">
        <v>0</v>
      </c>
      <c r="L4296" s="76" t="b">
        <v>0</v>
      </c>
      <c r="M4296" s="76" t="b">
        <v>0</v>
      </c>
      <c r="N4296" s="76" t="b">
        <v>0</v>
      </c>
      <c r="O4296" s="76" t="b">
        <v>0</v>
      </c>
      <c r="P4296" s="76" t="b">
        <v>0</v>
      </c>
      <c r="Q4296" s="76" t="b">
        <v>0</v>
      </c>
      <c r="R4296" s="14"/>
      <c r="S4296" s="14"/>
      <c r="T4296" s="14"/>
      <c r="U4296" s="14"/>
      <c r="V4296" s="14"/>
      <c r="W4296" s="14"/>
    </row>
    <row r="4297" ht="31.5" customHeight="1">
      <c r="A4297" s="158"/>
      <c r="B4297" s="159"/>
      <c r="C4297" s="160"/>
      <c r="D4297" s="130"/>
      <c r="E4297" s="130"/>
      <c r="F4297" s="161"/>
      <c r="G4297" s="164"/>
      <c r="H4297" s="76" t="b">
        <v>1</v>
      </c>
      <c r="I4297" s="76" t="b">
        <v>0</v>
      </c>
      <c r="J4297" s="76" t="b">
        <v>0</v>
      </c>
      <c r="K4297" s="76" t="b">
        <v>0</v>
      </c>
      <c r="L4297" s="76" t="b">
        <v>0</v>
      </c>
      <c r="M4297" s="76" t="b">
        <v>0</v>
      </c>
      <c r="N4297" s="76" t="b">
        <v>0</v>
      </c>
      <c r="O4297" s="76" t="b">
        <v>0</v>
      </c>
      <c r="P4297" s="76" t="b">
        <v>0</v>
      </c>
      <c r="Q4297" s="76" t="b">
        <v>0</v>
      </c>
      <c r="R4297" s="14"/>
      <c r="S4297" s="14"/>
      <c r="T4297" s="14"/>
      <c r="U4297" s="14"/>
      <c r="V4297" s="14"/>
      <c r="W4297" s="14"/>
    </row>
    <row r="4298" ht="31.5" customHeight="1">
      <c r="A4298" s="158"/>
      <c r="B4298" s="159"/>
      <c r="C4298" s="160"/>
      <c r="D4298" s="130"/>
      <c r="E4298" s="130"/>
      <c r="F4298" s="161"/>
      <c r="G4298" s="164"/>
      <c r="H4298" s="76" t="b">
        <v>1</v>
      </c>
      <c r="I4298" s="76" t="b">
        <v>0</v>
      </c>
      <c r="J4298" s="76" t="b">
        <v>0</v>
      </c>
      <c r="K4298" s="76" t="b">
        <v>0</v>
      </c>
      <c r="L4298" s="76" t="b">
        <v>0</v>
      </c>
      <c r="M4298" s="76" t="b">
        <v>0</v>
      </c>
      <c r="N4298" s="76" t="b">
        <v>0</v>
      </c>
      <c r="O4298" s="76" t="b">
        <v>0</v>
      </c>
      <c r="P4298" s="76" t="b">
        <v>0</v>
      </c>
      <c r="Q4298" s="76" t="b">
        <v>0</v>
      </c>
      <c r="R4298" s="14"/>
      <c r="S4298" s="14"/>
      <c r="T4298" s="14"/>
      <c r="U4298" s="14"/>
      <c r="V4298" s="14"/>
      <c r="W4298" s="14"/>
    </row>
    <row r="4299" ht="31.5" customHeight="1">
      <c r="A4299" s="158"/>
      <c r="B4299" s="159"/>
      <c r="C4299" s="160"/>
      <c r="D4299" s="130"/>
      <c r="E4299" s="130"/>
      <c r="F4299" s="161"/>
      <c r="G4299" s="164"/>
      <c r="H4299" s="76" t="b">
        <v>1</v>
      </c>
      <c r="I4299" s="76" t="b">
        <v>0</v>
      </c>
      <c r="J4299" s="76" t="b">
        <v>0</v>
      </c>
      <c r="K4299" s="76" t="b">
        <v>0</v>
      </c>
      <c r="L4299" s="76" t="b">
        <v>0</v>
      </c>
      <c r="M4299" s="76" t="b">
        <v>0</v>
      </c>
      <c r="N4299" s="76" t="b">
        <v>0</v>
      </c>
      <c r="O4299" s="76" t="b">
        <v>0</v>
      </c>
      <c r="P4299" s="76" t="b">
        <v>0</v>
      </c>
      <c r="Q4299" s="76" t="b">
        <v>0</v>
      </c>
      <c r="R4299" s="14"/>
      <c r="S4299" s="14"/>
      <c r="T4299" s="14"/>
      <c r="U4299" s="14"/>
      <c r="V4299" s="14"/>
      <c r="W4299" s="14"/>
    </row>
    <row r="4300" ht="31.5" customHeight="1">
      <c r="A4300" s="158"/>
      <c r="B4300" s="159"/>
      <c r="C4300" s="160"/>
      <c r="D4300" s="130"/>
      <c r="E4300" s="130"/>
      <c r="F4300" s="161"/>
      <c r="G4300" s="164"/>
      <c r="H4300" s="76" t="b">
        <v>1</v>
      </c>
      <c r="I4300" s="76" t="b">
        <v>0</v>
      </c>
      <c r="J4300" s="76" t="b">
        <v>0</v>
      </c>
      <c r="K4300" s="76" t="b">
        <v>0</v>
      </c>
      <c r="L4300" s="76" t="b">
        <v>0</v>
      </c>
      <c r="M4300" s="76" t="b">
        <v>0</v>
      </c>
      <c r="N4300" s="76" t="b">
        <v>0</v>
      </c>
      <c r="O4300" s="76" t="b">
        <v>0</v>
      </c>
      <c r="P4300" s="76" t="b">
        <v>0</v>
      </c>
      <c r="Q4300" s="76" t="b">
        <v>0</v>
      </c>
      <c r="R4300" s="14"/>
      <c r="S4300" s="14"/>
      <c r="T4300" s="14"/>
      <c r="U4300" s="14"/>
      <c r="V4300" s="14"/>
      <c r="W4300" s="14"/>
    </row>
    <row r="4301" ht="31.5" customHeight="1">
      <c r="A4301" s="158"/>
      <c r="B4301" s="159"/>
      <c r="C4301" s="160"/>
      <c r="D4301" s="130"/>
      <c r="E4301" s="130"/>
      <c r="F4301" s="161"/>
      <c r="G4301" s="164"/>
      <c r="H4301" s="76" t="b">
        <v>1</v>
      </c>
      <c r="I4301" s="76" t="b">
        <v>0</v>
      </c>
      <c r="J4301" s="76" t="b">
        <v>0</v>
      </c>
      <c r="K4301" s="76" t="b">
        <v>0</v>
      </c>
      <c r="L4301" s="76" t="b">
        <v>0</v>
      </c>
      <c r="M4301" s="76" t="b">
        <v>0</v>
      </c>
      <c r="N4301" s="76" t="b">
        <v>0</v>
      </c>
      <c r="O4301" s="76" t="b">
        <v>0</v>
      </c>
      <c r="P4301" s="76" t="b">
        <v>0</v>
      </c>
      <c r="Q4301" s="76" t="b">
        <v>0</v>
      </c>
      <c r="R4301" s="14"/>
      <c r="S4301" s="14"/>
      <c r="T4301" s="14"/>
      <c r="U4301" s="14"/>
      <c r="V4301" s="14"/>
      <c r="W4301" s="14"/>
    </row>
    <row r="4302" ht="31.5" customHeight="1">
      <c r="A4302" s="158"/>
      <c r="B4302" s="159"/>
      <c r="C4302" s="160"/>
      <c r="D4302" s="130"/>
      <c r="E4302" s="130"/>
      <c r="F4302" s="161"/>
      <c r="G4302" s="164"/>
      <c r="H4302" s="76" t="b">
        <v>1</v>
      </c>
      <c r="I4302" s="76" t="b">
        <v>0</v>
      </c>
      <c r="J4302" s="76" t="b">
        <v>0</v>
      </c>
      <c r="K4302" s="76" t="b">
        <v>0</v>
      </c>
      <c r="L4302" s="76" t="b">
        <v>0</v>
      </c>
      <c r="M4302" s="76" t="b">
        <v>0</v>
      </c>
      <c r="N4302" s="76" t="b">
        <v>0</v>
      </c>
      <c r="O4302" s="76" t="b">
        <v>0</v>
      </c>
      <c r="P4302" s="76" t="b">
        <v>0</v>
      </c>
      <c r="Q4302" s="76" t="b">
        <v>0</v>
      </c>
      <c r="R4302" s="14"/>
      <c r="S4302" s="14"/>
      <c r="T4302" s="14"/>
      <c r="U4302" s="14"/>
      <c r="V4302" s="14"/>
      <c r="W4302" s="14"/>
    </row>
    <row r="4303" ht="31.5" customHeight="1">
      <c r="A4303" s="158"/>
      <c r="B4303" s="159"/>
      <c r="C4303" s="160"/>
      <c r="D4303" s="130"/>
      <c r="E4303" s="130"/>
      <c r="F4303" s="161"/>
      <c r="G4303" s="164"/>
      <c r="H4303" s="76" t="b">
        <v>1</v>
      </c>
      <c r="I4303" s="76" t="b">
        <v>0</v>
      </c>
      <c r="J4303" s="76" t="b">
        <v>0</v>
      </c>
      <c r="K4303" s="76" t="b">
        <v>0</v>
      </c>
      <c r="L4303" s="76" t="b">
        <v>0</v>
      </c>
      <c r="M4303" s="76" t="b">
        <v>0</v>
      </c>
      <c r="N4303" s="76" t="b">
        <v>0</v>
      </c>
      <c r="O4303" s="76" t="b">
        <v>0</v>
      </c>
      <c r="P4303" s="76" t="b">
        <v>0</v>
      </c>
      <c r="Q4303" s="76" t="b">
        <v>0</v>
      </c>
      <c r="R4303" s="14"/>
      <c r="S4303" s="14"/>
      <c r="T4303" s="14"/>
      <c r="U4303" s="14"/>
      <c r="V4303" s="14"/>
      <c r="W4303" s="14"/>
    </row>
    <row r="4304" ht="31.5" customHeight="1">
      <c r="A4304" s="158"/>
      <c r="B4304" s="159"/>
      <c r="C4304" s="160"/>
      <c r="D4304" s="130"/>
      <c r="E4304" s="130"/>
      <c r="F4304" s="161"/>
      <c r="G4304" s="164"/>
      <c r="H4304" s="76" t="b">
        <v>1</v>
      </c>
      <c r="I4304" s="76" t="b">
        <v>0</v>
      </c>
      <c r="J4304" s="76" t="b">
        <v>0</v>
      </c>
      <c r="K4304" s="76" t="b">
        <v>0</v>
      </c>
      <c r="L4304" s="76" t="b">
        <v>0</v>
      </c>
      <c r="M4304" s="76" t="b">
        <v>0</v>
      </c>
      <c r="N4304" s="76" t="b">
        <v>0</v>
      </c>
      <c r="O4304" s="76" t="b">
        <v>0</v>
      </c>
      <c r="P4304" s="76" t="b">
        <v>0</v>
      </c>
      <c r="Q4304" s="76" t="b">
        <v>0</v>
      </c>
      <c r="R4304" s="14"/>
      <c r="S4304" s="14"/>
      <c r="T4304" s="14"/>
      <c r="U4304" s="14"/>
      <c r="V4304" s="14"/>
      <c r="W4304" s="14"/>
    </row>
    <row r="4305" ht="31.5" customHeight="1">
      <c r="A4305" s="158"/>
      <c r="B4305" s="159"/>
      <c r="C4305" s="160"/>
      <c r="D4305" s="130"/>
      <c r="E4305" s="130"/>
      <c r="F4305" s="161"/>
      <c r="G4305" s="164"/>
      <c r="H4305" s="76" t="b">
        <v>1</v>
      </c>
      <c r="I4305" s="76" t="b">
        <v>0</v>
      </c>
      <c r="J4305" s="76" t="b">
        <v>0</v>
      </c>
      <c r="K4305" s="76" t="b">
        <v>0</v>
      </c>
      <c r="L4305" s="76" t="b">
        <v>0</v>
      </c>
      <c r="M4305" s="76" t="b">
        <v>0</v>
      </c>
      <c r="N4305" s="76" t="b">
        <v>0</v>
      </c>
      <c r="O4305" s="76" t="b">
        <v>0</v>
      </c>
      <c r="P4305" s="76" t="b">
        <v>0</v>
      </c>
      <c r="Q4305" s="76" t="b">
        <v>0</v>
      </c>
      <c r="R4305" s="14"/>
      <c r="S4305" s="14"/>
      <c r="T4305" s="14"/>
      <c r="U4305" s="14"/>
      <c r="V4305" s="14"/>
      <c r="W4305" s="14"/>
    </row>
    <row r="4306" ht="31.5" customHeight="1">
      <c r="A4306" s="158"/>
      <c r="B4306" s="159"/>
      <c r="C4306" s="160"/>
      <c r="D4306" s="130"/>
      <c r="E4306" s="130"/>
      <c r="F4306" s="161"/>
      <c r="G4306" s="164"/>
      <c r="H4306" s="76" t="b">
        <v>1</v>
      </c>
      <c r="I4306" s="76" t="b">
        <v>0</v>
      </c>
      <c r="J4306" s="76" t="b">
        <v>0</v>
      </c>
      <c r="K4306" s="76" t="b">
        <v>0</v>
      </c>
      <c r="L4306" s="76" t="b">
        <v>0</v>
      </c>
      <c r="M4306" s="76" t="b">
        <v>0</v>
      </c>
      <c r="N4306" s="76" t="b">
        <v>0</v>
      </c>
      <c r="O4306" s="76" t="b">
        <v>0</v>
      </c>
      <c r="P4306" s="76" t="b">
        <v>0</v>
      </c>
      <c r="Q4306" s="76" t="b">
        <v>0</v>
      </c>
      <c r="R4306" s="14"/>
      <c r="S4306" s="14"/>
      <c r="T4306" s="14"/>
      <c r="U4306" s="14"/>
      <c r="V4306" s="14"/>
      <c r="W4306" s="14"/>
    </row>
    <row r="4307" ht="31.5" customHeight="1">
      <c r="A4307" s="158"/>
      <c r="B4307" s="159"/>
      <c r="C4307" s="160"/>
      <c r="D4307" s="130"/>
      <c r="E4307" s="130"/>
      <c r="F4307" s="161"/>
      <c r="G4307" s="164"/>
      <c r="H4307" s="76" t="b">
        <v>1</v>
      </c>
      <c r="I4307" s="76" t="b">
        <v>0</v>
      </c>
      <c r="J4307" s="76" t="b">
        <v>0</v>
      </c>
      <c r="K4307" s="76" t="b">
        <v>0</v>
      </c>
      <c r="L4307" s="76" t="b">
        <v>0</v>
      </c>
      <c r="M4307" s="76" t="b">
        <v>0</v>
      </c>
      <c r="N4307" s="76" t="b">
        <v>0</v>
      </c>
      <c r="O4307" s="76" t="b">
        <v>0</v>
      </c>
      <c r="P4307" s="76" t="b">
        <v>0</v>
      </c>
      <c r="Q4307" s="76" t="b">
        <v>0</v>
      </c>
      <c r="R4307" s="14"/>
      <c r="S4307" s="14"/>
      <c r="T4307" s="14"/>
      <c r="U4307" s="14"/>
      <c r="V4307" s="14"/>
      <c r="W4307" s="14"/>
    </row>
    <row r="4308" ht="31.5" customHeight="1">
      <c r="A4308" s="158"/>
      <c r="B4308" s="159"/>
      <c r="C4308" s="160"/>
      <c r="D4308" s="130"/>
      <c r="E4308" s="130"/>
      <c r="F4308" s="161"/>
      <c r="G4308" s="164"/>
      <c r="H4308" s="76" t="b">
        <v>1</v>
      </c>
      <c r="I4308" s="76" t="b">
        <v>0</v>
      </c>
      <c r="J4308" s="76" t="b">
        <v>0</v>
      </c>
      <c r="K4308" s="76" t="b">
        <v>0</v>
      </c>
      <c r="L4308" s="76" t="b">
        <v>0</v>
      </c>
      <c r="M4308" s="76" t="b">
        <v>0</v>
      </c>
      <c r="N4308" s="76" t="b">
        <v>0</v>
      </c>
      <c r="O4308" s="76" t="b">
        <v>0</v>
      </c>
      <c r="P4308" s="76" t="b">
        <v>0</v>
      </c>
      <c r="Q4308" s="76" t="b">
        <v>0</v>
      </c>
      <c r="R4308" s="14"/>
      <c r="S4308" s="14"/>
      <c r="T4308" s="14"/>
      <c r="U4308" s="14"/>
      <c r="V4308" s="14"/>
      <c r="W4308" s="14"/>
    </row>
    <row r="4309" ht="31.5" customHeight="1">
      <c r="A4309" s="158"/>
      <c r="B4309" s="159"/>
      <c r="C4309" s="160"/>
      <c r="D4309" s="130"/>
      <c r="E4309" s="130"/>
      <c r="F4309" s="161"/>
      <c r="G4309" s="164"/>
      <c r="H4309" s="76" t="b">
        <v>1</v>
      </c>
      <c r="I4309" s="76" t="b">
        <v>0</v>
      </c>
      <c r="J4309" s="76" t="b">
        <v>0</v>
      </c>
      <c r="K4309" s="76" t="b">
        <v>0</v>
      </c>
      <c r="L4309" s="76" t="b">
        <v>0</v>
      </c>
      <c r="M4309" s="76" t="b">
        <v>0</v>
      </c>
      <c r="N4309" s="76" t="b">
        <v>0</v>
      </c>
      <c r="O4309" s="76" t="b">
        <v>0</v>
      </c>
      <c r="P4309" s="76" t="b">
        <v>0</v>
      </c>
      <c r="Q4309" s="76" t="b">
        <v>0</v>
      </c>
      <c r="R4309" s="14"/>
      <c r="S4309" s="14"/>
      <c r="T4309" s="14"/>
      <c r="U4309" s="14"/>
      <c r="V4309" s="14"/>
      <c r="W4309" s="14"/>
    </row>
    <row r="4310" ht="31.5" customHeight="1">
      <c r="A4310" s="158"/>
      <c r="B4310" s="159"/>
      <c r="C4310" s="160"/>
      <c r="D4310" s="130"/>
      <c r="E4310" s="130"/>
      <c r="F4310" s="161"/>
      <c r="G4310" s="164"/>
      <c r="H4310" s="76" t="b">
        <v>1</v>
      </c>
      <c r="I4310" s="76" t="b">
        <v>0</v>
      </c>
      <c r="J4310" s="76" t="b">
        <v>0</v>
      </c>
      <c r="K4310" s="76" t="b">
        <v>0</v>
      </c>
      <c r="L4310" s="76" t="b">
        <v>0</v>
      </c>
      <c r="M4310" s="76" t="b">
        <v>0</v>
      </c>
      <c r="N4310" s="76" t="b">
        <v>0</v>
      </c>
      <c r="O4310" s="76" t="b">
        <v>0</v>
      </c>
      <c r="P4310" s="76" t="b">
        <v>0</v>
      </c>
      <c r="Q4310" s="76" t="b">
        <v>0</v>
      </c>
      <c r="R4310" s="14"/>
      <c r="S4310" s="14"/>
      <c r="T4310" s="14"/>
      <c r="U4310" s="14"/>
      <c r="V4310" s="14"/>
      <c r="W4310" s="14"/>
    </row>
    <row r="4311" ht="31.5" customHeight="1">
      <c r="A4311" s="158"/>
      <c r="B4311" s="159"/>
      <c r="C4311" s="160"/>
      <c r="D4311" s="130"/>
      <c r="E4311" s="130"/>
      <c r="F4311" s="161"/>
      <c r="G4311" s="164"/>
      <c r="H4311" s="76" t="b">
        <v>1</v>
      </c>
      <c r="I4311" s="76" t="b">
        <v>0</v>
      </c>
      <c r="J4311" s="76" t="b">
        <v>0</v>
      </c>
      <c r="K4311" s="76" t="b">
        <v>0</v>
      </c>
      <c r="L4311" s="76" t="b">
        <v>0</v>
      </c>
      <c r="M4311" s="76" t="b">
        <v>0</v>
      </c>
      <c r="N4311" s="76" t="b">
        <v>0</v>
      </c>
      <c r="O4311" s="76" t="b">
        <v>0</v>
      </c>
      <c r="P4311" s="76" t="b">
        <v>0</v>
      </c>
      <c r="Q4311" s="76" t="b">
        <v>0</v>
      </c>
      <c r="R4311" s="14"/>
      <c r="S4311" s="14"/>
      <c r="T4311" s="14"/>
      <c r="U4311" s="14"/>
      <c r="V4311" s="14"/>
      <c r="W4311" s="14"/>
    </row>
    <row r="4312" ht="31.5" customHeight="1">
      <c r="A4312" s="158"/>
      <c r="B4312" s="159"/>
      <c r="C4312" s="160"/>
      <c r="D4312" s="130"/>
      <c r="E4312" s="130"/>
      <c r="F4312" s="161"/>
      <c r="G4312" s="164"/>
      <c r="H4312" s="76" t="b">
        <v>1</v>
      </c>
      <c r="I4312" s="76" t="b">
        <v>0</v>
      </c>
      <c r="J4312" s="76" t="b">
        <v>0</v>
      </c>
      <c r="K4312" s="76" t="b">
        <v>0</v>
      </c>
      <c r="L4312" s="76" t="b">
        <v>0</v>
      </c>
      <c r="M4312" s="76" t="b">
        <v>0</v>
      </c>
      <c r="N4312" s="76" t="b">
        <v>0</v>
      </c>
      <c r="O4312" s="76" t="b">
        <v>0</v>
      </c>
      <c r="P4312" s="76" t="b">
        <v>0</v>
      </c>
      <c r="Q4312" s="76" t="b">
        <v>0</v>
      </c>
      <c r="R4312" s="14"/>
      <c r="S4312" s="14"/>
      <c r="T4312" s="14"/>
      <c r="U4312" s="14"/>
      <c r="V4312" s="14"/>
      <c r="W4312" s="14"/>
    </row>
    <row r="4313" ht="31.5" customHeight="1">
      <c r="A4313" s="158"/>
      <c r="B4313" s="159"/>
      <c r="C4313" s="160"/>
      <c r="D4313" s="130"/>
      <c r="E4313" s="130"/>
      <c r="F4313" s="161"/>
      <c r="G4313" s="164"/>
      <c r="H4313" s="76" t="b">
        <v>1</v>
      </c>
      <c r="I4313" s="76" t="b">
        <v>0</v>
      </c>
      <c r="J4313" s="76" t="b">
        <v>0</v>
      </c>
      <c r="K4313" s="76" t="b">
        <v>0</v>
      </c>
      <c r="L4313" s="76" t="b">
        <v>0</v>
      </c>
      <c r="M4313" s="76" t="b">
        <v>0</v>
      </c>
      <c r="N4313" s="76" t="b">
        <v>0</v>
      </c>
      <c r="O4313" s="76" t="b">
        <v>0</v>
      </c>
      <c r="P4313" s="76" t="b">
        <v>0</v>
      </c>
      <c r="Q4313" s="76" t="b">
        <v>0</v>
      </c>
      <c r="R4313" s="14"/>
      <c r="S4313" s="14"/>
      <c r="T4313" s="14"/>
      <c r="U4313" s="14"/>
      <c r="V4313" s="14"/>
      <c r="W4313" s="14"/>
    </row>
    <row r="4314" ht="31.5" customHeight="1">
      <c r="A4314" s="158"/>
      <c r="B4314" s="159"/>
      <c r="C4314" s="160"/>
      <c r="D4314" s="130"/>
      <c r="E4314" s="130"/>
      <c r="F4314" s="161"/>
      <c r="G4314" s="164"/>
      <c r="H4314" s="76" t="b">
        <v>1</v>
      </c>
      <c r="I4314" s="76" t="b">
        <v>0</v>
      </c>
      <c r="J4314" s="76" t="b">
        <v>0</v>
      </c>
      <c r="K4314" s="76" t="b">
        <v>0</v>
      </c>
      <c r="L4314" s="76" t="b">
        <v>0</v>
      </c>
      <c r="M4314" s="76" t="b">
        <v>0</v>
      </c>
      <c r="N4314" s="76" t="b">
        <v>0</v>
      </c>
      <c r="O4314" s="76" t="b">
        <v>0</v>
      </c>
      <c r="P4314" s="76" t="b">
        <v>0</v>
      </c>
      <c r="Q4314" s="76" t="b">
        <v>0</v>
      </c>
      <c r="R4314" s="14"/>
      <c r="S4314" s="14"/>
      <c r="T4314" s="14"/>
      <c r="U4314" s="14"/>
      <c r="V4314" s="14"/>
      <c r="W4314" s="14"/>
    </row>
    <row r="4315" ht="31.5" customHeight="1">
      <c r="A4315" s="158"/>
      <c r="B4315" s="159"/>
      <c r="C4315" s="160"/>
      <c r="D4315" s="130"/>
      <c r="E4315" s="130"/>
      <c r="F4315" s="161"/>
      <c r="G4315" s="164"/>
      <c r="H4315" s="76" t="b">
        <v>1</v>
      </c>
      <c r="I4315" s="76" t="b">
        <v>0</v>
      </c>
      <c r="J4315" s="76" t="b">
        <v>0</v>
      </c>
      <c r="K4315" s="76" t="b">
        <v>0</v>
      </c>
      <c r="L4315" s="76" t="b">
        <v>0</v>
      </c>
      <c r="M4315" s="76" t="b">
        <v>0</v>
      </c>
      <c r="N4315" s="76" t="b">
        <v>0</v>
      </c>
      <c r="O4315" s="76" t="b">
        <v>0</v>
      </c>
      <c r="P4315" s="76" t="b">
        <v>0</v>
      </c>
      <c r="Q4315" s="76" t="b">
        <v>0</v>
      </c>
      <c r="R4315" s="14"/>
      <c r="S4315" s="14"/>
      <c r="T4315" s="14"/>
      <c r="U4315" s="14"/>
      <c r="V4315" s="14"/>
      <c r="W4315" s="14"/>
    </row>
    <row r="4316" ht="31.5" customHeight="1">
      <c r="A4316" s="158"/>
      <c r="B4316" s="159"/>
      <c r="C4316" s="160"/>
      <c r="D4316" s="130"/>
      <c r="E4316" s="130"/>
      <c r="F4316" s="161"/>
      <c r="G4316" s="164"/>
      <c r="H4316" s="76" t="b">
        <v>1</v>
      </c>
      <c r="I4316" s="76" t="b">
        <v>0</v>
      </c>
      <c r="J4316" s="76" t="b">
        <v>0</v>
      </c>
      <c r="K4316" s="76" t="b">
        <v>0</v>
      </c>
      <c r="L4316" s="76" t="b">
        <v>0</v>
      </c>
      <c r="M4316" s="76" t="b">
        <v>0</v>
      </c>
      <c r="N4316" s="76" t="b">
        <v>0</v>
      </c>
      <c r="O4316" s="76" t="b">
        <v>0</v>
      </c>
      <c r="P4316" s="76" t="b">
        <v>0</v>
      </c>
      <c r="Q4316" s="76" t="b">
        <v>0</v>
      </c>
      <c r="R4316" s="14"/>
      <c r="S4316" s="14"/>
      <c r="T4316" s="14"/>
      <c r="U4316" s="14"/>
      <c r="V4316" s="14"/>
      <c r="W4316" s="14"/>
    </row>
    <row r="4317" ht="31.5" customHeight="1">
      <c r="A4317" s="158"/>
      <c r="B4317" s="159"/>
      <c r="C4317" s="160"/>
      <c r="D4317" s="130"/>
      <c r="E4317" s="130"/>
      <c r="F4317" s="161"/>
      <c r="G4317" s="164"/>
      <c r="H4317" s="76" t="b">
        <v>1</v>
      </c>
      <c r="I4317" s="76" t="b">
        <v>0</v>
      </c>
      <c r="J4317" s="76" t="b">
        <v>0</v>
      </c>
      <c r="K4317" s="76" t="b">
        <v>0</v>
      </c>
      <c r="L4317" s="76" t="b">
        <v>0</v>
      </c>
      <c r="M4317" s="76" t="b">
        <v>0</v>
      </c>
      <c r="N4317" s="76" t="b">
        <v>0</v>
      </c>
      <c r="O4317" s="76" t="b">
        <v>0</v>
      </c>
      <c r="P4317" s="76" t="b">
        <v>0</v>
      </c>
      <c r="Q4317" s="76" t="b">
        <v>0</v>
      </c>
      <c r="R4317" s="14"/>
      <c r="S4317" s="14"/>
      <c r="T4317" s="14"/>
      <c r="U4317" s="14"/>
      <c r="V4317" s="14"/>
      <c r="W4317" s="14"/>
    </row>
    <row r="4318" ht="31.5" customHeight="1">
      <c r="A4318" s="158"/>
      <c r="B4318" s="159"/>
      <c r="C4318" s="160"/>
      <c r="D4318" s="130"/>
      <c r="E4318" s="130"/>
      <c r="F4318" s="161"/>
      <c r="G4318" s="164"/>
      <c r="H4318" s="76" t="b">
        <v>1</v>
      </c>
      <c r="I4318" s="76" t="b">
        <v>0</v>
      </c>
      <c r="J4318" s="76" t="b">
        <v>0</v>
      </c>
      <c r="K4318" s="76" t="b">
        <v>0</v>
      </c>
      <c r="L4318" s="76" t="b">
        <v>0</v>
      </c>
      <c r="M4318" s="76" t="b">
        <v>0</v>
      </c>
      <c r="N4318" s="76" t="b">
        <v>0</v>
      </c>
      <c r="O4318" s="76" t="b">
        <v>0</v>
      </c>
      <c r="P4318" s="76" t="b">
        <v>0</v>
      </c>
      <c r="Q4318" s="76" t="b">
        <v>0</v>
      </c>
      <c r="R4318" s="14"/>
      <c r="S4318" s="14"/>
      <c r="T4318" s="14"/>
      <c r="U4318" s="14"/>
      <c r="V4318" s="14"/>
      <c r="W4318" s="14"/>
    </row>
    <row r="4319" ht="31.5" customHeight="1">
      <c r="A4319" s="158"/>
      <c r="B4319" s="159"/>
      <c r="C4319" s="160"/>
      <c r="D4319" s="130"/>
      <c r="E4319" s="130"/>
      <c r="F4319" s="161"/>
      <c r="G4319" s="164"/>
      <c r="H4319" s="76" t="b">
        <v>1</v>
      </c>
      <c r="I4319" s="76" t="b">
        <v>0</v>
      </c>
      <c r="J4319" s="76" t="b">
        <v>0</v>
      </c>
      <c r="K4319" s="76" t="b">
        <v>0</v>
      </c>
      <c r="L4319" s="76" t="b">
        <v>0</v>
      </c>
      <c r="M4319" s="76" t="b">
        <v>0</v>
      </c>
      <c r="N4319" s="76" t="b">
        <v>0</v>
      </c>
      <c r="O4319" s="76" t="b">
        <v>0</v>
      </c>
      <c r="P4319" s="76" t="b">
        <v>0</v>
      </c>
      <c r="Q4319" s="76" t="b">
        <v>0</v>
      </c>
      <c r="R4319" s="14"/>
      <c r="S4319" s="14"/>
      <c r="T4319" s="14"/>
      <c r="U4319" s="14"/>
      <c r="V4319" s="14"/>
      <c r="W4319" s="14"/>
    </row>
    <row r="4320" ht="31.5" customHeight="1">
      <c r="A4320" s="158"/>
      <c r="B4320" s="159"/>
      <c r="C4320" s="160"/>
      <c r="D4320" s="130"/>
      <c r="E4320" s="130"/>
      <c r="F4320" s="161"/>
      <c r="G4320" s="164"/>
      <c r="H4320" s="76" t="b">
        <v>1</v>
      </c>
      <c r="I4320" s="76" t="b">
        <v>0</v>
      </c>
      <c r="J4320" s="76" t="b">
        <v>0</v>
      </c>
      <c r="K4320" s="76" t="b">
        <v>0</v>
      </c>
      <c r="L4320" s="76" t="b">
        <v>0</v>
      </c>
      <c r="M4320" s="76" t="b">
        <v>0</v>
      </c>
      <c r="N4320" s="76" t="b">
        <v>0</v>
      </c>
      <c r="O4320" s="76" t="b">
        <v>0</v>
      </c>
      <c r="P4320" s="76" t="b">
        <v>0</v>
      </c>
      <c r="Q4320" s="76" t="b">
        <v>0</v>
      </c>
      <c r="R4320" s="14"/>
      <c r="S4320" s="14"/>
      <c r="T4320" s="14"/>
      <c r="U4320" s="14"/>
      <c r="V4320" s="14"/>
      <c r="W4320" s="14"/>
    </row>
    <row r="4321" ht="31.5" customHeight="1">
      <c r="A4321" s="158"/>
      <c r="B4321" s="159"/>
      <c r="C4321" s="160"/>
      <c r="D4321" s="130"/>
      <c r="E4321" s="130"/>
      <c r="F4321" s="161"/>
      <c r="G4321" s="164"/>
      <c r="H4321" s="76" t="b">
        <v>1</v>
      </c>
      <c r="I4321" s="76" t="b">
        <v>0</v>
      </c>
      <c r="J4321" s="76" t="b">
        <v>0</v>
      </c>
      <c r="K4321" s="76" t="b">
        <v>0</v>
      </c>
      <c r="L4321" s="76" t="b">
        <v>0</v>
      </c>
      <c r="M4321" s="76" t="b">
        <v>0</v>
      </c>
      <c r="N4321" s="76" t="b">
        <v>0</v>
      </c>
      <c r="O4321" s="76" t="b">
        <v>0</v>
      </c>
      <c r="P4321" s="76" t="b">
        <v>0</v>
      </c>
      <c r="Q4321" s="76" t="b">
        <v>0</v>
      </c>
      <c r="R4321" s="14"/>
      <c r="S4321" s="14"/>
      <c r="T4321" s="14"/>
      <c r="U4321" s="14"/>
      <c r="V4321" s="14"/>
      <c r="W4321" s="14"/>
    </row>
    <row r="4322" ht="31.5" customHeight="1">
      <c r="A4322" s="158"/>
      <c r="B4322" s="159"/>
      <c r="C4322" s="160"/>
      <c r="D4322" s="130"/>
      <c r="E4322" s="130"/>
      <c r="F4322" s="161"/>
      <c r="G4322" s="164"/>
      <c r="H4322" s="76" t="b">
        <v>1</v>
      </c>
      <c r="I4322" s="76" t="b">
        <v>0</v>
      </c>
      <c r="J4322" s="76" t="b">
        <v>0</v>
      </c>
      <c r="K4322" s="76" t="b">
        <v>0</v>
      </c>
      <c r="L4322" s="76" t="b">
        <v>0</v>
      </c>
      <c r="M4322" s="76" t="b">
        <v>0</v>
      </c>
      <c r="N4322" s="76" t="b">
        <v>0</v>
      </c>
      <c r="O4322" s="76" t="b">
        <v>0</v>
      </c>
      <c r="P4322" s="76" t="b">
        <v>0</v>
      </c>
      <c r="Q4322" s="76" t="b">
        <v>0</v>
      </c>
      <c r="R4322" s="14"/>
      <c r="S4322" s="14"/>
      <c r="T4322" s="14"/>
      <c r="U4322" s="14"/>
      <c r="V4322" s="14"/>
      <c r="W4322" s="14"/>
    </row>
    <row r="4323" ht="31.5" customHeight="1">
      <c r="A4323" s="158"/>
      <c r="B4323" s="159"/>
      <c r="C4323" s="160"/>
      <c r="D4323" s="130"/>
      <c r="E4323" s="130"/>
      <c r="F4323" s="161"/>
      <c r="G4323" s="164"/>
      <c r="H4323" s="76" t="b">
        <v>1</v>
      </c>
      <c r="I4323" s="76" t="b">
        <v>0</v>
      </c>
      <c r="J4323" s="76" t="b">
        <v>0</v>
      </c>
      <c r="K4323" s="76" t="b">
        <v>0</v>
      </c>
      <c r="L4323" s="76" t="b">
        <v>0</v>
      </c>
      <c r="M4323" s="76" t="b">
        <v>0</v>
      </c>
      <c r="N4323" s="76" t="b">
        <v>0</v>
      </c>
      <c r="O4323" s="76" t="b">
        <v>0</v>
      </c>
      <c r="P4323" s="76" t="b">
        <v>0</v>
      </c>
      <c r="Q4323" s="76" t="b">
        <v>0</v>
      </c>
      <c r="R4323" s="14"/>
      <c r="S4323" s="14"/>
      <c r="T4323" s="14"/>
      <c r="U4323" s="14"/>
      <c r="V4323" s="14"/>
      <c r="W4323" s="14"/>
    </row>
    <row r="4324" ht="31.5" customHeight="1">
      <c r="A4324" s="158"/>
      <c r="B4324" s="159"/>
      <c r="C4324" s="160"/>
      <c r="D4324" s="130"/>
      <c r="E4324" s="130"/>
      <c r="F4324" s="161"/>
      <c r="G4324" s="164"/>
      <c r="H4324" s="76" t="b">
        <v>1</v>
      </c>
      <c r="I4324" s="76" t="b">
        <v>0</v>
      </c>
      <c r="J4324" s="76" t="b">
        <v>0</v>
      </c>
      <c r="K4324" s="76" t="b">
        <v>0</v>
      </c>
      <c r="L4324" s="76" t="b">
        <v>0</v>
      </c>
      <c r="M4324" s="76" t="b">
        <v>0</v>
      </c>
      <c r="N4324" s="76" t="b">
        <v>0</v>
      </c>
      <c r="O4324" s="76" t="b">
        <v>0</v>
      </c>
      <c r="P4324" s="76" t="b">
        <v>0</v>
      </c>
      <c r="Q4324" s="76" t="b">
        <v>0</v>
      </c>
      <c r="R4324" s="14"/>
      <c r="S4324" s="14"/>
      <c r="T4324" s="14"/>
      <c r="U4324" s="14"/>
      <c r="V4324" s="14"/>
      <c r="W4324" s="14"/>
    </row>
    <row r="4325" ht="31.5" customHeight="1">
      <c r="A4325" s="158"/>
      <c r="B4325" s="159"/>
      <c r="C4325" s="160"/>
      <c r="D4325" s="130"/>
      <c r="E4325" s="130"/>
      <c r="F4325" s="161"/>
      <c r="G4325" s="164"/>
      <c r="H4325" s="76" t="b">
        <v>1</v>
      </c>
      <c r="I4325" s="76" t="b">
        <v>0</v>
      </c>
      <c r="J4325" s="76" t="b">
        <v>0</v>
      </c>
      <c r="K4325" s="76" t="b">
        <v>0</v>
      </c>
      <c r="L4325" s="76" t="b">
        <v>0</v>
      </c>
      <c r="M4325" s="76" t="b">
        <v>0</v>
      </c>
      <c r="N4325" s="76" t="b">
        <v>0</v>
      </c>
      <c r="O4325" s="76" t="b">
        <v>0</v>
      </c>
      <c r="P4325" s="76" t="b">
        <v>0</v>
      </c>
      <c r="Q4325" s="76" t="b">
        <v>0</v>
      </c>
      <c r="R4325" s="14"/>
      <c r="S4325" s="14"/>
      <c r="T4325" s="14"/>
      <c r="U4325" s="14"/>
      <c r="V4325" s="14"/>
      <c r="W4325" s="14"/>
    </row>
    <row r="4326" ht="31.5" customHeight="1">
      <c r="A4326" s="158"/>
      <c r="B4326" s="159"/>
      <c r="C4326" s="160"/>
      <c r="D4326" s="130"/>
      <c r="E4326" s="130"/>
      <c r="F4326" s="161"/>
      <c r="G4326" s="164"/>
      <c r="H4326" s="76" t="b">
        <v>1</v>
      </c>
      <c r="I4326" s="76" t="b">
        <v>0</v>
      </c>
      <c r="J4326" s="76" t="b">
        <v>0</v>
      </c>
      <c r="K4326" s="76" t="b">
        <v>0</v>
      </c>
      <c r="L4326" s="76" t="b">
        <v>0</v>
      </c>
      <c r="M4326" s="76" t="b">
        <v>0</v>
      </c>
      <c r="N4326" s="76" t="b">
        <v>0</v>
      </c>
      <c r="O4326" s="76" t="b">
        <v>0</v>
      </c>
      <c r="P4326" s="76" t="b">
        <v>0</v>
      </c>
      <c r="Q4326" s="76" t="b">
        <v>0</v>
      </c>
      <c r="R4326" s="14"/>
      <c r="S4326" s="14"/>
      <c r="T4326" s="14"/>
      <c r="U4326" s="14"/>
      <c r="V4326" s="14"/>
      <c r="W4326" s="14"/>
    </row>
    <row r="4327" ht="31.5" customHeight="1">
      <c r="A4327" s="158"/>
      <c r="B4327" s="159"/>
      <c r="C4327" s="160"/>
      <c r="D4327" s="130"/>
      <c r="E4327" s="130"/>
      <c r="F4327" s="161"/>
      <c r="G4327" s="164"/>
      <c r="H4327" s="76" t="b">
        <v>1</v>
      </c>
      <c r="I4327" s="76" t="b">
        <v>0</v>
      </c>
      <c r="J4327" s="76" t="b">
        <v>0</v>
      </c>
      <c r="K4327" s="76" t="b">
        <v>0</v>
      </c>
      <c r="L4327" s="76" t="b">
        <v>0</v>
      </c>
      <c r="M4327" s="76" t="b">
        <v>0</v>
      </c>
      <c r="N4327" s="76" t="b">
        <v>0</v>
      </c>
      <c r="O4327" s="76" t="b">
        <v>0</v>
      </c>
      <c r="P4327" s="76" t="b">
        <v>0</v>
      </c>
      <c r="Q4327" s="76" t="b">
        <v>0</v>
      </c>
      <c r="R4327" s="14"/>
      <c r="S4327" s="14"/>
      <c r="T4327" s="14"/>
      <c r="U4327" s="14"/>
      <c r="V4327" s="14"/>
      <c r="W4327" s="14"/>
    </row>
    <row r="4328" ht="31.5" customHeight="1">
      <c r="A4328" s="158"/>
      <c r="B4328" s="159"/>
      <c r="C4328" s="160"/>
      <c r="D4328" s="130"/>
      <c r="E4328" s="130"/>
      <c r="F4328" s="161"/>
      <c r="G4328" s="164"/>
      <c r="H4328" s="76" t="b">
        <v>1</v>
      </c>
      <c r="I4328" s="76" t="b">
        <v>0</v>
      </c>
      <c r="J4328" s="76" t="b">
        <v>0</v>
      </c>
      <c r="K4328" s="76" t="b">
        <v>0</v>
      </c>
      <c r="L4328" s="76" t="b">
        <v>0</v>
      </c>
      <c r="M4328" s="76" t="b">
        <v>0</v>
      </c>
      <c r="N4328" s="76" t="b">
        <v>0</v>
      </c>
      <c r="O4328" s="76" t="b">
        <v>0</v>
      </c>
      <c r="P4328" s="76" t="b">
        <v>0</v>
      </c>
      <c r="Q4328" s="76" t="b">
        <v>0</v>
      </c>
      <c r="R4328" s="14"/>
      <c r="S4328" s="14"/>
      <c r="T4328" s="14"/>
      <c r="U4328" s="14"/>
      <c r="V4328" s="14"/>
      <c r="W4328" s="14"/>
    </row>
    <row r="4329" ht="31.5" customHeight="1">
      <c r="A4329" s="158"/>
      <c r="B4329" s="159"/>
      <c r="C4329" s="160"/>
      <c r="D4329" s="130"/>
      <c r="E4329" s="130"/>
      <c r="F4329" s="161"/>
      <c r="G4329" s="164"/>
      <c r="H4329" s="76" t="b">
        <v>1</v>
      </c>
      <c r="I4329" s="76" t="b">
        <v>0</v>
      </c>
      <c r="J4329" s="76" t="b">
        <v>0</v>
      </c>
      <c r="K4329" s="76" t="b">
        <v>0</v>
      </c>
      <c r="L4329" s="76" t="b">
        <v>0</v>
      </c>
      <c r="M4329" s="76" t="b">
        <v>0</v>
      </c>
      <c r="N4329" s="76" t="b">
        <v>0</v>
      </c>
      <c r="O4329" s="76" t="b">
        <v>0</v>
      </c>
      <c r="P4329" s="76" t="b">
        <v>0</v>
      </c>
      <c r="Q4329" s="76" t="b">
        <v>0</v>
      </c>
      <c r="R4329" s="14"/>
      <c r="S4329" s="14"/>
      <c r="T4329" s="14"/>
      <c r="U4329" s="14"/>
      <c r="V4329" s="14"/>
      <c r="W4329" s="14"/>
    </row>
    <row r="4330" ht="31.5" customHeight="1">
      <c r="A4330" s="158"/>
      <c r="B4330" s="159"/>
      <c r="C4330" s="160"/>
      <c r="D4330" s="130"/>
      <c r="E4330" s="130"/>
      <c r="F4330" s="161"/>
      <c r="G4330" s="164"/>
      <c r="H4330" s="76" t="b">
        <v>1</v>
      </c>
      <c r="I4330" s="76" t="b">
        <v>0</v>
      </c>
      <c r="J4330" s="76" t="b">
        <v>0</v>
      </c>
      <c r="K4330" s="76" t="b">
        <v>0</v>
      </c>
      <c r="L4330" s="76" t="b">
        <v>0</v>
      </c>
      <c r="M4330" s="76" t="b">
        <v>0</v>
      </c>
      <c r="N4330" s="76" t="b">
        <v>0</v>
      </c>
      <c r="O4330" s="76" t="b">
        <v>0</v>
      </c>
      <c r="P4330" s="76" t="b">
        <v>0</v>
      </c>
      <c r="Q4330" s="76" t="b">
        <v>0</v>
      </c>
      <c r="R4330" s="14"/>
      <c r="S4330" s="14"/>
      <c r="T4330" s="14"/>
      <c r="U4330" s="14"/>
      <c r="V4330" s="14"/>
      <c r="W4330" s="14"/>
    </row>
    <row r="4331" ht="31.5" customHeight="1">
      <c r="A4331" s="158"/>
      <c r="B4331" s="159"/>
      <c r="C4331" s="160"/>
      <c r="D4331" s="130"/>
      <c r="E4331" s="130"/>
      <c r="F4331" s="161"/>
      <c r="G4331" s="164"/>
      <c r="H4331" s="76" t="b">
        <v>1</v>
      </c>
      <c r="I4331" s="76" t="b">
        <v>0</v>
      </c>
      <c r="J4331" s="76" t="b">
        <v>0</v>
      </c>
      <c r="K4331" s="76" t="b">
        <v>0</v>
      </c>
      <c r="L4331" s="76" t="b">
        <v>0</v>
      </c>
      <c r="M4331" s="76" t="b">
        <v>0</v>
      </c>
      <c r="N4331" s="76" t="b">
        <v>0</v>
      </c>
      <c r="O4331" s="76" t="b">
        <v>0</v>
      </c>
      <c r="P4331" s="76" t="b">
        <v>0</v>
      </c>
      <c r="Q4331" s="76" t="b">
        <v>0</v>
      </c>
      <c r="R4331" s="14"/>
      <c r="S4331" s="14"/>
      <c r="T4331" s="14"/>
      <c r="U4331" s="14"/>
      <c r="V4331" s="14"/>
      <c r="W4331" s="14"/>
    </row>
    <row r="4332" ht="31.5" customHeight="1">
      <c r="A4332" s="158"/>
      <c r="B4332" s="159"/>
      <c r="C4332" s="160"/>
      <c r="D4332" s="130"/>
      <c r="E4332" s="130"/>
      <c r="F4332" s="161"/>
      <c r="G4332" s="164"/>
      <c r="H4332" s="76" t="b">
        <v>1</v>
      </c>
      <c r="I4332" s="76" t="b">
        <v>0</v>
      </c>
      <c r="J4332" s="76" t="b">
        <v>0</v>
      </c>
      <c r="K4332" s="76" t="b">
        <v>0</v>
      </c>
      <c r="L4332" s="76" t="b">
        <v>0</v>
      </c>
      <c r="M4332" s="76" t="b">
        <v>0</v>
      </c>
      <c r="N4332" s="76" t="b">
        <v>0</v>
      </c>
      <c r="O4332" s="76" t="b">
        <v>0</v>
      </c>
      <c r="P4332" s="76" t="b">
        <v>0</v>
      </c>
      <c r="Q4332" s="76" t="b">
        <v>0</v>
      </c>
      <c r="R4332" s="14"/>
      <c r="S4332" s="14"/>
      <c r="T4332" s="14"/>
      <c r="U4332" s="14"/>
      <c r="V4332" s="14"/>
      <c r="W4332" s="14"/>
    </row>
    <row r="4333" ht="31.5" customHeight="1">
      <c r="A4333" s="158"/>
      <c r="B4333" s="159"/>
      <c r="C4333" s="160"/>
      <c r="D4333" s="130"/>
      <c r="E4333" s="130"/>
      <c r="F4333" s="161"/>
      <c r="G4333" s="164"/>
      <c r="H4333" s="76" t="b">
        <v>1</v>
      </c>
      <c r="I4333" s="76" t="b">
        <v>0</v>
      </c>
      <c r="J4333" s="76" t="b">
        <v>0</v>
      </c>
      <c r="K4333" s="76" t="b">
        <v>0</v>
      </c>
      <c r="L4333" s="76" t="b">
        <v>0</v>
      </c>
      <c r="M4333" s="76" t="b">
        <v>0</v>
      </c>
      <c r="N4333" s="76" t="b">
        <v>0</v>
      </c>
      <c r="O4333" s="76" t="b">
        <v>0</v>
      </c>
      <c r="P4333" s="76" t="b">
        <v>0</v>
      </c>
      <c r="Q4333" s="76" t="b">
        <v>0</v>
      </c>
      <c r="R4333" s="14"/>
      <c r="S4333" s="14"/>
      <c r="T4333" s="14"/>
      <c r="U4333" s="14"/>
      <c r="V4333" s="14"/>
      <c r="W4333" s="14"/>
    </row>
    <row r="4334" ht="31.5" customHeight="1">
      <c r="A4334" s="158"/>
      <c r="B4334" s="159"/>
      <c r="C4334" s="160"/>
      <c r="D4334" s="130"/>
      <c r="E4334" s="130"/>
      <c r="F4334" s="161"/>
      <c r="G4334" s="164"/>
      <c r="H4334" s="76" t="b">
        <v>1</v>
      </c>
      <c r="I4334" s="76" t="b">
        <v>0</v>
      </c>
      <c r="J4334" s="76" t="b">
        <v>0</v>
      </c>
      <c r="K4334" s="76" t="b">
        <v>0</v>
      </c>
      <c r="L4334" s="76" t="b">
        <v>0</v>
      </c>
      <c r="M4334" s="76" t="b">
        <v>0</v>
      </c>
      <c r="N4334" s="76" t="b">
        <v>0</v>
      </c>
      <c r="O4334" s="76" t="b">
        <v>0</v>
      </c>
      <c r="P4334" s="76" t="b">
        <v>0</v>
      </c>
      <c r="Q4334" s="76" t="b">
        <v>0</v>
      </c>
      <c r="R4334" s="14"/>
      <c r="S4334" s="14"/>
      <c r="T4334" s="14"/>
      <c r="U4334" s="14"/>
      <c r="V4334" s="14"/>
      <c r="W4334" s="14"/>
    </row>
    <row r="4335" ht="31.5" customHeight="1">
      <c r="A4335" s="158"/>
      <c r="B4335" s="159"/>
      <c r="C4335" s="160"/>
      <c r="D4335" s="130"/>
      <c r="E4335" s="130"/>
      <c r="F4335" s="161"/>
      <c r="G4335" s="164"/>
      <c r="H4335" s="76" t="b">
        <v>1</v>
      </c>
      <c r="I4335" s="76" t="b">
        <v>0</v>
      </c>
      <c r="J4335" s="76" t="b">
        <v>0</v>
      </c>
      <c r="K4335" s="76" t="b">
        <v>0</v>
      </c>
      <c r="L4335" s="76" t="b">
        <v>0</v>
      </c>
      <c r="M4335" s="76" t="b">
        <v>0</v>
      </c>
      <c r="N4335" s="76" t="b">
        <v>0</v>
      </c>
      <c r="O4335" s="76" t="b">
        <v>0</v>
      </c>
      <c r="P4335" s="76" t="b">
        <v>0</v>
      </c>
      <c r="Q4335" s="76" t="b">
        <v>0</v>
      </c>
      <c r="R4335" s="14"/>
      <c r="S4335" s="14"/>
      <c r="T4335" s="14"/>
      <c r="U4335" s="14"/>
      <c r="V4335" s="14"/>
      <c r="W4335" s="14"/>
    </row>
    <row r="4336" ht="31.5" customHeight="1">
      <c r="A4336" s="158"/>
      <c r="B4336" s="159"/>
      <c r="C4336" s="160"/>
      <c r="D4336" s="130"/>
      <c r="E4336" s="130"/>
      <c r="F4336" s="161"/>
      <c r="G4336" s="164"/>
      <c r="H4336" s="76" t="b">
        <v>1</v>
      </c>
      <c r="I4336" s="76" t="b">
        <v>0</v>
      </c>
      <c r="J4336" s="76" t="b">
        <v>0</v>
      </c>
      <c r="K4336" s="76" t="b">
        <v>0</v>
      </c>
      <c r="L4336" s="76" t="b">
        <v>0</v>
      </c>
      <c r="M4336" s="76" t="b">
        <v>0</v>
      </c>
      <c r="N4336" s="76" t="b">
        <v>0</v>
      </c>
      <c r="O4336" s="76" t="b">
        <v>0</v>
      </c>
      <c r="P4336" s="76" t="b">
        <v>0</v>
      </c>
      <c r="Q4336" s="76" t="b">
        <v>0</v>
      </c>
      <c r="R4336" s="14"/>
      <c r="S4336" s="14"/>
      <c r="T4336" s="14"/>
      <c r="U4336" s="14"/>
      <c r="V4336" s="14"/>
      <c r="W4336" s="14"/>
    </row>
    <row r="4337" ht="31.5" customHeight="1">
      <c r="A4337" s="158"/>
      <c r="B4337" s="159"/>
      <c r="C4337" s="160"/>
      <c r="D4337" s="130"/>
      <c r="E4337" s="130"/>
      <c r="F4337" s="161"/>
      <c r="G4337" s="164"/>
      <c r="H4337" s="76" t="b">
        <v>1</v>
      </c>
      <c r="I4337" s="76" t="b">
        <v>0</v>
      </c>
      <c r="J4337" s="76" t="b">
        <v>0</v>
      </c>
      <c r="K4337" s="76" t="b">
        <v>0</v>
      </c>
      <c r="L4337" s="76" t="b">
        <v>0</v>
      </c>
      <c r="M4337" s="76" t="b">
        <v>0</v>
      </c>
      <c r="N4337" s="76" t="b">
        <v>0</v>
      </c>
      <c r="O4337" s="76" t="b">
        <v>0</v>
      </c>
      <c r="P4337" s="76" t="b">
        <v>0</v>
      </c>
      <c r="Q4337" s="76" t="b">
        <v>0</v>
      </c>
      <c r="R4337" s="14"/>
      <c r="S4337" s="14"/>
      <c r="T4337" s="14"/>
      <c r="U4337" s="14"/>
      <c r="V4337" s="14"/>
      <c r="W4337" s="14"/>
    </row>
    <row r="4338" ht="31.5" customHeight="1">
      <c r="A4338" s="158"/>
      <c r="B4338" s="159"/>
      <c r="C4338" s="160"/>
      <c r="D4338" s="130"/>
      <c r="E4338" s="130"/>
      <c r="F4338" s="161"/>
      <c r="G4338" s="164"/>
      <c r="H4338" s="76" t="b">
        <v>1</v>
      </c>
      <c r="I4338" s="76" t="b">
        <v>0</v>
      </c>
      <c r="J4338" s="76" t="b">
        <v>0</v>
      </c>
      <c r="K4338" s="76" t="b">
        <v>0</v>
      </c>
      <c r="L4338" s="76" t="b">
        <v>0</v>
      </c>
      <c r="M4338" s="76" t="b">
        <v>0</v>
      </c>
      <c r="N4338" s="76" t="b">
        <v>0</v>
      </c>
      <c r="O4338" s="76" t="b">
        <v>0</v>
      </c>
      <c r="P4338" s="76" t="b">
        <v>0</v>
      </c>
      <c r="Q4338" s="76" t="b">
        <v>0</v>
      </c>
      <c r="R4338" s="14"/>
      <c r="S4338" s="14"/>
      <c r="T4338" s="14"/>
      <c r="U4338" s="14"/>
      <c r="V4338" s="14"/>
      <c r="W4338" s="14"/>
    </row>
    <row r="4339" ht="31.5" customHeight="1">
      <c r="A4339" s="158"/>
      <c r="B4339" s="159"/>
      <c r="C4339" s="160"/>
      <c r="D4339" s="130"/>
      <c r="E4339" s="130"/>
      <c r="F4339" s="161"/>
      <c r="G4339" s="164"/>
      <c r="H4339" s="76" t="b">
        <v>1</v>
      </c>
      <c r="I4339" s="76" t="b">
        <v>0</v>
      </c>
      <c r="J4339" s="76" t="b">
        <v>0</v>
      </c>
      <c r="K4339" s="76" t="b">
        <v>0</v>
      </c>
      <c r="L4339" s="76" t="b">
        <v>0</v>
      </c>
      <c r="M4339" s="76" t="b">
        <v>0</v>
      </c>
      <c r="N4339" s="76" t="b">
        <v>0</v>
      </c>
      <c r="O4339" s="76" t="b">
        <v>0</v>
      </c>
      <c r="P4339" s="76" t="b">
        <v>0</v>
      </c>
      <c r="Q4339" s="76" t="b">
        <v>0</v>
      </c>
      <c r="R4339" s="14"/>
      <c r="S4339" s="14"/>
      <c r="T4339" s="14"/>
      <c r="U4339" s="14"/>
      <c r="V4339" s="14"/>
      <c r="W4339" s="14"/>
    </row>
    <row r="4340" ht="31.5" customHeight="1">
      <c r="A4340" s="158"/>
      <c r="B4340" s="159"/>
      <c r="C4340" s="160"/>
      <c r="D4340" s="130"/>
      <c r="E4340" s="130"/>
      <c r="F4340" s="161"/>
      <c r="G4340" s="164"/>
      <c r="H4340" s="76" t="b">
        <v>1</v>
      </c>
      <c r="I4340" s="76" t="b">
        <v>0</v>
      </c>
      <c r="J4340" s="76" t="b">
        <v>0</v>
      </c>
      <c r="K4340" s="76" t="b">
        <v>0</v>
      </c>
      <c r="L4340" s="76" t="b">
        <v>0</v>
      </c>
      <c r="M4340" s="76" t="b">
        <v>0</v>
      </c>
      <c r="N4340" s="76" t="b">
        <v>0</v>
      </c>
      <c r="O4340" s="76" t="b">
        <v>0</v>
      </c>
      <c r="P4340" s="76" t="b">
        <v>0</v>
      </c>
      <c r="Q4340" s="76" t="b">
        <v>0</v>
      </c>
      <c r="R4340" s="14"/>
      <c r="S4340" s="14"/>
      <c r="T4340" s="14"/>
      <c r="U4340" s="14"/>
      <c r="V4340" s="14"/>
      <c r="W4340" s="14"/>
    </row>
    <row r="4341" ht="31.5" customHeight="1">
      <c r="A4341" s="158"/>
      <c r="B4341" s="159"/>
      <c r="C4341" s="160"/>
      <c r="D4341" s="130"/>
      <c r="E4341" s="130"/>
      <c r="F4341" s="161"/>
      <c r="G4341" s="164"/>
      <c r="H4341" s="76" t="b">
        <v>1</v>
      </c>
      <c r="I4341" s="76" t="b">
        <v>0</v>
      </c>
      <c r="J4341" s="76" t="b">
        <v>0</v>
      </c>
      <c r="K4341" s="76" t="b">
        <v>0</v>
      </c>
      <c r="L4341" s="76" t="b">
        <v>0</v>
      </c>
      <c r="M4341" s="76" t="b">
        <v>0</v>
      </c>
      <c r="N4341" s="76" t="b">
        <v>0</v>
      </c>
      <c r="O4341" s="76" t="b">
        <v>0</v>
      </c>
      <c r="P4341" s="76" t="b">
        <v>0</v>
      </c>
      <c r="Q4341" s="76" t="b">
        <v>0</v>
      </c>
      <c r="R4341" s="14"/>
      <c r="S4341" s="14"/>
      <c r="T4341" s="14"/>
      <c r="U4341" s="14"/>
      <c r="V4341" s="14"/>
      <c r="W4341" s="14"/>
    </row>
    <row r="4342" ht="31.5" customHeight="1">
      <c r="A4342" s="158"/>
      <c r="B4342" s="159"/>
      <c r="C4342" s="160"/>
      <c r="D4342" s="130"/>
      <c r="E4342" s="130"/>
      <c r="F4342" s="161"/>
      <c r="G4342" s="164"/>
      <c r="H4342" s="76" t="b">
        <v>1</v>
      </c>
      <c r="I4342" s="76" t="b">
        <v>0</v>
      </c>
      <c r="J4342" s="76" t="b">
        <v>0</v>
      </c>
      <c r="K4342" s="76" t="b">
        <v>0</v>
      </c>
      <c r="L4342" s="76" t="b">
        <v>0</v>
      </c>
      <c r="M4342" s="76" t="b">
        <v>0</v>
      </c>
      <c r="N4342" s="76" t="b">
        <v>0</v>
      </c>
      <c r="O4342" s="76" t="b">
        <v>0</v>
      </c>
      <c r="P4342" s="76" t="b">
        <v>0</v>
      </c>
      <c r="Q4342" s="76" t="b">
        <v>0</v>
      </c>
      <c r="R4342" s="14"/>
      <c r="S4342" s="14"/>
      <c r="T4342" s="14"/>
      <c r="U4342" s="14"/>
      <c r="V4342" s="14"/>
      <c r="W4342" s="14"/>
    </row>
    <row r="4343" ht="31.5" customHeight="1">
      <c r="A4343" s="158"/>
      <c r="B4343" s="159"/>
      <c r="C4343" s="160"/>
      <c r="D4343" s="130"/>
      <c r="E4343" s="130"/>
      <c r="F4343" s="161"/>
      <c r="G4343" s="164"/>
      <c r="H4343" s="76" t="b">
        <v>1</v>
      </c>
      <c r="I4343" s="76" t="b">
        <v>0</v>
      </c>
      <c r="J4343" s="76" t="b">
        <v>0</v>
      </c>
      <c r="K4343" s="76" t="b">
        <v>0</v>
      </c>
      <c r="L4343" s="76" t="b">
        <v>0</v>
      </c>
      <c r="M4343" s="76" t="b">
        <v>0</v>
      </c>
      <c r="N4343" s="76" t="b">
        <v>0</v>
      </c>
      <c r="O4343" s="76" t="b">
        <v>0</v>
      </c>
      <c r="P4343" s="76" t="b">
        <v>0</v>
      </c>
      <c r="Q4343" s="76" t="b">
        <v>0</v>
      </c>
      <c r="R4343" s="14"/>
      <c r="S4343" s="14"/>
      <c r="T4343" s="14"/>
      <c r="U4343" s="14"/>
      <c r="V4343" s="14"/>
      <c r="W4343" s="14"/>
    </row>
    <row r="4344" ht="31.5" customHeight="1">
      <c r="A4344" s="158"/>
      <c r="B4344" s="159"/>
      <c r="C4344" s="160"/>
      <c r="D4344" s="130"/>
      <c r="E4344" s="130"/>
      <c r="F4344" s="161"/>
      <c r="G4344" s="164"/>
      <c r="H4344" s="76" t="b">
        <v>1</v>
      </c>
      <c r="I4344" s="76" t="b">
        <v>0</v>
      </c>
      <c r="J4344" s="76" t="b">
        <v>0</v>
      </c>
      <c r="K4344" s="76" t="b">
        <v>0</v>
      </c>
      <c r="L4344" s="76" t="b">
        <v>0</v>
      </c>
      <c r="M4344" s="76" t="b">
        <v>0</v>
      </c>
      <c r="N4344" s="76" t="b">
        <v>0</v>
      </c>
      <c r="O4344" s="76" t="b">
        <v>0</v>
      </c>
      <c r="P4344" s="76" t="b">
        <v>0</v>
      </c>
      <c r="Q4344" s="76" t="b">
        <v>0</v>
      </c>
      <c r="R4344" s="14"/>
      <c r="S4344" s="14"/>
      <c r="T4344" s="14"/>
      <c r="U4344" s="14"/>
      <c r="V4344" s="14"/>
      <c r="W4344" s="14"/>
    </row>
    <row r="4345" ht="31.5" customHeight="1">
      <c r="A4345" s="158"/>
      <c r="B4345" s="159"/>
      <c r="C4345" s="160"/>
      <c r="D4345" s="130"/>
      <c r="E4345" s="130"/>
      <c r="F4345" s="161"/>
      <c r="G4345" s="164"/>
      <c r="H4345" s="76" t="b">
        <v>1</v>
      </c>
      <c r="I4345" s="76" t="b">
        <v>0</v>
      </c>
      <c r="J4345" s="76" t="b">
        <v>0</v>
      </c>
      <c r="K4345" s="76" t="b">
        <v>0</v>
      </c>
      <c r="L4345" s="76" t="b">
        <v>0</v>
      </c>
      <c r="M4345" s="76" t="b">
        <v>0</v>
      </c>
      <c r="N4345" s="76" t="b">
        <v>0</v>
      </c>
      <c r="O4345" s="76" t="b">
        <v>0</v>
      </c>
      <c r="P4345" s="76" t="b">
        <v>0</v>
      </c>
      <c r="Q4345" s="76" t="b">
        <v>0</v>
      </c>
      <c r="R4345" s="14"/>
      <c r="S4345" s="14"/>
      <c r="T4345" s="14"/>
      <c r="U4345" s="14"/>
      <c r="V4345" s="14"/>
      <c r="W4345" s="14"/>
    </row>
    <row r="4346" ht="31.5" customHeight="1">
      <c r="A4346" s="158"/>
      <c r="B4346" s="159"/>
      <c r="C4346" s="160"/>
      <c r="D4346" s="130"/>
      <c r="E4346" s="130"/>
      <c r="F4346" s="161"/>
      <c r="G4346" s="164"/>
      <c r="H4346" s="76" t="b">
        <v>1</v>
      </c>
      <c r="I4346" s="76" t="b">
        <v>0</v>
      </c>
      <c r="J4346" s="76" t="b">
        <v>0</v>
      </c>
      <c r="K4346" s="76" t="b">
        <v>0</v>
      </c>
      <c r="L4346" s="76" t="b">
        <v>0</v>
      </c>
      <c r="M4346" s="76" t="b">
        <v>0</v>
      </c>
      <c r="N4346" s="76" t="b">
        <v>0</v>
      </c>
      <c r="O4346" s="76" t="b">
        <v>0</v>
      </c>
      <c r="P4346" s="76" t="b">
        <v>0</v>
      </c>
      <c r="Q4346" s="76" t="b">
        <v>0</v>
      </c>
      <c r="R4346" s="14"/>
      <c r="S4346" s="14"/>
      <c r="T4346" s="14"/>
      <c r="U4346" s="14"/>
      <c r="V4346" s="14"/>
      <c r="W4346" s="14"/>
    </row>
    <row r="4347" ht="31.5" customHeight="1">
      <c r="A4347" s="158"/>
      <c r="B4347" s="159"/>
      <c r="C4347" s="160"/>
      <c r="D4347" s="130"/>
      <c r="E4347" s="130"/>
      <c r="F4347" s="161"/>
      <c r="G4347" s="164"/>
      <c r="H4347" s="76" t="b">
        <v>1</v>
      </c>
      <c r="I4347" s="76" t="b">
        <v>0</v>
      </c>
      <c r="J4347" s="76" t="b">
        <v>0</v>
      </c>
      <c r="K4347" s="76" t="b">
        <v>0</v>
      </c>
      <c r="L4347" s="76" t="b">
        <v>0</v>
      </c>
      <c r="M4347" s="76" t="b">
        <v>0</v>
      </c>
      <c r="N4347" s="76" t="b">
        <v>0</v>
      </c>
      <c r="O4347" s="76" t="b">
        <v>0</v>
      </c>
      <c r="P4347" s="76" t="b">
        <v>0</v>
      </c>
      <c r="Q4347" s="76" t="b">
        <v>0</v>
      </c>
      <c r="R4347" s="14"/>
      <c r="S4347" s="14"/>
      <c r="T4347" s="14"/>
      <c r="U4347" s="14"/>
      <c r="V4347" s="14"/>
      <c r="W4347" s="14"/>
    </row>
    <row r="4348" ht="31.5" customHeight="1">
      <c r="A4348" s="158"/>
      <c r="B4348" s="159"/>
      <c r="C4348" s="160"/>
      <c r="D4348" s="130"/>
      <c r="E4348" s="130"/>
      <c r="F4348" s="161"/>
      <c r="G4348" s="164"/>
      <c r="H4348" s="76" t="b">
        <v>1</v>
      </c>
      <c r="I4348" s="76" t="b">
        <v>0</v>
      </c>
      <c r="J4348" s="76" t="b">
        <v>0</v>
      </c>
      <c r="K4348" s="76" t="b">
        <v>0</v>
      </c>
      <c r="L4348" s="76" t="b">
        <v>0</v>
      </c>
      <c r="M4348" s="76" t="b">
        <v>0</v>
      </c>
      <c r="N4348" s="76" t="b">
        <v>0</v>
      </c>
      <c r="O4348" s="76" t="b">
        <v>0</v>
      </c>
      <c r="P4348" s="76" t="b">
        <v>0</v>
      </c>
      <c r="Q4348" s="76" t="b">
        <v>0</v>
      </c>
      <c r="R4348" s="14"/>
      <c r="S4348" s="14"/>
      <c r="T4348" s="14"/>
      <c r="U4348" s="14"/>
      <c r="V4348" s="14"/>
      <c r="W4348" s="14"/>
    </row>
    <row r="4349" ht="31.5" customHeight="1">
      <c r="A4349" s="158"/>
      <c r="B4349" s="159"/>
      <c r="C4349" s="160"/>
      <c r="D4349" s="130"/>
      <c r="E4349" s="130"/>
      <c r="F4349" s="161"/>
      <c r="G4349" s="164"/>
      <c r="H4349" s="76" t="b">
        <v>1</v>
      </c>
      <c r="I4349" s="76" t="b">
        <v>0</v>
      </c>
      <c r="J4349" s="76" t="b">
        <v>0</v>
      </c>
      <c r="K4349" s="76" t="b">
        <v>0</v>
      </c>
      <c r="L4349" s="76" t="b">
        <v>0</v>
      </c>
      <c r="M4349" s="76" t="b">
        <v>0</v>
      </c>
      <c r="N4349" s="76" t="b">
        <v>0</v>
      </c>
      <c r="O4349" s="76" t="b">
        <v>0</v>
      </c>
      <c r="P4349" s="76" t="b">
        <v>0</v>
      </c>
      <c r="Q4349" s="76" t="b">
        <v>0</v>
      </c>
      <c r="R4349" s="14"/>
      <c r="S4349" s="14"/>
      <c r="T4349" s="14"/>
      <c r="U4349" s="14"/>
      <c r="V4349" s="14"/>
      <c r="W4349" s="14"/>
    </row>
    <row r="4350" ht="31.5" customHeight="1">
      <c r="A4350" s="158"/>
      <c r="B4350" s="159"/>
      <c r="C4350" s="160"/>
      <c r="D4350" s="130"/>
      <c r="E4350" s="130"/>
      <c r="F4350" s="161"/>
      <c r="G4350" s="164"/>
      <c r="H4350" s="76" t="b">
        <v>1</v>
      </c>
      <c r="I4350" s="76" t="b">
        <v>0</v>
      </c>
      <c r="J4350" s="76" t="b">
        <v>0</v>
      </c>
      <c r="K4350" s="76" t="b">
        <v>0</v>
      </c>
      <c r="L4350" s="76" t="b">
        <v>0</v>
      </c>
      <c r="M4350" s="76" t="b">
        <v>0</v>
      </c>
      <c r="N4350" s="76" t="b">
        <v>0</v>
      </c>
      <c r="O4350" s="76" t="b">
        <v>0</v>
      </c>
      <c r="P4350" s="76" t="b">
        <v>0</v>
      </c>
      <c r="Q4350" s="76" t="b">
        <v>0</v>
      </c>
      <c r="R4350" s="14"/>
      <c r="S4350" s="14"/>
      <c r="T4350" s="14"/>
      <c r="U4350" s="14"/>
      <c r="V4350" s="14"/>
      <c r="W4350" s="14"/>
    </row>
    <row r="4351" ht="31.5" customHeight="1">
      <c r="A4351" s="158"/>
      <c r="B4351" s="159"/>
      <c r="C4351" s="160"/>
      <c r="D4351" s="130"/>
      <c r="E4351" s="130"/>
      <c r="F4351" s="161"/>
      <c r="G4351" s="164"/>
      <c r="H4351" s="76" t="b">
        <v>1</v>
      </c>
      <c r="I4351" s="76" t="b">
        <v>0</v>
      </c>
      <c r="J4351" s="76" t="b">
        <v>0</v>
      </c>
      <c r="K4351" s="76" t="b">
        <v>0</v>
      </c>
      <c r="L4351" s="76" t="b">
        <v>0</v>
      </c>
      <c r="M4351" s="76" t="b">
        <v>0</v>
      </c>
      <c r="N4351" s="76" t="b">
        <v>0</v>
      </c>
      <c r="O4351" s="76" t="b">
        <v>0</v>
      </c>
      <c r="P4351" s="76" t="b">
        <v>0</v>
      </c>
      <c r="Q4351" s="76" t="b">
        <v>0</v>
      </c>
      <c r="R4351" s="14"/>
      <c r="S4351" s="14"/>
      <c r="T4351" s="14"/>
      <c r="U4351" s="14"/>
      <c r="V4351" s="14"/>
      <c r="W4351" s="14"/>
    </row>
    <row r="4352" ht="31.5" customHeight="1">
      <c r="A4352" s="158"/>
      <c r="B4352" s="159"/>
      <c r="C4352" s="160"/>
      <c r="D4352" s="130"/>
      <c r="E4352" s="130"/>
      <c r="F4352" s="161"/>
      <c r="G4352" s="164"/>
      <c r="H4352" s="76" t="b">
        <v>1</v>
      </c>
      <c r="I4352" s="76" t="b">
        <v>0</v>
      </c>
      <c r="J4352" s="76" t="b">
        <v>0</v>
      </c>
      <c r="K4352" s="76" t="b">
        <v>0</v>
      </c>
      <c r="L4352" s="76" t="b">
        <v>0</v>
      </c>
      <c r="M4352" s="76" t="b">
        <v>0</v>
      </c>
      <c r="N4352" s="76" t="b">
        <v>0</v>
      </c>
      <c r="O4352" s="76" t="b">
        <v>0</v>
      </c>
      <c r="P4352" s="76" t="b">
        <v>0</v>
      </c>
      <c r="Q4352" s="76" t="b">
        <v>0</v>
      </c>
      <c r="R4352" s="14"/>
      <c r="S4352" s="14"/>
      <c r="T4352" s="14"/>
      <c r="U4352" s="14"/>
      <c r="V4352" s="14"/>
      <c r="W4352" s="14"/>
    </row>
    <row r="4353" ht="31.5" customHeight="1">
      <c r="A4353" s="158"/>
      <c r="B4353" s="159"/>
      <c r="C4353" s="160"/>
      <c r="D4353" s="130"/>
      <c r="E4353" s="130"/>
      <c r="F4353" s="161"/>
      <c r="G4353" s="164"/>
      <c r="H4353" s="76" t="b">
        <v>1</v>
      </c>
      <c r="I4353" s="76" t="b">
        <v>0</v>
      </c>
      <c r="J4353" s="76" t="b">
        <v>0</v>
      </c>
      <c r="K4353" s="76" t="b">
        <v>0</v>
      </c>
      <c r="L4353" s="76" t="b">
        <v>0</v>
      </c>
      <c r="M4353" s="76" t="b">
        <v>0</v>
      </c>
      <c r="N4353" s="76" t="b">
        <v>0</v>
      </c>
      <c r="O4353" s="76" t="b">
        <v>0</v>
      </c>
      <c r="P4353" s="76" t="b">
        <v>0</v>
      </c>
      <c r="Q4353" s="76" t="b">
        <v>0</v>
      </c>
      <c r="R4353" s="14"/>
      <c r="S4353" s="14"/>
      <c r="T4353" s="14"/>
      <c r="U4353" s="14"/>
      <c r="V4353" s="14"/>
      <c r="W4353" s="14"/>
    </row>
    <row r="4354" ht="31.5" customHeight="1">
      <c r="A4354" s="158"/>
      <c r="B4354" s="159"/>
      <c r="C4354" s="160"/>
      <c r="D4354" s="130"/>
      <c r="E4354" s="130"/>
      <c r="F4354" s="161"/>
      <c r="G4354" s="164"/>
      <c r="H4354" s="76" t="b">
        <v>1</v>
      </c>
      <c r="I4354" s="76" t="b">
        <v>0</v>
      </c>
      <c r="J4354" s="76" t="b">
        <v>0</v>
      </c>
      <c r="K4354" s="76" t="b">
        <v>0</v>
      </c>
      <c r="L4354" s="76" t="b">
        <v>0</v>
      </c>
      <c r="M4354" s="76" t="b">
        <v>0</v>
      </c>
      <c r="N4354" s="76" t="b">
        <v>0</v>
      </c>
      <c r="O4354" s="76" t="b">
        <v>0</v>
      </c>
      <c r="P4354" s="76" t="b">
        <v>0</v>
      </c>
      <c r="Q4354" s="76" t="b">
        <v>0</v>
      </c>
      <c r="R4354" s="14"/>
      <c r="S4354" s="14"/>
      <c r="T4354" s="14"/>
      <c r="U4354" s="14"/>
      <c r="V4354" s="14"/>
      <c r="W4354" s="14"/>
    </row>
    <row r="4355" ht="31.5" customHeight="1">
      <c r="A4355" s="158"/>
      <c r="B4355" s="159"/>
      <c r="C4355" s="160"/>
      <c r="D4355" s="130"/>
      <c r="E4355" s="130"/>
      <c r="F4355" s="161"/>
      <c r="G4355" s="164"/>
      <c r="H4355" s="76" t="b">
        <v>1</v>
      </c>
      <c r="I4355" s="76" t="b">
        <v>0</v>
      </c>
      <c r="J4355" s="76" t="b">
        <v>0</v>
      </c>
      <c r="K4355" s="76" t="b">
        <v>0</v>
      </c>
      <c r="L4355" s="76" t="b">
        <v>0</v>
      </c>
      <c r="M4355" s="76" t="b">
        <v>0</v>
      </c>
      <c r="N4355" s="76" t="b">
        <v>0</v>
      </c>
      <c r="O4355" s="76" t="b">
        <v>0</v>
      </c>
      <c r="P4355" s="76" t="b">
        <v>0</v>
      </c>
      <c r="Q4355" s="76" t="b">
        <v>0</v>
      </c>
      <c r="R4355" s="14"/>
      <c r="S4355" s="14"/>
      <c r="T4355" s="14"/>
      <c r="U4355" s="14"/>
      <c r="V4355" s="14"/>
      <c r="W4355" s="14"/>
    </row>
    <row r="4356" ht="31.5" customHeight="1">
      <c r="A4356" s="158"/>
      <c r="B4356" s="159"/>
      <c r="C4356" s="160"/>
      <c r="D4356" s="130"/>
      <c r="E4356" s="130"/>
      <c r="F4356" s="161"/>
      <c r="G4356" s="164"/>
      <c r="H4356" s="76" t="b">
        <v>1</v>
      </c>
      <c r="I4356" s="76" t="b">
        <v>0</v>
      </c>
      <c r="J4356" s="76" t="b">
        <v>0</v>
      </c>
      <c r="K4356" s="76" t="b">
        <v>0</v>
      </c>
      <c r="L4356" s="76" t="b">
        <v>0</v>
      </c>
      <c r="M4356" s="76" t="b">
        <v>0</v>
      </c>
      <c r="N4356" s="76" t="b">
        <v>0</v>
      </c>
      <c r="O4356" s="76" t="b">
        <v>0</v>
      </c>
      <c r="P4356" s="76" t="b">
        <v>0</v>
      </c>
      <c r="Q4356" s="76" t="b">
        <v>0</v>
      </c>
      <c r="R4356" s="14"/>
      <c r="S4356" s="14"/>
      <c r="T4356" s="14"/>
      <c r="U4356" s="14"/>
      <c r="V4356" s="14"/>
      <c r="W4356" s="14"/>
    </row>
    <row r="4357" ht="31.5" customHeight="1">
      <c r="A4357" s="158"/>
      <c r="B4357" s="159"/>
      <c r="C4357" s="160"/>
      <c r="D4357" s="130"/>
      <c r="E4357" s="130"/>
      <c r="F4357" s="161"/>
      <c r="G4357" s="164"/>
      <c r="H4357" s="76" t="b">
        <v>1</v>
      </c>
      <c r="I4357" s="76" t="b">
        <v>0</v>
      </c>
      <c r="J4357" s="76" t="b">
        <v>0</v>
      </c>
      <c r="K4357" s="76" t="b">
        <v>0</v>
      </c>
      <c r="L4357" s="76" t="b">
        <v>0</v>
      </c>
      <c r="M4357" s="76" t="b">
        <v>0</v>
      </c>
      <c r="N4357" s="76" t="b">
        <v>0</v>
      </c>
      <c r="O4357" s="76" t="b">
        <v>0</v>
      </c>
      <c r="P4357" s="76" t="b">
        <v>0</v>
      </c>
      <c r="Q4357" s="76" t="b">
        <v>0</v>
      </c>
      <c r="R4357" s="14"/>
      <c r="S4357" s="14"/>
      <c r="T4357" s="14"/>
      <c r="U4357" s="14"/>
      <c r="V4357" s="14"/>
      <c r="W4357" s="14"/>
    </row>
    <row r="4358" ht="31.5" customHeight="1">
      <c r="A4358" s="158"/>
      <c r="B4358" s="159"/>
      <c r="C4358" s="160"/>
      <c r="D4358" s="130"/>
      <c r="E4358" s="130"/>
      <c r="F4358" s="161"/>
      <c r="G4358" s="164"/>
      <c r="H4358" s="76" t="b">
        <v>0</v>
      </c>
      <c r="I4358" s="76" t="b">
        <v>0</v>
      </c>
      <c r="J4358" s="76" t="b">
        <v>0</v>
      </c>
      <c r="K4358" s="76" t="b">
        <v>0</v>
      </c>
      <c r="L4358" s="76" t="b">
        <v>0</v>
      </c>
      <c r="M4358" s="76" t="b">
        <v>0</v>
      </c>
      <c r="N4358" s="76" t="b">
        <v>0</v>
      </c>
      <c r="O4358" s="76" t="b">
        <v>0</v>
      </c>
      <c r="P4358" s="76" t="b">
        <v>0</v>
      </c>
      <c r="Q4358" s="76" t="b">
        <v>0</v>
      </c>
      <c r="R4358" s="14"/>
      <c r="S4358" s="14"/>
      <c r="T4358" s="14"/>
      <c r="U4358" s="14"/>
      <c r="V4358" s="14"/>
      <c r="W4358" s="14"/>
    </row>
    <row r="4359" ht="31.5" customHeight="1">
      <c r="A4359" s="158"/>
      <c r="B4359" s="159"/>
      <c r="C4359" s="160"/>
      <c r="D4359" s="130"/>
      <c r="E4359" s="130"/>
      <c r="F4359" s="161"/>
      <c r="G4359" s="164"/>
      <c r="H4359" s="76" t="b">
        <v>0</v>
      </c>
      <c r="I4359" s="76" t="b">
        <v>0</v>
      </c>
      <c r="J4359" s="76" t="b">
        <v>0</v>
      </c>
      <c r="K4359" s="76" t="b">
        <v>0</v>
      </c>
      <c r="L4359" s="76" t="b">
        <v>0</v>
      </c>
      <c r="M4359" s="76" t="b">
        <v>0</v>
      </c>
      <c r="N4359" s="76" t="b">
        <v>0</v>
      </c>
      <c r="O4359" s="76" t="b">
        <v>0</v>
      </c>
      <c r="P4359" s="76" t="b">
        <v>0</v>
      </c>
      <c r="Q4359" s="76" t="b">
        <v>0</v>
      </c>
      <c r="R4359" s="14"/>
      <c r="S4359" s="14"/>
      <c r="T4359" s="14"/>
      <c r="U4359" s="14"/>
      <c r="V4359" s="14"/>
      <c r="W4359" s="14"/>
    </row>
    <row r="4360" ht="31.5" customHeight="1">
      <c r="A4360" s="158"/>
      <c r="B4360" s="159"/>
      <c r="C4360" s="160"/>
      <c r="D4360" s="130"/>
      <c r="E4360" s="130"/>
      <c r="F4360" s="161"/>
      <c r="G4360" s="164"/>
      <c r="H4360" s="76" t="b">
        <v>0</v>
      </c>
      <c r="I4360" s="76" t="b">
        <v>0</v>
      </c>
      <c r="J4360" s="76" t="b">
        <v>0</v>
      </c>
      <c r="K4360" s="76" t="b">
        <v>0</v>
      </c>
      <c r="L4360" s="76" t="b">
        <v>0</v>
      </c>
      <c r="M4360" s="76" t="b">
        <v>0</v>
      </c>
      <c r="N4360" s="76" t="b">
        <v>0</v>
      </c>
      <c r="O4360" s="76" t="b">
        <v>0</v>
      </c>
      <c r="P4360" s="76" t="b">
        <v>0</v>
      </c>
      <c r="Q4360" s="76" t="b">
        <v>0</v>
      </c>
      <c r="R4360" s="14"/>
      <c r="S4360" s="14"/>
      <c r="T4360" s="14"/>
      <c r="U4360" s="14"/>
      <c r="V4360" s="14"/>
      <c r="W4360" s="14"/>
    </row>
    <row r="4361" ht="31.5" customHeight="1">
      <c r="A4361" s="158"/>
      <c r="B4361" s="159"/>
      <c r="C4361" s="160"/>
      <c r="D4361" s="130"/>
      <c r="E4361" s="130"/>
      <c r="F4361" s="161"/>
      <c r="G4361" s="164"/>
      <c r="H4361" s="76" t="b">
        <v>0</v>
      </c>
      <c r="I4361" s="76" t="b">
        <v>0</v>
      </c>
      <c r="J4361" s="76" t="b">
        <v>0</v>
      </c>
      <c r="K4361" s="76" t="b">
        <v>0</v>
      </c>
      <c r="L4361" s="76" t="b">
        <v>0</v>
      </c>
      <c r="M4361" s="76" t="b">
        <v>0</v>
      </c>
      <c r="N4361" s="76" t="b">
        <v>0</v>
      </c>
      <c r="O4361" s="76" t="b">
        <v>0</v>
      </c>
      <c r="P4361" s="76" t="b">
        <v>0</v>
      </c>
      <c r="Q4361" s="76" t="b">
        <v>0</v>
      </c>
      <c r="R4361" s="14"/>
      <c r="S4361" s="14"/>
      <c r="T4361" s="14"/>
      <c r="U4361" s="14"/>
      <c r="V4361" s="14"/>
      <c r="W4361" s="14"/>
    </row>
    <row r="4362" ht="31.5" customHeight="1">
      <c r="A4362" s="158"/>
      <c r="B4362" s="159"/>
      <c r="C4362" s="160"/>
      <c r="D4362" s="130"/>
      <c r="E4362" s="130"/>
      <c r="F4362" s="161"/>
      <c r="G4362" s="164"/>
      <c r="H4362" s="76" t="b">
        <v>0</v>
      </c>
      <c r="I4362" s="76" t="b">
        <v>0</v>
      </c>
      <c r="J4362" s="76" t="b">
        <v>0</v>
      </c>
      <c r="K4362" s="76" t="b">
        <v>0</v>
      </c>
      <c r="L4362" s="76" t="b">
        <v>0</v>
      </c>
      <c r="M4362" s="76" t="b">
        <v>0</v>
      </c>
      <c r="N4362" s="76" t="b">
        <v>0</v>
      </c>
      <c r="O4362" s="76" t="b">
        <v>0</v>
      </c>
      <c r="P4362" s="76" t="b">
        <v>0</v>
      </c>
      <c r="Q4362" s="76" t="b">
        <v>0</v>
      </c>
      <c r="R4362" s="14"/>
      <c r="S4362" s="14"/>
      <c r="T4362" s="14"/>
      <c r="U4362" s="14"/>
      <c r="V4362" s="14"/>
      <c r="W4362" s="14"/>
    </row>
    <row r="4363" ht="31.5" customHeight="1">
      <c r="A4363" s="158"/>
      <c r="B4363" s="159"/>
      <c r="C4363" s="160"/>
      <c r="D4363" s="130"/>
      <c r="E4363" s="130"/>
      <c r="F4363" s="161"/>
      <c r="G4363" s="164"/>
      <c r="H4363" s="76" t="b">
        <v>0</v>
      </c>
      <c r="I4363" s="76" t="b">
        <v>0</v>
      </c>
      <c r="J4363" s="76" t="b">
        <v>0</v>
      </c>
      <c r="K4363" s="76" t="b">
        <v>0</v>
      </c>
      <c r="L4363" s="76" t="b">
        <v>0</v>
      </c>
      <c r="M4363" s="76" t="b">
        <v>0</v>
      </c>
      <c r="N4363" s="76" t="b">
        <v>0</v>
      </c>
      <c r="O4363" s="76" t="b">
        <v>0</v>
      </c>
      <c r="P4363" s="76" t="b">
        <v>0</v>
      </c>
      <c r="Q4363" s="76" t="b">
        <v>0</v>
      </c>
      <c r="R4363" s="14"/>
      <c r="S4363" s="14"/>
      <c r="T4363" s="14"/>
      <c r="U4363" s="14"/>
      <c r="V4363" s="14"/>
      <c r="W4363" s="14"/>
    </row>
    <row r="4364" ht="31.5" customHeight="1">
      <c r="A4364" s="158"/>
      <c r="B4364" s="159"/>
      <c r="C4364" s="160"/>
      <c r="D4364" s="130"/>
      <c r="E4364" s="130"/>
      <c r="F4364" s="161"/>
      <c r="G4364" s="164"/>
      <c r="H4364" s="76" t="b">
        <v>0</v>
      </c>
      <c r="I4364" s="76" t="b">
        <v>0</v>
      </c>
      <c r="J4364" s="76" t="b">
        <v>0</v>
      </c>
      <c r="K4364" s="76" t="b">
        <v>0</v>
      </c>
      <c r="L4364" s="76" t="b">
        <v>0</v>
      </c>
      <c r="M4364" s="76" t="b">
        <v>0</v>
      </c>
      <c r="N4364" s="76" t="b">
        <v>0</v>
      </c>
      <c r="O4364" s="76" t="b">
        <v>0</v>
      </c>
      <c r="P4364" s="76" t="b">
        <v>0</v>
      </c>
      <c r="Q4364" s="76" t="b">
        <v>0</v>
      </c>
      <c r="R4364" s="14"/>
      <c r="S4364" s="14"/>
      <c r="T4364" s="14"/>
      <c r="U4364" s="14"/>
      <c r="V4364" s="14"/>
      <c r="W4364" s="14"/>
    </row>
    <row r="4365" ht="31.5" customHeight="1">
      <c r="A4365" s="158"/>
      <c r="B4365" s="159"/>
      <c r="C4365" s="160"/>
      <c r="D4365" s="130"/>
      <c r="E4365" s="130"/>
      <c r="F4365" s="161"/>
      <c r="G4365" s="164"/>
      <c r="H4365" s="76" t="b">
        <v>0</v>
      </c>
      <c r="I4365" s="76" t="b">
        <v>0</v>
      </c>
      <c r="J4365" s="76" t="b">
        <v>0</v>
      </c>
      <c r="K4365" s="76" t="b">
        <v>0</v>
      </c>
      <c r="L4365" s="76" t="b">
        <v>0</v>
      </c>
      <c r="M4365" s="76" t="b">
        <v>0</v>
      </c>
      <c r="N4365" s="76" t="b">
        <v>0</v>
      </c>
      <c r="O4365" s="76" t="b">
        <v>0</v>
      </c>
      <c r="P4365" s="76" t="b">
        <v>0</v>
      </c>
      <c r="Q4365" s="76" t="b">
        <v>0</v>
      </c>
      <c r="R4365" s="14"/>
      <c r="S4365" s="14"/>
      <c r="T4365" s="14"/>
      <c r="U4365" s="14"/>
      <c r="V4365" s="14"/>
      <c r="W4365" s="14"/>
    </row>
    <row r="4366" ht="31.5" customHeight="1">
      <c r="A4366" s="158"/>
      <c r="B4366" s="159"/>
      <c r="C4366" s="160"/>
      <c r="D4366" s="130"/>
      <c r="E4366" s="130"/>
      <c r="F4366" s="161"/>
      <c r="G4366" s="164"/>
      <c r="H4366" s="76" t="b">
        <v>0</v>
      </c>
      <c r="I4366" s="76" t="b">
        <v>0</v>
      </c>
      <c r="J4366" s="76" t="b">
        <v>0</v>
      </c>
      <c r="K4366" s="76" t="b">
        <v>0</v>
      </c>
      <c r="L4366" s="76" t="b">
        <v>0</v>
      </c>
      <c r="M4366" s="76" t="b">
        <v>0</v>
      </c>
      <c r="N4366" s="76" t="b">
        <v>0</v>
      </c>
      <c r="O4366" s="76" t="b">
        <v>0</v>
      </c>
      <c r="P4366" s="76" t="b">
        <v>0</v>
      </c>
      <c r="Q4366" s="76" t="b">
        <v>0</v>
      </c>
      <c r="R4366" s="14"/>
      <c r="S4366" s="14"/>
      <c r="T4366" s="14"/>
      <c r="U4366" s="14"/>
      <c r="V4366" s="14"/>
      <c r="W4366" s="14"/>
    </row>
    <row r="4367" ht="31.5" customHeight="1">
      <c r="A4367" s="158"/>
      <c r="B4367" s="159"/>
      <c r="C4367" s="160"/>
      <c r="D4367" s="130"/>
      <c r="E4367" s="130"/>
      <c r="F4367" s="161"/>
      <c r="G4367" s="164"/>
      <c r="H4367" s="76" t="b">
        <v>0</v>
      </c>
      <c r="I4367" s="76" t="b">
        <v>0</v>
      </c>
      <c r="J4367" s="76" t="b">
        <v>0</v>
      </c>
      <c r="K4367" s="76" t="b">
        <v>0</v>
      </c>
      <c r="L4367" s="76" t="b">
        <v>0</v>
      </c>
      <c r="M4367" s="76" t="b">
        <v>0</v>
      </c>
      <c r="N4367" s="76" t="b">
        <v>0</v>
      </c>
      <c r="O4367" s="76" t="b">
        <v>0</v>
      </c>
      <c r="P4367" s="76" t="b">
        <v>0</v>
      </c>
      <c r="Q4367" s="76" t="b">
        <v>0</v>
      </c>
      <c r="R4367" s="14"/>
      <c r="S4367" s="14"/>
      <c r="T4367" s="14"/>
      <c r="U4367" s="14"/>
      <c r="V4367" s="14"/>
      <c r="W4367" s="14"/>
    </row>
    <row r="4368" ht="31.5" customHeight="1">
      <c r="A4368" s="158"/>
      <c r="B4368" s="159"/>
      <c r="C4368" s="160"/>
      <c r="D4368" s="130"/>
      <c r="E4368" s="130"/>
      <c r="F4368" s="161"/>
      <c r="G4368" s="164"/>
      <c r="H4368" s="76" t="b">
        <v>0</v>
      </c>
      <c r="I4368" s="76" t="b">
        <v>0</v>
      </c>
      <c r="J4368" s="76" t="b">
        <v>0</v>
      </c>
      <c r="K4368" s="76" t="b">
        <v>0</v>
      </c>
      <c r="L4368" s="76" t="b">
        <v>0</v>
      </c>
      <c r="M4368" s="76" t="b">
        <v>0</v>
      </c>
      <c r="N4368" s="76" t="b">
        <v>0</v>
      </c>
      <c r="O4368" s="76" t="b">
        <v>0</v>
      </c>
      <c r="P4368" s="76" t="b">
        <v>0</v>
      </c>
      <c r="Q4368" s="76" t="b">
        <v>0</v>
      </c>
      <c r="R4368" s="14"/>
      <c r="S4368" s="14"/>
      <c r="T4368" s="14"/>
      <c r="U4368" s="14"/>
      <c r="V4368" s="14"/>
      <c r="W4368" s="14"/>
    </row>
    <row r="4369" ht="31.5" customHeight="1">
      <c r="A4369" s="158"/>
      <c r="B4369" s="159"/>
      <c r="C4369" s="160"/>
      <c r="D4369" s="130"/>
      <c r="E4369" s="130"/>
      <c r="F4369" s="161"/>
      <c r="G4369" s="164"/>
      <c r="H4369" s="76" t="b">
        <v>0</v>
      </c>
      <c r="I4369" s="76" t="b">
        <v>0</v>
      </c>
      <c r="J4369" s="76" t="b">
        <v>0</v>
      </c>
      <c r="K4369" s="76" t="b">
        <v>0</v>
      </c>
      <c r="L4369" s="76" t="b">
        <v>0</v>
      </c>
      <c r="M4369" s="76" t="b">
        <v>0</v>
      </c>
      <c r="N4369" s="76" t="b">
        <v>0</v>
      </c>
      <c r="O4369" s="76" t="b">
        <v>0</v>
      </c>
      <c r="P4369" s="76" t="b">
        <v>0</v>
      </c>
      <c r="Q4369" s="76" t="b">
        <v>0</v>
      </c>
      <c r="R4369" s="14"/>
      <c r="S4369" s="14"/>
      <c r="T4369" s="14"/>
      <c r="U4369" s="14"/>
      <c r="V4369" s="14"/>
      <c r="W4369" s="14"/>
    </row>
    <row r="4370" ht="31.5" customHeight="1">
      <c r="A4370" s="158"/>
      <c r="B4370" s="159"/>
      <c r="C4370" s="160"/>
      <c r="D4370" s="130"/>
      <c r="E4370" s="130"/>
      <c r="F4370" s="161"/>
      <c r="G4370" s="164"/>
      <c r="H4370" s="76" t="b">
        <v>0</v>
      </c>
      <c r="I4370" s="76" t="b">
        <v>0</v>
      </c>
      <c r="J4370" s="76" t="b">
        <v>0</v>
      </c>
      <c r="K4370" s="76" t="b">
        <v>0</v>
      </c>
      <c r="L4370" s="76" t="b">
        <v>0</v>
      </c>
      <c r="M4370" s="76" t="b">
        <v>0</v>
      </c>
      <c r="N4370" s="76" t="b">
        <v>0</v>
      </c>
      <c r="O4370" s="76" t="b">
        <v>0</v>
      </c>
      <c r="P4370" s="76" t="b">
        <v>0</v>
      </c>
      <c r="Q4370" s="76" t="b">
        <v>0</v>
      </c>
      <c r="R4370" s="14"/>
      <c r="S4370" s="14"/>
      <c r="T4370" s="14"/>
      <c r="U4370" s="14"/>
      <c r="V4370" s="14"/>
      <c r="W4370" s="14"/>
    </row>
    <row r="4371" ht="31.5" customHeight="1">
      <c r="A4371" s="158"/>
      <c r="B4371" s="159"/>
      <c r="C4371" s="160"/>
      <c r="D4371" s="130"/>
      <c r="E4371" s="130"/>
      <c r="F4371" s="161"/>
      <c r="G4371" s="164"/>
      <c r="H4371" s="76" t="b">
        <v>0</v>
      </c>
      <c r="I4371" s="76" t="b">
        <v>0</v>
      </c>
      <c r="J4371" s="76" t="b">
        <v>0</v>
      </c>
      <c r="K4371" s="76" t="b">
        <v>0</v>
      </c>
      <c r="L4371" s="76" t="b">
        <v>0</v>
      </c>
      <c r="M4371" s="76" t="b">
        <v>0</v>
      </c>
      <c r="N4371" s="76" t="b">
        <v>0</v>
      </c>
      <c r="O4371" s="76" t="b">
        <v>0</v>
      </c>
      <c r="P4371" s="76" t="b">
        <v>0</v>
      </c>
      <c r="Q4371" s="76" t="b">
        <v>0</v>
      </c>
      <c r="R4371" s="14"/>
      <c r="S4371" s="14"/>
      <c r="T4371" s="14"/>
      <c r="U4371" s="14"/>
      <c r="V4371" s="14"/>
      <c r="W4371" s="14"/>
    </row>
    <row r="4372" ht="31.5" customHeight="1">
      <c r="A4372" s="158"/>
      <c r="B4372" s="159"/>
      <c r="C4372" s="160"/>
      <c r="D4372" s="130"/>
      <c r="E4372" s="130"/>
      <c r="F4372" s="161"/>
      <c r="G4372" s="164"/>
      <c r="H4372" s="76" t="b">
        <v>0</v>
      </c>
      <c r="I4372" s="76" t="b">
        <v>0</v>
      </c>
      <c r="J4372" s="76" t="b">
        <v>0</v>
      </c>
      <c r="K4372" s="76" t="b">
        <v>0</v>
      </c>
      <c r="L4372" s="76" t="b">
        <v>0</v>
      </c>
      <c r="M4372" s="76" t="b">
        <v>0</v>
      </c>
      <c r="N4372" s="76" t="b">
        <v>0</v>
      </c>
      <c r="O4372" s="76" t="b">
        <v>0</v>
      </c>
      <c r="P4372" s="76" t="b">
        <v>0</v>
      </c>
      <c r="Q4372" s="76" t="b">
        <v>0</v>
      </c>
      <c r="R4372" s="14"/>
      <c r="S4372" s="14"/>
      <c r="T4372" s="14"/>
      <c r="U4372" s="14"/>
      <c r="V4372" s="14"/>
      <c r="W4372" s="14"/>
    </row>
    <row r="4373" ht="31.5" customHeight="1">
      <c r="A4373" s="158"/>
      <c r="B4373" s="159"/>
      <c r="C4373" s="160"/>
      <c r="D4373" s="130"/>
      <c r="E4373" s="130"/>
      <c r="F4373" s="161"/>
      <c r="G4373" s="164"/>
      <c r="H4373" s="76" t="b">
        <v>0</v>
      </c>
      <c r="I4373" s="76" t="b">
        <v>0</v>
      </c>
      <c r="J4373" s="76" t="b">
        <v>0</v>
      </c>
      <c r="K4373" s="76" t="b">
        <v>0</v>
      </c>
      <c r="L4373" s="76" t="b">
        <v>0</v>
      </c>
      <c r="M4373" s="76" t="b">
        <v>0</v>
      </c>
      <c r="N4373" s="76" t="b">
        <v>0</v>
      </c>
      <c r="O4373" s="76" t="b">
        <v>0</v>
      </c>
      <c r="P4373" s="76" t="b">
        <v>0</v>
      </c>
      <c r="Q4373" s="76" t="b">
        <v>0</v>
      </c>
      <c r="R4373" s="14"/>
      <c r="S4373" s="14"/>
      <c r="T4373" s="14"/>
      <c r="U4373" s="14"/>
      <c r="V4373" s="14"/>
      <c r="W4373" s="14"/>
    </row>
    <row r="4374" ht="31.5" customHeight="1">
      <c r="A4374" s="158"/>
      <c r="B4374" s="159"/>
      <c r="C4374" s="160"/>
      <c r="D4374" s="130"/>
      <c r="E4374" s="130"/>
      <c r="F4374" s="161"/>
      <c r="G4374" s="164"/>
      <c r="H4374" s="76" t="b">
        <v>0</v>
      </c>
      <c r="I4374" s="76" t="b">
        <v>0</v>
      </c>
      <c r="J4374" s="76" t="b">
        <v>0</v>
      </c>
      <c r="K4374" s="76" t="b">
        <v>0</v>
      </c>
      <c r="L4374" s="76" t="b">
        <v>0</v>
      </c>
      <c r="M4374" s="76" t="b">
        <v>0</v>
      </c>
      <c r="N4374" s="76" t="b">
        <v>0</v>
      </c>
      <c r="O4374" s="76" t="b">
        <v>0</v>
      </c>
      <c r="P4374" s="76" t="b">
        <v>0</v>
      </c>
      <c r="Q4374" s="76" t="b">
        <v>0</v>
      </c>
      <c r="R4374" s="14"/>
      <c r="S4374" s="14"/>
      <c r="T4374" s="14"/>
      <c r="U4374" s="14"/>
      <c r="V4374" s="14"/>
      <c r="W4374" s="14"/>
    </row>
    <row r="4375" ht="31.5" customHeight="1">
      <c r="A4375" s="158"/>
      <c r="B4375" s="159"/>
      <c r="C4375" s="160"/>
      <c r="D4375" s="130"/>
      <c r="E4375" s="130"/>
      <c r="F4375" s="161"/>
      <c r="G4375" s="164"/>
      <c r="H4375" s="76" t="b">
        <v>0</v>
      </c>
      <c r="I4375" s="76" t="b">
        <v>0</v>
      </c>
      <c r="J4375" s="76" t="b">
        <v>0</v>
      </c>
      <c r="K4375" s="76" t="b">
        <v>0</v>
      </c>
      <c r="L4375" s="76" t="b">
        <v>0</v>
      </c>
      <c r="M4375" s="76" t="b">
        <v>0</v>
      </c>
      <c r="N4375" s="76" t="b">
        <v>0</v>
      </c>
      <c r="O4375" s="76" t="b">
        <v>0</v>
      </c>
      <c r="P4375" s="76" t="b">
        <v>0</v>
      </c>
      <c r="Q4375" s="76" t="b">
        <v>0</v>
      </c>
      <c r="R4375" s="14"/>
      <c r="S4375" s="14"/>
      <c r="T4375" s="14"/>
      <c r="U4375" s="14"/>
      <c r="V4375" s="14"/>
      <c r="W4375" s="14"/>
    </row>
    <row r="4376" ht="31.5" customHeight="1">
      <c r="A4376" s="158"/>
      <c r="B4376" s="159"/>
      <c r="C4376" s="160"/>
      <c r="D4376" s="130"/>
      <c r="E4376" s="130"/>
      <c r="F4376" s="161"/>
      <c r="G4376" s="164"/>
      <c r="H4376" s="76" t="b">
        <v>0</v>
      </c>
      <c r="I4376" s="76" t="b">
        <v>0</v>
      </c>
      <c r="J4376" s="76" t="b">
        <v>0</v>
      </c>
      <c r="K4376" s="76" t="b">
        <v>0</v>
      </c>
      <c r="L4376" s="76" t="b">
        <v>0</v>
      </c>
      <c r="M4376" s="76" t="b">
        <v>0</v>
      </c>
      <c r="N4376" s="76" t="b">
        <v>0</v>
      </c>
      <c r="O4376" s="76" t="b">
        <v>0</v>
      </c>
      <c r="P4376" s="76" t="b">
        <v>0</v>
      </c>
      <c r="Q4376" s="76" t="b">
        <v>0</v>
      </c>
      <c r="R4376" s="14"/>
      <c r="S4376" s="14"/>
      <c r="T4376" s="14"/>
      <c r="U4376" s="14"/>
      <c r="V4376" s="14"/>
      <c r="W4376" s="14"/>
    </row>
    <row r="4377" ht="31.5" customHeight="1">
      <c r="A4377" s="158"/>
      <c r="B4377" s="159"/>
      <c r="C4377" s="160"/>
      <c r="D4377" s="130"/>
      <c r="E4377" s="130"/>
      <c r="F4377" s="161"/>
      <c r="G4377" s="164"/>
      <c r="H4377" s="76" t="b">
        <v>0</v>
      </c>
      <c r="I4377" s="76" t="b">
        <v>0</v>
      </c>
      <c r="J4377" s="76" t="b">
        <v>0</v>
      </c>
      <c r="K4377" s="76" t="b">
        <v>0</v>
      </c>
      <c r="L4377" s="76" t="b">
        <v>0</v>
      </c>
      <c r="M4377" s="76" t="b">
        <v>0</v>
      </c>
      <c r="N4377" s="76" t="b">
        <v>0</v>
      </c>
      <c r="O4377" s="76" t="b">
        <v>0</v>
      </c>
      <c r="P4377" s="76" t="b">
        <v>0</v>
      </c>
      <c r="Q4377" s="76" t="b">
        <v>0</v>
      </c>
      <c r="R4377" s="14"/>
      <c r="S4377" s="14"/>
      <c r="T4377" s="14"/>
      <c r="U4377" s="14"/>
      <c r="V4377" s="14"/>
      <c r="W4377" s="14"/>
    </row>
    <row r="4378" ht="31.5" customHeight="1">
      <c r="A4378" s="158"/>
      <c r="B4378" s="159"/>
      <c r="C4378" s="160"/>
      <c r="D4378" s="130"/>
      <c r="E4378" s="130"/>
      <c r="F4378" s="161"/>
      <c r="G4378" s="164"/>
      <c r="H4378" s="76" t="b">
        <v>0</v>
      </c>
      <c r="I4378" s="76" t="b">
        <v>0</v>
      </c>
      <c r="J4378" s="76" t="b">
        <v>0</v>
      </c>
      <c r="K4378" s="76" t="b">
        <v>0</v>
      </c>
      <c r="L4378" s="76" t="b">
        <v>0</v>
      </c>
      <c r="M4378" s="76" t="b">
        <v>0</v>
      </c>
      <c r="N4378" s="76" t="b">
        <v>0</v>
      </c>
      <c r="O4378" s="76" t="b">
        <v>0</v>
      </c>
      <c r="P4378" s="76" t="b">
        <v>0</v>
      </c>
      <c r="Q4378" s="76" t="b">
        <v>0</v>
      </c>
      <c r="R4378" s="14"/>
      <c r="S4378" s="14"/>
      <c r="T4378" s="14"/>
      <c r="U4378" s="14"/>
      <c r="V4378" s="14"/>
      <c r="W4378" s="14"/>
    </row>
    <row r="4379" ht="31.5" customHeight="1">
      <c r="A4379" s="158"/>
      <c r="B4379" s="159"/>
      <c r="C4379" s="160"/>
      <c r="D4379" s="130"/>
      <c r="E4379" s="130"/>
      <c r="F4379" s="161"/>
      <c r="G4379" s="164"/>
      <c r="H4379" s="76" t="b">
        <v>0</v>
      </c>
      <c r="I4379" s="76" t="b">
        <v>0</v>
      </c>
      <c r="J4379" s="76" t="b">
        <v>0</v>
      </c>
      <c r="K4379" s="76" t="b">
        <v>0</v>
      </c>
      <c r="L4379" s="76" t="b">
        <v>0</v>
      </c>
      <c r="M4379" s="76" t="b">
        <v>0</v>
      </c>
      <c r="N4379" s="76" t="b">
        <v>0</v>
      </c>
      <c r="O4379" s="76" t="b">
        <v>0</v>
      </c>
      <c r="P4379" s="76" t="b">
        <v>0</v>
      </c>
      <c r="Q4379" s="76" t="b">
        <v>0</v>
      </c>
      <c r="R4379" s="14"/>
      <c r="S4379" s="14"/>
      <c r="T4379" s="14"/>
      <c r="U4379" s="14"/>
      <c r="V4379" s="14"/>
      <c r="W4379" s="14"/>
    </row>
    <row r="4380" ht="31.5" customHeight="1">
      <c r="A4380" s="158"/>
      <c r="B4380" s="159"/>
      <c r="C4380" s="160"/>
      <c r="D4380" s="130"/>
      <c r="E4380" s="130"/>
      <c r="F4380" s="161"/>
      <c r="G4380" s="164"/>
      <c r="H4380" s="76" t="b">
        <v>0</v>
      </c>
      <c r="I4380" s="76" t="b">
        <v>0</v>
      </c>
      <c r="J4380" s="76" t="b">
        <v>0</v>
      </c>
      <c r="K4380" s="76" t="b">
        <v>0</v>
      </c>
      <c r="L4380" s="76" t="b">
        <v>0</v>
      </c>
      <c r="M4380" s="76" t="b">
        <v>0</v>
      </c>
      <c r="N4380" s="76" t="b">
        <v>0</v>
      </c>
      <c r="O4380" s="76" t="b">
        <v>0</v>
      </c>
      <c r="P4380" s="76" t="b">
        <v>0</v>
      </c>
      <c r="Q4380" s="76" t="b">
        <v>0</v>
      </c>
      <c r="R4380" s="14"/>
      <c r="S4380" s="14"/>
      <c r="T4380" s="14"/>
      <c r="U4380" s="14"/>
      <c r="V4380" s="14"/>
      <c r="W4380" s="14"/>
    </row>
    <row r="4381" ht="31.5" customHeight="1">
      <c r="A4381" s="158"/>
      <c r="B4381" s="159"/>
      <c r="C4381" s="160"/>
      <c r="D4381" s="130"/>
      <c r="E4381" s="130"/>
      <c r="F4381" s="161"/>
      <c r="G4381" s="164"/>
      <c r="H4381" s="76" t="b">
        <v>0</v>
      </c>
      <c r="I4381" s="76" t="b">
        <v>0</v>
      </c>
      <c r="J4381" s="76" t="b">
        <v>0</v>
      </c>
      <c r="K4381" s="76" t="b">
        <v>0</v>
      </c>
      <c r="L4381" s="76" t="b">
        <v>0</v>
      </c>
      <c r="M4381" s="76" t="b">
        <v>0</v>
      </c>
      <c r="N4381" s="76" t="b">
        <v>0</v>
      </c>
      <c r="O4381" s="76" t="b">
        <v>0</v>
      </c>
      <c r="P4381" s="76" t="b">
        <v>0</v>
      </c>
      <c r="Q4381" s="76" t="b">
        <v>0</v>
      </c>
      <c r="R4381" s="14"/>
      <c r="S4381" s="14"/>
      <c r="T4381" s="14"/>
      <c r="U4381" s="14"/>
      <c r="V4381" s="14"/>
      <c r="W4381" s="14"/>
    </row>
    <row r="4382" ht="31.5" customHeight="1">
      <c r="A4382" s="158"/>
      <c r="B4382" s="159"/>
      <c r="C4382" s="160"/>
      <c r="D4382" s="130"/>
      <c r="E4382" s="130"/>
      <c r="F4382" s="161"/>
      <c r="G4382" s="164"/>
      <c r="H4382" s="76" t="b">
        <v>0</v>
      </c>
      <c r="I4382" s="76" t="b">
        <v>0</v>
      </c>
      <c r="J4382" s="76" t="b">
        <v>0</v>
      </c>
      <c r="K4382" s="76" t="b">
        <v>0</v>
      </c>
      <c r="L4382" s="76" t="b">
        <v>0</v>
      </c>
      <c r="M4382" s="76" t="b">
        <v>0</v>
      </c>
      <c r="N4382" s="76" t="b">
        <v>0</v>
      </c>
      <c r="O4382" s="76" t="b">
        <v>0</v>
      </c>
      <c r="P4382" s="76" t="b">
        <v>0</v>
      </c>
      <c r="Q4382" s="76" t="b">
        <v>0</v>
      </c>
      <c r="R4382" s="14"/>
      <c r="S4382" s="14"/>
      <c r="T4382" s="14"/>
      <c r="U4382" s="14"/>
      <c r="V4382" s="14"/>
      <c r="W4382" s="14"/>
    </row>
    <row r="4383" ht="31.5" customHeight="1">
      <c r="A4383" s="158"/>
      <c r="B4383" s="159"/>
      <c r="C4383" s="160"/>
      <c r="D4383" s="130"/>
      <c r="E4383" s="130"/>
      <c r="F4383" s="161"/>
      <c r="G4383" s="164"/>
      <c r="H4383" s="76" t="b">
        <v>0</v>
      </c>
      <c r="I4383" s="76" t="b">
        <v>0</v>
      </c>
      <c r="J4383" s="76" t="b">
        <v>0</v>
      </c>
      <c r="K4383" s="76" t="b">
        <v>0</v>
      </c>
      <c r="L4383" s="76" t="b">
        <v>0</v>
      </c>
      <c r="M4383" s="76" t="b">
        <v>0</v>
      </c>
      <c r="N4383" s="76" t="b">
        <v>0</v>
      </c>
      <c r="O4383" s="76" t="b">
        <v>0</v>
      </c>
      <c r="P4383" s="76" t="b">
        <v>0</v>
      </c>
      <c r="Q4383" s="76" t="b">
        <v>0</v>
      </c>
      <c r="R4383" s="14"/>
      <c r="S4383" s="14"/>
      <c r="T4383" s="14"/>
      <c r="U4383" s="14"/>
      <c r="V4383" s="14"/>
      <c r="W4383" s="14"/>
    </row>
    <row r="4384" ht="31.5" customHeight="1">
      <c r="A4384" s="158"/>
      <c r="B4384" s="159"/>
      <c r="C4384" s="160"/>
      <c r="D4384" s="130"/>
      <c r="E4384" s="130"/>
      <c r="F4384" s="161"/>
      <c r="G4384" s="164"/>
      <c r="H4384" s="76" t="b">
        <v>0</v>
      </c>
      <c r="I4384" s="76" t="b">
        <v>0</v>
      </c>
      <c r="J4384" s="76" t="b">
        <v>0</v>
      </c>
      <c r="K4384" s="76" t="b">
        <v>0</v>
      </c>
      <c r="L4384" s="76" t="b">
        <v>0</v>
      </c>
      <c r="M4384" s="76" t="b">
        <v>0</v>
      </c>
      <c r="N4384" s="76" t="b">
        <v>0</v>
      </c>
      <c r="O4384" s="76" t="b">
        <v>0</v>
      </c>
      <c r="P4384" s="76" t="b">
        <v>0</v>
      </c>
      <c r="Q4384" s="76" t="b">
        <v>0</v>
      </c>
      <c r="R4384" s="14"/>
      <c r="S4384" s="14"/>
      <c r="T4384" s="14"/>
      <c r="U4384" s="14"/>
      <c r="V4384" s="14"/>
      <c r="W4384" s="14"/>
    </row>
    <row r="4385" ht="31.5" customHeight="1">
      <c r="A4385" s="158"/>
      <c r="B4385" s="159"/>
      <c r="C4385" s="160"/>
      <c r="D4385" s="130"/>
      <c r="E4385" s="130"/>
      <c r="F4385" s="161"/>
      <c r="G4385" s="164"/>
      <c r="H4385" s="76" t="b">
        <v>0</v>
      </c>
      <c r="I4385" s="76" t="b">
        <v>0</v>
      </c>
      <c r="J4385" s="76" t="b">
        <v>0</v>
      </c>
      <c r="K4385" s="76" t="b">
        <v>0</v>
      </c>
      <c r="L4385" s="76" t="b">
        <v>0</v>
      </c>
      <c r="M4385" s="76" t="b">
        <v>0</v>
      </c>
      <c r="N4385" s="76" t="b">
        <v>0</v>
      </c>
      <c r="O4385" s="76" t="b">
        <v>0</v>
      </c>
      <c r="P4385" s="76" t="b">
        <v>0</v>
      </c>
      <c r="Q4385" s="76" t="b">
        <v>0</v>
      </c>
      <c r="R4385" s="14"/>
      <c r="S4385" s="14"/>
      <c r="T4385" s="14"/>
      <c r="U4385" s="14"/>
      <c r="V4385" s="14"/>
      <c r="W4385" s="14"/>
    </row>
    <row r="4386" ht="31.5" customHeight="1">
      <c r="A4386" s="158"/>
      <c r="B4386" s="159"/>
      <c r="C4386" s="160"/>
      <c r="D4386" s="130"/>
      <c r="E4386" s="130"/>
      <c r="F4386" s="161"/>
      <c r="G4386" s="164"/>
      <c r="H4386" s="76" t="b">
        <v>0</v>
      </c>
      <c r="I4386" s="76" t="b">
        <v>0</v>
      </c>
      <c r="J4386" s="76" t="b">
        <v>0</v>
      </c>
      <c r="K4386" s="76" t="b">
        <v>0</v>
      </c>
      <c r="L4386" s="76" t="b">
        <v>0</v>
      </c>
      <c r="M4386" s="76" t="b">
        <v>0</v>
      </c>
      <c r="N4386" s="76" t="b">
        <v>0</v>
      </c>
      <c r="O4386" s="76" t="b">
        <v>0</v>
      </c>
      <c r="P4386" s="76" t="b">
        <v>0</v>
      </c>
      <c r="Q4386" s="76" t="b">
        <v>0</v>
      </c>
      <c r="R4386" s="14"/>
      <c r="S4386" s="14"/>
      <c r="T4386" s="14"/>
      <c r="U4386" s="14"/>
      <c r="V4386" s="14"/>
      <c r="W4386" s="14"/>
    </row>
    <row r="4387" ht="31.5" customHeight="1">
      <c r="A4387" s="158"/>
      <c r="B4387" s="159"/>
      <c r="C4387" s="160"/>
      <c r="D4387" s="130"/>
      <c r="E4387" s="130"/>
      <c r="F4387" s="161"/>
      <c r="G4387" s="164"/>
      <c r="H4387" s="76" t="b">
        <v>0</v>
      </c>
      <c r="I4387" s="76" t="b">
        <v>0</v>
      </c>
      <c r="J4387" s="76" t="b">
        <v>0</v>
      </c>
      <c r="K4387" s="76" t="b">
        <v>0</v>
      </c>
      <c r="L4387" s="76" t="b">
        <v>0</v>
      </c>
      <c r="M4387" s="76" t="b">
        <v>0</v>
      </c>
      <c r="N4387" s="76" t="b">
        <v>0</v>
      </c>
      <c r="O4387" s="76" t="b">
        <v>0</v>
      </c>
      <c r="P4387" s="76" t="b">
        <v>0</v>
      </c>
      <c r="Q4387" s="76" t="b">
        <v>0</v>
      </c>
      <c r="R4387" s="14"/>
      <c r="S4387" s="14"/>
      <c r="T4387" s="14"/>
      <c r="U4387" s="14"/>
      <c r="V4387" s="14"/>
      <c r="W4387" s="14"/>
    </row>
    <row r="4388" ht="31.5" customHeight="1">
      <c r="A4388" s="158"/>
      <c r="B4388" s="159"/>
      <c r="C4388" s="160"/>
      <c r="D4388" s="130"/>
      <c r="E4388" s="130"/>
      <c r="F4388" s="161"/>
      <c r="G4388" s="164"/>
      <c r="H4388" s="76" t="b">
        <v>0</v>
      </c>
      <c r="I4388" s="76" t="b">
        <v>0</v>
      </c>
      <c r="J4388" s="76" t="b">
        <v>0</v>
      </c>
      <c r="K4388" s="76" t="b">
        <v>0</v>
      </c>
      <c r="L4388" s="76" t="b">
        <v>0</v>
      </c>
      <c r="M4388" s="76" t="b">
        <v>0</v>
      </c>
      <c r="N4388" s="76" t="b">
        <v>0</v>
      </c>
      <c r="O4388" s="76" t="b">
        <v>0</v>
      </c>
      <c r="P4388" s="76" t="b">
        <v>0</v>
      </c>
      <c r="Q4388" s="76" t="b">
        <v>0</v>
      </c>
      <c r="R4388" s="14"/>
      <c r="S4388" s="14"/>
      <c r="T4388" s="14"/>
      <c r="U4388" s="14"/>
      <c r="V4388" s="14"/>
      <c r="W4388" s="14"/>
    </row>
    <row r="4389" ht="31.5" customHeight="1">
      <c r="A4389" s="158"/>
      <c r="B4389" s="159"/>
      <c r="C4389" s="160"/>
      <c r="D4389" s="130"/>
      <c r="E4389" s="130"/>
      <c r="F4389" s="161"/>
      <c r="G4389" s="164"/>
      <c r="H4389" s="76" t="b">
        <v>0</v>
      </c>
      <c r="I4389" s="76" t="b">
        <v>0</v>
      </c>
      <c r="J4389" s="76" t="b">
        <v>0</v>
      </c>
      <c r="K4389" s="76" t="b">
        <v>0</v>
      </c>
      <c r="L4389" s="76" t="b">
        <v>0</v>
      </c>
      <c r="M4389" s="76" t="b">
        <v>0</v>
      </c>
      <c r="N4389" s="76" t="b">
        <v>0</v>
      </c>
      <c r="O4389" s="76" t="b">
        <v>0</v>
      </c>
      <c r="P4389" s="76" t="b">
        <v>0</v>
      </c>
      <c r="Q4389" s="76" t="b">
        <v>0</v>
      </c>
      <c r="R4389" s="14"/>
      <c r="S4389" s="14"/>
      <c r="T4389" s="14"/>
      <c r="U4389" s="14"/>
      <c r="V4389" s="14"/>
      <c r="W4389" s="14"/>
    </row>
    <row r="4390" ht="31.5" customHeight="1">
      <c r="A4390" s="158"/>
      <c r="B4390" s="159"/>
      <c r="C4390" s="160"/>
      <c r="D4390" s="130"/>
      <c r="E4390" s="130"/>
      <c r="F4390" s="161"/>
      <c r="G4390" s="164"/>
      <c r="H4390" s="76" t="b">
        <v>0</v>
      </c>
      <c r="I4390" s="76" t="b">
        <v>0</v>
      </c>
      <c r="J4390" s="76" t="b">
        <v>0</v>
      </c>
      <c r="K4390" s="76" t="b">
        <v>0</v>
      </c>
      <c r="L4390" s="76" t="b">
        <v>0</v>
      </c>
      <c r="M4390" s="76" t="b">
        <v>0</v>
      </c>
      <c r="N4390" s="76" t="b">
        <v>0</v>
      </c>
      <c r="O4390" s="76" t="b">
        <v>0</v>
      </c>
      <c r="P4390" s="76" t="b">
        <v>0</v>
      </c>
      <c r="Q4390" s="76" t="b">
        <v>0</v>
      </c>
      <c r="R4390" s="14"/>
      <c r="S4390" s="14"/>
      <c r="T4390" s="14"/>
      <c r="U4390" s="14"/>
      <c r="V4390" s="14"/>
      <c r="W4390" s="14"/>
    </row>
    <row r="4391" ht="31.5" customHeight="1">
      <c r="A4391" s="158"/>
      <c r="B4391" s="159"/>
      <c r="C4391" s="160"/>
      <c r="D4391" s="130"/>
      <c r="E4391" s="130"/>
      <c r="F4391" s="161"/>
      <c r="G4391" s="164"/>
      <c r="H4391" s="76" t="b">
        <v>0</v>
      </c>
      <c r="I4391" s="76" t="b">
        <v>0</v>
      </c>
      <c r="J4391" s="76" t="b">
        <v>0</v>
      </c>
      <c r="K4391" s="76" t="b">
        <v>0</v>
      </c>
      <c r="L4391" s="76" t="b">
        <v>0</v>
      </c>
      <c r="M4391" s="76" t="b">
        <v>0</v>
      </c>
      <c r="N4391" s="76" t="b">
        <v>0</v>
      </c>
      <c r="O4391" s="76" t="b">
        <v>0</v>
      </c>
      <c r="P4391" s="76" t="b">
        <v>0</v>
      </c>
      <c r="Q4391" s="76" t="b">
        <v>0</v>
      </c>
      <c r="R4391" s="14"/>
      <c r="S4391" s="14"/>
      <c r="T4391" s="14"/>
      <c r="U4391" s="14"/>
      <c r="V4391" s="14"/>
      <c r="W4391" s="14"/>
    </row>
    <row r="4392" ht="31.5" customHeight="1">
      <c r="A4392" s="158"/>
      <c r="B4392" s="159"/>
      <c r="C4392" s="160"/>
      <c r="D4392" s="130"/>
      <c r="E4392" s="130"/>
      <c r="F4392" s="161"/>
      <c r="G4392" s="164"/>
      <c r="H4392" s="76" t="b">
        <v>0</v>
      </c>
      <c r="I4392" s="76" t="b">
        <v>0</v>
      </c>
      <c r="J4392" s="76" t="b">
        <v>0</v>
      </c>
      <c r="K4392" s="76" t="b">
        <v>0</v>
      </c>
      <c r="L4392" s="76" t="b">
        <v>0</v>
      </c>
      <c r="M4392" s="76" t="b">
        <v>0</v>
      </c>
      <c r="N4392" s="76" t="b">
        <v>0</v>
      </c>
      <c r="O4392" s="76" t="b">
        <v>0</v>
      </c>
      <c r="P4392" s="76" t="b">
        <v>0</v>
      </c>
      <c r="Q4392" s="76" t="b">
        <v>0</v>
      </c>
      <c r="R4392" s="14"/>
      <c r="S4392" s="14"/>
      <c r="T4392" s="14"/>
      <c r="U4392" s="14"/>
      <c r="V4392" s="14"/>
      <c r="W4392" s="14"/>
    </row>
    <row r="4393" ht="31.5" customHeight="1">
      <c r="A4393" s="158"/>
      <c r="B4393" s="159"/>
      <c r="C4393" s="160"/>
      <c r="D4393" s="130"/>
      <c r="E4393" s="130"/>
      <c r="F4393" s="161"/>
      <c r="G4393" s="164"/>
      <c r="H4393" s="76" t="b">
        <v>0</v>
      </c>
      <c r="I4393" s="76" t="b">
        <v>0</v>
      </c>
      <c r="J4393" s="76" t="b">
        <v>0</v>
      </c>
      <c r="K4393" s="76" t="b">
        <v>0</v>
      </c>
      <c r="L4393" s="76" t="b">
        <v>0</v>
      </c>
      <c r="M4393" s="76" t="b">
        <v>0</v>
      </c>
      <c r="N4393" s="76" t="b">
        <v>0</v>
      </c>
      <c r="O4393" s="76" t="b">
        <v>0</v>
      </c>
      <c r="P4393" s="76" t="b">
        <v>0</v>
      </c>
      <c r="Q4393" s="76" t="b">
        <v>0</v>
      </c>
      <c r="R4393" s="14"/>
      <c r="S4393" s="14"/>
      <c r="T4393" s="14"/>
      <c r="U4393" s="14"/>
      <c r="V4393" s="14"/>
      <c r="W4393" s="14"/>
    </row>
    <row r="4394" ht="31.5" customHeight="1">
      <c r="A4394" s="158"/>
      <c r="B4394" s="159"/>
      <c r="C4394" s="160"/>
      <c r="D4394" s="130"/>
      <c r="E4394" s="130"/>
      <c r="F4394" s="161"/>
      <c r="G4394" s="164"/>
      <c r="H4394" s="76" t="b">
        <v>0</v>
      </c>
      <c r="I4394" s="76" t="b">
        <v>0</v>
      </c>
      <c r="J4394" s="76" t="b">
        <v>0</v>
      </c>
      <c r="K4394" s="76" t="b">
        <v>0</v>
      </c>
      <c r="L4394" s="76" t="b">
        <v>0</v>
      </c>
      <c r="M4394" s="76" t="b">
        <v>0</v>
      </c>
      <c r="N4394" s="76" t="b">
        <v>0</v>
      </c>
      <c r="O4394" s="76" t="b">
        <v>0</v>
      </c>
      <c r="P4394" s="76" t="b">
        <v>0</v>
      </c>
      <c r="Q4394" s="76" t="b">
        <v>0</v>
      </c>
      <c r="R4394" s="14"/>
      <c r="S4394" s="14"/>
      <c r="T4394" s="14"/>
      <c r="U4394" s="14"/>
      <c r="V4394" s="14"/>
      <c r="W4394" s="14"/>
    </row>
    <row r="4395" ht="31.5" customHeight="1">
      <c r="A4395" s="158"/>
      <c r="B4395" s="159"/>
      <c r="C4395" s="160"/>
      <c r="D4395" s="130"/>
      <c r="E4395" s="130"/>
      <c r="F4395" s="161"/>
      <c r="G4395" s="164"/>
      <c r="H4395" s="76" t="b">
        <v>0</v>
      </c>
      <c r="I4395" s="76" t="b">
        <v>0</v>
      </c>
      <c r="J4395" s="76" t="b">
        <v>0</v>
      </c>
      <c r="K4395" s="76" t="b">
        <v>0</v>
      </c>
      <c r="L4395" s="76" t="b">
        <v>0</v>
      </c>
      <c r="M4395" s="76" t="b">
        <v>0</v>
      </c>
      <c r="N4395" s="76" t="b">
        <v>0</v>
      </c>
      <c r="O4395" s="76" t="b">
        <v>0</v>
      </c>
      <c r="P4395" s="76" t="b">
        <v>0</v>
      </c>
      <c r="Q4395" s="76" t="b">
        <v>0</v>
      </c>
      <c r="R4395" s="14"/>
      <c r="S4395" s="14"/>
      <c r="T4395" s="14"/>
      <c r="U4395" s="14"/>
      <c r="V4395" s="14"/>
      <c r="W4395" s="14"/>
    </row>
    <row r="4396" ht="31.5" customHeight="1">
      <c r="A4396" s="158"/>
      <c r="B4396" s="159"/>
      <c r="C4396" s="160"/>
      <c r="D4396" s="130"/>
      <c r="E4396" s="130"/>
      <c r="F4396" s="161"/>
      <c r="G4396" s="164"/>
      <c r="H4396" s="76" t="b">
        <v>0</v>
      </c>
      <c r="I4396" s="76" t="b">
        <v>0</v>
      </c>
      <c r="J4396" s="76" t="b">
        <v>0</v>
      </c>
      <c r="K4396" s="76" t="b">
        <v>0</v>
      </c>
      <c r="L4396" s="76" t="b">
        <v>0</v>
      </c>
      <c r="M4396" s="76" t="b">
        <v>0</v>
      </c>
      <c r="N4396" s="76" t="b">
        <v>0</v>
      </c>
      <c r="O4396" s="76" t="b">
        <v>0</v>
      </c>
      <c r="P4396" s="76" t="b">
        <v>0</v>
      </c>
      <c r="Q4396" s="76" t="b">
        <v>0</v>
      </c>
      <c r="R4396" s="14"/>
      <c r="S4396" s="14"/>
      <c r="T4396" s="14"/>
      <c r="U4396" s="14"/>
      <c r="V4396" s="14"/>
      <c r="W4396" s="14"/>
    </row>
    <row r="4397" ht="31.5" customHeight="1">
      <c r="A4397" s="158"/>
      <c r="B4397" s="159"/>
      <c r="C4397" s="160"/>
      <c r="D4397" s="130"/>
      <c r="E4397" s="130"/>
      <c r="F4397" s="161"/>
      <c r="G4397" s="164"/>
      <c r="H4397" s="76" t="b">
        <v>0</v>
      </c>
      <c r="I4397" s="76" t="b">
        <v>0</v>
      </c>
      <c r="J4397" s="76" t="b">
        <v>0</v>
      </c>
      <c r="K4397" s="76" t="b">
        <v>0</v>
      </c>
      <c r="L4397" s="76" t="b">
        <v>0</v>
      </c>
      <c r="M4397" s="76" t="b">
        <v>0</v>
      </c>
      <c r="N4397" s="76" t="b">
        <v>0</v>
      </c>
      <c r="O4397" s="76" t="b">
        <v>0</v>
      </c>
      <c r="P4397" s="76" t="b">
        <v>0</v>
      </c>
      <c r="Q4397" s="76" t="b">
        <v>0</v>
      </c>
      <c r="R4397" s="14"/>
      <c r="S4397" s="14"/>
      <c r="T4397" s="14"/>
      <c r="U4397" s="14"/>
      <c r="V4397" s="14"/>
      <c r="W4397" s="14"/>
    </row>
    <row r="4398" ht="31.5" customHeight="1">
      <c r="A4398" s="158"/>
      <c r="B4398" s="159"/>
      <c r="C4398" s="160"/>
      <c r="D4398" s="130"/>
      <c r="E4398" s="130"/>
      <c r="F4398" s="161"/>
      <c r="G4398" s="164"/>
      <c r="H4398" s="76" t="b">
        <v>0</v>
      </c>
      <c r="I4398" s="76" t="b">
        <v>0</v>
      </c>
      <c r="J4398" s="76" t="b">
        <v>0</v>
      </c>
      <c r="K4398" s="76" t="b">
        <v>0</v>
      </c>
      <c r="L4398" s="76" t="b">
        <v>0</v>
      </c>
      <c r="M4398" s="76" t="b">
        <v>0</v>
      </c>
      <c r="N4398" s="76" t="b">
        <v>0</v>
      </c>
      <c r="O4398" s="76" t="b">
        <v>0</v>
      </c>
      <c r="P4398" s="76" t="b">
        <v>0</v>
      </c>
      <c r="Q4398" s="76" t="b">
        <v>0</v>
      </c>
      <c r="R4398" s="14"/>
      <c r="S4398" s="14"/>
      <c r="T4398" s="14"/>
      <c r="U4398" s="14"/>
      <c r="V4398" s="14"/>
      <c r="W4398" s="14"/>
    </row>
    <row r="4399" ht="31.5" customHeight="1">
      <c r="A4399" s="158"/>
      <c r="B4399" s="159"/>
      <c r="C4399" s="160"/>
      <c r="D4399" s="130"/>
      <c r="E4399" s="130"/>
      <c r="F4399" s="161"/>
      <c r="G4399" s="164"/>
      <c r="H4399" s="76" t="b">
        <v>0</v>
      </c>
      <c r="I4399" s="76" t="b">
        <v>0</v>
      </c>
      <c r="J4399" s="76" t="b">
        <v>0</v>
      </c>
      <c r="K4399" s="76" t="b">
        <v>0</v>
      </c>
      <c r="L4399" s="76" t="b">
        <v>0</v>
      </c>
      <c r="M4399" s="76" t="b">
        <v>0</v>
      </c>
      <c r="N4399" s="76" t="b">
        <v>0</v>
      </c>
      <c r="O4399" s="76" t="b">
        <v>0</v>
      </c>
      <c r="P4399" s="76" t="b">
        <v>0</v>
      </c>
      <c r="Q4399" s="76" t="b">
        <v>0</v>
      </c>
      <c r="R4399" s="14"/>
      <c r="S4399" s="14"/>
      <c r="T4399" s="14"/>
      <c r="U4399" s="14"/>
      <c r="V4399" s="14"/>
      <c r="W4399" s="14"/>
    </row>
    <row r="4400" ht="31.5" customHeight="1">
      <c r="A4400" s="158"/>
      <c r="B4400" s="159"/>
      <c r="C4400" s="160"/>
      <c r="D4400" s="130"/>
      <c r="E4400" s="130"/>
      <c r="F4400" s="161"/>
      <c r="G4400" s="164"/>
      <c r="H4400" s="76" t="b">
        <v>0</v>
      </c>
      <c r="I4400" s="76" t="b">
        <v>0</v>
      </c>
      <c r="J4400" s="76" t="b">
        <v>0</v>
      </c>
      <c r="K4400" s="76" t="b">
        <v>0</v>
      </c>
      <c r="L4400" s="76" t="b">
        <v>0</v>
      </c>
      <c r="M4400" s="76" t="b">
        <v>0</v>
      </c>
      <c r="N4400" s="76" t="b">
        <v>0</v>
      </c>
      <c r="O4400" s="76" t="b">
        <v>0</v>
      </c>
      <c r="P4400" s="76" t="b">
        <v>0</v>
      </c>
      <c r="Q4400" s="76" t="b">
        <v>0</v>
      </c>
      <c r="R4400" s="14"/>
      <c r="S4400" s="14"/>
      <c r="T4400" s="14"/>
      <c r="U4400" s="14"/>
      <c r="V4400" s="14"/>
      <c r="W4400" s="14"/>
    </row>
    <row r="4401" ht="31.5" customHeight="1">
      <c r="A4401" s="158"/>
      <c r="B4401" s="159"/>
      <c r="C4401" s="160"/>
      <c r="D4401" s="130"/>
      <c r="E4401" s="130"/>
      <c r="F4401" s="161"/>
      <c r="G4401" s="164"/>
      <c r="H4401" s="76" t="b">
        <v>0</v>
      </c>
      <c r="I4401" s="76" t="b">
        <v>0</v>
      </c>
      <c r="J4401" s="76" t="b">
        <v>0</v>
      </c>
      <c r="K4401" s="76" t="b">
        <v>0</v>
      </c>
      <c r="L4401" s="76" t="b">
        <v>0</v>
      </c>
      <c r="M4401" s="76" t="b">
        <v>0</v>
      </c>
      <c r="N4401" s="76" t="b">
        <v>0</v>
      </c>
      <c r="O4401" s="76" t="b">
        <v>0</v>
      </c>
      <c r="P4401" s="76" t="b">
        <v>0</v>
      </c>
      <c r="Q4401" s="76" t="b">
        <v>0</v>
      </c>
      <c r="R4401" s="14"/>
      <c r="S4401" s="14"/>
      <c r="T4401" s="14"/>
      <c r="U4401" s="14"/>
      <c r="V4401" s="14"/>
      <c r="W4401" s="14"/>
    </row>
    <row r="4402" ht="31.5" customHeight="1">
      <c r="A4402" s="158"/>
      <c r="B4402" s="159"/>
      <c r="C4402" s="160"/>
      <c r="D4402" s="130"/>
      <c r="E4402" s="130"/>
      <c r="F4402" s="161"/>
      <c r="G4402" s="164"/>
      <c r="H4402" s="76" t="b">
        <v>1</v>
      </c>
      <c r="I4402" s="76" t="b">
        <v>0</v>
      </c>
      <c r="J4402" s="76" t="b">
        <v>0</v>
      </c>
      <c r="K4402" s="76" t="b">
        <v>0</v>
      </c>
      <c r="L4402" s="76" t="b">
        <v>0</v>
      </c>
      <c r="M4402" s="76" t="b">
        <v>0</v>
      </c>
      <c r="N4402" s="76" t="b">
        <v>0</v>
      </c>
      <c r="O4402" s="76" t="b">
        <v>0</v>
      </c>
      <c r="P4402" s="76" t="b">
        <v>0</v>
      </c>
      <c r="Q4402" s="76" t="b">
        <v>0</v>
      </c>
      <c r="R4402" s="14"/>
      <c r="S4402" s="14"/>
      <c r="T4402" s="14"/>
      <c r="U4402" s="14"/>
      <c r="V4402" s="14"/>
      <c r="W4402" s="14"/>
    </row>
    <row r="4403" ht="31.5" customHeight="1">
      <c r="A4403" s="158"/>
      <c r="B4403" s="159"/>
      <c r="C4403" s="160"/>
      <c r="D4403" s="130"/>
      <c r="E4403" s="130"/>
      <c r="F4403" s="161"/>
      <c r="G4403" s="164"/>
      <c r="H4403" s="76" t="b">
        <v>1</v>
      </c>
      <c r="I4403" s="76" t="b">
        <v>0</v>
      </c>
      <c r="J4403" s="76" t="b">
        <v>0</v>
      </c>
      <c r="K4403" s="76" t="b">
        <v>0</v>
      </c>
      <c r="L4403" s="76" t="b">
        <v>0</v>
      </c>
      <c r="M4403" s="76" t="b">
        <v>0</v>
      </c>
      <c r="N4403" s="76" t="b">
        <v>0</v>
      </c>
      <c r="O4403" s="76" t="b">
        <v>0</v>
      </c>
      <c r="P4403" s="76" t="b">
        <v>0</v>
      </c>
      <c r="Q4403" s="76" t="b">
        <v>0</v>
      </c>
      <c r="R4403" s="14"/>
      <c r="S4403" s="14"/>
      <c r="T4403" s="14"/>
      <c r="U4403" s="14"/>
      <c r="V4403" s="14"/>
      <c r="W4403" s="14"/>
    </row>
    <row r="4404" ht="31.5" customHeight="1">
      <c r="A4404" s="158"/>
      <c r="B4404" s="159"/>
      <c r="C4404" s="160"/>
      <c r="D4404" s="130"/>
      <c r="E4404" s="130"/>
      <c r="F4404" s="161"/>
      <c r="G4404" s="164"/>
      <c r="H4404" s="76" t="b">
        <v>1</v>
      </c>
      <c r="I4404" s="76" t="b">
        <v>0</v>
      </c>
      <c r="J4404" s="76" t="b">
        <v>0</v>
      </c>
      <c r="K4404" s="76" t="b">
        <v>0</v>
      </c>
      <c r="L4404" s="76" t="b">
        <v>0</v>
      </c>
      <c r="M4404" s="76" t="b">
        <v>0</v>
      </c>
      <c r="N4404" s="76" t="b">
        <v>0</v>
      </c>
      <c r="O4404" s="76" t="b">
        <v>0</v>
      </c>
      <c r="P4404" s="76" t="b">
        <v>0</v>
      </c>
      <c r="Q4404" s="76" t="b">
        <v>0</v>
      </c>
      <c r="R4404" s="14"/>
      <c r="S4404" s="14"/>
      <c r="T4404" s="14"/>
      <c r="U4404" s="14"/>
      <c r="V4404" s="14"/>
      <c r="W4404" s="14"/>
    </row>
    <row r="4405" ht="31.5" customHeight="1">
      <c r="A4405" s="158"/>
      <c r="B4405" s="159"/>
      <c r="C4405" s="160"/>
      <c r="D4405" s="130"/>
      <c r="E4405" s="130"/>
      <c r="F4405" s="161"/>
      <c r="G4405" s="164"/>
      <c r="H4405" s="76" t="b">
        <v>1</v>
      </c>
      <c r="I4405" s="76" t="b">
        <v>0</v>
      </c>
      <c r="J4405" s="76" t="b">
        <v>0</v>
      </c>
      <c r="K4405" s="76" t="b">
        <v>0</v>
      </c>
      <c r="L4405" s="76" t="b">
        <v>0</v>
      </c>
      <c r="M4405" s="76" t="b">
        <v>0</v>
      </c>
      <c r="N4405" s="76" t="b">
        <v>0</v>
      </c>
      <c r="O4405" s="76" t="b">
        <v>0</v>
      </c>
      <c r="P4405" s="76" t="b">
        <v>0</v>
      </c>
      <c r="Q4405" s="76" t="b">
        <v>0</v>
      </c>
      <c r="R4405" s="14"/>
      <c r="S4405" s="14"/>
      <c r="T4405" s="14"/>
      <c r="U4405" s="14"/>
      <c r="V4405" s="14"/>
      <c r="W4405" s="14"/>
    </row>
    <row r="4406" ht="31.5" customHeight="1">
      <c r="A4406" s="158"/>
      <c r="B4406" s="159"/>
      <c r="C4406" s="160"/>
      <c r="D4406" s="130"/>
      <c r="E4406" s="130"/>
      <c r="F4406" s="161"/>
      <c r="G4406" s="164"/>
      <c r="H4406" s="76" t="b">
        <v>1</v>
      </c>
      <c r="I4406" s="76" t="b">
        <v>0</v>
      </c>
      <c r="J4406" s="76" t="b">
        <v>0</v>
      </c>
      <c r="K4406" s="76" t="b">
        <v>0</v>
      </c>
      <c r="L4406" s="76" t="b">
        <v>0</v>
      </c>
      <c r="M4406" s="76" t="b">
        <v>0</v>
      </c>
      <c r="N4406" s="76" t="b">
        <v>0</v>
      </c>
      <c r="O4406" s="76" t="b">
        <v>0</v>
      </c>
      <c r="P4406" s="76" t="b">
        <v>0</v>
      </c>
      <c r="Q4406" s="76" t="b">
        <v>0</v>
      </c>
      <c r="R4406" s="14"/>
      <c r="S4406" s="14"/>
      <c r="T4406" s="14"/>
      <c r="U4406" s="14"/>
      <c r="V4406" s="14"/>
      <c r="W4406" s="14"/>
    </row>
    <row r="4407" ht="31.5" customHeight="1">
      <c r="A4407" s="158"/>
      <c r="B4407" s="159"/>
      <c r="C4407" s="160"/>
      <c r="D4407" s="130"/>
      <c r="E4407" s="130"/>
      <c r="F4407" s="161"/>
      <c r="G4407" s="164"/>
      <c r="H4407" s="76" t="b">
        <v>1</v>
      </c>
      <c r="I4407" s="76" t="b">
        <v>0</v>
      </c>
      <c r="J4407" s="76" t="b">
        <v>0</v>
      </c>
      <c r="K4407" s="76" t="b">
        <v>0</v>
      </c>
      <c r="L4407" s="76" t="b">
        <v>0</v>
      </c>
      <c r="M4407" s="76" t="b">
        <v>0</v>
      </c>
      <c r="N4407" s="76" t="b">
        <v>0</v>
      </c>
      <c r="O4407" s="76" t="b">
        <v>0</v>
      </c>
      <c r="P4407" s="76" t="b">
        <v>0</v>
      </c>
      <c r="Q4407" s="76" t="b">
        <v>0</v>
      </c>
      <c r="R4407" s="14"/>
      <c r="S4407" s="14"/>
      <c r="T4407" s="14"/>
      <c r="U4407" s="14"/>
      <c r="V4407" s="14"/>
      <c r="W4407" s="14"/>
    </row>
    <row r="4408" ht="31.5" customHeight="1">
      <c r="A4408" s="158"/>
      <c r="B4408" s="159"/>
      <c r="C4408" s="160"/>
      <c r="D4408" s="130"/>
      <c r="E4408" s="130"/>
      <c r="F4408" s="161"/>
      <c r="G4408" s="164"/>
      <c r="H4408" s="76" t="b">
        <v>1</v>
      </c>
      <c r="I4408" s="76" t="b">
        <v>0</v>
      </c>
      <c r="J4408" s="76" t="b">
        <v>0</v>
      </c>
      <c r="K4408" s="76" t="b">
        <v>0</v>
      </c>
      <c r="L4408" s="76" t="b">
        <v>0</v>
      </c>
      <c r="M4408" s="76" t="b">
        <v>0</v>
      </c>
      <c r="N4408" s="76" t="b">
        <v>0</v>
      </c>
      <c r="O4408" s="76" t="b">
        <v>0</v>
      </c>
      <c r="P4408" s="76" t="b">
        <v>0</v>
      </c>
      <c r="Q4408" s="76" t="b">
        <v>0</v>
      </c>
      <c r="R4408" s="14"/>
      <c r="S4408" s="14"/>
      <c r="T4408" s="14"/>
      <c r="U4408" s="14"/>
      <c r="V4408" s="14"/>
      <c r="W4408" s="14"/>
    </row>
    <row r="4409" ht="31.5" customHeight="1">
      <c r="A4409" s="158"/>
      <c r="B4409" s="159"/>
      <c r="C4409" s="160"/>
      <c r="D4409" s="130"/>
      <c r="E4409" s="130"/>
      <c r="F4409" s="161"/>
      <c r="G4409" s="164"/>
      <c r="H4409" s="76" t="b">
        <v>1</v>
      </c>
      <c r="I4409" s="76" t="b">
        <v>0</v>
      </c>
      <c r="J4409" s="76" t="b">
        <v>0</v>
      </c>
      <c r="K4409" s="76" t="b">
        <v>0</v>
      </c>
      <c r="L4409" s="76" t="b">
        <v>0</v>
      </c>
      <c r="M4409" s="76" t="b">
        <v>0</v>
      </c>
      <c r="N4409" s="76" t="b">
        <v>0</v>
      </c>
      <c r="O4409" s="76" t="b">
        <v>0</v>
      </c>
      <c r="P4409" s="76" t="b">
        <v>0</v>
      </c>
      <c r="Q4409" s="76" t="b">
        <v>0</v>
      </c>
      <c r="R4409" s="14"/>
      <c r="S4409" s="14"/>
      <c r="T4409" s="14"/>
      <c r="U4409" s="14"/>
      <c r="V4409" s="14"/>
      <c r="W4409" s="14"/>
    </row>
    <row r="4410" ht="31.5" customHeight="1">
      <c r="A4410" s="158"/>
      <c r="B4410" s="159"/>
      <c r="C4410" s="160"/>
      <c r="D4410" s="130"/>
      <c r="E4410" s="130"/>
      <c r="F4410" s="161"/>
      <c r="G4410" s="164"/>
      <c r="H4410" s="76" t="b">
        <v>1</v>
      </c>
      <c r="I4410" s="76" t="b">
        <v>0</v>
      </c>
      <c r="J4410" s="76" t="b">
        <v>0</v>
      </c>
      <c r="K4410" s="76" t="b">
        <v>0</v>
      </c>
      <c r="L4410" s="76" t="b">
        <v>0</v>
      </c>
      <c r="M4410" s="76" t="b">
        <v>0</v>
      </c>
      <c r="N4410" s="76" t="b">
        <v>0</v>
      </c>
      <c r="O4410" s="76" t="b">
        <v>0</v>
      </c>
      <c r="P4410" s="76" t="b">
        <v>0</v>
      </c>
      <c r="Q4410" s="76" t="b">
        <v>0</v>
      </c>
      <c r="R4410" s="14"/>
      <c r="S4410" s="14"/>
      <c r="T4410" s="14"/>
      <c r="U4410" s="14"/>
      <c r="V4410" s="14"/>
      <c r="W4410" s="14"/>
    </row>
    <row r="4411" ht="31.5" customHeight="1">
      <c r="A4411" s="158"/>
      <c r="B4411" s="159"/>
      <c r="C4411" s="160"/>
      <c r="D4411" s="130"/>
      <c r="E4411" s="130"/>
      <c r="F4411" s="161"/>
      <c r="G4411" s="164"/>
      <c r="H4411" s="76" t="b">
        <v>1</v>
      </c>
      <c r="I4411" s="76" t="b">
        <v>0</v>
      </c>
      <c r="J4411" s="76" t="b">
        <v>0</v>
      </c>
      <c r="K4411" s="76" t="b">
        <v>0</v>
      </c>
      <c r="L4411" s="76" t="b">
        <v>0</v>
      </c>
      <c r="M4411" s="76" t="b">
        <v>0</v>
      </c>
      <c r="N4411" s="76" t="b">
        <v>0</v>
      </c>
      <c r="O4411" s="76" t="b">
        <v>0</v>
      </c>
      <c r="P4411" s="76" t="b">
        <v>0</v>
      </c>
      <c r="Q4411" s="76" t="b">
        <v>0</v>
      </c>
      <c r="R4411" s="14"/>
      <c r="S4411" s="14"/>
      <c r="T4411" s="14"/>
      <c r="U4411" s="14"/>
      <c r="V4411" s="14"/>
      <c r="W4411" s="14"/>
    </row>
    <row r="4412" ht="31.5" customHeight="1">
      <c r="A4412" s="158"/>
      <c r="B4412" s="159"/>
      <c r="C4412" s="160"/>
      <c r="D4412" s="130"/>
      <c r="E4412" s="130"/>
      <c r="F4412" s="161"/>
      <c r="G4412" s="164"/>
      <c r="H4412" s="76" t="b">
        <v>1</v>
      </c>
      <c r="I4412" s="76" t="b">
        <v>0</v>
      </c>
      <c r="J4412" s="76" t="b">
        <v>0</v>
      </c>
      <c r="K4412" s="76" t="b">
        <v>0</v>
      </c>
      <c r="L4412" s="76" t="b">
        <v>0</v>
      </c>
      <c r="M4412" s="76" t="b">
        <v>0</v>
      </c>
      <c r="N4412" s="76" t="b">
        <v>0</v>
      </c>
      <c r="O4412" s="76" t="b">
        <v>0</v>
      </c>
      <c r="P4412" s="76" t="b">
        <v>0</v>
      </c>
      <c r="Q4412" s="76" t="b">
        <v>0</v>
      </c>
      <c r="R4412" s="14"/>
      <c r="S4412" s="14"/>
      <c r="T4412" s="14"/>
      <c r="U4412" s="14"/>
      <c r="V4412" s="14"/>
      <c r="W4412" s="14"/>
    </row>
    <row r="4413" ht="31.5" customHeight="1">
      <c r="A4413" s="158"/>
      <c r="B4413" s="159"/>
      <c r="C4413" s="160"/>
      <c r="D4413" s="130"/>
      <c r="E4413" s="130"/>
      <c r="F4413" s="161"/>
      <c r="G4413" s="164"/>
      <c r="H4413" s="76" t="b">
        <v>1</v>
      </c>
      <c r="I4413" s="76" t="b">
        <v>0</v>
      </c>
      <c r="J4413" s="76" t="b">
        <v>0</v>
      </c>
      <c r="K4413" s="76" t="b">
        <v>0</v>
      </c>
      <c r="L4413" s="76" t="b">
        <v>0</v>
      </c>
      <c r="M4413" s="76" t="b">
        <v>0</v>
      </c>
      <c r="N4413" s="76" t="b">
        <v>0</v>
      </c>
      <c r="O4413" s="76" t="b">
        <v>0</v>
      </c>
      <c r="P4413" s="76" t="b">
        <v>0</v>
      </c>
      <c r="Q4413" s="76" t="b">
        <v>0</v>
      </c>
      <c r="R4413" s="14"/>
      <c r="S4413" s="14"/>
      <c r="T4413" s="14"/>
      <c r="U4413" s="14"/>
      <c r="V4413" s="14"/>
      <c r="W4413" s="14"/>
    </row>
    <row r="4414" ht="31.5" customHeight="1">
      <c r="A4414" s="158"/>
      <c r="B4414" s="159"/>
      <c r="C4414" s="160"/>
      <c r="D4414" s="130"/>
      <c r="E4414" s="130"/>
      <c r="F4414" s="161"/>
      <c r="G4414" s="164"/>
      <c r="H4414" s="76" t="b">
        <v>1</v>
      </c>
      <c r="I4414" s="76" t="b">
        <v>0</v>
      </c>
      <c r="J4414" s="76" t="b">
        <v>0</v>
      </c>
      <c r="K4414" s="76" t="b">
        <v>0</v>
      </c>
      <c r="L4414" s="76" t="b">
        <v>0</v>
      </c>
      <c r="M4414" s="76" t="b">
        <v>0</v>
      </c>
      <c r="N4414" s="76" t="b">
        <v>0</v>
      </c>
      <c r="O4414" s="76" t="b">
        <v>0</v>
      </c>
      <c r="P4414" s="76" t="b">
        <v>0</v>
      </c>
      <c r="Q4414" s="76" t="b">
        <v>0</v>
      </c>
      <c r="R4414" s="14"/>
      <c r="S4414" s="14"/>
      <c r="T4414" s="14"/>
      <c r="U4414" s="14"/>
      <c r="V4414" s="14"/>
      <c r="W4414" s="14"/>
    </row>
    <row r="4415" ht="31.5" customHeight="1">
      <c r="A4415" s="158"/>
      <c r="B4415" s="159"/>
      <c r="C4415" s="160"/>
      <c r="D4415" s="130"/>
      <c r="E4415" s="130"/>
      <c r="F4415" s="161"/>
      <c r="G4415" s="164"/>
      <c r="H4415" s="76" t="b">
        <v>1</v>
      </c>
      <c r="I4415" s="76" t="b">
        <v>0</v>
      </c>
      <c r="J4415" s="76" t="b">
        <v>0</v>
      </c>
      <c r="K4415" s="76" t="b">
        <v>0</v>
      </c>
      <c r="L4415" s="76" t="b">
        <v>0</v>
      </c>
      <c r="M4415" s="76" t="b">
        <v>0</v>
      </c>
      <c r="N4415" s="76" t="b">
        <v>0</v>
      </c>
      <c r="O4415" s="76" t="b">
        <v>0</v>
      </c>
      <c r="P4415" s="76" t="b">
        <v>0</v>
      </c>
      <c r="Q4415" s="76" t="b">
        <v>0</v>
      </c>
      <c r="R4415" s="14"/>
      <c r="S4415" s="14"/>
      <c r="T4415" s="14"/>
      <c r="U4415" s="14"/>
      <c r="V4415" s="14"/>
      <c r="W4415" s="14"/>
    </row>
    <row r="4416" ht="31.5" customHeight="1">
      <c r="A4416" s="158"/>
      <c r="B4416" s="159"/>
      <c r="C4416" s="160"/>
      <c r="D4416" s="130"/>
      <c r="E4416" s="130"/>
      <c r="F4416" s="161"/>
      <c r="G4416" s="164"/>
      <c r="H4416" s="76" t="b">
        <v>1</v>
      </c>
      <c r="I4416" s="76" t="b">
        <v>0</v>
      </c>
      <c r="J4416" s="76" t="b">
        <v>0</v>
      </c>
      <c r="K4416" s="76" t="b">
        <v>0</v>
      </c>
      <c r="L4416" s="76" t="b">
        <v>0</v>
      </c>
      <c r="M4416" s="76" t="b">
        <v>0</v>
      </c>
      <c r="N4416" s="76" t="b">
        <v>0</v>
      </c>
      <c r="O4416" s="76" t="b">
        <v>0</v>
      </c>
      <c r="P4416" s="76" t="b">
        <v>0</v>
      </c>
      <c r="Q4416" s="76" t="b">
        <v>0</v>
      </c>
      <c r="R4416" s="14"/>
      <c r="S4416" s="14"/>
      <c r="T4416" s="14"/>
      <c r="U4416" s="14"/>
      <c r="V4416" s="14"/>
      <c r="W4416" s="14"/>
    </row>
    <row r="4417" ht="31.5" customHeight="1">
      <c r="A4417" s="158"/>
      <c r="B4417" s="159"/>
      <c r="C4417" s="160"/>
      <c r="D4417" s="130"/>
      <c r="E4417" s="130"/>
      <c r="F4417" s="161"/>
      <c r="G4417" s="164"/>
      <c r="H4417" s="76" t="b">
        <v>1</v>
      </c>
      <c r="I4417" s="76" t="b">
        <v>0</v>
      </c>
      <c r="J4417" s="76" t="b">
        <v>0</v>
      </c>
      <c r="K4417" s="76" t="b">
        <v>0</v>
      </c>
      <c r="L4417" s="76" t="b">
        <v>0</v>
      </c>
      <c r="M4417" s="76" t="b">
        <v>0</v>
      </c>
      <c r="N4417" s="76" t="b">
        <v>0</v>
      </c>
      <c r="O4417" s="76" t="b">
        <v>0</v>
      </c>
      <c r="P4417" s="76" t="b">
        <v>0</v>
      </c>
      <c r="Q4417" s="76" t="b">
        <v>0</v>
      </c>
      <c r="R4417" s="14"/>
      <c r="S4417" s="14"/>
      <c r="T4417" s="14"/>
      <c r="U4417" s="14"/>
      <c r="V4417" s="14"/>
      <c r="W4417" s="14"/>
    </row>
    <row r="4418" ht="31.5" customHeight="1">
      <c r="A4418" s="158"/>
      <c r="B4418" s="159"/>
      <c r="C4418" s="160"/>
      <c r="D4418" s="130"/>
      <c r="E4418" s="130"/>
      <c r="F4418" s="161"/>
      <c r="G4418" s="164"/>
      <c r="H4418" s="76" t="b">
        <v>1</v>
      </c>
      <c r="I4418" s="76" t="b">
        <v>0</v>
      </c>
      <c r="J4418" s="76" t="b">
        <v>0</v>
      </c>
      <c r="K4418" s="76" t="b">
        <v>0</v>
      </c>
      <c r="L4418" s="76" t="b">
        <v>0</v>
      </c>
      <c r="M4418" s="76" t="b">
        <v>0</v>
      </c>
      <c r="N4418" s="76" t="b">
        <v>0</v>
      </c>
      <c r="O4418" s="76" t="b">
        <v>0</v>
      </c>
      <c r="P4418" s="76" t="b">
        <v>0</v>
      </c>
      <c r="Q4418" s="76" t="b">
        <v>0</v>
      </c>
      <c r="R4418" s="14"/>
      <c r="S4418" s="14"/>
      <c r="T4418" s="14"/>
      <c r="U4418" s="14"/>
      <c r="V4418" s="14"/>
      <c r="W4418" s="14"/>
    </row>
    <row r="4419" ht="31.5" customHeight="1">
      <c r="A4419" s="158"/>
      <c r="B4419" s="159"/>
      <c r="C4419" s="160"/>
      <c r="D4419" s="130"/>
      <c r="E4419" s="130"/>
      <c r="F4419" s="161"/>
      <c r="G4419" s="164"/>
      <c r="H4419" s="76" t="b">
        <v>1</v>
      </c>
      <c r="I4419" s="76" t="b">
        <v>0</v>
      </c>
      <c r="J4419" s="76" t="b">
        <v>0</v>
      </c>
      <c r="K4419" s="76" t="b">
        <v>0</v>
      </c>
      <c r="L4419" s="76" t="b">
        <v>0</v>
      </c>
      <c r="M4419" s="76" t="b">
        <v>0</v>
      </c>
      <c r="N4419" s="76" t="b">
        <v>0</v>
      </c>
      <c r="O4419" s="76" t="b">
        <v>0</v>
      </c>
      <c r="P4419" s="76" t="b">
        <v>0</v>
      </c>
      <c r="Q4419" s="76" t="b">
        <v>0</v>
      </c>
      <c r="R4419" s="14"/>
      <c r="S4419" s="14"/>
      <c r="T4419" s="14"/>
      <c r="U4419" s="14"/>
      <c r="V4419" s="14"/>
      <c r="W4419" s="14"/>
    </row>
    <row r="4420" ht="31.5" customHeight="1">
      <c r="A4420" s="158"/>
      <c r="B4420" s="159"/>
      <c r="C4420" s="160"/>
      <c r="D4420" s="130"/>
      <c r="E4420" s="130"/>
      <c r="F4420" s="161"/>
      <c r="G4420" s="164"/>
      <c r="H4420" s="76" t="b">
        <v>1</v>
      </c>
      <c r="I4420" s="76" t="b">
        <v>0</v>
      </c>
      <c r="J4420" s="76" t="b">
        <v>0</v>
      </c>
      <c r="K4420" s="76" t="b">
        <v>0</v>
      </c>
      <c r="L4420" s="76" t="b">
        <v>0</v>
      </c>
      <c r="M4420" s="76" t="b">
        <v>0</v>
      </c>
      <c r="N4420" s="76" t="b">
        <v>0</v>
      </c>
      <c r="O4420" s="76" t="b">
        <v>0</v>
      </c>
      <c r="P4420" s="76" t="b">
        <v>0</v>
      </c>
      <c r="Q4420" s="76" t="b">
        <v>0</v>
      </c>
      <c r="R4420" s="14"/>
      <c r="S4420" s="14"/>
      <c r="T4420" s="14"/>
      <c r="U4420" s="14"/>
      <c r="V4420" s="14"/>
      <c r="W4420" s="14"/>
    </row>
    <row r="4421" ht="31.5" customHeight="1">
      <c r="A4421" s="158"/>
      <c r="B4421" s="159"/>
      <c r="C4421" s="160"/>
      <c r="D4421" s="130"/>
      <c r="E4421" s="130"/>
      <c r="F4421" s="161"/>
      <c r="G4421" s="164"/>
      <c r="H4421" s="76" t="b">
        <v>1</v>
      </c>
      <c r="I4421" s="76" t="b">
        <v>0</v>
      </c>
      <c r="J4421" s="76" t="b">
        <v>0</v>
      </c>
      <c r="K4421" s="76" t="b">
        <v>0</v>
      </c>
      <c r="L4421" s="76" t="b">
        <v>0</v>
      </c>
      <c r="M4421" s="76" t="b">
        <v>0</v>
      </c>
      <c r="N4421" s="76" t="b">
        <v>0</v>
      </c>
      <c r="O4421" s="76" t="b">
        <v>0</v>
      </c>
      <c r="P4421" s="76" t="b">
        <v>0</v>
      </c>
      <c r="Q4421" s="76" t="b">
        <v>0</v>
      </c>
      <c r="R4421" s="14"/>
      <c r="S4421" s="14"/>
      <c r="T4421" s="14"/>
      <c r="U4421" s="14"/>
      <c r="V4421" s="14"/>
      <c r="W4421" s="14"/>
    </row>
    <row r="4422" ht="31.5" customHeight="1">
      <c r="A4422" s="158"/>
      <c r="B4422" s="159"/>
      <c r="C4422" s="160"/>
      <c r="D4422" s="130"/>
      <c r="E4422" s="130"/>
      <c r="F4422" s="161"/>
      <c r="G4422" s="164"/>
      <c r="H4422" s="76" t="b">
        <v>1</v>
      </c>
      <c r="I4422" s="76" t="b">
        <v>0</v>
      </c>
      <c r="J4422" s="76" t="b">
        <v>0</v>
      </c>
      <c r="K4422" s="76" t="b">
        <v>0</v>
      </c>
      <c r="L4422" s="76" t="b">
        <v>0</v>
      </c>
      <c r="M4422" s="76" t="b">
        <v>0</v>
      </c>
      <c r="N4422" s="76" t="b">
        <v>0</v>
      </c>
      <c r="O4422" s="76" t="b">
        <v>0</v>
      </c>
      <c r="P4422" s="76" t="b">
        <v>0</v>
      </c>
      <c r="Q4422" s="76" t="b">
        <v>0</v>
      </c>
      <c r="R4422" s="14"/>
      <c r="S4422" s="14"/>
      <c r="T4422" s="14"/>
      <c r="U4422" s="14"/>
      <c r="V4422" s="14"/>
      <c r="W4422" s="14"/>
    </row>
    <row r="4423" ht="31.5" customHeight="1">
      <c r="A4423" s="158"/>
      <c r="B4423" s="159"/>
      <c r="C4423" s="160"/>
      <c r="D4423" s="130"/>
      <c r="E4423" s="130"/>
      <c r="F4423" s="161"/>
      <c r="G4423" s="164"/>
      <c r="H4423" s="76" t="b">
        <v>1</v>
      </c>
      <c r="I4423" s="76" t="b">
        <v>0</v>
      </c>
      <c r="J4423" s="76" t="b">
        <v>0</v>
      </c>
      <c r="K4423" s="76" t="b">
        <v>0</v>
      </c>
      <c r="L4423" s="76" t="b">
        <v>0</v>
      </c>
      <c r="M4423" s="76" t="b">
        <v>0</v>
      </c>
      <c r="N4423" s="76" t="b">
        <v>0</v>
      </c>
      <c r="O4423" s="76" t="b">
        <v>0</v>
      </c>
      <c r="P4423" s="76" t="b">
        <v>0</v>
      </c>
      <c r="Q4423" s="76" t="b">
        <v>0</v>
      </c>
      <c r="R4423" s="14"/>
      <c r="S4423" s="14"/>
      <c r="T4423" s="14"/>
      <c r="U4423" s="14"/>
      <c r="V4423" s="14"/>
      <c r="W4423" s="14"/>
    </row>
    <row r="4424" ht="31.5" customHeight="1">
      <c r="A4424" s="158"/>
      <c r="B4424" s="159"/>
      <c r="C4424" s="160"/>
      <c r="D4424" s="130"/>
      <c r="E4424" s="130"/>
      <c r="F4424" s="161"/>
      <c r="G4424" s="164"/>
      <c r="H4424" s="76" t="b">
        <v>1</v>
      </c>
      <c r="I4424" s="76" t="b">
        <v>0</v>
      </c>
      <c r="J4424" s="76" t="b">
        <v>0</v>
      </c>
      <c r="K4424" s="76" t="b">
        <v>0</v>
      </c>
      <c r="L4424" s="76" t="b">
        <v>0</v>
      </c>
      <c r="M4424" s="76" t="b">
        <v>0</v>
      </c>
      <c r="N4424" s="76" t="b">
        <v>0</v>
      </c>
      <c r="O4424" s="76" t="b">
        <v>0</v>
      </c>
      <c r="P4424" s="76" t="b">
        <v>0</v>
      </c>
      <c r="Q4424" s="76" t="b">
        <v>0</v>
      </c>
      <c r="R4424" s="14"/>
      <c r="S4424" s="14"/>
      <c r="T4424" s="14"/>
      <c r="U4424" s="14"/>
      <c r="V4424" s="14"/>
      <c r="W4424" s="14"/>
    </row>
    <row r="4425" ht="31.5" customHeight="1">
      <c r="A4425" s="158"/>
      <c r="B4425" s="159"/>
      <c r="C4425" s="160"/>
      <c r="D4425" s="130"/>
      <c r="E4425" s="130"/>
      <c r="F4425" s="161"/>
      <c r="G4425" s="164"/>
      <c r="H4425" s="76" t="b">
        <v>1</v>
      </c>
      <c r="I4425" s="76" t="b">
        <v>0</v>
      </c>
      <c r="J4425" s="76" t="b">
        <v>0</v>
      </c>
      <c r="K4425" s="76" t="b">
        <v>0</v>
      </c>
      <c r="L4425" s="76" t="b">
        <v>0</v>
      </c>
      <c r="M4425" s="76" t="b">
        <v>0</v>
      </c>
      <c r="N4425" s="76" t="b">
        <v>0</v>
      </c>
      <c r="O4425" s="76" t="b">
        <v>0</v>
      </c>
      <c r="P4425" s="76" t="b">
        <v>0</v>
      </c>
      <c r="Q4425" s="76" t="b">
        <v>0</v>
      </c>
      <c r="R4425" s="14"/>
      <c r="S4425" s="14"/>
      <c r="T4425" s="14"/>
      <c r="U4425" s="14"/>
      <c r="V4425" s="14"/>
      <c r="W4425" s="14"/>
    </row>
    <row r="4426" ht="31.5" customHeight="1">
      <c r="A4426" s="158"/>
      <c r="B4426" s="159"/>
      <c r="C4426" s="160"/>
      <c r="D4426" s="130"/>
      <c r="E4426" s="130"/>
      <c r="F4426" s="161"/>
      <c r="G4426" s="164"/>
      <c r="H4426" s="76" t="b">
        <v>1</v>
      </c>
      <c r="I4426" s="76" t="b">
        <v>0</v>
      </c>
      <c r="J4426" s="76" t="b">
        <v>0</v>
      </c>
      <c r="K4426" s="76" t="b">
        <v>0</v>
      </c>
      <c r="L4426" s="76" t="b">
        <v>0</v>
      </c>
      <c r="M4426" s="76" t="b">
        <v>0</v>
      </c>
      <c r="N4426" s="76" t="b">
        <v>0</v>
      </c>
      <c r="O4426" s="76" t="b">
        <v>0</v>
      </c>
      <c r="P4426" s="76" t="b">
        <v>0</v>
      </c>
      <c r="Q4426" s="76" t="b">
        <v>0</v>
      </c>
      <c r="R4426" s="14"/>
      <c r="S4426" s="14"/>
      <c r="T4426" s="14"/>
      <c r="U4426" s="14"/>
      <c r="V4426" s="14"/>
      <c r="W4426" s="14"/>
    </row>
    <row r="4427" ht="31.5" customHeight="1">
      <c r="A4427" s="158"/>
      <c r="B4427" s="159"/>
      <c r="C4427" s="160"/>
      <c r="D4427" s="130"/>
      <c r="E4427" s="130"/>
      <c r="F4427" s="161"/>
      <c r="G4427" s="164"/>
      <c r="H4427" s="76" t="b">
        <v>1</v>
      </c>
      <c r="I4427" s="76" t="b">
        <v>0</v>
      </c>
      <c r="J4427" s="76" t="b">
        <v>0</v>
      </c>
      <c r="K4427" s="76" t="b">
        <v>0</v>
      </c>
      <c r="L4427" s="76" t="b">
        <v>0</v>
      </c>
      <c r="M4427" s="76" t="b">
        <v>0</v>
      </c>
      <c r="N4427" s="76" t="b">
        <v>0</v>
      </c>
      <c r="O4427" s="76" t="b">
        <v>0</v>
      </c>
      <c r="P4427" s="76" t="b">
        <v>0</v>
      </c>
      <c r="Q4427" s="76" t="b">
        <v>0</v>
      </c>
      <c r="R4427" s="14"/>
      <c r="S4427" s="14"/>
      <c r="T4427" s="14"/>
      <c r="U4427" s="14"/>
      <c r="V4427" s="14"/>
      <c r="W4427" s="14"/>
    </row>
    <row r="4428" ht="31.5" customHeight="1">
      <c r="A4428" s="158"/>
      <c r="B4428" s="159"/>
      <c r="C4428" s="160"/>
      <c r="D4428" s="130"/>
      <c r="E4428" s="130"/>
      <c r="F4428" s="161"/>
      <c r="G4428" s="164"/>
      <c r="H4428" s="76" t="b">
        <v>1</v>
      </c>
      <c r="I4428" s="76" t="b">
        <v>0</v>
      </c>
      <c r="J4428" s="76" t="b">
        <v>0</v>
      </c>
      <c r="K4428" s="76" t="b">
        <v>0</v>
      </c>
      <c r="L4428" s="76" t="b">
        <v>0</v>
      </c>
      <c r="M4428" s="76" t="b">
        <v>0</v>
      </c>
      <c r="N4428" s="76" t="b">
        <v>0</v>
      </c>
      <c r="O4428" s="76" t="b">
        <v>0</v>
      </c>
      <c r="P4428" s="76" t="b">
        <v>0</v>
      </c>
      <c r="Q4428" s="76" t="b">
        <v>0</v>
      </c>
      <c r="R4428" s="14"/>
      <c r="S4428" s="14"/>
      <c r="T4428" s="14"/>
      <c r="U4428" s="14"/>
      <c r="V4428" s="14"/>
      <c r="W4428" s="14"/>
    </row>
    <row r="4429" ht="31.5" customHeight="1">
      <c r="A4429" s="158"/>
      <c r="B4429" s="159"/>
      <c r="C4429" s="160"/>
      <c r="D4429" s="130"/>
      <c r="E4429" s="130"/>
      <c r="F4429" s="161"/>
      <c r="G4429" s="164"/>
      <c r="H4429" s="76" t="b">
        <v>1</v>
      </c>
      <c r="I4429" s="76" t="b">
        <v>0</v>
      </c>
      <c r="J4429" s="76" t="b">
        <v>0</v>
      </c>
      <c r="K4429" s="76" t="b">
        <v>0</v>
      </c>
      <c r="L4429" s="76" t="b">
        <v>0</v>
      </c>
      <c r="M4429" s="76" t="b">
        <v>0</v>
      </c>
      <c r="N4429" s="76" t="b">
        <v>0</v>
      </c>
      <c r="O4429" s="76" t="b">
        <v>0</v>
      </c>
      <c r="P4429" s="76" t="b">
        <v>0</v>
      </c>
      <c r="Q4429" s="76" t="b">
        <v>0</v>
      </c>
      <c r="R4429" s="14"/>
      <c r="S4429" s="14"/>
      <c r="T4429" s="14"/>
      <c r="U4429" s="14"/>
      <c r="V4429" s="14"/>
      <c r="W4429" s="14"/>
    </row>
    <row r="4430" ht="31.5" customHeight="1">
      <c r="A4430" s="158"/>
      <c r="B4430" s="159"/>
      <c r="C4430" s="160"/>
      <c r="D4430" s="130"/>
      <c r="E4430" s="130"/>
      <c r="F4430" s="161"/>
      <c r="G4430" s="164"/>
      <c r="H4430" s="76" t="b">
        <v>1</v>
      </c>
      <c r="I4430" s="76" t="b">
        <v>0</v>
      </c>
      <c r="J4430" s="76" t="b">
        <v>0</v>
      </c>
      <c r="K4430" s="76" t="b">
        <v>0</v>
      </c>
      <c r="L4430" s="76" t="b">
        <v>0</v>
      </c>
      <c r="M4430" s="76" t="b">
        <v>0</v>
      </c>
      <c r="N4430" s="76" t="b">
        <v>0</v>
      </c>
      <c r="O4430" s="76" t="b">
        <v>0</v>
      </c>
      <c r="P4430" s="76" t="b">
        <v>0</v>
      </c>
      <c r="Q4430" s="76" t="b">
        <v>0</v>
      </c>
      <c r="R4430" s="14"/>
      <c r="S4430" s="14"/>
      <c r="T4430" s="14"/>
      <c r="U4430" s="14"/>
      <c r="V4430" s="14"/>
      <c r="W4430" s="14"/>
    </row>
    <row r="4431" ht="31.5" customHeight="1">
      <c r="A4431" s="158"/>
      <c r="B4431" s="159"/>
      <c r="C4431" s="160"/>
      <c r="D4431" s="130"/>
      <c r="E4431" s="130"/>
      <c r="F4431" s="161"/>
      <c r="G4431" s="164"/>
      <c r="H4431" s="76" t="b">
        <v>1</v>
      </c>
      <c r="I4431" s="76" t="b">
        <v>0</v>
      </c>
      <c r="J4431" s="76" t="b">
        <v>0</v>
      </c>
      <c r="K4431" s="76" t="b">
        <v>0</v>
      </c>
      <c r="L4431" s="76" t="b">
        <v>0</v>
      </c>
      <c r="M4431" s="76" t="b">
        <v>0</v>
      </c>
      <c r="N4431" s="76" t="b">
        <v>0</v>
      </c>
      <c r="O4431" s="76" t="b">
        <v>0</v>
      </c>
      <c r="P4431" s="76" t="b">
        <v>0</v>
      </c>
      <c r="Q4431" s="76" t="b">
        <v>0</v>
      </c>
      <c r="R4431" s="14"/>
      <c r="S4431" s="14"/>
      <c r="T4431" s="14"/>
      <c r="U4431" s="14"/>
      <c r="V4431" s="14"/>
      <c r="W4431" s="14"/>
    </row>
    <row r="4432" ht="31.5" customHeight="1">
      <c r="A4432" s="158"/>
      <c r="B4432" s="159"/>
      <c r="C4432" s="160"/>
      <c r="D4432" s="130"/>
      <c r="E4432" s="130"/>
      <c r="F4432" s="161"/>
      <c r="G4432" s="164"/>
      <c r="H4432" s="76" t="b">
        <v>1</v>
      </c>
      <c r="I4432" s="76" t="b">
        <v>0</v>
      </c>
      <c r="J4432" s="76" t="b">
        <v>0</v>
      </c>
      <c r="K4432" s="76" t="b">
        <v>0</v>
      </c>
      <c r="L4432" s="76" t="b">
        <v>0</v>
      </c>
      <c r="M4432" s="76" t="b">
        <v>0</v>
      </c>
      <c r="N4432" s="76" t="b">
        <v>0</v>
      </c>
      <c r="O4432" s="76" t="b">
        <v>0</v>
      </c>
      <c r="P4432" s="76" t="b">
        <v>0</v>
      </c>
      <c r="Q4432" s="76" t="b">
        <v>0</v>
      </c>
      <c r="R4432" s="14"/>
      <c r="S4432" s="14"/>
      <c r="T4432" s="14"/>
      <c r="U4432" s="14"/>
      <c r="V4432" s="14"/>
      <c r="W4432" s="14"/>
    </row>
    <row r="4433" ht="31.5" customHeight="1">
      <c r="A4433" s="158"/>
      <c r="B4433" s="159"/>
      <c r="C4433" s="160"/>
      <c r="D4433" s="130"/>
      <c r="E4433" s="130"/>
      <c r="F4433" s="161"/>
      <c r="G4433" s="164"/>
      <c r="H4433" s="76" t="b">
        <v>1</v>
      </c>
      <c r="I4433" s="76" t="b">
        <v>0</v>
      </c>
      <c r="J4433" s="76" t="b">
        <v>0</v>
      </c>
      <c r="K4433" s="76" t="b">
        <v>0</v>
      </c>
      <c r="L4433" s="76" t="b">
        <v>0</v>
      </c>
      <c r="M4433" s="76" t="b">
        <v>0</v>
      </c>
      <c r="N4433" s="76" t="b">
        <v>0</v>
      </c>
      <c r="O4433" s="76" t="b">
        <v>0</v>
      </c>
      <c r="P4433" s="76" t="b">
        <v>0</v>
      </c>
      <c r="Q4433" s="76" t="b">
        <v>0</v>
      </c>
      <c r="R4433" s="14"/>
      <c r="S4433" s="14"/>
      <c r="T4433" s="14"/>
      <c r="U4433" s="14"/>
      <c r="V4433" s="14"/>
      <c r="W4433" s="14"/>
    </row>
    <row r="4434" ht="31.5" customHeight="1">
      <c r="A4434" s="158"/>
      <c r="B4434" s="159"/>
      <c r="C4434" s="160"/>
      <c r="D4434" s="130"/>
      <c r="E4434" s="130"/>
      <c r="F4434" s="161"/>
      <c r="G4434" s="164"/>
      <c r="H4434" s="76" t="b">
        <v>1</v>
      </c>
      <c r="I4434" s="76" t="b">
        <v>0</v>
      </c>
      <c r="J4434" s="76" t="b">
        <v>0</v>
      </c>
      <c r="K4434" s="76" t="b">
        <v>0</v>
      </c>
      <c r="L4434" s="76" t="b">
        <v>0</v>
      </c>
      <c r="M4434" s="76" t="b">
        <v>0</v>
      </c>
      <c r="N4434" s="76" t="b">
        <v>0</v>
      </c>
      <c r="O4434" s="76" t="b">
        <v>0</v>
      </c>
      <c r="P4434" s="76" t="b">
        <v>0</v>
      </c>
      <c r="Q4434" s="76" t="b">
        <v>0</v>
      </c>
      <c r="R4434" s="14"/>
      <c r="S4434" s="14"/>
      <c r="T4434" s="14"/>
      <c r="U4434" s="14"/>
      <c r="V4434" s="14"/>
      <c r="W4434" s="14"/>
    </row>
    <row r="4435" ht="31.5" customHeight="1">
      <c r="A4435" s="158"/>
      <c r="B4435" s="159"/>
      <c r="C4435" s="160"/>
      <c r="D4435" s="130"/>
      <c r="E4435" s="130"/>
      <c r="F4435" s="161"/>
      <c r="G4435" s="164"/>
      <c r="H4435" s="76" t="b">
        <v>1</v>
      </c>
      <c r="I4435" s="76" t="b">
        <v>0</v>
      </c>
      <c r="J4435" s="76" t="b">
        <v>0</v>
      </c>
      <c r="K4435" s="76" t="b">
        <v>0</v>
      </c>
      <c r="L4435" s="76" t="b">
        <v>0</v>
      </c>
      <c r="M4435" s="76" t="b">
        <v>0</v>
      </c>
      <c r="N4435" s="76" t="b">
        <v>0</v>
      </c>
      <c r="O4435" s="76" t="b">
        <v>0</v>
      </c>
      <c r="P4435" s="76" t="b">
        <v>0</v>
      </c>
      <c r="Q4435" s="76" t="b">
        <v>0</v>
      </c>
      <c r="R4435" s="14"/>
      <c r="S4435" s="14"/>
      <c r="T4435" s="14"/>
      <c r="U4435" s="14"/>
      <c r="V4435" s="14"/>
      <c r="W4435" s="14"/>
    </row>
    <row r="4436" ht="31.5" customHeight="1">
      <c r="A4436" s="158"/>
      <c r="B4436" s="159"/>
      <c r="C4436" s="160"/>
      <c r="D4436" s="130"/>
      <c r="E4436" s="130"/>
      <c r="F4436" s="161"/>
      <c r="G4436" s="164"/>
      <c r="H4436" s="76" t="b">
        <v>1</v>
      </c>
      <c r="I4436" s="76" t="b">
        <v>0</v>
      </c>
      <c r="J4436" s="76" t="b">
        <v>0</v>
      </c>
      <c r="K4436" s="76" t="b">
        <v>0</v>
      </c>
      <c r="L4436" s="76" t="b">
        <v>0</v>
      </c>
      <c r="M4436" s="76" t="b">
        <v>0</v>
      </c>
      <c r="N4436" s="76" t="b">
        <v>0</v>
      </c>
      <c r="O4436" s="76" t="b">
        <v>0</v>
      </c>
      <c r="P4436" s="76" t="b">
        <v>0</v>
      </c>
      <c r="Q4436" s="76" t="b">
        <v>0</v>
      </c>
      <c r="R4436" s="14"/>
      <c r="S4436" s="14"/>
      <c r="T4436" s="14"/>
      <c r="U4436" s="14"/>
      <c r="V4436" s="14"/>
      <c r="W4436" s="14"/>
    </row>
    <row r="4437" ht="31.5" customHeight="1">
      <c r="A4437" s="158"/>
      <c r="B4437" s="159"/>
      <c r="C4437" s="160"/>
      <c r="D4437" s="130"/>
      <c r="E4437" s="130"/>
      <c r="F4437" s="161"/>
      <c r="G4437" s="164"/>
      <c r="H4437" s="76" t="b">
        <v>1</v>
      </c>
      <c r="I4437" s="76" t="b">
        <v>0</v>
      </c>
      <c r="J4437" s="76" t="b">
        <v>0</v>
      </c>
      <c r="K4437" s="76" t="b">
        <v>0</v>
      </c>
      <c r="L4437" s="76" t="b">
        <v>0</v>
      </c>
      <c r="M4437" s="76" t="b">
        <v>0</v>
      </c>
      <c r="N4437" s="76" t="b">
        <v>0</v>
      </c>
      <c r="O4437" s="76" t="b">
        <v>0</v>
      </c>
      <c r="P4437" s="76" t="b">
        <v>0</v>
      </c>
      <c r="Q4437" s="76" t="b">
        <v>0</v>
      </c>
      <c r="R4437" s="14"/>
      <c r="S4437" s="14"/>
      <c r="T4437" s="14"/>
      <c r="U4437" s="14"/>
      <c r="V4437" s="14"/>
      <c r="W4437" s="14"/>
    </row>
    <row r="4438" ht="31.5" customHeight="1">
      <c r="A4438" s="158"/>
      <c r="B4438" s="159"/>
      <c r="C4438" s="160"/>
      <c r="D4438" s="130"/>
      <c r="E4438" s="130"/>
      <c r="F4438" s="161"/>
      <c r="G4438" s="164"/>
      <c r="H4438" s="76" t="b">
        <v>1</v>
      </c>
      <c r="I4438" s="76" t="b">
        <v>0</v>
      </c>
      <c r="J4438" s="76" t="b">
        <v>0</v>
      </c>
      <c r="K4438" s="76" t="b">
        <v>0</v>
      </c>
      <c r="L4438" s="76" t="b">
        <v>0</v>
      </c>
      <c r="M4438" s="76" t="b">
        <v>0</v>
      </c>
      <c r="N4438" s="76" t="b">
        <v>0</v>
      </c>
      <c r="O4438" s="76" t="b">
        <v>0</v>
      </c>
      <c r="P4438" s="76" t="b">
        <v>0</v>
      </c>
      <c r="Q4438" s="76" t="b">
        <v>0</v>
      </c>
      <c r="R4438" s="14"/>
      <c r="S4438" s="14"/>
      <c r="T4438" s="14"/>
      <c r="U4438" s="14"/>
      <c r="V4438" s="14"/>
      <c r="W4438" s="14"/>
    </row>
    <row r="4439" ht="31.5" customHeight="1">
      <c r="A4439" s="158"/>
      <c r="B4439" s="159"/>
      <c r="C4439" s="160"/>
      <c r="D4439" s="130"/>
      <c r="E4439" s="130"/>
      <c r="F4439" s="161"/>
      <c r="G4439" s="164"/>
      <c r="H4439" s="76" t="b">
        <v>1</v>
      </c>
      <c r="I4439" s="76" t="b">
        <v>0</v>
      </c>
      <c r="J4439" s="76" t="b">
        <v>0</v>
      </c>
      <c r="K4439" s="76" t="b">
        <v>0</v>
      </c>
      <c r="L4439" s="76" t="b">
        <v>0</v>
      </c>
      <c r="M4439" s="76" t="b">
        <v>0</v>
      </c>
      <c r="N4439" s="76" t="b">
        <v>0</v>
      </c>
      <c r="O4439" s="76" t="b">
        <v>0</v>
      </c>
      <c r="P4439" s="76" t="b">
        <v>0</v>
      </c>
      <c r="Q4439" s="76" t="b">
        <v>0</v>
      </c>
      <c r="R4439" s="14"/>
      <c r="S4439" s="14"/>
      <c r="T4439" s="14"/>
      <c r="U4439" s="14"/>
      <c r="V4439" s="14"/>
      <c r="W4439" s="14"/>
    </row>
    <row r="4440" ht="31.5" customHeight="1">
      <c r="A4440" s="158"/>
      <c r="B4440" s="159"/>
      <c r="C4440" s="160"/>
      <c r="D4440" s="130"/>
      <c r="E4440" s="130"/>
      <c r="F4440" s="161"/>
      <c r="G4440" s="164"/>
      <c r="H4440" s="76" t="b">
        <v>1</v>
      </c>
      <c r="I4440" s="76" t="b">
        <v>0</v>
      </c>
      <c r="J4440" s="76" t="b">
        <v>0</v>
      </c>
      <c r="K4440" s="76" t="b">
        <v>0</v>
      </c>
      <c r="L4440" s="76" t="b">
        <v>0</v>
      </c>
      <c r="M4440" s="76" t="b">
        <v>0</v>
      </c>
      <c r="N4440" s="76" t="b">
        <v>0</v>
      </c>
      <c r="O4440" s="76" t="b">
        <v>0</v>
      </c>
      <c r="P4440" s="76" t="b">
        <v>0</v>
      </c>
      <c r="Q4440" s="76" t="b">
        <v>0</v>
      </c>
      <c r="R4440" s="14"/>
      <c r="S4440" s="14"/>
      <c r="T4440" s="14"/>
      <c r="U4440" s="14"/>
      <c r="V4440" s="14"/>
      <c r="W4440" s="14"/>
    </row>
    <row r="4441" ht="31.5" customHeight="1">
      <c r="A4441" s="158"/>
      <c r="B4441" s="159"/>
      <c r="C4441" s="160"/>
      <c r="D4441" s="130"/>
      <c r="E4441" s="130"/>
      <c r="F4441" s="161"/>
      <c r="G4441" s="164"/>
      <c r="H4441" s="76" t="b">
        <v>1</v>
      </c>
      <c r="I4441" s="76" t="b">
        <v>0</v>
      </c>
      <c r="J4441" s="76" t="b">
        <v>0</v>
      </c>
      <c r="K4441" s="76" t="b">
        <v>0</v>
      </c>
      <c r="L4441" s="76" t="b">
        <v>0</v>
      </c>
      <c r="M4441" s="76" t="b">
        <v>0</v>
      </c>
      <c r="N4441" s="76" t="b">
        <v>0</v>
      </c>
      <c r="O4441" s="76" t="b">
        <v>0</v>
      </c>
      <c r="P4441" s="76" t="b">
        <v>0</v>
      </c>
      <c r="Q4441" s="76" t="b">
        <v>0</v>
      </c>
      <c r="R4441" s="14"/>
      <c r="S4441" s="14"/>
      <c r="T4441" s="14"/>
      <c r="U4441" s="14"/>
      <c r="V4441" s="14"/>
      <c r="W4441" s="14"/>
    </row>
    <row r="4442" ht="31.5" customHeight="1">
      <c r="A4442" s="158"/>
      <c r="B4442" s="159"/>
      <c r="C4442" s="160"/>
      <c r="D4442" s="130"/>
      <c r="E4442" s="130"/>
      <c r="F4442" s="161"/>
      <c r="G4442" s="164"/>
      <c r="H4442" s="76" t="b">
        <v>1</v>
      </c>
      <c r="I4442" s="76" t="b">
        <v>0</v>
      </c>
      <c r="J4442" s="76" t="b">
        <v>0</v>
      </c>
      <c r="K4442" s="76" t="b">
        <v>0</v>
      </c>
      <c r="L4442" s="76" t="b">
        <v>0</v>
      </c>
      <c r="M4442" s="76" t="b">
        <v>0</v>
      </c>
      <c r="N4442" s="76" t="b">
        <v>0</v>
      </c>
      <c r="O4442" s="76" t="b">
        <v>0</v>
      </c>
      <c r="P4442" s="76" t="b">
        <v>0</v>
      </c>
      <c r="Q4442" s="76" t="b">
        <v>0</v>
      </c>
      <c r="R4442" s="14"/>
      <c r="S4442" s="14"/>
      <c r="T4442" s="14"/>
      <c r="U4442" s="14"/>
      <c r="V4442" s="14"/>
      <c r="W4442" s="14"/>
    </row>
    <row r="4443" ht="31.5" customHeight="1">
      <c r="A4443" s="158"/>
      <c r="B4443" s="159"/>
      <c r="C4443" s="160"/>
      <c r="D4443" s="130"/>
      <c r="E4443" s="130"/>
      <c r="F4443" s="161"/>
      <c r="G4443" s="164"/>
      <c r="H4443" s="76" t="b">
        <v>1</v>
      </c>
      <c r="I4443" s="76" t="b">
        <v>0</v>
      </c>
      <c r="J4443" s="76" t="b">
        <v>0</v>
      </c>
      <c r="K4443" s="76" t="b">
        <v>0</v>
      </c>
      <c r="L4443" s="76" t="b">
        <v>0</v>
      </c>
      <c r="M4443" s="76" t="b">
        <v>0</v>
      </c>
      <c r="N4443" s="76" t="b">
        <v>0</v>
      </c>
      <c r="O4443" s="76" t="b">
        <v>0</v>
      </c>
      <c r="P4443" s="76" t="b">
        <v>0</v>
      </c>
      <c r="Q4443" s="76" t="b">
        <v>0</v>
      </c>
      <c r="R4443" s="14"/>
      <c r="S4443" s="14"/>
      <c r="T4443" s="14"/>
      <c r="U4443" s="14"/>
      <c r="V4443" s="14"/>
      <c r="W4443" s="14"/>
    </row>
    <row r="4444" ht="31.5" customHeight="1">
      <c r="A4444" s="158"/>
      <c r="B4444" s="159"/>
      <c r="C4444" s="160"/>
      <c r="D4444" s="130"/>
      <c r="E4444" s="130"/>
      <c r="F4444" s="161"/>
      <c r="G4444" s="164"/>
      <c r="H4444" s="76" t="b">
        <v>1</v>
      </c>
      <c r="I4444" s="76" t="b">
        <v>0</v>
      </c>
      <c r="J4444" s="76" t="b">
        <v>0</v>
      </c>
      <c r="K4444" s="76" t="b">
        <v>0</v>
      </c>
      <c r="L4444" s="76" t="b">
        <v>0</v>
      </c>
      <c r="M4444" s="76" t="b">
        <v>0</v>
      </c>
      <c r="N4444" s="76" t="b">
        <v>0</v>
      </c>
      <c r="O4444" s="76" t="b">
        <v>0</v>
      </c>
      <c r="P4444" s="76" t="b">
        <v>0</v>
      </c>
      <c r="Q4444" s="76" t="b">
        <v>0</v>
      </c>
      <c r="R4444" s="14"/>
      <c r="S4444" s="14"/>
      <c r="T4444" s="14"/>
      <c r="U4444" s="14"/>
      <c r="V4444" s="14"/>
      <c r="W4444" s="14"/>
    </row>
    <row r="4445" ht="31.5" customHeight="1">
      <c r="A4445" s="158"/>
      <c r="B4445" s="159"/>
      <c r="C4445" s="160"/>
      <c r="D4445" s="130"/>
      <c r="E4445" s="130"/>
      <c r="F4445" s="161"/>
      <c r="G4445" s="164"/>
      <c r="H4445" s="76" t="b">
        <v>1</v>
      </c>
      <c r="I4445" s="76" t="b">
        <v>0</v>
      </c>
      <c r="J4445" s="76" t="b">
        <v>0</v>
      </c>
      <c r="K4445" s="76" t="b">
        <v>0</v>
      </c>
      <c r="L4445" s="76" t="b">
        <v>0</v>
      </c>
      <c r="M4445" s="76" t="b">
        <v>0</v>
      </c>
      <c r="N4445" s="76" t="b">
        <v>0</v>
      </c>
      <c r="O4445" s="76" t="b">
        <v>0</v>
      </c>
      <c r="P4445" s="76" t="b">
        <v>0</v>
      </c>
      <c r="Q4445" s="76" t="b">
        <v>0</v>
      </c>
      <c r="R4445" s="14"/>
      <c r="S4445" s="14"/>
      <c r="T4445" s="14"/>
      <c r="U4445" s="14"/>
      <c r="V4445" s="14"/>
      <c r="W4445" s="14"/>
    </row>
    <row r="4446" ht="31.5" customHeight="1">
      <c r="A4446" s="158"/>
      <c r="B4446" s="159"/>
      <c r="C4446" s="160"/>
      <c r="D4446" s="130"/>
      <c r="E4446" s="130"/>
      <c r="F4446" s="161"/>
      <c r="G4446" s="164"/>
      <c r="H4446" s="76" t="b">
        <v>1</v>
      </c>
      <c r="I4446" s="76" t="b">
        <v>0</v>
      </c>
      <c r="J4446" s="76" t="b">
        <v>0</v>
      </c>
      <c r="K4446" s="76" t="b">
        <v>0</v>
      </c>
      <c r="L4446" s="76" t="b">
        <v>0</v>
      </c>
      <c r="M4446" s="76" t="b">
        <v>0</v>
      </c>
      <c r="N4446" s="76" t="b">
        <v>0</v>
      </c>
      <c r="O4446" s="76" t="b">
        <v>0</v>
      </c>
      <c r="P4446" s="76" t="b">
        <v>0</v>
      </c>
      <c r="Q4446" s="76" t="b">
        <v>0</v>
      </c>
      <c r="R4446" s="14"/>
      <c r="S4446" s="14"/>
      <c r="T4446" s="14"/>
      <c r="U4446" s="14"/>
      <c r="V4446" s="14"/>
      <c r="W4446" s="14"/>
    </row>
    <row r="4447" ht="31.5" customHeight="1">
      <c r="A4447" s="158"/>
      <c r="B4447" s="159"/>
      <c r="C4447" s="160"/>
      <c r="D4447" s="130"/>
      <c r="E4447" s="130"/>
      <c r="F4447" s="161"/>
      <c r="G4447" s="164"/>
      <c r="H4447" s="76" t="b">
        <v>1</v>
      </c>
      <c r="I4447" s="76" t="b">
        <v>0</v>
      </c>
      <c r="J4447" s="76" t="b">
        <v>0</v>
      </c>
      <c r="K4447" s="76" t="b">
        <v>0</v>
      </c>
      <c r="L4447" s="76" t="b">
        <v>0</v>
      </c>
      <c r="M4447" s="76" t="b">
        <v>0</v>
      </c>
      <c r="N4447" s="76" t="b">
        <v>0</v>
      </c>
      <c r="O4447" s="76" t="b">
        <v>0</v>
      </c>
      <c r="P4447" s="76" t="b">
        <v>0</v>
      </c>
      <c r="Q4447" s="76" t="b">
        <v>0</v>
      </c>
      <c r="R4447" s="14"/>
      <c r="S4447" s="14"/>
      <c r="T4447" s="14"/>
      <c r="U4447" s="14"/>
      <c r="V4447" s="14"/>
      <c r="W4447" s="14"/>
    </row>
    <row r="4448" ht="31.5" customHeight="1">
      <c r="A4448" s="158"/>
      <c r="B4448" s="159"/>
      <c r="C4448" s="160"/>
      <c r="D4448" s="130"/>
      <c r="E4448" s="130"/>
      <c r="F4448" s="161"/>
      <c r="G4448" s="164"/>
      <c r="H4448" s="76" t="b">
        <v>1</v>
      </c>
      <c r="I4448" s="76" t="b">
        <v>0</v>
      </c>
      <c r="J4448" s="76" t="b">
        <v>0</v>
      </c>
      <c r="K4448" s="76" t="b">
        <v>0</v>
      </c>
      <c r="L4448" s="76" t="b">
        <v>0</v>
      </c>
      <c r="M4448" s="76" t="b">
        <v>0</v>
      </c>
      <c r="N4448" s="76" t="b">
        <v>0</v>
      </c>
      <c r="O4448" s="76" t="b">
        <v>0</v>
      </c>
      <c r="P4448" s="76" t="b">
        <v>0</v>
      </c>
      <c r="Q4448" s="76" t="b">
        <v>0</v>
      </c>
      <c r="R4448" s="14"/>
      <c r="S4448" s="14"/>
      <c r="T4448" s="14"/>
      <c r="U4448" s="14"/>
      <c r="V4448" s="14"/>
      <c r="W4448" s="14"/>
    </row>
    <row r="4449" ht="31.5" customHeight="1">
      <c r="A4449" s="158"/>
      <c r="B4449" s="159"/>
      <c r="C4449" s="160"/>
      <c r="D4449" s="130"/>
      <c r="E4449" s="130"/>
      <c r="F4449" s="161"/>
      <c r="G4449" s="164"/>
      <c r="H4449" s="76" t="b">
        <v>1</v>
      </c>
      <c r="I4449" s="76" t="b">
        <v>0</v>
      </c>
      <c r="J4449" s="76" t="b">
        <v>0</v>
      </c>
      <c r="K4449" s="76" t="b">
        <v>0</v>
      </c>
      <c r="L4449" s="76" t="b">
        <v>0</v>
      </c>
      <c r="M4449" s="76" t="b">
        <v>0</v>
      </c>
      <c r="N4449" s="76" t="b">
        <v>0</v>
      </c>
      <c r="O4449" s="76" t="b">
        <v>0</v>
      </c>
      <c r="P4449" s="76" t="b">
        <v>0</v>
      </c>
      <c r="Q4449" s="76" t="b">
        <v>0</v>
      </c>
      <c r="R4449" s="14"/>
      <c r="S4449" s="14"/>
      <c r="T4449" s="14"/>
      <c r="U4449" s="14"/>
      <c r="V4449" s="14"/>
      <c r="W4449" s="14"/>
    </row>
    <row r="4450" ht="31.5" customHeight="1">
      <c r="A4450" s="158"/>
      <c r="B4450" s="159"/>
      <c r="C4450" s="160"/>
      <c r="D4450" s="130"/>
      <c r="E4450" s="130"/>
      <c r="F4450" s="161"/>
      <c r="G4450" s="164"/>
      <c r="H4450" s="76" t="b">
        <v>1</v>
      </c>
      <c r="I4450" s="76" t="b">
        <v>0</v>
      </c>
      <c r="J4450" s="76" t="b">
        <v>0</v>
      </c>
      <c r="K4450" s="76" t="b">
        <v>0</v>
      </c>
      <c r="L4450" s="76" t="b">
        <v>0</v>
      </c>
      <c r="M4450" s="76" t="b">
        <v>0</v>
      </c>
      <c r="N4450" s="76" t="b">
        <v>0</v>
      </c>
      <c r="O4450" s="76" t="b">
        <v>0</v>
      </c>
      <c r="P4450" s="76" t="b">
        <v>0</v>
      </c>
      <c r="Q4450" s="76" t="b">
        <v>0</v>
      </c>
      <c r="R4450" s="14"/>
      <c r="S4450" s="14"/>
      <c r="T4450" s="14"/>
      <c r="U4450" s="14"/>
      <c r="V4450" s="14"/>
      <c r="W4450" s="14"/>
    </row>
    <row r="4451" ht="31.5" customHeight="1">
      <c r="A4451" s="158"/>
      <c r="B4451" s="159"/>
      <c r="C4451" s="160"/>
      <c r="D4451" s="130"/>
      <c r="E4451" s="130"/>
      <c r="F4451" s="161"/>
      <c r="G4451" s="164"/>
      <c r="H4451" s="76" t="b">
        <v>1</v>
      </c>
      <c r="I4451" s="76" t="b">
        <v>0</v>
      </c>
      <c r="J4451" s="76" t="b">
        <v>0</v>
      </c>
      <c r="K4451" s="76" t="b">
        <v>0</v>
      </c>
      <c r="L4451" s="76" t="b">
        <v>0</v>
      </c>
      <c r="M4451" s="76" t="b">
        <v>0</v>
      </c>
      <c r="N4451" s="76" t="b">
        <v>0</v>
      </c>
      <c r="O4451" s="76" t="b">
        <v>0</v>
      </c>
      <c r="P4451" s="76" t="b">
        <v>0</v>
      </c>
      <c r="Q4451" s="76" t="b">
        <v>0</v>
      </c>
      <c r="R4451" s="14"/>
      <c r="S4451" s="14"/>
      <c r="T4451" s="14"/>
      <c r="U4451" s="14"/>
      <c r="V4451" s="14"/>
      <c r="W4451" s="14"/>
    </row>
    <row r="4452" ht="31.5" customHeight="1">
      <c r="A4452" s="158"/>
      <c r="B4452" s="159"/>
      <c r="C4452" s="160"/>
      <c r="D4452" s="130"/>
      <c r="E4452" s="130"/>
      <c r="F4452" s="161"/>
      <c r="G4452" s="164"/>
      <c r="H4452" s="76" t="b">
        <v>1</v>
      </c>
      <c r="I4452" s="76" t="b">
        <v>0</v>
      </c>
      <c r="J4452" s="76" t="b">
        <v>0</v>
      </c>
      <c r="K4452" s="76" t="b">
        <v>0</v>
      </c>
      <c r="L4452" s="76" t="b">
        <v>0</v>
      </c>
      <c r="M4452" s="76" t="b">
        <v>0</v>
      </c>
      <c r="N4452" s="76" t="b">
        <v>0</v>
      </c>
      <c r="O4452" s="76" t="b">
        <v>0</v>
      </c>
      <c r="P4452" s="76" t="b">
        <v>0</v>
      </c>
      <c r="Q4452" s="76" t="b">
        <v>0</v>
      </c>
      <c r="R4452" s="14"/>
      <c r="S4452" s="14"/>
      <c r="T4452" s="14"/>
      <c r="U4452" s="14"/>
      <c r="V4452" s="14"/>
      <c r="W4452" s="14"/>
    </row>
    <row r="4453" ht="31.5" customHeight="1">
      <c r="A4453" s="158"/>
      <c r="B4453" s="159"/>
      <c r="C4453" s="160"/>
      <c r="D4453" s="130"/>
      <c r="E4453" s="130"/>
      <c r="F4453" s="161"/>
      <c r="G4453" s="164"/>
      <c r="H4453" s="76" t="b">
        <v>1</v>
      </c>
      <c r="I4453" s="76" t="b">
        <v>0</v>
      </c>
      <c r="J4453" s="76" t="b">
        <v>0</v>
      </c>
      <c r="K4453" s="76" t="b">
        <v>0</v>
      </c>
      <c r="L4453" s="76" t="b">
        <v>0</v>
      </c>
      <c r="M4453" s="76" t="b">
        <v>0</v>
      </c>
      <c r="N4453" s="76" t="b">
        <v>0</v>
      </c>
      <c r="O4453" s="76" t="b">
        <v>0</v>
      </c>
      <c r="P4453" s="76" t="b">
        <v>0</v>
      </c>
      <c r="Q4453" s="76" t="b">
        <v>0</v>
      </c>
      <c r="R4453" s="14"/>
      <c r="S4453" s="14"/>
      <c r="T4453" s="14"/>
      <c r="U4453" s="14"/>
      <c r="V4453" s="14"/>
      <c r="W4453" s="14"/>
    </row>
    <row r="4454" ht="31.5" customHeight="1">
      <c r="A4454" s="158"/>
      <c r="B4454" s="159"/>
      <c r="C4454" s="160"/>
      <c r="D4454" s="130"/>
      <c r="E4454" s="130"/>
      <c r="F4454" s="161"/>
      <c r="G4454" s="164"/>
      <c r="H4454" s="76" t="b">
        <v>1</v>
      </c>
      <c r="I4454" s="76" t="b">
        <v>0</v>
      </c>
      <c r="J4454" s="76" t="b">
        <v>0</v>
      </c>
      <c r="K4454" s="76" t="b">
        <v>0</v>
      </c>
      <c r="L4454" s="76" t="b">
        <v>0</v>
      </c>
      <c r="M4454" s="76" t="b">
        <v>0</v>
      </c>
      <c r="N4454" s="76" t="b">
        <v>0</v>
      </c>
      <c r="O4454" s="76" t="b">
        <v>0</v>
      </c>
      <c r="P4454" s="76" t="b">
        <v>0</v>
      </c>
      <c r="Q4454" s="76" t="b">
        <v>0</v>
      </c>
      <c r="R4454" s="14"/>
      <c r="S4454" s="14"/>
      <c r="T4454" s="14"/>
      <c r="U4454" s="14"/>
      <c r="V4454" s="14"/>
      <c r="W4454" s="14"/>
    </row>
    <row r="4455" ht="31.5" customHeight="1">
      <c r="A4455" s="158"/>
      <c r="B4455" s="159"/>
      <c r="C4455" s="160"/>
      <c r="D4455" s="130"/>
      <c r="E4455" s="130"/>
      <c r="F4455" s="161"/>
      <c r="G4455" s="164"/>
      <c r="H4455" s="76" t="b">
        <v>1</v>
      </c>
      <c r="I4455" s="76" t="b">
        <v>0</v>
      </c>
      <c r="J4455" s="76" t="b">
        <v>0</v>
      </c>
      <c r="K4455" s="76" t="b">
        <v>0</v>
      </c>
      <c r="L4455" s="76" t="b">
        <v>0</v>
      </c>
      <c r="M4455" s="76" t="b">
        <v>0</v>
      </c>
      <c r="N4455" s="76" t="b">
        <v>0</v>
      </c>
      <c r="O4455" s="76" t="b">
        <v>0</v>
      </c>
      <c r="P4455" s="76" t="b">
        <v>0</v>
      </c>
      <c r="Q4455" s="76" t="b">
        <v>0</v>
      </c>
      <c r="R4455" s="14"/>
      <c r="S4455" s="14"/>
      <c r="T4455" s="14"/>
      <c r="U4455" s="14"/>
      <c r="V4455" s="14"/>
      <c r="W4455" s="14"/>
    </row>
    <row r="4456" ht="31.5" customHeight="1">
      <c r="A4456" s="158"/>
      <c r="B4456" s="159"/>
      <c r="C4456" s="160"/>
      <c r="D4456" s="130"/>
      <c r="E4456" s="130"/>
      <c r="F4456" s="161"/>
      <c r="G4456" s="164"/>
      <c r="H4456" s="76" t="b">
        <v>1</v>
      </c>
      <c r="I4456" s="76" t="b">
        <v>0</v>
      </c>
      <c r="J4456" s="76" t="b">
        <v>0</v>
      </c>
      <c r="K4456" s="76" t="b">
        <v>0</v>
      </c>
      <c r="L4456" s="76" t="b">
        <v>0</v>
      </c>
      <c r="M4456" s="76" t="b">
        <v>0</v>
      </c>
      <c r="N4456" s="76" t="b">
        <v>0</v>
      </c>
      <c r="O4456" s="76" t="b">
        <v>0</v>
      </c>
      <c r="P4456" s="76" t="b">
        <v>0</v>
      </c>
      <c r="Q4456" s="76" t="b">
        <v>0</v>
      </c>
      <c r="R4456" s="14"/>
      <c r="S4456" s="14"/>
      <c r="T4456" s="14"/>
      <c r="U4456" s="14"/>
      <c r="V4456" s="14"/>
      <c r="W4456" s="14"/>
    </row>
    <row r="4457" ht="31.5" customHeight="1">
      <c r="A4457" s="158"/>
      <c r="B4457" s="159"/>
      <c r="C4457" s="160"/>
      <c r="D4457" s="130"/>
      <c r="E4457" s="130"/>
      <c r="F4457" s="161"/>
      <c r="G4457" s="164"/>
      <c r="H4457" s="76" t="b">
        <v>1</v>
      </c>
      <c r="I4457" s="76" t="b">
        <v>0</v>
      </c>
      <c r="J4457" s="76" t="b">
        <v>0</v>
      </c>
      <c r="K4457" s="76" t="b">
        <v>0</v>
      </c>
      <c r="L4457" s="76" t="b">
        <v>0</v>
      </c>
      <c r="M4457" s="76" t="b">
        <v>0</v>
      </c>
      <c r="N4457" s="76" t="b">
        <v>0</v>
      </c>
      <c r="O4457" s="76" t="b">
        <v>0</v>
      </c>
      <c r="P4457" s="76" t="b">
        <v>0</v>
      </c>
      <c r="Q4457" s="76" t="b">
        <v>0</v>
      </c>
      <c r="R4457" s="14"/>
      <c r="S4457" s="14"/>
      <c r="T4457" s="14"/>
      <c r="U4457" s="14"/>
      <c r="V4457" s="14"/>
      <c r="W4457" s="14"/>
    </row>
    <row r="4458" ht="31.5" customHeight="1">
      <c r="A4458" s="158"/>
      <c r="B4458" s="159"/>
      <c r="C4458" s="160"/>
      <c r="D4458" s="130"/>
      <c r="E4458" s="130"/>
      <c r="F4458" s="161"/>
      <c r="G4458" s="164"/>
      <c r="H4458" s="76" t="b">
        <v>1</v>
      </c>
      <c r="I4458" s="76" t="b">
        <v>0</v>
      </c>
      <c r="J4458" s="76" t="b">
        <v>0</v>
      </c>
      <c r="K4458" s="76" t="b">
        <v>0</v>
      </c>
      <c r="L4458" s="76" t="b">
        <v>0</v>
      </c>
      <c r="M4458" s="76" t="b">
        <v>0</v>
      </c>
      <c r="N4458" s="76" t="b">
        <v>0</v>
      </c>
      <c r="O4458" s="76" t="b">
        <v>0</v>
      </c>
      <c r="P4458" s="76" t="b">
        <v>0</v>
      </c>
      <c r="Q4458" s="76" t="b">
        <v>0</v>
      </c>
      <c r="R4458" s="14"/>
      <c r="S4458" s="14"/>
      <c r="T4458" s="14"/>
      <c r="U4458" s="14"/>
      <c r="V4458" s="14"/>
      <c r="W4458" s="14"/>
    </row>
    <row r="4459" ht="31.5" customHeight="1">
      <c r="A4459" s="158"/>
      <c r="B4459" s="159"/>
      <c r="C4459" s="160"/>
      <c r="D4459" s="130"/>
      <c r="E4459" s="130"/>
      <c r="F4459" s="161"/>
      <c r="G4459" s="164"/>
      <c r="H4459" s="76" t="b">
        <v>1</v>
      </c>
      <c r="I4459" s="76" t="b">
        <v>0</v>
      </c>
      <c r="J4459" s="76" t="b">
        <v>0</v>
      </c>
      <c r="K4459" s="76" t="b">
        <v>0</v>
      </c>
      <c r="L4459" s="76" t="b">
        <v>0</v>
      </c>
      <c r="M4459" s="76" t="b">
        <v>0</v>
      </c>
      <c r="N4459" s="76" t="b">
        <v>0</v>
      </c>
      <c r="O4459" s="76" t="b">
        <v>0</v>
      </c>
      <c r="P4459" s="76" t="b">
        <v>0</v>
      </c>
      <c r="Q4459" s="76" t="b">
        <v>0</v>
      </c>
      <c r="R4459" s="14"/>
      <c r="S4459" s="14"/>
      <c r="T4459" s="14"/>
      <c r="U4459" s="14"/>
      <c r="V4459" s="14"/>
      <c r="W4459" s="14"/>
    </row>
    <row r="4460" ht="31.5" customHeight="1">
      <c r="A4460" s="158"/>
      <c r="B4460" s="159"/>
      <c r="C4460" s="160"/>
      <c r="D4460" s="130"/>
      <c r="E4460" s="130"/>
      <c r="F4460" s="161"/>
      <c r="G4460" s="164"/>
      <c r="H4460" s="76" t="b">
        <v>1</v>
      </c>
      <c r="I4460" s="76" t="b">
        <v>0</v>
      </c>
      <c r="J4460" s="76" t="b">
        <v>0</v>
      </c>
      <c r="K4460" s="76" t="b">
        <v>0</v>
      </c>
      <c r="L4460" s="76" t="b">
        <v>0</v>
      </c>
      <c r="M4460" s="76" t="b">
        <v>0</v>
      </c>
      <c r="N4460" s="76" t="b">
        <v>0</v>
      </c>
      <c r="O4460" s="76" t="b">
        <v>0</v>
      </c>
      <c r="P4460" s="76" t="b">
        <v>0</v>
      </c>
      <c r="Q4460" s="76" t="b">
        <v>0</v>
      </c>
      <c r="R4460" s="14"/>
      <c r="S4460" s="14"/>
      <c r="T4460" s="14"/>
      <c r="U4460" s="14"/>
      <c r="V4460" s="14"/>
      <c r="W4460" s="14"/>
    </row>
    <row r="4461" ht="31.5" customHeight="1">
      <c r="A4461" s="158"/>
      <c r="B4461" s="159"/>
      <c r="C4461" s="160"/>
      <c r="D4461" s="130"/>
      <c r="E4461" s="130"/>
      <c r="F4461" s="161"/>
      <c r="G4461" s="164"/>
      <c r="H4461" s="76" t="b">
        <v>1</v>
      </c>
      <c r="I4461" s="76" t="b">
        <v>0</v>
      </c>
      <c r="J4461" s="76" t="b">
        <v>0</v>
      </c>
      <c r="K4461" s="76" t="b">
        <v>0</v>
      </c>
      <c r="L4461" s="76" t="b">
        <v>0</v>
      </c>
      <c r="M4461" s="76" t="b">
        <v>0</v>
      </c>
      <c r="N4461" s="76" t="b">
        <v>0</v>
      </c>
      <c r="O4461" s="76" t="b">
        <v>0</v>
      </c>
      <c r="P4461" s="76" t="b">
        <v>0</v>
      </c>
      <c r="Q4461" s="76" t="b">
        <v>0</v>
      </c>
      <c r="R4461" s="14"/>
      <c r="S4461" s="14"/>
      <c r="T4461" s="14"/>
      <c r="U4461" s="14"/>
      <c r="V4461" s="14"/>
      <c r="W4461" s="14"/>
    </row>
    <row r="4462" ht="31.5" customHeight="1">
      <c r="A4462" s="158"/>
      <c r="B4462" s="159"/>
      <c r="C4462" s="160"/>
      <c r="D4462" s="130"/>
      <c r="E4462" s="130"/>
      <c r="F4462" s="161"/>
      <c r="G4462" s="164"/>
      <c r="H4462" s="76" t="b">
        <v>1</v>
      </c>
      <c r="I4462" s="76" t="b">
        <v>0</v>
      </c>
      <c r="J4462" s="76" t="b">
        <v>0</v>
      </c>
      <c r="K4462" s="76" t="b">
        <v>0</v>
      </c>
      <c r="L4462" s="76" t="b">
        <v>0</v>
      </c>
      <c r="M4462" s="76" t="b">
        <v>0</v>
      </c>
      <c r="N4462" s="76" t="b">
        <v>0</v>
      </c>
      <c r="O4462" s="76" t="b">
        <v>0</v>
      </c>
      <c r="P4462" s="76" t="b">
        <v>0</v>
      </c>
      <c r="Q4462" s="76" t="b">
        <v>0</v>
      </c>
      <c r="R4462" s="14"/>
      <c r="S4462" s="14"/>
      <c r="T4462" s="14"/>
      <c r="U4462" s="14"/>
      <c r="V4462" s="14"/>
      <c r="W4462" s="14"/>
    </row>
    <row r="4463" ht="31.5" customHeight="1">
      <c r="A4463" s="158"/>
      <c r="B4463" s="159"/>
      <c r="C4463" s="160"/>
      <c r="D4463" s="130"/>
      <c r="E4463" s="130"/>
      <c r="F4463" s="161"/>
      <c r="G4463" s="164"/>
      <c r="H4463" s="76" t="b">
        <v>1</v>
      </c>
      <c r="I4463" s="76" t="b">
        <v>0</v>
      </c>
      <c r="J4463" s="76" t="b">
        <v>0</v>
      </c>
      <c r="K4463" s="76" t="b">
        <v>0</v>
      </c>
      <c r="L4463" s="76" t="b">
        <v>0</v>
      </c>
      <c r="M4463" s="76" t="b">
        <v>0</v>
      </c>
      <c r="N4463" s="76" t="b">
        <v>0</v>
      </c>
      <c r="O4463" s="76" t="b">
        <v>0</v>
      </c>
      <c r="P4463" s="76" t="b">
        <v>0</v>
      </c>
      <c r="Q4463" s="76" t="b">
        <v>0</v>
      </c>
      <c r="R4463" s="14"/>
      <c r="S4463" s="14"/>
      <c r="T4463" s="14"/>
      <c r="U4463" s="14"/>
      <c r="V4463" s="14"/>
      <c r="W4463" s="14"/>
    </row>
    <row r="4464" ht="31.5" customHeight="1">
      <c r="A4464" s="158"/>
      <c r="B4464" s="159"/>
      <c r="C4464" s="160"/>
      <c r="D4464" s="130"/>
      <c r="E4464" s="130"/>
      <c r="F4464" s="161"/>
      <c r="G4464" s="164"/>
      <c r="H4464" s="76" t="b">
        <v>1</v>
      </c>
      <c r="I4464" s="76" t="b">
        <v>0</v>
      </c>
      <c r="J4464" s="76" t="b">
        <v>0</v>
      </c>
      <c r="K4464" s="76" t="b">
        <v>0</v>
      </c>
      <c r="L4464" s="76" t="b">
        <v>0</v>
      </c>
      <c r="M4464" s="76" t="b">
        <v>0</v>
      </c>
      <c r="N4464" s="76" t="b">
        <v>0</v>
      </c>
      <c r="O4464" s="76" t="b">
        <v>0</v>
      </c>
      <c r="P4464" s="76" t="b">
        <v>0</v>
      </c>
      <c r="Q4464" s="76" t="b">
        <v>0</v>
      </c>
      <c r="R4464" s="14"/>
      <c r="S4464" s="14"/>
      <c r="T4464" s="14"/>
      <c r="U4464" s="14"/>
      <c r="V4464" s="14"/>
      <c r="W4464" s="14"/>
    </row>
    <row r="4465" ht="31.5" customHeight="1">
      <c r="A4465" s="158"/>
      <c r="B4465" s="159"/>
      <c r="C4465" s="160"/>
      <c r="D4465" s="130"/>
      <c r="E4465" s="130"/>
      <c r="F4465" s="161"/>
      <c r="G4465" s="164"/>
      <c r="H4465" s="76" t="b">
        <v>1</v>
      </c>
      <c r="I4465" s="76" t="b">
        <v>0</v>
      </c>
      <c r="J4465" s="76" t="b">
        <v>0</v>
      </c>
      <c r="K4465" s="76" t="b">
        <v>0</v>
      </c>
      <c r="L4465" s="76" t="b">
        <v>0</v>
      </c>
      <c r="M4465" s="76" t="b">
        <v>0</v>
      </c>
      <c r="N4465" s="76" t="b">
        <v>0</v>
      </c>
      <c r="O4465" s="76" t="b">
        <v>0</v>
      </c>
      <c r="P4465" s="76" t="b">
        <v>0</v>
      </c>
      <c r="Q4465" s="76" t="b">
        <v>0</v>
      </c>
      <c r="R4465" s="14"/>
      <c r="S4465" s="14"/>
      <c r="T4465" s="14"/>
      <c r="U4465" s="14"/>
      <c r="V4465" s="14"/>
      <c r="W4465" s="14"/>
    </row>
    <row r="4466" ht="31.5" customHeight="1">
      <c r="A4466" s="158"/>
      <c r="B4466" s="159"/>
      <c r="C4466" s="160"/>
      <c r="D4466" s="130"/>
      <c r="E4466" s="130"/>
      <c r="F4466" s="161"/>
      <c r="G4466" s="164"/>
      <c r="H4466" s="76" t="b">
        <v>1</v>
      </c>
      <c r="I4466" s="76" t="b">
        <v>0</v>
      </c>
      <c r="J4466" s="76" t="b">
        <v>0</v>
      </c>
      <c r="K4466" s="76" t="b">
        <v>0</v>
      </c>
      <c r="L4466" s="76" t="b">
        <v>0</v>
      </c>
      <c r="M4466" s="76" t="b">
        <v>0</v>
      </c>
      <c r="N4466" s="76" t="b">
        <v>0</v>
      </c>
      <c r="O4466" s="76" t="b">
        <v>0</v>
      </c>
      <c r="P4466" s="76" t="b">
        <v>0</v>
      </c>
      <c r="Q4466" s="76" t="b">
        <v>0</v>
      </c>
      <c r="R4466" s="14"/>
      <c r="S4466" s="14"/>
      <c r="T4466" s="14"/>
      <c r="U4466" s="14"/>
      <c r="V4466" s="14"/>
      <c r="W4466" s="14"/>
    </row>
    <row r="4467" ht="31.5" customHeight="1">
      <c r="A4467" s="158"/>
      <c r="B4467" s="159"/>
      <c r="C4467" s="160"/>
      <c r="D4467" s="130"/>
      <c r="E4467" s="130"/>
      <c r="F4467" s="161"/>
      <c r="G4467" s="164"/>
      <c r="H4467" s="76" t="b">
        <v>1</v>
      </c>
      <c r="I4467" s="76" t="b">
        <v>0</v>
      </c>
      <c r="J4467" s="76" t="b">
        <v>0</v>
      </c>
      <c r="K4467" s="76" t="b">
        <v>0</v>
      </c>
      <c r="L4467" s="76" t="b">
        <v>0</v>
      </c>
      <c r="M4467" s="76" t="b">
        <v>0</v>
      </c>
      <c r="N4467" s="76" t="b">
        <v>0</v>
      </c>
      <c r="O4467" s="76" t="b">
        <v>0</v>
      </c>
      <c r="P4467" s="76" t="b">
        <v>0</v>
      </c>
      <c r="Q4467" s="76" t="b">
        <v>0</v>
      </c>
      <c r="R4467" s="14"/>
      <c r="S4467" s="14"/>
      <c r="T4467" s="14"/>
      <c r="U4467" s="14"/>
      <c r="V4467" s="14"/>
      <c r="W4467" s="14"/>
    </row>
    <row r="4468" ht="31.5" customHeight="1">
      <c r="A4468" s="158"/>
      <c r="B4468" s="159"/>
      <c r="C4468" s="160"/>
      <c r="D4468" s="130"/>
      <c r="E4468" s="130"/>
      <c r="F4468" s="161"/>
      <c r="G4468" s="164"/>
      <c r="H4468" s="76" t="b">
        <v>1</v>
      </c>
      <c r="I4468" s="76" t="b">
        <v>0</v>
      </c>
      <c r="J4468" s="76" t="b">
        <v>0</v>
      </c>
      <c r="K4468" s="76" t="b">
        <v>0</v>
      </c>
      <c r="L4468" s="76" t="b">
        <v>0</v>
      </c>
      <c r="M4468" s="76" t="b">
        <v>0</v>
      </c>
      <c r="N4468" s="76" t="b">
        <v>0</v>
      </c>
      <c r="O4468" s="76" t="b">
        <v>0</v>
      </c>
      <c r="P4468" s="76" t="b">
        <v>0</v>
      </c>
      <c r="Q4468" s="76" t="b">
        <v>0</v>
      </c>
      <c r="R4468" s="14"/>
      <c r="S4468" s="14"/>
      <c r="T4468" s="14"/>
      <c r="U4468" s="14"/>
      <c r="V4468" s="14"/>
      <c r="W4468" s="14"/>
    </row>
    <row r="4469" ht="31.5" customHeight="1">
      <c r="A4469" s="158"/>
      <c r="B4469" s="159"/>
      <c r="C4469" s="160"/>
      <c r="D4469" s="130"/>
      <c r="E4469" s="130"/>
      <c r="F4469" s="161"/>
      <c r="G4469" s="164"/>
      <c r="H4469" s="76" t="b">
        <v>1</v>
      </c>
      <c r="I4469" s="76" t="b">
        <v>0</v>
      </c>
      <c r="J4469" s="76" t="b">
        <v>0</v>
      </c>
      <c r="K4469" s="76" t="b">
        <v>0</v>
      </c>
      <c r="L4469" s="76" t="b">
        <v>0</v>
      </c>
      <c r="M4469" s="76" t="b">
        <v>0</v>
      </c>
      <c r="N4469" s="76" t="b">
        <v>0</v>
      </c>
      <c r="O4469" s="76" t="b">
        <v>0</v>
      </c>
      <c r="P4469" s="76" t="b">
        <v>0</v>
      </c>
      <c r="Q4469" s="76" t="b">
        <v>0</v>
      </c>
      <c r="R4469" s="14"/>
      <c r="S4469" s="14"/>
      <c r="T4469" s="14"/>
      <c r="U4469" s="14"/>
      <c r="V4469" s="14"/>
      <c r="W4469" s="14"/>
    </row>
    <row r="4470" ht="31.5" customHeight="1">
      <c r="A4470" s="158"/>
      <c r="B4470" s="159"/>
      <c r="C4470" s="160"/>
      <c r="D4470" s="130"/>
      <c r="E4470" s="130"/>
      <c r="F4470" s="161"/>
      <c r="G4470" s="164"/>
      <c r="H4470" s="76" t="b">
        <v>1</v>
      </c>
      <c r="I4470" s="76" t="b">
        <v>0</v>
      </c>
      <c r="J4470" s="76" t="b">
        <v>0</v>
      </c>
      <c r="K4470" s="76" t="b">
        <v>0</v>
      </c>
      <c r="L4470" s="76" t="b">
        <v>0</v>
      </c>
      <c r="M4470" s="76" t="b">
        <v>0</v>
      </c>
      <c r="N4470" s="76" t="b">
        <v>0</v>
      </c>
      <c r="O4470" s="76" t="b">
        <v>0</v>
      </c>
      <c r="P4470" s="76" t="b">
        <v>0</v>
      </c>
      <c r="Q4470" s="76" t="b">
        <v>0</v>
      </c>
      <c r="R4470" s="14"/>
      <c r="S4470" s="14"/>
      <c r="T4470" s="14"/>
      <c r="U4470" s="14"/>
      <c r="V4470" s="14"/>
      <c r="W4470" s="14"/>
    </row>
    <row r="4471" ht="31.5" customHeight="1">
      <c r="A4471" s="158"/>
      <c r="B4471" s="159"/>
      <c r="C4471" s="160"/>
      <c r="D4471" s="130"/>
      <c r="E4471" s="130"/>
      <c r="F4471" s="161"/>
      <c r="G4471" s="164"/>
      <c r="H4471" s="76" t="b">
        <v>1</v>
      </c>
      <c r="I4471" s="76" t="b">
        <v>0</v>
      </c>
      <c r="J4471" s="76" t="b">
        <v>0</v>
      </c>
      <c r="K4471" s="76" t="b">
        <v>0</v>
      </c>
      <c r="L4471" s="76" t="b">
        <v>0</v>
      </c>
      <c r="M4471" s="76" t="b">
        <v>0</v>
      </c>
      <c r="N4471" s="76" t="b">
        <v>0</v>
      </c>
      <c r="O4471" s="76" t="b">
        <v>0</v>
      </c>
      <c r="P4471" s="76" t="b">
        <v>0</v>
      </c>
      <c r="Q4471" s="76" t="b">
        <v>0</v>
      </c>
      <c r="R4471" s="14"/>
      <c r="S4471" s="14"/>
      <c r="T4471" s="14"/>
      <c r="U4471" s="14"/>
      <c r="V4471" s="14"/>
      <c r="W4471" s="14"/>
    </row>
    <row r="4472" ht="31.5" customHeight="1">
      <c r="A4472" s="158"/>
      <c r="B4472" s="159"/>
      <c r="C4472" s="160"/>
      <c r="D4472" s="130"/>
      <c r="E4472" s="130"/>
      <c r="F4472" s="161"/>
      <c r="G4472" s="164"/>
      <c r="H4472" s="76" t="b">
        <v>1</v>
      </c>
      <c r="I4472" s="76" t="b">
        <v>0</v>
      </c>
      <c r="J4472" s="76" t="b">
        <v>0</v>
      </c>
      <c r="K4472" s="76" t="b">
        <v>0</v>
      </c>
      <c r="L4472" s="76" t="b">
        <v>0</v>
      </c>
      <c r="M4472" s="76" t="b">
        <v>0</v>
      </c>
      <c r="N4472" s="76" t="b">
        <v>0</v>
      </c>
      <c r="O4472" s="76" t="b">
        <v>0</v>
      </c>
      <c r="P4472" s="76" t="b">
        <v>0</v>
      </c>
      <c r="Q4472" s="76" t="b">
        <v>0</v>
      </c>
      <c r="R4472" s="14"/>
      <c r="S4472" s="14"/>
      <c r="T4472" s="14"/>
      <c r="U4472" s="14"/>
      <c r="V4472" s="14"/>
      <c r="W4472" s="14"/>
    </row>
    <row r="4473" ht="31.5" customHeight="1">
      <c r="A4473" s="158"/>
      <c r="B4473" s="159"/>
      <c r="C4473" s="160"/>
      <c r="D4473" s="130"/>
      <c r="E4473" s="130"/>
      <c r="F4473" s="161"/>
      <c r="G4473" s="164"/>
      <c r="H4473" s="76" t="b">
        <v>1</v>
      </c>
      <c r="I4473" s="76" t="b">
        <v>0</v>
      </c>
      <c r="J4473" s="76" t="b">
        <v>0</v>
      </c>
      <c r="K4473" s="76" t="b">
        <v>0</v>
      </c>
      <c r="L4473" s="76" t="b">
        <v>0</v>
      </c>
      <c r="M4473" s="76" t="b">
        <v>0</v>
      </c>
      <c r="N4473" s="76" t="b">
        <v>0</v>
      </c>
      <c r="O4473" s="76" t="b">
        <v>0</v>
      </c>
      <c r="P4473" s="76" t="b">
        <v>0</v>
      </c>
      <c r="Q4473" s="76" t="b">
        <v>0</v>
      </c>
      <c r="R4473" s="14"/>
      <c r="S4473" s="14"/>
      <c r="T4473" s="14"/>
      <c r="U4473" s="14"/>
      <c r="V4473" s="14"/>
      <c r="W4473" s="14"/>
    </row>
    <row r="4474" ht="31.5" customHeight="1">
      <c r="A4474" s="158"/>
      <c r="B4474" s="159"/>
      <c r="C4474" s="160"/>
      <c r="D4474" s="130"/>
      <c r="E4474" s="130"/>
      <c r="F4474" s="161"/>
      <c r="G4474" s="164"/>
      <c r="H4474" s="76" t="b">
        <v>1</v>
      </c>
      <c r="I4474" s="76" t="b">
        <v>0</v>
      </c>
      <c r="J4474" s="76" t="b">
        <v>0</v>
      </c>
      <c r="K4474" s="76" t="b">
        <v>0</v>
      </c>
      <c r="L4474" s="76" t="b">
        <v>0</v>
      </c>
      <c r="M4474" s="76" t="b">
        <v>0</v>
      </c>
      <c r="N4474" s="76" t="b">
        <v>0</v>
      </c>
      <c r="O4474" s="76" t="b">
        <v>0</v>
      </c>
      <c r="P4474" s="76" t="b">
        <v>0</v>
      </c>
      <c r="Q4474" s="76" t="b">
        <v>0</v>
      </c>
      <c r="R4474" s="14"/>
      <c r="S4474" s="14"/>
      <c r="T4474" s="14"/>
      <c r="U4474" s="14"/>
      <c r="V4474" s="14"/>
      <c r="W4474" s="14"/>
    </row>
    <row r="4475" ht="31.5" customHeight="1">
      <c r="A4475" s="158"/>
      <c r="B4475" s="159"/>
      <c r="C4475" s="160"/>
      <c r="D4475" s="130"/>
      <c r="E4475" s="130"/>
      <c r="F4475" s="161"/>
      <c r="G4475" s="164"/>
      <c r="H4475" s="76" t="b">
        <v>1</v>
      </c>
      <c r="I4475" s="76" t="b">
        <v>0</v>
      </c>
      <c r="J4475" s="76" t="b">
        <v>0</v>
      </c>
      <c r="K4475" s="76" t="b">
        <v>0</v>
      </c>
      <c r="L4475" s="76" t="b">
        <v>0</v>
      </c>
      <c r="M4475" s="76" t="b">
        <v>0</v>
      </c>
      <c r="N4475" s="76" t="b">
        <v>0</v>
      </c>
      <c r="O4475" s="76" t="b">
        <v>0</v>
      </c>
      <c r="P4475" s="76" t="b">
        <v>0</v>
      </c>
      <c r="Q4475" s="76" t="b">
        <v>0</v>
      </c>
      <c r="R4475" s="14"/>
      <c r="S4475" s="14"/>
      <c r="T4475" s="14"/>
      <c r="U4475" s="14"/>
      <c r="V4475" s="14"/>
      <c r="W4475" s="14"/>
    </row>
    <row r="4476" ht="31.5" customHeight="1">
      <c r="A4476" s="158"/>
      <c r="B4476" s="159"/>
      <c r="C4476" s="160"/>
      <c r="D4476" s="130"/>
      <c r="E4476" s="130"/>
      <c r="F4476" s="161"/>
      <c r="G4476" s="164"/>
      <c r="H4476" s="76" t="b">
        <v>1</v>
      </c>
      <c r="I4476" s="76" t="b">
        <v>0</v>
      </c>
      <c r="J4476" s="76" t="b">
        <v>0</v>
      </c>
      <c r="K4476" s="76" t="b">
        <v>0</v>
      </c>
      <c r="L4476" s="76" t="b">
        <v>0</v>
      </c>
      <c r="M4476" s="76" t="b">
        <v>0</v>
      </c>
      <c r="N4476" s="76" t="b">
        <v>0</v>
      </c>
      <c r="O4476" s="76" t="b">
        <v>0</v>
      </c>
      <c r="P4476" s="76" t="b">
        <v>0</v>
      </c>
      <c r="Q4476" s="76" t="b">
        <v>0</v>
      </c>
      <c r="R4476" s="14"/>
      <c r="S4476" s="14"/>
      <c r="T4476" s="14"/>
      <c r="U4476" s="14"/>
      <c r="V4476" s="14"/>
      <c r="W4476" s="14"/>
    </row>
    <row r="4477" ht="31.5" customHeight="1">
      <c r="A4477" s="158"/>
      <c r="B4477" s="159"/>
      <c r="C4477" s="160"/>
      <c r="D4477" s="130"/>
      <c r="E4477" s="130"/>
      <c r="F4477" s="161"/>
      <c r="G4477" s="164"/>
      <c r="H4477" s="76" t="b">
        <v>1</v>
      </c>
      <c r="I4477" s="76" t="b">
        <v>0</v>
      </c>
      <c r="J4477" s="76" t="b">
        <v>0</v>
      </c>
      <c r="K4477" s="76" t="b">
        <v>0</v>
      </c>
      <c r="L4477" s="76" t="b">
        <v>0</v>
      </c>
      <c r="M4477" s="76" t="b">
        <v>0</v>
      </c>
      <c r="N4477" s="76" t="b">
        <v>0</v>
      </c>
      <c r="O4477" s="76" t="b">
        <v>0</v>
      </c>
      <c r="P4477" s="76" t="b">
        <v>0</v>
      </c>
      <c r="Q4477" s="76" t="b">
        <v>0</v>
      </c>
      <c r="R4477" s="14"/>
      <c r="S4477" s="14"/>
      <c r="T4477" s="14"/>
      <c r="U4477" s="14"/>
      <c r="V4477" s="14"/>
      <c r="W4477" s="14"/>
    </row>
    <row r="4478" ht="31.5" customHeight="1">
      <c r="A4478" s="158"/>
      <c r="B4478" s="159"/>
      <c r="C4478" s="160"/>
      <c r="D4478" s="130"/>
      <c r="E4478" s="130"/>
      <c r="F4478" s="161"/>
      <c r="G4478" s="164"/>
      <c r="H4478" s="76" t="b">
        <v>1</v>
      </c>
      <c r="I4478" s="76" t="b">
        <v>0</v>
      </c>
      <c r="J4478" s="76" t="b">
        <v>0</v>
      </c>
      <c r="K4478" s="76" t="b">
        <v>0</v>
      </c>
      <c r="L4478" s="76" t="b">
        <v>0</v>
      </c>
      <c r="M4478" s="76" t="b">
        <v>0</v>
      </c>
      <c r="N4478" s="76" t="b">
        <v>0</v>
      </c>
      <c r="O4478" s="76" t="b">
        <v>0</v>
      </c>
      <c r="P4478" s="76" t="b">
        <v>0</v>
      </c>
      <c r="Q4478" s="76" t="b">
        <v>0</v>
      </c>
      <c r="R4478" s="14"/>
      <c r="S4478" s="14"/>
      <c r="T4478" s="14"/>
      <c r="U4478" s="14"/>
      <c r="V4478" s="14"/>
      <c r="W4478" s="14"/>
    </row>
    <row r="4479" ht="31.5" customHeight="1">
      <c r="A4479" s="158"/>
      <c r="B4479" s="159"/>
      <c r="C4479" s="160"/>
      <c r="D4479" s="130"/>
      <c r="E4479" s="130"/>
      <c r="F4479" s="161"/>
      <c r="G4479" s="164"/>
      <c r="H4479" s="76" t="b">
        <v>1</v>
      </c>
      <c r="I4479" s="76" t="b">
        <v>0</v>
      </c>
      <c r="J4479" s="76" t="b">
        <v>0</v>
      </c>
      <c r="K4479" s="76" t="b">
        <v>0</v>
      </c>
      <c r="L4479" s="76" t="b">
        <v>0</v>
      </c>
      <c r="M4479" s="76" t="b">
        <v>0</v>
      </c>
      <c r="N4479" s="76" t="b">
        <v>0</v>
      </c>
      <c r="O4479" s="76" t="b">
        <v>0</v>
      </c>
      <c r="P4479" s="76" t="b">
        <v>0</v>
      </c>
      <c r="Q4479" s="76" t="b">
        <v>0</v>
      </c>
      <c r="R4479" s="14"/>
      <c r="S4479" s="14"/>
      <c r="T4479" s="14"/>
      <c r="U4479" s="14"/>
      <c r="V4479" s="14"/>
      <c r="W4479" s="14"/>
    </row>
    <row r="4480" ht="31.5" customHeight="1">
      <c r="A4480" s="158"/>
      <c r="B4480" s="159"/>
      <c r="C4480" s="160"/>
      <c r="D4480" s="130"/>
      <c r="E4480" s="130"/>
      <c r="F4480" s="161"/>
      <c r="G4480" s="164"/>
      <c r="H4480" s="76" t="b">
        <v>1</v>
      </c>
      <c r="I4480" s="76" t="b">
        <v>0</v>
      </c>
      <c r="J4480" s="76" t="b">
        <v>0</v>
      </c>
      <c r="K4480" s="76" t="b">
        <v>0</v>
      </c>
      <c r="L4480" s="76" t="b">
        <v>0</v>
      </c>
      <c r="M4480" s="76" t="b">
        <v>0</v>
      </c>
      <c r="N4480" s="76" t="b">
        <v>0</v>
      </c>
      <c r="O4480" s="76" t="b">
        <v>0</v>
      </c>
      <c r="P4480" s="76" t="b">
        <v>0</v>
      </c>
      <c r="Q4480" s="76" t="b">
        <v>0</v>
      </c>
      <c r="R4480" s="14"/>
      <c r="S4480" s="14"/>
      <c r="T4480" s="14"/>
      <c r="U4480" s="14"/>
      <c r="V4480" s="14"/>
      <c r="W4480" s="14"/>
    </row>
    <row r="4481" ht="31.5" customHeight="1">
      <c r="A4481" s="158"/>
      <c r="B4481" s="159"/>
      <c r="C4481" s="160"/>
      <c r="D4481" s="130"/>
      <c r="E4481" s="130"/>
      <c r="F4481" s="161"/>
      <c r="G4481" s="164"/>
      <c r="H4481" s="76" t="b">
        <v>1</v>
      </c>
      <c r="I4481" s="76" t="b">
        <v>0</v>
      </c>
      <c r="J4481" s="76" t="b">
        <v>0</v>
      </c>
      <c r="K4481" s="76" t="b">
        <v>0</v>
      </c>
      <c r="L4481" s="76" t="b">
        <v>0</v>
      </c>
      <c r="M4481" s="76" t="b">
        <v>0</v>
      </c>
      <c r="N4481" s="76" t="b">
        <v>0</v>
      </c>
      <c r="O4481" s="76" t="b">
        <v>0</v>
      </c>
      <c r="P4481" s="76" t="b">
        <v>0</v>
      </c>
      <c r="Q4481" s="76" t="b">
        <v>0</v>
      </c>
      <c r="R4481" s="14"/>
      <c r="S4481" s="14"/>
      <c r="T4481" s="14"/>
      <c r="U4481" s="14"/>
      <c r="V4481" s="14"/>
      <c r="W4481" s="14"/>
    </row>
    <row r="4482" ht="31.5" customHeight="1">
      <c r="A4482" s="158"/>
      <c r="B4482" s="159"/>
      <c r="C4482" s="160"/>
      <c r="D4482" s="130"/>
      <c r="E4482" s="130"/>
      <c r="F4482" s="161"/>
      <c r="G4482" s="164"/>
      <c r="H4482" s="76" t="b">
        <v>1</v>
      </c>
      <c r="I4482" s="76" t="b">
        <v>0</v>
      </c>
      <c r="J4482" s="76" t="b">
        <v>0</v>
      </c>
      <c r="K4482" s="76" t="b">
        <v>0</v>
      </c>
      <c r="L4482" s="76" t="b">
        <v>0</v>
      </c>
      <c r="M4482" s="76" t="b">
        <v>0</v>
      </c>
      <c r="N4482" s="76" t="b">
        <v>0</v>
      </c>
      <c r="O4482" s="76" t="b">
        <v>0</v>
      </c>
      <c r="P4482" s="76" t="b">
        <v>0</v>
      </c>
      <c r="Q4482" s="76" t="b">
        <v>0</v>
      </c>
      <c r="R4482" s="14"/>
      <c r="S4482" s="14"/>
      <c r="T4482" s="14"/>
      <c r="U4482" s="14"/>
      <c r="V4482" s="14"/>
      <c r="W4482" s="14"/>
    </row>
    <row r="4483" ht="31.5" customHeight="1">
      <c r="A4483" s="158"/>
      <c r="B4483" s="159"/>
      <c r="C4483" s="160"/>
      <c r="D4483" s="130"/>
      <c r="E4483" s="130"/>
      <c r="F4483" s="161"/>
      <c r="G4483" s="164"/>
      <c r="H4483" s="76" t="b">
        <v>1</v>
      </c>
      <c r="I4483" s="76" t="b">
        <v>0</v>
      </c>
      <c r="J4483" s="76" t="b">
        <v>0</v>
      </c>
      <c r="K4483" s="76" t="b">
        <v>0</v>
      </c>
      <c r="L4483" s="76" t="b">
        <v>0</v>
      </c>
      <c r="M4483" s="76" t="b">
        <v>0</v>
      </c>
      <c r="N4483" s="76" t="b">
        <v>0</v>
      </c>
      <c r="O4483" s="76" t="b">
        <v>0</v>
      </c>
      <c r="P4483" s="76" t="b">
        <v>0</v>
      </c>
      <c r="Q4483" s="76" t="b">
        <v>0</v>
      </c>
      <c r="R4483" s="14"/>
      <c r="S4483" s="14"/>
      <c r="T4483" s="14"/>
      <c r="U4483" s="14"/>
      <c r="V4483" s="14"/>
      <c r="W4483" s="14"/>
    </row>
    <row r="4484" ht="31.5" customHeight="1">
      <c r="A4484" s="158"/>
      <c r="B4484" s="159"/>
      <c r="C4484" s="160"/>
      <c r="D4484" s="130"/>
      <c r="E4484" s="130"/>
      <c r="F4484" s="161"/>
      <c r="G4484" s="164"/>
      <c r="H4484" s="76" t="b">
        <v>1</v>
      </c>
      <c r="I4484" s="76" t="b">
        <v>0</v>
      </c>
      <c r="J4484" s="76" t="b">
        <v>0</v>
      </c>
      <c r="K4484" s="76" t="b">
        <v>0</v>
      </c>
      <c r="L4484" s="76" t="b">
        <v>0</v>
      </c>
      <c r="M4484" s="76" t="b">
        <v>0</v>
      </c>
      <c r="N4484" s="76" t="b">
        <v>0</v>
      </c>
      <c r="O4484" s="76" t="b">
        <v>0</v>
      </c>
      <c r="P4484" s="76" t="b">
        <v>0</v>
      </c>
      <c r="Q4484" s="76" t="b">
        <v>0</v>
      </c>
      <c r="R4484" s="14"/>
      <c r="S4484" s="14"/>
      <c r="T4484" s="14"/>
      <c r="U4484" s="14"/>
      <c r="V4484" s="14"/>
      <c r="W4484" s="14"/>
    </row>
    <row r="4485" ht="31.5" customHeight="1">
      <c r="A4485" s="158"/>
      <c r="B4485" s="159"/>
      <c r="C4485" s="160"/>
      <c r="D4485" s="130"/>
      <c r="E4485" s="130"/>
      <c r="F4485" s="161"/>
      <c r="G4485" s="164"/>
      <c r="H4485" s="76" t="b">
        <v>1</v>
      </c>
      <c r="I4485" s="76" t="b">
        <v>0</v>
      </c>
      <c r="J4485" s="76" t="b">
        <v>0</v>
      </c>
      <c r="K4485" s="76" t="b">
        <v>0</v>
      </c>
      <c r="L4485" s="76" t="b">
        <v>0</v>
      </c>
      <c r="M4485" s="76" t="b">
        <v>0</v>
      </c>
      <c r="N4485" s="76" t="b">
        <v>0</v>
      </c>
      <c r="O4485" s="76" t="b">
        <v>0</v>
      </c>
      <c r="P4485" s="76" t="b">
        <v>0</v>
      </c>
      <c r="Q4485" s="76" t="b">
        <v>0</v>
      </c>
      <c r="R4485" s="14"/>
      <c r="S4485" s="14"/>
      <c r="T4485" s="14"/>
      <c r="U4485" s="14"/>
      <c r="V4485" s="14"/>
      <c r="W4485" s="14"/>
    </row>
    <row r="4486" ht="31.5" customHeight="1">
      <c r="A4486" s="158"/>
      <c r="B4486" s="159"/>
      <c r="C4486" s="160"/>
      <c r="D4486" s="130"/>
      <c r="E4486" s="130"/>
      <c r="F4486" s="161"/>
      <c r="G4486" s="164"/>
      <c r="H4486" s="76" t="b">
        <v>1</v>
      </c>
      <c r="I4486" s="76" t="b">
        <v>0</v>
      </c>
      <c r="J4486" s="76" t="b">
        <v>0</v>
      </c>
      <c r="K4486" s="76" t="b">
        <v>0</v>
      </c>
      <c r="L4486" s="76" t="b">
        <v>0</v>
      </c>
      <c r="M4486" s="76" t="b">
        <v>0</v>
      </c>
      <c r="N4486" s="76" t="b">
        <v>0</v>
      </c>
      <c r="O4486" s="76" t="b">
        <v>0</v>
      </c>
      <c r="P4486" s="76" t="b">
        <v>0</v>
      </c>
      <c r="Q4486" s="76" t="b">
        <v>0</v>
      </c>
      <c r="R4486" s="14"/>
      <c r="S4486" s="14"/>
      <c r="T4486" s="14"/>
      <c r="U4486" s="14"/>
      <c r="V4486" s="14"/>
      <c r="W4486" s="14"/>
    </row>
    <row r="4487" ht="31.5" customHeight="1">
      <c r="A4487" s="158"/>
      <c r="B4487" s="159"/>
      <c r="C4487" s="160"/>
      <c r="D4487" s="130"/>
      <c r="E4487" s="130"/>
      <c r="F4487" s="161"/>
      <c r="G4487" s="164"/>
      <c r="H4487" s="76" t="b">
        <v>1</v>
      </c>
      <c r="I4487" s="76" t="b">
        <v>0</v>
      </c>
      <c r="J4487" s="76" t="b">
        <v>0</v>
      </c>
      <c r="K4487" s="76" t="b">
        <v>0</v>
      </c>
      <c r="L4487" s="76" t="b">
        <v>0</v>
      </c>
      <c r="M4487" s="76" t="b">
        <v>0</v>
      </c>
      <c r="N4487" s="76" t="b">
        <v>0</v>
      </c>
      <c r="O4487" s="76" t="b">
        <v>0</v>
      </c>
      <c r="P4487" s="76" t="b">
        <v>0</v>
      </c>
      <c r="Q4487" s="76" t="b">
        <v>0</v>
      </c>
      <c r="R4487" s="14"/>
      <c r="S4487" s="14"/>
      <c r="T4487" s="14"/>
      <c r="U4487" s="14"/>
      <c r="V4487" s="14"/>
      <c r="W4487" s="14"/>
    </row>
    <row r="4488" ht="31.5" customHeight="1">
      <c r="A4488" s="158"/>
      <c r="B4488" s="159"/>
      <c r="C4488" s="160"/>
      <c r="D4488" s="130"/>
      <c r="E4488" s="130"/>
      <c r="F4488" s="161"/>
      <c r="G4488" s="164"/>
      <c r="H4488" s="76" t="b">
        <v>1</v>
      </c>
      <c r="I4488" s="76" t="b">
        <v>0</v>
      </c>
      <c r="J4488" s="76" t="b">
        <v>0</v>
      </c>
      <c r="K4488" s="76" t="b">
        <v>0</v>
      </c>
      <c r="L4488" s="76" t="b">
        <v>0</v>
      </c>
      <c r="M4488" s="76" t="b">
        <v>0</v>
      </c>
      <c r="N4488" s="76" t="b">
        <v>0</v>
      </c>
      <c r="O4488" s="76" t="b">
        <v>0</v>
      </c>
      <c r="P4488" s="76" t="b">
        <v>0</v>
      </c>
      <c r="Q4488" s="76" t="b">
        <v>0</v>
      </c>
      <c r="R4488" s="14"/>
      <c r="S4488" s="14"/>
      <c r="T4488" s="14"/>
      <c r="U4488" s="14"/>
      <c r="V4488" s="14"/>
      <c r="W4488" s="14"/>
    </row>
    <row r="4489" ht="31.5" customHeight="1">
      <c r="A4489" s="158"/>
      <c r="B4489" s="159"/>
      <c r="C4489" s="160"/>
      <c r="D4489" s="130"/>
      <c r="E4489" s="130"/>
      <c r="F4489" s="161"/>
      <c r="G4489" s="164"/>
      <c r="H4489" s="76" t="b">
        <v>1</v>
      </c>
      <c r="I4489" s="76" t="b">
        <v>0</v>
      </c>
      <c r="J4489" s="76" t="b">
        <v>0</v>
      </c>
      <c r="K4489" s="76" t="b">
        <v>0</v>
      </c>
      <c r="L4489" s="76" t="b">
        <v>0</v>
      </c>
      <c r="M4489" s="76" t="b">
        <v>0</v>
      </c>
      <c r="N4489" s="76" t="b">
        <v>0</v>
      </c>
      <c r="O4489" s="76" t="b">
        <v>0</v>
      </c>
      <c r="P4489" s="76" t="b">
        <v>0</v>
      </c>
      <c r="Q4489" s="76" t="b">
        <v>0</v>
      </c>
      <c r="R4489" s="14"/>
      <c r="S4489" s="14"/>
      <c r="T4489" s="14"/>
      <c r="U4489" s="14"/>
      <c r="V4489" s="14"/>
      <c r="W4489" s="14"/>
    </row>
    <row r="4490" ht="31.5" customHeight="1">
      <c r="A4490" s="158"/>
      <c r="B4490" s="159"/>
      <c r="C4490" s="160"/>
      <c r="D4490" s="130"/>
      <c r="E4490" s="130"/>
      <c r="F4490" s="161"/>
      <c r="G4490" s="164"/>
      <c r="H4490" s="76" t="b">
        <v>1</v>
      </c>
      <c r="I4490" s="76" t="b">
        <v>0</v>
      </c>
      <c r="J4490" s="76" t="b">
        <v>0</v>
      </c>
      <c r="K4490" s="76" t="b">
        <v>0</v>
      </c>
      <c r="L4490" s="76" t="b">
        <v>0</v>
      </c>
      <c r="M4490" s="76" t="b">
        <v>0</v>
      </c>
      <c r="N4490" s="76" t="b">
        <v>0</v>
      </c>
      <c r="O4490" s="76" t="b">
        <v>0</v>
      </c>
      <c r="P4490" s="76" t="b">
        <v>0</v>
      </c>
      <c r="Q4490" s="76" t="b">
        <v>0</v>
      </c>
      <c r="R4490" s="14"/>
      <c r="S4490" s="14"/>
      <c r="T4490" s="14"/>
      <c r="U4490" s="14"/>
      <c r="V4490" s="14"/>
      <c r="W4490" s="14"/>
    </row>
    <row r="4491" ht="31.5" customHeight="1">
      <c r="A4491" s="158"/>
      <c r="B4491" s="159"/>
      <c r="C4491" s="160"/>
      <c r="D4491" s="130"/>
      <c r="E4491" s="130"/>
      <c r="F4491" s="161"/>
      <c r="G4491" s="164"/>
      <c r="H4491" s="76" t="b">
        <v>1</v>
      </c>
      <c r="I4491" s="76" t="b">
        <v>0</v>
      </c>
      <c r="J4491" s="76" t="b">
        <v>0</v>
      </c>
      <c r="K4491" s="76" t="b">
        <v>0</v>
      </c>
      <c r="L4491" s="76" t="b">
        <v>0</v>
      </c>
      <c r="M4491" s="76" t="b">
        <v>0</v>
      </c>
      <c r="N4491" s="76" t="b">
        <v>0</v>
      </c>
      <c r="O4491" s="76" t="b">
        <v>0</v>
      </c>
      <c r="P4491" s="76" t="b">
        <v>0</v>
      </c>
      <c r="Q4491" s="76" t="b">
        <v>0</v>
      </c>
      <c r="R4491" s="14"/>
      <c r="S4491" s="14"/>
      <c r="T4491" s="14"/>
      <c r="U4491" s="14"/>
      <c r="V4491" s="14"/>
      <c r="W4491" s="14"/>
    </row>
    <row r="4492" ht="31.5" customHeight="1">
      <c r="A4492" s="158"/>
      <c r="B4492" s="159"/>
      <c r="C4492" s="160"/>
      <c r="D4492" s="130"/>
      <c r="E4492" s="130"/>
      <c r="F4492" s="161"/>
      <c r="G4492" s="164"/>
      <c r="H4492" s="76" t="b">
        <v>1</v>
      </c>
      <c r="I4492" s="76" t="b">
        <v>0</v>
      </c>
      <c r="J4492" s="76" t="b">
        <v>0</v>
      </c>
      <c r="K4492" s="76" t="b">
        <v>0</v>
      </c>
      <c r="L4492" s="76" t="b">
        <v>0</v>
      </c>
      <c r="M4492" s="76" t="b">
        <v>0</v>
      </c>
      <c r="N4492" s="76" t="b">
        <v>0</v>
      </c>
      <c r="O4492" s="76" t="b">
        <v>0</v>
      </c>
      <c r="P4492" s="76" t="b">
        <v>0</v>
      </c>
      <c r="Q4492" s="76" t="b">
        <v>0</v>
      </c>
      <c r="R4492" s="14"/>
      <c r="S4492" s="14"/>
      <c r="T4492" s="14"/>
      <c r="U4492" s="14"/>
      <c r="V4492" s="14"/>
      <c r="W4492" s="14"/>
    </row>
    <row r="4493" ht="31.5" customHeight="1">
      <c r="A4493" s="158"/>
      <c r="B4493" s="159"/>
      <c r="C4493" s="160"/>
      <c r="D4493" s="130"/>
      <c r="E4493" s="130"/>
      <c r="F4493" s="161"/>
      <c r="G4493" s="164"/>
      <c r="H4493" s="76" t="b">
        <v>1</v>
      </c>
      <c r="I4493" s="76" t="b">
        <v>0</v>
      </c>
      <c r="J4493" s="76" t="b">
        <v>0</v>
      </c>
      <c r="K4493" s="76" t="b">
        <v>0</v>
      </c>
      <c r="L4493" s="76" t="b">
        <v>0</v>
      </c>
      <c r="M4493" s="76" t="b">
        <v>0</v>
      </c>
      <c r="N4493" s="76" t="b">
        <v>0</v>
      </c>
      <c r="O4493" s="76" t="b">
        <v>0</v>
      </c>
      <c r="P4493" s="76" t="b">
        <v>0</v>
      </c>
      <c r="Q4493" s="76" t="b">
        <v>0</v>
      </c>
      <c r="R4493" s="14"/>
      <c r="S4493" s="14"/>
      <c r="T4493" s="14"/>
      <c r="U4493" s="14"/>
      <c r="V4493" s="14"/>
      <c r="W4493" s="14"/>
    </row>
    <row r="4494" ht="31.5" customHeight="1">
      <c r="A4494" s="158"/>
      <c r="B4494" s="159"/>
      <c r="C4494" s="160"/>
      <c r="D4494" s="130"/>
      <c r="E4494" s="130"/>
      <c r="F4494" s="161"/>
      <c r="G4494" s="164"/>
      <c r="H4494" s="76" t="b">
        <v>1</v>
      </c>
      <c r="I4494" s="76" t="b">
        <v>0</v>
      </c>
      <c r="J4494" s="76" t="b">
        <v>0</v>
      </c>
      <c r="K4494" s="76" t="b">
        <v>0</v>
      </c>
      <c r="L4494" s="76" t="b">
        <v>0</v>
      </c>
      <c r="M4494" s="76" t="b">
        <v>0</v>
      </c>
      <c r="N4494" s="76" t="b">
        <v>0</v>
      </c>
      <c r="O4494" s="76" t="b">
        <v>0</v>
      </c>
      <c r="P4494" s="76" t="b">
        <v>0</v>
      </c>
      <c r="Q4494" s="76" t="b">
        <v>0</v>
      </c>
      <c r="R4494" s="14"/>
      <c r="S4494" s="14"/>
      <c r="T4494" s="14"/>
      <c r="U4494" s="14"/>
      <c r="V4494" s="14"/>
      <c r="W4494" s="14"/>
    </row>
    <row r="4495" ht="31.5" customHeight="1">
      <c r="A4495" s="158"/>
      <c r="B4495" s="159"/>
      <c r="C4495" s="160"/>
      <c r="D4495" s="130"/>
      <c r="E4495" s="130"/>
      <c r="F4495" s="161"/>
      <c r="G4495" s="164"/>
      <c r="H4495" s="76" t="b">
        <v>1</v>
      </c>
      <c r="I4495" s="76" t="b">
        <v>0</v>
      </c>
      <c r="J4495" s="76" t="b">
        <v>0</v>
      </c>
      <c r="K4495" s="76" t="b">
        <v>0</v>
      </c>
      <c r="L4495" s="76" t="b">
        <v>0</v>
      </c>
      <c r="M4495" s="76" t="b">
        <v>0</v>
      </c>
      <c r="N4495" s="76" t="b">
        <v>0</v>
      </c>
      <c r="O4495" s="76" t="b">
        <v>0</v>
      </c>
      <c r="P4495" s="76" t="b">
        <v>0</v>
      </c>
      <c r="Q4495" s="76" t="b">
        <v>0</v>
      </c>
      <c r="R4495" s="14"/>
      <c r="S4495" s="14"/>
      <c r="T4495" s="14"/>
      <c r="U4495" s="14"/>
      <c r="V4495" s="14"/>
      <c r="W4495" s="14"/>
    </row>
    <row r="4496" ht="31.5" customHeight="1">
      <c r="A4496" s="158"/>
      <c r="B4496" s="159"/>
      <c r="C4496" s="160"/>
      <c r="D4496" s="130"/>
      <c r="E4496" s="130"/>
      <c r="F4496" s="161"/>
      <c r="G4496" s="164"/>
      <c r="H4496" s="76" t="b">
        <v>1</v>
      </c>
      <c r="I4496" s="76" t="b">
        <v>0</v>
      </c>
      <c r="J4496" s="76" t="b">
        <v>0</v>
      </c>
      <c r="K4496" s="76" t="b">
        <v>0</v>
      </c>
      <c r="L4496" s="76" t="b">
        <v>0</v>
      </c>
      <c r="M4496" s="76" t="b">
        <v>0</v>
      </c>
      <c r="N4496" s="76" t="b">
        <v>0</v>
      </c>
      <c r="O4496" s="76" t="b">
        <v>0</v>
      </c>
      <c r="P4496" s="76" t="b">
        <v>0</v>
      </c>
      <c r="Q4496" s="76" t="b">
        <v>0</v>
      </c>
      <c r="R4496" s="14"/>
      <c r="S4496" s="14"/>
      <c r="T4496" s="14"/>
      <c r="U4496" s="14"/>
      <c r="V4496" s="14"/>
      <c r="W4496" s="14"/>
    </row>
    <row r="4497" ht="31.5" customHeight="1">
      <c r="A4497" s="158"/>
      <c r="B4497" s="159"/>
      <c r="C4497" s="160"/>
      <c r="D4497" s="130"/>
      <c r="E4497" s="130"/>
      <c r="F4497" s="161"/>
      <c r="G4497" s="164"/>
      <c r="H4497" s="76" t="b">
        <v>1</v>
      </c>
      <c r="I4497" s="76" t="b">
        <v>0</v>
      </c>
      <c r="J4497" s="76" t="b">
        <v>0</v>
      </c>
      <c r="K4497" s="76" t="b">
        <v>0</v>
      </c>
      <c r="L4497" s="76" t="b">
        <v>0</v>
      </c>
      <c r="M4497" s="76" t="b">
        <v>0</v>
      </c>
      <c r="N4497" s="76" t="b">
        <v>0</v>
      </c>
      <c r="O4497" s="76" t="b">
        <v>0</v>
      </c>
      <c r="P4497" s="76" t="b">
        <v>0</v>
      </c>
      <c r="Q4497" s="76" t="b">
        <v>0</v>
      </c>
      <c r="R4497" s="14"/>
      <c r="S4497" s="14"/>
      <c r="T4497" s="14"/>
      <c r="U4497" s="14"/>
      <c r="V4497" s="14"/>
      <c r="W4497" s="14"/>
    </row>
    <row r="4498" ht="31.5" customHeight="1">
      <c r="A4498" s="158"/>
      <c r="B4498" s="159"/>
      <c r="C4498" s="160"/>
      <c r="D4498" s="130"/>
      <c r="E4498" s="130"/>
      <c r="F4498" s="161"/>
      <c r="G4498" s="164"/>
      <c r="H4498" s="76" t="b">
        <v>1</v>
      </c>
      <c r="I4498" s="76" t="b">
        <v>0</v>
      </c>
      <c r="J4498" s="76" t="b">
        <v>0</v>
      </c>
      <c r="K4498" s="76" t="b">
        <v>0</v>
      </c>
      <c r="L4498" s="76" t="b">
        <v>0</v>
      </c>
      <c r="M4498" s="76" t="b">
        <v>0</v>
      </c>
      <c r="N4498" s="76" t="b">
        <v>0</v>
      </c>
      <c r="O4498" s="76" t="b">
        <v>0</v>
      </c>
      <c r="P4498" s="76" t="b">
        <v>0</v>
      </c>
      <c r="Q4498" s="76" t="b">
        <v>0</v>
      </c>
      <c r="R4498" s="14"/>
      <c r="S4498" s="14"/>
      <c r="T4498" s="14"/>
      <c r="U4498" s="14"/>
      <c r="V4498" s="14"/>
      <c r="W4498" s="14"/>
    </row>
    <row r="4499" ht="31.5" customHeight="1">
      <c r="A4499" s="158"/>
      <c r="B4499" s="159"/>
      <c r="C4499" s="160"/>
      <c r="D4499" s="130"/>
      <c r="E4499" s="130"/>
      <c r="F4499" s="161"/>
      <c r="G4499" s="164"/>
      <c r="H4499" s="76" t="b">
        <v>1</v>
      </c>
      <c r="I4499" s="76" t="b">
        <v>0</v>
      </c>
      <c r="J4499" s="76" t="b">
        <v>0</v>
      </c>
      <c r="K4499" s="76" t="b">
        <v>0</v>
      </c>
      <c r="L4499" s="76" t="b">
        <v>0</v>
      </c>
      <c r="M4499" s="76" t="b">
        <v>0</v>
      </c>
      <c r="N4499" s="76" t="b">
        <v>0</v>
      </c>
      <c r="O4499" s="76" t="b">
        <v>0</v>
      </c>
      <c r="P4499" s="76" t="b">
        <v>0</v>
      </c>
      <c r="Q4499" s="76" t="b">
        <v>0</v>
      </c>
      <c r="R4499" s="14"/>
      <c r="S4499" s="14"/>
      <c r="T4499" s="14"/>
      <c r="U4499" s="14"/>
      <c r="V4499" s="14"/>
      <c r="W4499" s="14"/>
    </row>
    <row r="4500" ht="31.5" customHeight="1">
      <c r="A4500" s="158"/>
      <c r="B4500" s="159"/>
      <c r="C4500" s="160"/>
      <c r="D4500" s="130"/>
      <c r="E4500" s="130"/>
      <c r="F4500" s="161"/>
      <c r="G4500" s="164"/>
      <c r="H4500" s="76" t="b">
        <v>1</v>
      </c>
      <c r="I4500" s="76" t="b">
        <v>0</v>
      </c>
      <c r="J4500" s="76" t="b">
        <v>0</v>
      </c>
      <c r="K4500" s="76" t="b">
        <v>0</v>
      </c>
      <c r="L4500" s="76" t="b">
        <v>0</v>
      </c>
      <c r="M4500" s="76" t="b">
        <v>0</v>
      </c>
      <c r="N4500" s="76" t="b">
        <v>0</v>
      </c>
      <c r="O4500" s="76" t="b">
        <v>0</v>
      </c>
      <c r="P4500" s="76" t="b">
        <v>0</v>
      </c>
      <c r="Q4500" s="76" t="b">
        <v>0</v>
      </c>
      <c r="R4500" s="14"/>
      <c r="S4500" s="14"/>
      <c r="T4500" s="14"/>
      <c r="U4500" s="14"/>
      <c r="V4500" s="14"/>
      <c r="W4500" s="14"/>
    </row>
    <row r="4501" ht="31.5" customHeight="1">
      <c r="A4501" s="158"/>
      <c r="B4501" s="159"/>
      <c r="C4501" s="160"/>
      <c r="D4501" s="130"/>
      <c r="E4501" s="130"/>
      <c r="F4501" s="161"/>
      <c r="G4501" s="164"/>
      <c r="H4501" s="76" t="b">
        <v>1</v>
      </c>
      <c r="I4501" s="76" t="b">
        <v>0</v>
      </c>
      <c r="J4501" s="76" t="b">
        <v>0</v>
      </c>
      <c r="K4501" s="76" t="b">
        <v>0</v>
      </c>
      <c r="L4501" s="76" t="b">
        <v>0</v>
      </c>
      <c r="M4501" s="76" t="b">
        <v>0</v>
      </c>
      <c r="N4501" s="76" t="b">
        <v>0</v>
      </c>
      <c r="O4501" s="76" t="b">
        <v>0</v>
      </c>
      <c r="P4501" s="76" t="b">
        <v>0</v>
      </c>
      <c r="Q4501" s="76" t="b">
        <v>0</v>
      </c>
      <c r="R4501" s="14"/>
      <c r="S4501" s="14"/>
      <c r="T4501" s="14"/>
      <c r="U4501" s="14"/>
      <c r="V4501" s="14"/>
      <c r="W4501" s="14"/>
    </row>
    <row r="4502" ht="31.5" customHeight="1">
      <c r="A4502" s="158"/>
      <c r="B4502" s="159"/>
      <c r="C4502" s="160"/>
      <c r="D4502" s="130"/>
      <c r="E4502" s="130"/>
      <c r="F4502" s="161"/>
      <c r="G4502" s="164"/>
      <c r="H4502" s="76" t="b">
        <v>1</v>
      </c>
      <c r="I4502" s="76" t="b">
        <v>0</v>
      </c>
      <c r="J4502" s="76" t="b">
        <v>0</v>
      </c>
      <c r="K4502" s="76" t="b">
        <v>0</v>
      </c>
      <c r="L4502" s="76" t="b">
        <v>0</v>
      </c>
      <c r="M4502" s="76" t="b">
        <v>0</v>
      </c>
      <c r="N4502" s="76" t="b">
        <v>0</v>
      </c>
      <c r="O4502" s="76" t="b">
        <v>0</v>
      </c>
      <c r="P4502" s="76" t="b">
        <v>0</v>
      </c>
      <c r="Q4502" s="76" t="b">
        <v>0</v>
      </c>
      <c r="R4502" s="14"/>
      <c r="S4502" s="14"/>
      <c r="T4502" s="14"/>
      <c r="U4502" s="14"/>
      <c r="V4502" s="14"/>
      <c r="W4502" s="14"/>
    </row>
    <row r="4503" ht="31.5" customHeight="1">
      <c r="A4503" s="158"/>
      <c r="B4503" s="159"/>
      <c r="C4503" s="160"/>
      <c r="D4503" s="130"/>
      <c r="E4503" s="130"/>
      <c r="F4503" s="161"/>
      <c r="G4503" s="164"/>
      <c r="H4503" s="76" t="b">
        <v>1</v>
      </c>
      <c r="I4503" s="76" t="b">
        <v>0</v>
      </c>
      <c r="J4503" s="76" t="b">
        <v>0</v>
      </c>
      <c r="K4503" s="76" t="b">
        <v>0</v>
      </c>
      <c r="L4503" s="76" t="b">
        <v>0</v>
      </c>
      <c r="M4503" s="76" t="b">
        <v>0</v>
      </c>
      <c r="N4503" s="76" t="b">
        <v>0</v>
      </c>
      <c r="O4503" s="76" t="b">
        <v>0</v>
      </c>
      <c r="P4503" s="76" t="b">
        <v>0</v>
      </c>
      <c r="Q4503" s="76" t="b">
        <v>0</v>
      </c>
      <c r="R4503" s="14"/>
      <c r="S4503" s="14"/>
      <c r="T4503" s="14"/>
      <c r="U4503" s="14"/>
      <c r="V4503" s="14"/>
      <c r="W4503" s="14"/>
    </row>
    <row r="4504" ht="31.5" customHeight="1">
      <c r="A4504" s="158"/>
      <c r="B4504" s="159"/>
      <c r="C4504" s="160"/>
      <c r="D4504" s="130"/>
      <c r="E4504" s="130"/>
      <c r="F4504" s="161"/>
      <c r="G4504" s="164"/>
      <c r="H4504" s="76" t="b">
        <v>1</v>
      </c>
      <c r="I4504" s="76" t="b">
        <v>0</v>
      </c>
      <c r="J4504" s="76" t="b">
        <v>0</v>
      </c>
      <c r="K4504" s="76" t="b">
        <v>0</v>
      </c>
      <c r="L4504" s="76" t="b">
        <v>0</v>
      </c>
      <c r="M4504" s="76" t="b">
        <v>0</v>
      </c>
      <c r="N4504" s="76" t="b">
        <v>0</v>
      </c>
      <c r="O4504" s="76" t="b">
        <v>0</v>
      </c>
      <c r="P4504" s="76" t="b">
        <v>0</v>
      </c>
      <c r="Q4504" s="76" t="b">
        <v>0</v>
      </c>
      <c r="R4504" s="14"/>
      <c r="S4504" s="14"/>
      <c r="T4504" s="14"/>
      <c r="U4504" s="14"/>
      <c r="V4504" s="14"/>
      <c r="W4504" s="14"/>
    </row>
    <row r="4505" ht="31.5" customHeight="1">
      <c r="A4505" s="158"/>
      <c r="B4505" s="159"/>
      <c r="C4505" s="160"/>
      <c r="D4505" s="130"/>
      <c r="E4505" s="130"/>
      <c r="F4505" s="161"/>
      <c r="G4505" s="164"/>
      <c r="H4505" s="76" t="b">
        <v>1</v>
      </c>
      <c r="I4505" s="76" t="b">
        <v>0</v>
      </c>
      <c r="J4505" s="76" t="b">
        <v>0</v>
      </c>
      <c r="K4505" s="76" t="b">
        <v>0</v>
      </c>
      <c r="L4505" s="76" t="b">
        <v>0</v>
      </c>
      <c r="M4505" s="76" t="b">
        <v>0</v>
      </c>
      <c r="N4505" s="76" t="b">
        <v>0</v>
      </c>
      <c r="O4505" s="76" t="b">
        <v>0</v>
      </c>
      <c r="P4505" s="76" t="b">
        <v>0</v>
      </c>
      <c r="Q4505" s="76" t="b">
        <v>0</v>
      </c>
      <c r="R4505" s="14"/>
      <c r="S4505" s="14"/>
      <c r="T4505" s="14"/>
      <c r="U4505" s="14"/>
      <c r="V4505" s="14"/>
      <c r="W4505" s="14"/>
    </row>
    <row r="4506" ht="31.5" customHeight="1">
      <c r="A4506" s="158"/>
      <c r="B4506" s="159"/>
      <c r="C4506" s="160"/>
      <c r="D4506" s="130"/>
      <c r="E4506" s="130"/>
      <c r="F4506" s="161"/>
      <c r="G4506" s="164"/>
      <c r="H4506" s="76" t="b">
        <v>1</v>
      </c>
      <c r="I4506" s="76" t="b">
        <v>0</v>
      </c>
      <c r="J4506" s="76" t="b">
        <v>0</v>
      </c>
      <c r="K4506" s="76" t="b">
        <v>0</v>
      </c>
      <c r="L4506" s="76" t="b">
        <v>0</v>
      </c>
      <c r="M4506" s="76" t="b">
        <v>0</v>
      </c>
      <c r="N4506" s="76" t="b">
        <v>0</v>
      </c>
      <c r="O4506" s="76" t="b">
        <v>0</v>
      </c>
      <c r="P4506" s="76" t="b">
        <v>0</v>
      </c>
      <c r="Q4506" s="76" t="b">
        <v>0</v>
      </c>
      <c r="R4506" s="14"/>
      <c r="S4506" s="14"/>
      <c r="T4506" s="14"/>
      <c r="U4506" s="14"/>
      <c r="V4506" s="14"/>
      <c r="W4506" s="14"/>
    </row>
    <row r="4507" ht="31.5" customHeight="1">
      <c r="A4507" s="158"/>
      <c r="B4507" s="159"/>
      <c r="C4507" s="160"/>
      <c r="D4507" s="130"/>
      <c r="E4507" s="130"/>
      <c r="F4507" s="161"/>
      <c r="G4507" s="164"/>
      <c r="H4507" s="76" t="b">
        <v>1</v>
      </c>
      <c r="I4507" s="76" t="b">
        <v>0</v>
      </c>
      <c r="J4507" s="76" t="b">
        <v>0</v>
      </c>
      <c r="K4507" s="76" t="b">
        <v>0</v>
      </c>
      <c r="L4507" s="76" t="b">
        <v>0</v>
      </c>
      <c r="M4507" s="76" t="b">
        <v>0</v>
      </c>
      <c r="N4507" s="76" t="b">
        <v>0</v>
      </c>
      <c r="O4507" s="76" t="b">
        <v>0</v>
      </c>
      <c r="P4507" s="76" t="b">
        <v>0</v>
      </c>
      <c r="Q4507" s="76" t="b">
        <v>0</v>
      </c>
      <c r="R4507" s="14"/>
      <c r="S4507" s="14"/>
      <c r="T4507" s="14"/>
      <c r="U4507" s="14"/>
      <c r="V4507" s="14"/>
      <c r="W4507" s="14"/>
    </row>
    <row r="4508" ht="31.5" customHeight="1">
      <c r="A4508" s="158"/>
      <c r="B4508" s="159"/>
      <c r="C4508" s="160"/>
      <c r="D4508" s="130"/>
      <c r="E4508" s="130"/>
      <c r="F4508" s="161"/>
      <c r="G4508" s="164"/>
      <c r="H4508" s="76" t="b">
        <v>0</v>
      </c>
      <c r="I4508" s="76" t="b">
        <v>0</v>
      </c>
      <c r="J4508" s="76" t="b">
        <v>0</v>
      </c>
      <c r="K4508" s="76" t="b">
        <v>0</v>
      </c>
      <c r="L4508" s="76" t="b">
        <v>0</v>
      </c>
      <c r="M4508" s="76" t="b">
        <v>0</v>
      </c>
      <c r="N4508" s="76" t="b">
        <v>0</v>
      </c>
      <c r="O4508" s="76" t="b">
        <v>0</v>
      </c>
      <c r="P4508" s="76" t="b">
        <v>0</v>
      </c>
      <c r="Q4508" s="76" t="b">
        <v>0</v>
      </c>
      <c r="R4508" s="14"/>
      <c r="S4508" s="14"/>
      <c r="T4508" s="14"/>
      <c r="U4508" s="14"/>
      <c r="V4508" s="14"/>
      <c r="W4508" s="14"/>
    </row>
    <row r="4509" ht="31.5" customHeight="1">
      <c r="A4509" s="158"/>
      <c r="B4509" s="159"/>
      <c r="C4509" s="160"/>
      <c r="D4509" s="130"/>
      <c r="E4509" s="130"/>
      <c r="F4509" s="161"/>
      <c r="G4509" s="164"/>
      <c r="H4509" s="76" t="b">
        <v>0</v>
      </c>
      <c r="I4509" s="76" t="b">
        <v>0</v>
      </c>
      <c r="J4509" s="76" t="b">
        <v>0</v>
      </c>
      <c r="K4509" s="76" t="b">
        <v>0</v>
      </c>
      <c r="L4509" s="76" t="b">
        <v>0</v>
      </c>
      <c r="M4509" s="76" t="b">
        <v>0</v>
      </c>
      <c r="N4509" s="76" t="b">
        <v>0</v>
      </c>
      <c r="O4509" s="76" t="b">
        <v>0</v>
      </c>
      <c r="P4509" s="76" t="b">
        <v>0</v>
      </c>
      <c r="Q4509" s="76" t="b">
        <v>0</v>
      </c>
      <c r="R4509" s="14"/>
      <c r="S4509" s="14"/>
      <c r="T4509" s="14"/>
      <c r="U4509" s="14"/>
      <c r="V4509" s="14"/>
      <c r="W4509" s="14"/>
    </row>
    <row r="4510" ht="31.5" customHeight="1">
      <c r="A4510" s="158"/>
      <c r="B4510" s="159"/>
      <c r="C4510" s="160"/>
      <c r="D4510" s="130"/>
      <c r="E4510" s="130"/>
      <c r="F4510" s="161"/>
      <c r="G4510" s="164"/>
      <c r="H4510" s="76" t="b">
        <v>0</v>
      </c>
      <c r="I4510" s="76" t="b">
        <v>0</v>
      </c>
      <c r="J4510" s="76" t="b">
        <v>0</v>
      </c>
      <c r="K4510" s="76" t="b">
        <v>0</v>
      </c>
      <c r="L4510" s="76" t="b">
        <v>0</v>
      </c>
      <c r="M4510" s="76" t="b">
        <v>0</v>
      </c>
      <c r="N4510" s="76" t="b">
        <v>0</v>
      </c>
      <c r="O4510" s="76" t="b">
        <v>0</v>
      </c>
      <c r="P4510" s="76" t="b">
        <v>0</v>
      </c>
      <c r="Q4510" s="76" t="b">
        <v>0</v>
      </c>
      <c r="R4510" s="14"/>
      <c r="S4510" s="14"/>
      <c r="T4510" s="14"/>
      <c r="U4510" s="14"/>
      <c r="V4510" s="14"/>
      <c r="W4510" s="14"/>
    </row>
    <row r="4511" ht="31.5" customHeight="1">
      <c r="A4511" s="158"/>
      <c r="B4511" s="159"/>
      <c r="C4511" s="160"/>
      <c r="D4511" s="130"/>
      <c r="E4511" s="130"/>
      <c r="F4511" s="161"/>
      <c r="G4511" s="164"/>
      <c r="H4511" s="76" t="b">
        <v>0</v>
      </c>
      <c r="I4511" s="76" t="b">
        <v>0</v>
      </c>
      <c r="J4511" s="76" t="b">
        <v>0</v>
      </c>
      <c r="K4511" s="76" t="b">
        <v>0</v>
      </c>
      <c r="L4511" s="76" t="b">
        <v>0</v>
      </c>
      <c r="M4511" s="76" t="b">
        <v>0</v>
      </c>
      <c r="N4511" s="76" t="b">
        <v>0</v>
      </c>
      <c r="O4511" s="76" t="b">
        <v>0</v>
      </c>
      <c r="P4511" s="76" t="b">
        <v>0</v>
      </c>
      <c r="Q4511" s="76" t="b">
        <v>0</v>
      </c>
      <c r="R4511" s="14"/>
      <c r="S4511" s="14"/>
      <c r="T4511" s="14"/>
      <c r="U4511" s="14"/>
      <c r="V4511" s="14"/>
      <c r="W4511" s="14"/>
    </row>
    <row r="4512" ht="31.5" customHeight="1">
      <c r="A4512" s="158"/>
      <c r="B4512" s="159"/>
      <c r="C4512" s="160"/>
      <c r="D4512" s="130"/>
      <c r="E4512" s="130"/>
      <c r="F4512" s="161"/>
      <c r="G4512" s="164"/>
      <c r="H4512" s="76" t="b">
        <v>0</v>
      </c>
      <c r="I4512" s="76" t="b">
        <v>0</v>
      </c>
      <c r="J4512" s="76" t="b">
        <v>0</v>
      </c>
      <c r="K4512" s="76" t="b">
        <v>0</v>
      </c>
      <c r="L4512" s="76" t="b">
        <v>0</v>
      </c>
      <c r="M4512" s="76" t="b">
        <v>0</v>
      </c>
      <c r="N4512" s="76" t="b">
        <v>0</v>
      </c>
      <c r="O4512" s="76" t="b">
        <v>0</v>
      </c>
      <c r="P4512" s="76" t="b">
        <v>0</v>
      </c>
      <c r="Q4512" s="76" t="b">
        <v>0</v>
      </c>
      <c r="R4512" s="14"/>
      <c r="S4512" s="14"/>
      <c r="T4512" s="14"/>
      <c r="U4512" s="14"/>
      <c r="V4512" s="14"/>
      <c r="W4512" s="14"/>
    </row>
    <row r="4513" ht="31.5" customHeight="1">
      <c r="A4513" s="158"/>
      <c r="B4513" s="159"/>
      <c r="C4513" s="160"/>
      <c r="D4513" s="130"/>
      <c r="E4513" s="130"/>
      <c r="F4513" s="161"/>
      <c r="G4513" s="164"/>
      <c r="H4513" s="76" t="b">
        <v>0</v>
      </c>
      <c r="I4513" s="76" t="b">
        <v>0</v>
      </c>
      <c r="J4513" s="76" t="b">
        <v>0</v>
      </c>
      <c r="K4513" s="76" t="b">
        <v>0</v>
      </c>
      <c r="L4513" s="76" t="b">
        <v>0</v>
      </c>
      <c r="M4513" s="76" t="b">
        <v>0</v>
      </c>
      <c r="N4513" s="76" t="b">
        <v>0</v>
      </c>
      <c r="O4513" s="76" t="b">
        <v>0</v>
      </c>
      <c r="P4513" s="76" t="b">
        <v>0</v>
      </c>
      <c r="Q4513" s="76" t="b">
        <v>0</v>
      </c>
      <c r="R4513" s="14"/>
      <c r="S4513" s="14"/>
      <c r="T4513" s="14"/>
      <c r="U4513" s="14"/>
      <c r="V4513" s="14"/>
      <c r="W4513" s="14"/>
    </row>
    <row r="4514" ht="31.5" customHeight="1">
      <c r="A4514" s="158"/>
      <c r="B4514" s="159"/>
      <c r="C4514" s="160"/>
      <c r="D4514" s="130"/>
      <c r="E4514" s="130"/>
      <c r="F4514" s="161"/>
      <c r="G4514" s="164"/>
      <c r="H4514" s="76" t="b">
        <v>0</v>
      </c>
      <c r="I4514" s="76" t="b">
        <v>0</v>
      </c>
      <c r="J4514" s="76" t="b">
        <v>0</v>
      </c>
      <c r="K4514" s="76" t="b">
        <v>0</v>
      </c>
      <c r="L4514" s="76" t="b">
        <v>0</v>
      </c>
      <c r="M4514" s="76" t="b">
        <v>0</v>
      </c>
      <c r="N4514" s="76" t="b">
        <v>0</v>
      </c>
      <c r="O4514" s="76" t="b">
        <v>0</v>
      </c>
      <c r="P4514" s="76" t="b">
        <v>0</v>
      </c>
      <c r="Q4514" s="76" t="b">
        <v>0</v>
      </c>
      <c r="R4514" s="14"/>
      <c r="S4514" s="14"/>
      <c r="T4514" s="14"/>
      <c r="U4514" s="14"/>
      <c r="V4514" s="14"/>
      <c r="W4514" s="14"/>
    </row>
    <row r="4515" ht="31.5" customHeight="1">
      <c r="A4515" s="158"/>
      <c r="B4515" s="159"/>
      <c r="C4515" s="160"/>
      <c r="D4515" s="130"/>
      <c r="E4515" s="130"/>
      <c r="F4515" s="161"/>
      <c r="G4515" s="164"/>
      <c r="H4515" s="76" t="b">
        <v>0</v>
      </c>
      <c r="I4515" s="76" t="b">
        <v>0</v>
      </c>
      <c r="J4515" s="76" t="b">
        <v>0</v>
      </c>
      <c r="K4515" s="76" t="b">
        <v>0</v>
      </c>
      <c r="L4515" s="76" t="b">
        <v>0</v>
      </c>
      <c r="M4515" s="76" t="b">
        <v>0</v>
      </c>
      <c r="N4515" s="76" t="b">
        <v>0</v>
      </c>
      <c r="O4515" s="76" t="b">
        <v>0</v>
      </c>
      <c r="P4515" s="76" t="b">
        <v>0</v>
      </c>
      <c r="Q4515" s="76" t="b">
        <v>0</v>
      </c>
      <c r="R4515" s="14"/>
      <c r="S4515" s="14"/>
      <c r="T4515" s="14"/>
      <c r="U4515" s="14"/>
      <c r="V4515" s="14"/>
      <c r="W4515" s="14"/>
    </row>
    <row r="4516" ht="31.5" customHeight="1">
      <c r="A4516" s="158"/>
      <c r="B4516" s="159"/>
      <c r="C4516" s="160"/>
      <c r="D4516" s="130"/>
      <c r="E4516" s="130"/>
      <c r="F4516" s="161"/>
      <c r="G4516" s="164"/>
      <c r="H4516" s="76" t="b">
        <v>0</v>
      </c>
      <c r="I4516" s="76" t="b">
        <v>0</v>
      </c>
      <c r="J4516" s="76" t="b">
        <v>0</v>
      </c>
      <c r="K4516" s="76" t="b">
        <v>0</v>
      </c>
      <c r="L4516" s="76" t="b">
        <v>0</v>
      </c>
      <c r="M4516" s="76" t="b">
        <v>0</v>
      </c>
      <c r="N4516" s="76" t="b">
        <v>0</v>
      </c>
      <c r="O4516" s="76" t="b">
        <v>0</v>
      </c>
      <c r="P4516" s="76" t="b">
        <v>0</v>
      </c>
      <c r="Q4516" s="76" t="b">
        <v>0</v>
      </c>
      <c r="R4516" s="14"/>
      <c r="S4516" s="14"/>
      <c r="T4516" s="14"/>
      <c r="U4516" s="14"/>
      <c r="V4516" s="14"/>
      <c r="W4516" s="14"/>
    </row>
    <row r="4517" ht="31.5" customHeight="1">
      <c r="A4517" s="158"/>
      <c r="B4517" s="159"/>
      <c r="C4517" s="160"/>
      <c r="D4517" s="130"/>
      <c r="E4517" s="130"/>
      <c r="F4517" s="161"/>
      <c r="G4517" s="164"/>
      <c r="H4517" s="76" t="b">
        <v>0</v>
      </c>
      <c r="I4517" s="76" t="b">
        <v>0</v>
      </c>
      <c r="J4517" s="76" t="b">
        <v>0</v>
      </c>
      <c r="K4517" s="76" t="b">
        <v>0</v>
      </c>
      <c r="L4517" s="76" t="b">
        <v>0</v>
      </c>
      <c r="M4517" s="76" t="b">
        <v>0</v>
      </c>
      <c r="N4517" s="76" t="b">
        <v>0</v>
      </c>
      <c r="O4517" s="76" t="b">
        <v>0</v>
      </c>
      <c r="P4517" s="76" t="b">
        <v>0</v>
      </c>
      <c r="Q4517" s="76" t="b">
        <v>0</v>
      </c>
      <c r="R4517" s="14"/>
      <c r="S4517" s="14"/>
      <c r="T4517" s="14"/>
      <c r="U4517" s="14"/>
      <c r="V4517" s="14"/>
      <c r="W4517" s="14"/>
    </row>
    <row r="4518" ht="31.5" customHeight="1">
      <c r="A4518" s="158"/>
      <c r="B4518" s="159"/>
      <c r="C4518" s="160"/>
      <c r="D4518" s="130"/>
      <c r="E4518" s="130"/>
      <c r="F4518" s="161"/>
      <c r="G4518" s="164"/>
      <c r="H4518" s="76" t="b">
        <v>0</v>
      </c>
      <c r="I4518" s="76" t="b">
        <v>0</v>
      </c>
      <c r="J4518" s="76" t="b">
        <v>0</v>
      </c>
      <c r="K4518" s="76" t="b">
        <v>0</v>
      </c>
      <c r="L4518" s="76" t="b">
        <v>0</v>
      </c>
      <c r="M4518" s="76" t="b">
        <v>0</v>
      </c>
      <c r="N4518" s="76" t="b">
        <v>0</v>
      </c>
      <c r="O4518" s="76" t="b">
        <v>0</v>
      </c>
      <c r="P4518" s="76" t="b">
        <v>0</v>
      </c>
      <c r="Q4518" s="76" t="b">
        <v>0</v>
      </c>
      <c r="R4518" s="14"/>
      <c r="S4518" s="14"/>
      <c r="T4518" s="14"/>
      <c r="U4518" s="14"/>
      <c r="V4518" s="14"/>
      <c r="W4518" s="14"/>
    </row>
    <row r="4519" ht="31.5" customHeight="1">
      <c r="A4519" s="158"/>
      <c r="B4519" s="159"/>
      <c r="C4519" s="160"/>
      <c r="D4519" s="130"/>
      <c r="E4519" s="130"/>
      <c r="F4519" s="161"/>
      <c r="G4519" s="164"/>
      <c r="H4519" s="76" t="b">
        <v>0</v>
      </c>
      <c r="I4519" s="76" t="b">
        <v>0</v>
      </c>
      <c r="J4519" s="76" t="b">
        <v>0</v>
      </c>
      <c r="K4519" s="76" t="b">
        <v>0</v>
      </c>
      <c r="L4519" s="76" t="b">
        <v>0</v>
      </c>
      <c r="M4519" s="76" t="b">
        <v>0</v>
      </c>
      <c r="N4519" s="76" t="b">
        <v>0</v>
      </c>
      <c r="O4519" s="76" t="b">
        <v>0</v>
      </c>
      <c r="P4519" s="76" t="b">
        <v>0</v>
      </c>
      <c r="Q4519" s="76" t="b">
        <v>0</v>
      </c>
      <c r="R4519" s="14"/>
      <c r="S4519" s="14"/>
      <c r="T4519" s="14"/>
      <c r="U4519" s="14"/>
      <c r="V4519" s="14"/>
      <c r="W4519" s="14"/>
    </row>
    <row r="4520" ht="31.5" customHeight="1">
      <c r="A4520" s="158"/>
      <c r="B4520" s="159"/>
      <c r="C4520" s="160"/>
      <c r="D4520" s="130"/>
      <c r="E4520" s="130"/>
      <c r="F4520" s="161"/>
      <c r="G4520" s="164"/>
      <c r="H4520" s="76" t="b">
        <v>0</v>
      </c>
      <c r="I4520" s="76" t="b">
        <v>0</v>
      </c>
      <c r="J4520" s="76" t="b">
        <v>0</v>
      </c>
      <c r="K4520" s="76" t="b">
        <v>0</v>
      </c>
      <c r="L4520" s="76" t="b">
        <v>0</v>
      </c>
      <c r="M4520" s="76" t="b">
        <v>0</v>
      </c>
      <c r="N4520" s="76" t="b">
        <v>0</v>
      </c>
      <c r="O4520" s="76" t="b">
        <v>0</v>
      </c>
      <c r="P4520" s="76" t="b">
        <v>0</v>
      </c>
      <c r="Q4520" s="76" t="b">
        <v>0</v>
      </c>
      <c r="R4520" s="14"/>
      <c r="S4520" s="14"/>
      <c r="T4520" s="14"/>
      <c r="U4520" s="14"/>
      <c r="V4520" s="14"/>
      <c r="W4520" s="14"/>
    </row>
    <row r="4521" ht="31.5" customHeight="1">
      <c r="A4521" s="158"/>
      <c r="B4521" s="159"/>
      <c r="C4521" s="160"/>
      <c r="D4521" s="130"/>
      <c r="E4521" s="130"/>
      <c r="F4521" s="161"/>
      <c r="G4521" s="164"/>
      <c r="H4521" s="76" t="b">
        <v>0</v>
      </c>
      <c r="I4521" s="76" t="b">
        <v>0</v>
      </c>
      <c r="J4521" s="76" t="b">
        <v>0</v>
      </c>
      <c r="K4521" s="76" t="b">
        <v>0</v>
      </c>
      <c r="L4521" s="76" t="b">
        <v>0</v>
      </c>
      <c r="M4521" s="76" t="b">
        <v>0</v>
      </c>
      <c r="N4521" s="76" t="b">
        <v>0</v>
      </c>
      <c r="O4521" s="76" t="b">
        <v>0</v>
      </c>
      <c r="P4521" s="76" t="b">
        <v>0</v>
      </c>
      <c r="Q4521" s="76" t="b">
        <v>0</v>
      </c>
      <c r="R4521" s="14"/>
      <c r="S4521" s="14"/>
      <c r="T4521" s="14"/>
      <c r="U4521" s="14"/>
      <c r="V4521" s="14"/>
      <c r="W4521" s="14"/>
    </row>
    <row r="4522" ht="31.5" customHeight="1">
      <c r="A4522" s="158"/>
      <c r="B4522" s="159"/>
      <c r="C4522" s="160"/>
      <c r="D4522" s="130"/>
      <c r="E4522" s="130"/>
      <c r="F4522" s="161"/>
      <c r="G4522" s="164"/>
      <c r="H4522" s="76" t="b">
        <v>0</v>
      </c>
      <c r="I4522" s="76" t="b">
        <v>0</v>
      </c>
      <c r="J4522" s="76" t="b">
        <v>0</v>
      </c>
      <c r="K4522" s="76" t="b">
        <v>0</v>
      </c>
      <c r="L4522" s="76" t="b">
        <v>0</v>
      </c>
      <c r="M4522" s="76" t="b">
        <v>0</v>
      </c>
      <c r="N4522" s="76" t="b">
        <v>0</v>
      </c>
      <c r="O4522" s="76" t="b">
        <v>0</v>
      </c>
      <c r="P4522" s="76" t="b">
        <v>0</v>
      </c>
      <c r="Q4522" s="76" t="b">
        <v>0</v>
      </c>
      <c r="R4522" s="14"/>
      <c r="S4522" s="14"/>
      <c r="T4522" s="14"/>
      <c r="U4522" s="14"/>
      <c r="V4522" s="14"/>
      <c r="W4522" s="14"/>
    </row>
    <row r="4523" ht="31.5" customHeight="1">
      <c r="A4523" s="158"/>
      <c r="B4523" s="159"/>
      <c r="C4523" s="160"/>
      <c r="D4523" s="130"/>
      <c r="E4523" s="130"/>
      <c r="F4523" s="161"/>
      <c r="G4523" s="164"/>
      <c r="H4523" s="76" t="b">
        <v>0</v>
      </c>
      <c r="I4523" s="76" t="b">
        <v>0</v>
      </c>
      <c r="J4523" s="76" t="b">
        <v>0</v>
      </c>
      <c r="K4523" s="76" t="b">
        <v>0</v>
      </c>
      <c r="L4523" s="76" t="b">
        <v>0</v>
      </c>
      <c r="M4523" s="76" t="b">
        <v>0</v>
      </c>
      <c r="N4523" s="76" t="b">
        <v>0</v>
      </c>
      <c r="O4523" s="76" t="b">
        <v>0</v>
      </c>
      <c r="P4523" s="76" t="b">
        <v>0</v>
      </c>
      <c r="Q4523" s="76" t="b">
        <v>0</v>
      </c>
      <c r="R4523" s="14"/>
      <c r="S4523" s="14"/>
      <c r="T4523" s="14"/>
      <c r="U4523" s="14"/>
      <c r="V4523" s="14"/>
      <c r="W4523" s="14"/>
    </row>
    <row r="4524" ht="31.5" customHeight="1">
      <c r="A4524" s="158"/>
      <c r="B4524" s="159"/>
      <c r="C4524" s="160"/>
      <c r="D4524" s="130"/>
      <c r="E4524" s="130"/>
      <c r="F4524" s="161"/>
      <c r="G4524" s="164"/>
      <c r="H4524" s="76" t="b">
        <v>0</v>
      </c>
      <c r="I4524" s="76" t="b">
        <v>0</v>
      </c>
      <c r="J4524" s="76" t="b">
        <v>0</v>
      </c>
      <c r="K4524" s="76" t="b">
        <v>0</v>
      </c>
      <c r="L4524" s="76" t="b">
        <v>0</v>
      </c>
      <c r="M4524" s="76" t="b">
        <v>0</v>
      </c>
      <c r="N4524" s="76" t="b">
        <v>0</v>
      </c>
      <c r="O4524" s="76" t="b">
        <v>0</v>
      </c>
      <c r="P4524" s="76" t="b">
        <v>0</v>
      </c>
      <c r="Q4524" s="76" t="b">
        <v>0</v>
      </c>
      <c r="R4524" s="14"/>
      <c r="S4524" s="14"/>
      <c r="T4524" s="14"/>
      <c r="U4524" s="14"/>
      <c r="V4524" s="14"/>
      <c r="W4524" s="14"/>
    </row>
    <row r="4525" ht="31.5" customHeight="1">
      <c r="A4525" s="158"/>
      <c r="B4525" s="159"/>
      <c r="C4525" s="160"/>
      <c r="D4525" s="130"/>
      <c r="E4525" s="130"/>
      <c r="F4525" s="161"/>
      <c r="G4525" s="164"/>
      <c r="H4525" s="76" t="b">
        <v>0</v>
      </c>
      <c r="I4525" s="76" t="b">
        <v>0</v>
      </c>
      <c r="J4525" s="76" t="b">
        <v>0</v>
      </c>
      <c r="K4525" s="76" t="b">
        <v>0</v>
      </c>
      <c r="L4525" s="76" t="b">
        <v>0</v>
      </c>
      <c r="M4525" s="76" t="b">
        <v>0</v>
      </c>
      <c r="N4525" s="76" t="b">
        <v>0</v>
      </c>
      <c r="O4525" s="76" t="b">
        <v>0</v>
      </c>
      <c r="P4525" s="76" t="b">
        <v>0</v>
      </c>
      <c r="Q4525" s="76" t="b">
        <v>0</v>
      </c>
      <c r="R4525" s="14"/>
      <c r="S4525" s="14"/>
      <c r="T4525" s="14"/>
      <c r="U4525" s="14"/>
      <c r="V4525" s="14"/>
      <c r="W4525" s="14"/>
    </row>
    <row r="4526" ht="31.5" customHeight="1">
      <c r="A4526" s="158"/>
      <c r="B4526" s="159"/>
      <c r="C4526" s="160"/>
      <c r="D4526" s="130"/>
      <c r="E4526" s="130"/>
      <c r="F4526" s="161"/>
      <c r="G4526" s="164"/>
      <c r="H4526" s="76" t="b">
        <v>0</v>
      </c>
      <c r="I4526" s="76" t="b">
        <v>0</v>
      </c>
      <c r="J4526" s="76" t="b">
        <v>0</v>
      </c>
      <c r="K4526" s="76" t="b">
        <v>0</v>
      </c>
      <c r="L4526" s="76" t="b">
        <v>0</v>
      </c>
      <c r="M4526" s="76" t="b">
        <v>0</v>
      </c>
      <c r="N4526" s="76" t="b">
        <v>0</v>
      </c>
      <c r="O4526" s="76" t="b">
        <v>0</v>
      </c>
      <c r="P4526" s="76" t="b">
        <v>0</v>
      </c>
      <c r="Q4526" s="76" t="b">
        <v>0</v>
      </c>
      <c r="R4526" s="14"/>
      <c r="S4526" s="14"/>
      <c r="T4526" s="14"/>
      <c r="U4526" s="14"/>
      <c r="V4526" s="14"/>
      <c r="W4526" s="14"/>
    </row>
    <row r="4527" ht="31.5" customHeight="1">
      <c r="A4527" s="158"/>
      <c r="B4527" s="159"/>
      <c r="C4527" s="160"/>
      <c r="D4527" s="130"/>
      <c r="E4527" s="130"/>
      <c r="F4527" s="161"/>
      <c r="G4527" s="164"/>
      <c r="H4527" s="76" t="b">
        <v>0</v>
      </c>
      <c r="I4527" s="76" t="b">
        <v>0</v>
      </c>
      <c r="J4527" s="76" t="b">
        <v>0</v>
      </c>
      <c r="K4527" s="76" t="b">
        <v>0</v>
      </c>
      <c r="L4527" s="76" t="b">
        <v>0</v>
      </c>
      <c r="M4527" s="76" t="b">
        <v>0</v>
      </c>
      <c r="N4527" s="76" t="b">
        <v>0</v>
      </c>
      <c r="O4527" s="76" t="b">
        <v>0</v>
      </c>
      <c r="P4527" s="76" t="b">
        <v>0</v>
      </c>
      <c r="Q4527" s="76" t="b">
        <v>0</v>
      </c>
      <c r="R4527" s="14"/>
      <c r="S4527" s="14"/>
      <c r="T4527" s="14"/>
      <c r="U4527" s="14"/>
      <c r="V4527" s="14"/>
      <c r="W4527" s="14"/>
    </row>
    <row r="4528" ht="31.5" customHeight="1">
      <c r="A4528" s="158"/>
      <c r="B4528" s="159"/>
      <c r="C4528" s="160"/>
      <c r="D4528" s="130"/>
      <c r="E4528" s="130"/>
      <c r="F4528" s="161"/>
      <c r="G4528" s="164"/>
      <c r="H4528" s="76" t="b">
        <v>0</v>
      </c>
      <c r="I4528" s="76" t="b">
        <v>0</v>
      </c>
      <c r="J4528" s="76" t="b">
        <v>0</v>
      </c>
      <c r="K4528" s="76" t="b">
        <v>0</v>
      </c>
      <c r="L4528" s="76" t="b">
        <v>0</v>
      </c>
      <c r="M4528" s="76" t="b">
        <v>0</v>
      </c>
      <c r="N4528" s="76" t="b">
        <v>0</v>
      </c>
      <c r="O4528" s="76" t="b">
        <v>0</v>
      </c>
      <c r="P4528" s="76" t="b">
        <v>0</v>
      </c>
      <c r="Q4528" s="76" t="b">
        <v>0</v>
      </c>
      <c r="R4528" s="14"/>
      <c r="S4528" s="14"/>
      <c r="T4528" s="14"/>
      <c r="U4528" s="14"/>
      <c r="V4528" s="14"/>
      <c r="W4528" s="14"/>
    </row>
    <row r="4529" ht="31.5" customHeight="1">
      <c r="A4529" s="158"/>
      <c r="B4529" s="159"/>
      <c r="C4529" s="160"/>
      <c r="D4529" s="130"/>
      <c r="E4529" s="130"/>
      <c r="F4529" s="161"/>
      <c r="G4529" s="164"/>
      <c r="H4529" s="76" t="b">
        <v>0</v>
      </c>
      <c r="I4529" s="76" t="b">
        <v>0</v>
      </c>
      <c r="J4529" s="76" t="b">
        <v>0</v>
      </c>
      <c r="K4529" s="76" t="b">
        <v>0</v>
      </c>
      <c r="L4529" s="76" t="b">
        <v>0</v>
      </c>
      <c r="M4529" s="76" t="b">
        <v>0</v>
      </c>
      <c r="N4529" s="76" t="b">
        <v>0</v>
      </c>
      <c r="O4529" s="76" t="b">
        <v>0</v>
      </c>
      <c r="P4529" s="76" t="b">
        <v>0</v>
      </c>
      <c r="Q4529" s="76" t="b">
        <v>0</v>
      </c>
      <c r="R4529" s="14"/>
      <c r="S4529" s="14"/>
      <c r="T4529" s="14"/>
      <c r="U4529" s="14"/>
      <c r="V4529" s="14"/>
      <c r="W4529" s="14"/>
    </row>
    <row r="4530" ht="31.5" customHeight="1">
      <c r="A4530" s="158"/>
      <c r="B4530" s="159"/>
      <c r="C4530" s="160"/>
      <c r="D4530" s="130"/>
      <c r="E4530" s="130"/>
      <c r="F4530" s="161"/>
      <c r="G4530" s="164"/>
      <c r="H4530" s="76" t="b">
        <v>0</v>
      </c>
      <c r="I4530" s="76" t="b">
        <v>0</v>
      </c>
      <c r="J4530" s="76" t="b">
        <v>0</v>
      </c>
      <c r="K4530" s="76" t="b">
        <v>0</v>
      </c>
      <c r="L4530" s="76" t="b">
        <v>0</v>
      </c>
      <c r="M4530" s="76" t="b">
        <v>0</v>
      </c>
      <c r="N4530" s="76" t="b">
        <v>0</v>
      </c>
      <c r="O4530" s="76" t="b">
        <v>0</v>
      </c>
      <c r="P4530" s="76" t="b">
        <v>0</v>
      </c>
      <c r="Q4530" s="76" t="b">
        <v>0</v>
      </c>
      <c r="R4530" s="14"/>
      <c r="S4530" s="14"/>
      <c r="T4530" s="14"/>
      <c r="U4530" s="14"/>
      <c r="V4530" s="14"/>
      <c r="W4530" s="14"/>
    </row>
    <row r="4531" ht="31.5" customHeight="1">
      <c r="A4531" s="158"/>
      <c r="B4531" s="159"/>
      <c r="C4531" s="160"/>
      <c r="D4531" s="130"/>
      <c r="E4531" s="130"/>
      <c r="F4531" s="161"/>
      <c r="G4531" s="164"/>
      <c r="H4531" s="76" t="b">
        <v>0</v>
      </c>
      <c r="I4531" s="76" t="b">
        <v>0</v>
      </c>
      <c r="J4531" s="76" t="b">
        <v>0</v>
      </c>
      <c r="K4531" s="76" t="b">
        <v>0</v>
      </c>
      <c r="L4531" s="76" t="b">
        <v>0</v>
      </c>
      <c r="M4531" s="76" t="b">
        <v>0</v>
      </c>
      <c r="N4531" s="76" t="b">
        <v>0</v>
      </c>
      <c r="O4531" s="76" t="b">
        <v>0</v>
      </c>
      <c r="P4531" s="76" t="b">
        <v>0</v>
      </c>
      <c r="Q4531" s="76" t="b">
        <v>0</v>
      </c>
      <c r="R4531" s="14"/>
      <c r="S4531" s="14"/>
      <c r="T4531" s="14"/>
      <c r="U4531" s="14"/>
      <c r="V4531" s="14"/>
      <c r="W4531" s="14"/>
    </row>
    <row r="4532" ht="31.5" customHeight="1">
      <c r="A4532" s="158"/>
      <c r="B4532" s="159"/>
      <c r="C4532" s="160"/>
      <c r="D4532" s="130"/>
      <c r="E4532" s="130"/>
      <c r="F4532" s="161"/>
      <c r="G4532" s="164"/>
      <c r="H4532" s="76" t="b">
        <v>0</v>
      </c>
      <c r="I4532" s="76" t="b">
        <v>0</v>
      </c>
      <c r="J4532" s="76" t="b">
        <v>0</v>
      </c>
      <c r="K4532" s="76" t="b">
        <v>0</v>
      </c>
      <c r="L4532" s="76" t="b">
        <v>0</v>
      </c>
      <c r="M4532" s="76" t="b">
        <v>0</v>
      </c>
      <c r="N4532" s="76" t="b">
        <v>0</v>
      </c>
      <c r="O4532" s="76" t="b">
        <v>0</v>
      </c>
      <c r="P4532" s="76" t="b">
        <v>0</v>
      </c>
      <c r="Q4532" s="76" t="b">
        <v>0</v>
      </c>
      <c r="R4532" s="14"/>
      <c r="S4532" s="14"/>
      <c r="T4532" s="14"/>
      <c r="U4532" s="14"/>
      <c r="V4532" s="14"/>
      <c r="W4532" s="14"/>
    </row>
    <row r="4533" ht="31.5" customHeight="1">
      <c r="A4533" s="158"/>
      <c r="B4533" s="159"/>
      <c r="C4533" s="160"/>
      <c r="D4533" s="130"/>
      <c r="E4533" s="130"/>
      <c r="F4533" s="161"/>
      <c r="G4533" s="164"/>
      <c r="H4533" s="76" t="b">
        <v>0</v>
      </c>
      <c r="I4533" s="76" t="b">
        <v>0</v>
      </c>
      <c r="J4533" s="76" t="b">
        <v>0</v>
      </c>
      <c r="K4533" s="76" t="b">
        <v>0</v>
      </c>
      <c r="L4533" s="76" t="b">
        <v>0</v>
      </c>
      <c r="M4533" s="76" t="b">
        <v>0</v>
      </c>
      <c r="N4533" s="76" t="b">
        <v>0</v>
      </c>
      <c r="O4533" s="76" t="b">
        <v>0</v>
      </c>
      <c r="P4533" s="76" t="b">
        <v>0</v>
      </c>
      <c r="Q4533" s="76" t="b">
        <v>0</v>
      </c>
      <c r="R4533" s="14"/>
      <c r="S4533" s="14"/>
      <c r="T4533" s="14"/>
      <c r="U4533" s="14"/>
      <c r="V4533" s="14"/>
      <c r="W4533" s="14"/>
    </row>
    <row r="4534" ht="31.5" customHeight="1">
      <c r="A4534" s="158"/>
      <c r="B4534" s="159"/>
      <c r="C4534" s="160"/>
      <c r="D4534" s="130"/>
      <c r="E4534" s="130"/>
      <c r="F4534" s="161"/>
      <c r="G4534" s="164"/>
      <c r="H4534" s="76" t="b">
        <v>0</v>
      </c>
      <c r="I4534" s="76" t="b">
        <v>0</v>
      </c>
      <c r="J4534" s="76" t="b">
        <v>0</v>
      </c>
      <c r="K4534" s="76" t="b">
        <v>0</v>
      </c>
      <c r="L4534" s="76" t="b">
        <v>0</v>
      </c>
      <c r="M4534" s="76" t="b">
        <v>0</v>
      </c>
      <c r="N4534" s="76" t="b">
        <v>0</v>
      </c>
      <c r="O4534" s="76" t="b">
        <v>0</v>
      </c>
      <c r="P4534" s="76" t="b">
        <v>0</v>
      </c>
      <c r="Q4534" s="76" t="b">
        <v>0</v>
      </c>
      <c r="R4534" s="14"/>
      <c r="S4534" s="14"/>
      <c r="T4534" s="14"/>
      <c r="U4534" s="14"/>
      <c r="V4534" s="14"/>
      <c r="W4534" s="14"/>
    </row>
    <row r="4535" ht="31.5" customHeight="1">
      <c r="A4535" s="158"/>
      <c r="B4535" s="159"/>
      <c r="C4535" s="160"/>
      <c r="D4535" s="130"/>
      <c r="E4535" s="130"/>
      <c r="F4535" s="161"/>
      <c r="G4535" s="164"/>
      <c r="H4535" s="76" t="b">
        <v>0</v>
      </c>
      <c r="I4535" s="76" t="b">
        <v>0</v>
      </c>
      <c r="J4535" s="76" t="b">
        <v>0</v>
      </c>
      <c r="K4535" s="76" t="b">
        <v>0</v>
      </c>
      <c r="L4535" s="76" t="b">
        <v>0</v>
      </c>
      <c r="M4535" s="76" t="b">
        <v>0</v>
      </c>
      <c r="N4535" s="76" t="b">
        <v>0</v>
      </c>
      <c r="O4535" s="76" t="b">
        <v>0</v>
      </c>
      <c r="P4535" s="76" t="b">
        <v>0</v>
      </c>
      <c r="Q4535" s="76" t="b">
        <v>0</v>
      </c>
      <c r="R4535" s="14"/>
      <c r="S4535" s="14"/>
      <c r="T4535" s="14"/>
      <c r="U4535" s="14"/>
      <c r="V4535" s="14"/>
      <c r="W4535" s="14"/>
    </row>
    <row r="4536" ht="31.5" customHeight="1">
      <c r="A4536" s="158"/>
      <c r="B4536" s="159"/>
      <c r="C4536" s="160"/>
      <c r="D4536" s="130"/>
      <c r="E4536" s="130"/>
      <c r="F4536" s="161"/>
      <c r="G4536" s="164"/>
      <c r="H4536" s="76" t="b">
        <v>0</v>
      </c>
      <c r="I4536" s="76" t="b">
        <v>0</v>
      </c>
      <c r="J4536" s="76" t="b">
        <v>0</v>
      </c>
      <c r="K4536" s="76" t="b">
        <v>0</v>
      </c>
      <c r="L4536" s="76" t="b">
        <v>0</v>
      </c>
      <c r="M4536" s="76" t="b">
        <v>0</v>
      </c>
      <c r="N4536" s="76" t="b">
        <v>0</v>
      </c>
      <c r="O4536" s="76" t="b">
        <v>0</v>
      </c>
      <c r="P4536" s="76" t="b">
        <v>0</v>
      </c>
      <c r="Q4536" s="76" t="b">
        <v>0</v>
      </c>
      <c r="R4536" s="14"/>
      <c r="S4536" s="14"/>
      <c r="T4536" s="14"/>
      <c r="U4536" s="14"/>
      <c r="V4536" s="14"/>
      <c r="W4536" s="14"/>
    </row>
    <row r="4537" ht="31.5" customHeight="1">
      <c r="A4537" s="158"/>
      <c r="B4537" s="159"/>
      <c r="C4537" s="160"/>
      <c r="D4537" s="130"/>
      <c r="E4537" s="130"/>
      <c r="F4537" s="161"/>
      <c r="G4537" s="164"/>
      <c r="H4537" s="76" t="b">
        <v>0</v>
      </c>
      <c r="I4537" s="76" t="b">
        <v>0</v>
      </c>
      <c r="J4537" s="76" t="b">
        <v>0</v>
      </c>
      <c r="K4537" s="76" t="b">
        <v>0</v>
      </c>
      <c r="L4537" s="76" t="b">
        <v>0</v>
      </c>
      <c r="M4537" s="76" t="b">
        <v>0</v>
      </c>
      <c r="N4537" s="76" t="b">
        <v>0</v>
      </c>
      <c r="O4537" s="76" t="b">
        <v>0</v>
      </c>
      <c r="P4537" s="76" t="b">
        <v>0</v>
      </c>
      <c r="Q4537" s="76" t="b">
        <v>0</v>
      </c>
      <c r="R4537" s="14"/>
      <c r="S4537" s="14"/>
      <c r="T4537" s="14"/>
      <c r="U4537" s="14"/>
      <c r="V4537" s="14"/>
      <c r="W4537" s="14"/>
    </row>
    <row r="4538" ht="31.5" customHeight="1">
      <c r="A4538" s="158"/>
      <c r="B4538" s="159"/>
      <c r="C4538" s="160"/>
      <c r="D4538" s="130"/>
      <c r="E4538" s="130"/>
      <c r="F4538" s="161"/>
      <c r="G4538" s="164"/>
      <c r="H4538" s="76" t="b">
        <v>0</v>
      </c>
      <c r="I4538" s="76" t="b">
        <v>0</v>
      </c>
      <c r="J4538" s="76" t="b">
        <v>0</v>
      </c>
      <c r="K4538" s="76" t="b">
        <v>0</v>
      </c>
      <c r="L4538" s="76" t="b">
        <v>0</v>
      </c>
      <c r="M4538" s="76" t="b">
        <v>0</v>
      </c>
      <c r="N4538" s="76" t="b">
        <v>0</v>
      </c>
      <c r="O4538" s="76" t="b">
        <v>0</v>
      </c>
      <c r="P4538" s="76" t="b">
        <v>0</v>
      </c>
      <c r="Q4538" s="76" t="b">
        <v>0</v>
      </c>
      <c r="R4538" s="14"/>
      <c r="S4538" s="14"/>
      <c r="T4538" s="14"/>
      <c r="U4538" s="14"/>
      <c r="V4538" s="14"/>
      <c r="W4538" s="14"/>
    </row>
    <row r="4539" ht="31.5" customHeight="1">
      <c r="A4539" s="158"/>
      <c r="B4539" s="159"/>
      <c r="C4539" s="160"/>
      <c r="D4539" s="130"/>
      <c r="E4539" s="130"/>
      <c r="F4539" s="161"/>
      <c r="G4539" s="164"/>
      <c r="H4539" s="76" t="b">
        <v>0</v>
      </c>
      <c r="I4539" s="76" t="b">
        <v>0</v>
      </c>
      <c r="J4539" s="76" t="b">
        <v>0</v>
      </c>
      <c r="K4539" s="76" t="b">
        <v>0</v>
      </c>
      <c r="L4539" s="76" t="b">
        <v>0</v>
      </c>
      <c r="M4539" s="76" t="b">
        <v>0</v>
      </c>
      <c r="N4539" s="76" t="b">
        <v>0</v>
      </c>
      <c r="O4539" s="76" t="b">
        <v>0</v>
      </c>
      <c r="P4539" s="76" t="b">
        <v>0</v>
      </c>
      <c r="Q4539" s="76" t="b">
        <v>0</v>
      </c>
      <c r="R4539" s="14"/>
      <c r="S4539" s="14"/>
      <c r="T4539" s="14"/>
      <c r="U4539" s="14"/>
      <c r="V4539" s="14"/>
      <c r="W4539" s="14"/>
    </row>
    <row r="4540" ht="31.5" customHeight="1">
      <c r="A4540" s="158"/>
      <c r="B4540" s="159"/>
      <c r="C4540" s="160"/>
      <c r="D4540" s="130"/>
      <c r="E4540" s="130"/>
      <c r="F4540" s="161"/>
      <c r="G4540" s="164"/>
      <c r="H4540" s="76" t="b">
        <v>0</v>
      </c>
      <c r="I4540" s="76" t="b">
        <v>0</v>
      </c>
      <c r="J4540" s="76" t="b">
        <v>0</v>
      </c>
      <c r="K4540" s="76" t="b">
        <v>0</v>
      </c>
      <c r="L4540" s="76" t="b">
        <v>0</v>
      </c>
      <c r="M4540" s="76" t="b">
        <v>0</v>
      </c>
      <c r="N4540" s="76" t="b">
        <v>0</v>
      </c>
      <c r="O4540" s="76" t="b">
        <v>0</v>
      </c>
      <c r="P4540" s="76" t="b">
        <v>0</v>
      </c>
      <c r="Q4540" s="76" t="b">
        <v>0</v>
      </c>
      <c r="R4540" s="14"/>
      <c r="S4540" s="14"/>
      <c r="T4540" s="14"/>
      <c r="U4540" s="14"/>
      <c r="V4540" s="14"/>
      <c r="W4540" s="14"/>
    </row>
    <row r="4541" ht="31.5" customHeight="1">
      <c r="A4541" s="158"/>
      <c r="B4541" s="159"/>
      <c r="C4541" s="160"/>
      <c r="D4541" s="130"/>
      <c r="E4541" s="130"/>
      <c r="F4541" s="161"/>
      <c r="G4541" s="164"/>
      <c r="H4541" s="76" t="b">
        <v>0</v>
      </c>
      <c r="I4541" s="76" t="b">
        <v>0</v>
      </c>
      <c r="J4541" s="76" t="b">
        <v>0</v>
      </c>
      <c r="K4541" s="76" t="b">
        <v>0</v>
      </c>
      <c r="L4541" s="76" t="b">
        <v>0</v>
      </c>
      <c r="M4541" s="76" t="b">
        <v>0</v>
      </c>
      <c r="N4541" s="76" t="b">
        <v>0</v>
      </c>
      <c r="O4541" s="76" t="b">
        <v>0</v>
      </c>
      <c r="P4541" s="76" t="b">
        <v>0</v>
      </c>
      <c r="Q4541" s="76" t="b">
        <v>0</v>
      </c>
      <c r="R4541" s="14"/>
      <c r="S4541" s="14"/>
      <c r="T4541" s="14"/>
      <c r="U4541" s="14"/>
      <c r="V4541" s="14"/>
      <c r="W4541" s="14"/>
    </row>
    <row r="4542" ht="31.5" customHeight="1">
      <c r="A4542" s="158"/>
      <c r="B4542" s="159"/>
      <c r="C4542" s="160"/>
      <c r="D4542" s="130"/>
      <c r="E4542" s="130"/>
      <c r="F4542" s="161"/>
      <c r="G4542" s="164"/>
      <c r="H4542" s="76" t="b">
        <v>0</v>
      </c>
      <c r="I4542" s="76" t="b">
        <v>0</v>
      </c>
      <c r="J4542" s="76" t="b">
        <v>0</v>
      </c>
      <c r="K4542" s="76" t="b">
        <v>0</v>
      </c>
      <c r="L4542" s="76" t="b">
        <v>0</v>
      </c>
      <c r="M4542" s="76" t="b">
        <v>0</v>
      </c>
      <c r="N4542" s="76" t="b">
        <v>0</v>
      </c>
      <c r="O4542" s="76" t="b">
        <v>0</v>
      </c>
      <c r="P4542" s="76" t="b">
        <v>0</v>
      </c>
      <c r="Q4542" s="76" t="b">
        <v>0</v>
      </c>
      <c r="R4542" s="14"/>
      <c r="S4542" s="14"/>
      <c r="T4542" s="14"/>
      <c r="U4542" s="14"/>
      <c r="V4542" s="14"/>
      <c r="W4542" s="14"/>
    </row>
    <row r="4543" ht="31.5" customHeight="1">
      <c r="A4543" s="158"/>
      <c r="B4543" s="159"/>
      <c r="C4543" s="160"/>
      <c r="D4543" s="130"/>
      <c r="E4543" s="130"/>
      <c r="F4543" s="161"/>
      <c r="G4543" s="164"/>
      <c r="H4543" s="76" t="b">
        <v>0</v>
      </c>
      <c r="I4543" s="76" t="b">
        <v>0</v>
      </c>
      <c r="J4543" s="76" t="b">
        <v>0</v>
      </c>
      <c r="K4543" s="76" t="b">
        <v>0</v>
      </c>
      <c r="L4543" s="76" t="b">
        <v>0</v>
      </c>
      <c r="M4543" s="76" t="b">
        <v>0</v>
      </c>
      <c r="N4543" s="76" t="b">
        <v>0</v>
      </c>
      <c r="O4543" s="76" t="b">
        <v>0</v>
      </c>
      <c r="P4543" s="76" t="b">
        <v>0</v>
      </c>
      <c r="Q4543" s="76" t="b">
        <v>0</v>
      </c>
      <c r="R4543" s="14"/>
      <c r="S4543" s="14"/>
      <c r="T4543" s="14"/>
      <c r="U4543" s="14"/>
      <c r="V4543" s="14"/>
      <c r="W4543" s="14"/>
    </row>
    <row r="4544" ht="31.5" customHeight="1">
      <c r="A4544" s="158"/>
      <c r="B4544" s="159"/>
      <c r="C4544" s="160"/>
      <c r="D4544" s="130"/>
      <c r="E4544" s="130"/>
      <c r="F4544" s="161"/>
      <c r="G4544" s="164"/>
      <c r="H4544" s="76" t="b">
        <v>0</v>
      </c>
      <c r="I4544" s="76" t="b">
        <v>0</v>
      </c>
      <c r="J4544" s="76" t="b">
        <v>0</v>
      </c>
      <c r="K4544" s="76" t="b">
        <v>0</v>
      </c>
      <c r="L4544" s="76" t="b">
        <v>0</v>
      </c>
      <c r="M4544" s="76" t="b">
        <v>0</v>
      </c>
      <c r="N4544" s="76" t="b">
        <v>0</v>
      </c>
      <c r="O4544" s="76" t="b">
        <v>0</v>
      </c>
      <c r="P4544" s="76" t="b">
        <v>0</v>
      </c>
      <c r="Q4544" s="76" t="b">
        <v>0</v>
      </c>
      <c r="R4544" s="14"/>
      <c r="S4544" s="14"/>
      <c r="T4544" s="14"/>
      <c r="U4544" s="14"/>
      <c r="V4544" s="14"/>
      <c r="W4544" s="14"/>
    </row>
    <row r="4545" ht="31.5" customHeight="1">
      <c r="A4545" s="158"/>
      <c r="B4545" s="159"/>
      <c r="C4545" s="160"/>
      <c r="D4545" s="130"/>
      <c r="E4545" s="130"/>
      <c r="F4545" s="161"/>
      <c r="G4545" s="164"/>
      <c r="H4545" s="76" t="b">
        <v>0</v>
      </c>
      <c r="I4545" s="76" t="b">
        <v>0</v>
      </c>
      <c r="J4545" s="76" t="b">
        <v>0</v>
      </c>
      <c r="K4545" s="76" t="b">
        <v>0</v>
      </c>
      <c r="L4545" s="76" t="b">
        <v>0</v>
      </c>
      <c r="M4545" s="76" t="b">
        <v>0</v>
      </c>
      <c r="N4545" s="76" t="b">
        <v>0</v>
      </c>
      <c r="O4545" s="76" t="b">
        <v>0</v>
      </c>
      <c r="P4545" s="76" t="b">
        <v>0</v>
      </c>
      <c r="Q4545" s="76" t="b">
        <v>0</v>
      </c>
      <c r="R4545" s="14"/>
      <c r="S4545" s="14"/>
      <c r="T4545" s="14"/>
      <c r="U4545" s="14"/>
      <c r="V4545" s="14"/>
      <c r="W4545" s="14"/>
    </row>
    <row r="4546" ht="31.5" customHeight="1">
      <c r="A4546" s="158"/>
      <c r="B4546" s="159"/>
      <c r="C4546" s="160"/>
      <c r="D4546" s="130"/>
      <c r="E4546" s="130"/>
      <c r="F4546" s="161"/>
      <c r="G4546" s="164"/>
      <c r="H4546" s="76" t="b">
        <v>0</v>
      </c>
      <c r="I4546" s="76" t="b">
        <v>0</v>
      </c>
      <c r="J4546" s="76" t="b">
        <v>0</v>
      </c>
      <c r="K4546" s="76" t="b">
        <v>0</v>
      </c>
      <c r="L4546" s="76" t="b">
        <v>0</v>
      </c>
      <c r="M4546" s="76" t="b">
        <v>0</v>
      </c>
      <c r="N4546" s="76" t="b">
        <v>0</v>
      </c>
      <c r="O4546" s="76" t="b">
        <v>0</v>
      </c>
      <c r="P4546" s="76" t="b">
        <v>0</v>
      </c>
      <c r="Q4546" s="76" t="b">
        <v>0</v>
      </c>
      <c r="R4546" s="14"/>
      <c r="S4546" s="14"/>
      <c r="T4546" s="14"/>
      <c r="U4546" s="14"/>
      <c r="V4546" s="14"/>
      <c r="W4546" s="14"/>
    </row>
    <row r="4547" ht="31.5" customHeight="1">
      <c r="A4547" s="158"/>
      <c r="B4547" s="159"/>
      <c r="C4547" s="160"/>
      <c r="D4547" s="130"/>
      <c r="E4547" s="130"/>
      <c r="F4547" s="161"/>
      <c r="G4547" s="164"/>
      <c r="H4547" s="76" t="b">
        <v>0</v>
      </c>
      <c r="I4547" s="76" t="b">
        <v>0</v>
      </c>
      <c r="J4547" s="76" t="b">
        <v>0</v>
      </c>
      <c r="K4547" s="76" t="b">
        <v>0</v>
      </c>
      <c r="L4547" s="76" t="b">
        <v>0</v>
      </c>
      <c r="M4547" s="76" t="b">
        <v>0</v>
      </c>
      <c r="N4547" s="76" t="b">
        <v>0</v>
      </c>
      <c r="O4547" s="76" t="b">
        <v>0</v>
      </c>
      <c r="P4547" s="76" t="b">
        <v>0</v>
      </c>
      <c r="Q4547" s="76" t="b">
        <v>0</v>
      </c>
      <c r="R4547" s="14"/>
      <c r="S4547" s="14"/>
      <c r="T4547" s="14"/>
      <c r="U4547" s="14"/>
      <c r="V4547" s="14"/>
      <c r="W4547" s="14"/>
    </row>
    <row r="4548" ht="31.5" customHeight="1">
      <c r="A4548" s="158"/>
      <c r="B4548" s="159"/>
      <c r="C4548" s="160"/>
      <c r="D4548" s="130"/>
      <c r="E4548" s="130"/>
      <c r="F4548" s="161"/>
      <c r="G4548" s="164"/>
      <c r="H4548" s="76" t="b">
        <v>0</v>
      </c>
      <c r="I4548" s="76" t="b">
        <v>0</v>
      </c>
      <c r="J4548" s="76" t="b">
        <v>0</v>
      </c>
      <c r="K4548" s="76" t="b">
        <v>0</v>
      </c>
      <c r="L4548" s="76" t="b">
        <v>0</v>
      </c>
      <c r="M4548" s="76" t="b">
        <v>0</v>
      </c>
      <c r="N4548" s="76" t="b">
        <v>0</v>
      </c>
      <c r="O4548" s="76" t="b">
        <v>0</v>
      </c>
      <c r="P4548" s="76" t="b">
        <v>0</v>
      </c>
      <c r="Q4548" s="76" t="b">
        <v>0</v>
      </c>
      <c r="R4548" s="14"/>
      <c r="S4548" s="14"/>
      <c r="T4548" s="14"/>
      <c r="U4548" s="14"/>
      <c r="V4548" s="14"/>
      <c r="W4548" s="14"/>
    </row>
    <row r="4549" ht="31.5" customHeight="1">
      <c r="A4549" s="158"/>
      <c r="B4549" s="159"/>
      <c r="C4549" s="160"/>
      <c r="D4549" s="130"/>
      <c r="E4549" s="130"/>
      <c r="F4549" s="161"/>
      <c r="G4549" s="164"/>
      <c r="H4549" s="76" t="b">
        <v>0</v>
      </c>
      <c r="I4549" s="76" t="b">
        <v>0</v>
      </c>
      <c r="J4549" s="76" t="b">
        <v>0</v>
      </c>
      <c r="K4549" s="76" t="b">
        <v>0</v>
      </c>
      <c r="L4549" s="76" t="b">
        <v>0</v>
      </c>
      <c r="M4549" s="76" t="b">
        <v>0</v>
      </c>
      <c r="N4549" s="76" t="b">
        <v>0</v>
      </c>
      <c r="O4549" s="76" t="b">
        <v>0</v>
      </c>
      <c r="P4549" s="76" t="b">
        <v>0</v>
      </c>
      <c r="Q4549" s="76" t="b">
        <v>0</v>
      </c>
      <c r="R4549" s="14"/>
      <c r="S4549" s="14"/>
      <c r="T4549" s="14"/>
      <c r="U4549" s="14"/>
      <c r="V4549" s="14"/>
      <c r="W4549" s="14"/>
    </row>
    <row r="4550" ht="31.5" customHeight="1">
      <c r="A4550" s="158"/>
      <c r="B4550" s="159"/>
      <c r="C4550" s="160"/>
      <c r="D4550" s="130"/>
      <c r="E4550" s="130"/>
      <c r="F4550" s="161"/>
      <c r="G4550" s="164"/>
      <c r="H4550" s="76" t="b">
        <v>0</v>
      </c>
      <c r="I4550" s="76" t="b">
        <v>0</v>
      </c>
      <c r="J4550" s="76" t="b">
        <v>0</v>
      </c>
      <c r="K4550" s="76" t="b">
        <v>0</v>
      </c>
      <c r="L4550" s="76" t="b">
        <v>0</v>
      </c>
      <c r="M4550" s="76" t="b">
        <v>0</v>
      </c>
      <c r="N4550" s="76" t="b">
        <v>0</v>
      </c>
      <c r="O4550" s="76" t="b">
        <v>0</v>
      </c>
      <c r="P4550" s="76" t="b">
        <v>0</v>
      </c>
      <c r="Q4550" s="76" t="b">
        <v>0</v>
      </c>
      <c r="R4550" s="14"/>
      <c r="S4550" s="14"/>
      <c r="T4550" s="14"/>
      <c r="U4550" s="14"/>
      <c r="V4550" s="14"/>
      <c r="W4550" s="14"/>
    </row>
    <row r="4551" ht="31.5" customHeight="1">
      <c r="A4551" s="158"/>
      <c r="B4551" s="159"/>
      <c r="C4551" s="160"/>
      <c r="D4551" s="130"/>
      <c r="E4551" s="130"/>
      <c r="F4551" s="161"/>
      <c r="G4551" s="164"/>
      <c r="H4551" s="76" t="b">
        <v>0</v>
      </c>
      <c r="I4551" s="76" t="b">
        <v>0</v>
      </c>
      <c r="J4551" s="76" t="b">
        <v>0</v>
      </c>
      <c r="K4551" s="76" t="b">
        <v>0</v>
      </c>
      <c r="L4551" s="76" t="b">
        <v>0</v>
      </c>
      <c r="M4551" s="76" t="b">
        <v>0</v>
      </c>
      <c r="N4551" s="76" t="b">
        <v>0</v>
      </c>
      <c r="O4551" s="76" t="b">
        <v>0</v>
      </c>
      <c r="P4551" s="76" t="b">
        <v>0</v>
      </c>
      <c r="Q4551" s="76" t="b">
        <v>0</v>
      </c>
      <c r="R4551" s="14"/>
      <c r="S4551" s="14"/>
      <c r="T4551" s="14"/>
      <c r="U4551" s="14"/>
      <c r="V4551" s="14"/>
      <c r="W4551" s="14"/>
    </row>
    <row r="4552" ht="31.5" customHeight="1">
      <c r="A4552" s="158"/>
      <c r="B4552" s="159"/>
      <c r="C4552" s="160"/>
      <c r="D4552" s="130"/>
      <c r="E4552" s="130"/>
      <c r="F4552" s="161"/>
      <c r="G4552" s="164"/>
      <c r="H4552" s="76" t="b">
        <v>1</v>
      </c>
      <c r="I4552" s="76" t="b">
        <v>0</v>
      </c>
      <c r="J4552" s="76" t="b">
        <v>0</v>
      </c>
      <c r="K4552" s="76" t="b">
        <v>0</v>
      </c>
      <c r="L4552" s="76" t="b">
        <v>0</v>
      </c>
      <c r="M4552" s="76" t="b">
        <v>0</v>
      </c>
      <c r="N4552" s="76" t="b">
        <v>0</v>
      </c>
      <c r="O4552" s="76" t="b">
        <v>0</v>
      </c>
      <c r="P4552" s="76" t="b">
        <v>0</v>
      </c>
      <c r="Q4552" s="76" t="b">
        <v>0</v>
      </c>
      <c r="R4552" s="14"/>
      <c r="S4552" s="14"/>
      <c r="T4552" s="14"/>
      <c r="U4552" s="14"/>
      <c r="V4552" s="14"/>
      <c r="W4552" s="14"/>
    </row>
    <row r="4553" ht="31.5" customHeight="1">
      <c r="A4553" s="158"/>
      <c r="B4553" s="159"/>
      <c r="C4553" s="160"/>
      <c r="D4553" s="130"/>
      <c r="E4553" s="130"/>
      <c r="F4553" s="161"/>
      <c r="G4553" s="164"/>
      <c r="H4553" s="76" t="b">
        <v>1</v>
      </c>
      <c r="I4553" s="76" t="b">
        <v>0</v>
      </c>
      <c r="J4553" s="76" t="b">
        <v>0</v>
      </c>
      <c r="K4553" s="76" t="b">
        <v>0</v>
      </c>
      <c r="L4553" s="76" t="b">
        <v>0</v>
      </c>
      <c r="M4553" s="76" t="b">
        <v>0</v>
      </c>
      <c r="N4553" s="76" t="b">
        <v>0</v>
      </c>
      <c r="O4553" s="76" t="b">
        <v>0</v>
      </c>
      <c r="P4553" s="76" t="b">
        <v>0</v>
      </c>
      <c r="Q4553" s="76" t="b">
        <v>0</v>
      </c>
      <c r="R4553" s="14"/>
      <c r="S4553" s="14"/>
      <c r="T4553" s="14"/>
      <c r="U4553" s="14"/>
      <c r="V4553" s="14"/>
      <c r="W4553" s="14"/>
    </row>
    <row r="4554" ht="31.5" customHeight="1">
      <c r="A4554" s="158"/>
      <c r="B4554" s="159"/>
      <c r="C4554" s="160"/>
      <c r="D4554" s="130"/>
      <c r="E4554" s="130"/>
      <c r="F4554" s="161"/>
      <c r="G4554" s="164"/>
      <c r="H4554" s="76" t="b">
        <v>1</v>
      </c>
      <c r="I4554" s="76" t="b">
        <v>0</v>
      </c>
      <c r="J4554" s="76" t="b">
        <v>0</v>
      </c>
      <c r="K4554" s="76" t="b">
        <v>0</v>
      </c>
      <c r="L4554" s="76" t="b">
        <v>0</v>
      </c>
      <c r="M4554" s="76" t="b">
        <v>0</v>
      </c>
      <c r="N4554" s="76" t="b">
        <v>0</v>
      </c>
      <c r="O4554" s="76" t="b">
        <v>0</v>
      </c>
      <c r="P4554" s="76" t="b">
        <v>0</v>
      </c>
      <c r="Q4554" s="76" t="b">
        <v>0</v>
      </c>
      <c r="R4554" s="14"/>
      <c r="S4554" s="14"/>
      <c r="T4554" s="14"/>
      <c r="U4554" s="14"/>
      <c r="V4554" s="14"/>
      <c r="W4554" s="14"/>
    </row>
    <row r="4555" ht="31.5" customHeight="1">
      <c r="A4555" s="158"/>
      <c r="B4555" s="159"/>
      <c r="C4555" s="160"/>
      <c r="D4555" s="130"/>
      <c r="E4555" s="130"/>
      <c r="F4555" s="161"/>
      <c r="G4555" s="164"/>
      <c r="H4555" s="76" t="b">
        <v>1</v>
      </c>
      <c r="I4555" s="76" t="b">
        <v>0</v>
      </c>
      <c r="J4555" s="76" t="b">
        <v>0</v>
      </c>
      <c r="K4555" s="76" t="b">
        <v>0</v>
      </c>
      <c r="L4555" s="76" t="b">
        <v>0</v>
      </c>
      <c r="M4555" s="76" t="b">
        <v>0</v>
      </c>
      <c r="N4555" s="76" t="b">
        <v>0</v>
      </c>
      <c r="O4555" s="76" t="b">
        <v>0</v>
      </c>
      <c r="P4555" s="76" t="b">
        <v>0</v>
      </c>
      <c r="Q4555" s="76" t="b">
        <v>0</v>
      </c>
      <c r="R4555" s="14"/>
      <c r="S4555" s="14"/>
      <c r="T4555" s="14"/>
      <c r="U4555" s="14"/>
      <c r="V4555" s="14"/>
      <c r="W4555" s="14"/>
    </row>
    <row r="4556" ht="31.5" customHeight="1">
      <c r="A4556" s="158"/>
      <c r="B4556" s="159"/>
      <c r="C4556" s="160"/>
      <c r="D4556" s="130"/>
      <c r="E4556" s="130"/>
      <c r="F4556" s="161"/>
      <c r="G4556" s="164"/>
      <c r="H4556" s="76" t="b">
        <v>1</v>
      </c>
      <c r="I4556" s="76" t="b">
        <v>0</v>
      </c>
      <c r="J4556" s="76" t="b">
        <v>0</v>
      </c>
      <c r="K4556" s="76" t="b">
        <v>0</v>
      </c>
      <c r="L4556" s="76" t="b">
        <v>0</v>
      </c>
      <c r="M4556" s="76" t="b">
        <v>0</v>
      </c>
      <c r="N4556" s="76" t="b">
        <v>0</v>
      </c>
      <c r="O4556" s="76" t="b">
        <v>0</v>
      </c>
      <c r="P4556" s="76" t="b">
        <v>0</v>
      </c>
      <c r="Q4556" s="76" t="b">
        <v>0</v>
      </c>
      <c r="R4556" s="14"/>
      <c r="S4556" s="14"/>
      <c r="T4556" s="14"/>
      <c r="U4556" s="14"/>
      <c r="V4556" s="14"/>
      <c r="W4556" s="14"/>
    </row>
    <row r="4557" ht="31.5" customHeight="1">
      <c r="A4557" s="158"/>
      <c r="B4557" s="159"/>
      <c r="C4557" s="160"/>
      <c r="D4557" s="130"/>
      <c r="E4557" s="130"/>
      <c r="F4557" s="161"/>
      <c r="G4557" s="164"/>
      <c r="H4557" s="76" t="b">
        <v>1</v>
      </c>
      <c r="I4557" s="76" t="b">
        <v>0</v>
      </c>
      <c r="J4557" s="76" t="b">
        <v>0</v>
      </c>
      <c r="K4557" s="76" t="b">
        <v>0</v>
      </c>
      <c r="L4557" s="76" t="b">
        <v>0</v>
      </c>
      <c r="M4557" s="76" t="b">
        <v>0</v>
      </c>
      <c r="N4557" s="76" t="b">
        <v>0</v>
      </c>
      <c r="O4557" s="76" t="b">
        <v>0</v>
      </c>
      <c r="P4557" s="76" t="b">
        <v>0</v>
      </c>
      <c r="Q4557" s="76" t="b">
        <v>0</v>
      </c>
      <c r="R4557" s="14"/>
      <c r="S4557" s="14"/>
      <c r="T4557" s="14"/>
      <c r="U4557" s="14"/>
      <c r="V4557" s="14"/>
      <c r="W4557" s="14"/>
    </row>
    <row r="4558" ht="31.5" customHeight="1">
      <c r="A4558" s="158"/>
      <c r="B4558" s="159"/>
      <c r="C4558" s="160"/>
      <c r="D4558" s="130"/>
      <c r="E4558" s="130"/>
      <c r="F4558" s="161"/>
      <c r="G4558" s="164"/>
      <c r="H4558" s="76" t="b">
        <v>1</v>
      </c>
      <c r="I4558" s="76" t="b">
        <v>0</v>
      </c>
      <c r="J4558" s="76" t="b">
        <v>0</v>
      </c>
      <c r="K4558" s="76" t="b">
        <v>0</v>
      </c>
      <c r="L4558" s="76" t="b">
        <v>0</v>
      </c>
      <c r="M4558" s="76" t="b">
        <v>0</v>
      </c>
      <c r="N4558" s="76" t="b">
        <v>0</v>
      </c>
      <c r="O4558" s="76" t="b">
        <v>0</v>
      </c>
      <c r="P4558" s="76" t="b">
        <v>0</v>
      </c>
      <c r="Q4558" s="76" t="b">
        <v>0</v>
      </c>
      <c r="R4558" s="14"/>
      <c r="S4558" s="14"/>
      <c r="T4558" s="14"/>
      <c r="U4558" s="14"/>
      <c r="V4558" s="14"/>
      <c r="W4558" s="14"/>
    </row>
    <row r="4559" ht="31.5" customHeight="1">
      <c r="A4559" s="158"/>
      <c r="B4559" s="159"/>
      <c r="C4559" s="160"/>
      <c r="D4559" s="130"/>
      <c r="E4559" s="130"/>
      <c r="F4559" s="161"/>
      <c r="G4559" s="164"/>
      <c r="H4559" s="76" t="b">
        <v>1</v>
      </c>
      <c r="I4559" s="76" t="b">
        <v>0</v>
      </c>
      <c r="J4559" s="76" t="b">
        <v>0</v>
      </c>
      <c r="K4559" s="76" t="b">
        <v>0</v>
      </c>
      <c r="L4559" s="76" t="b">
        <v>0</v>
      </c>
      <c r="M4559" s="76" t="b">
        <v>0</v>
      </c>
      <c r="N4559" s="76" t="b">
        <v>0</v>
      </c>
      <c r="O4559" s="76" t="b">
        <v>0</v>
      </c>
      <c r="P4559" s="76" t="b">
        <v>0</v>
      </c>
      <c r="Q4559" s="76" t="b">
        <v>0</v>
      </c>
      <c r="R4559" s="14"/>
      <c r="S4559" s="14"/>
      <c r="T4559" s="14"/>
      <c r="U4559" s="14"/>
      <c r="V4559" s="14"/>
      <c r="W4559" s="14"/>
    </row>
    <row r="4560" ht="31.5" customHeight="1">
      <c r="A4560" s="158"/>
      <c r="B4560" s="159"/>
      <c r="C4560" s="160"/>
      <c r="D4560" s="130"/>
      <c r="E4560" s="130"/>
      <c r="F4560" s="161"/>
      <c r="G4560" s="164"/>
      <c r="H4560" s="76" t="b">
        <v>1</v>
      </c>
      <c r="I4560" s="76" t="b">
        <v>0</v>
      </c>
      <c r="J4560" s="76" t="b">
        <v>0</v>
      </c>
      <c r="K4560" s="76" t="b">
        <v>0</v>
      </c>
      <c r="L4560" s="76" t="b">
        <v>0</v>
      </c>
      <c r="M4560" s="76" t="b">
        <v>0</v>
      </c>
      <c r="N4560" s="76" t="b">
        <v>0</v>
      </c>
      <c r="O4560" s="76" t="b">
        <v>0</v>
      </c>
      <c r="P4560" s="76" t="b">
        <v>0</v>
      </c>
      <c r="Q4560" s="76" t="b">
        <v>0</v>
      </c>
      <c r="R4560" s="14"/>
      <c r="S4560" s="14"/>
      <c r="T4560" s="14"/>
      <c r="U4560" s="14"/>
      <c r="V4560" s="14"/>
      <c r="W4560" s="14"/>
    </row>
    <row r="4561" ht="31.5" customHeight="1">
      <c r="A4561" s="158"/>
      <c r="B4561" s="159"/>
      <c r="C4561" s="160"/>
      <c r="D4561" s="130"/>
      <c r="E4561" s="130"/>
      <c r="F4561" s="161"/>
      <c r="G4561" s="164"/>
      <c r="H4561" s="76" t="b">
        <v>1</v>
      </c>
      <c r="I4561" s="76" t="b">
        <v>0</v>
      </c>
      <c r="J4561" s="76" t="b">
        <v>0</v>
      </c>
      <c r="K4561" s="76" t="b">
        <v>0</v>
      </c>
      <c r="L4561" s="76" t="b">
        <v>0</v>
      </c>
      <c r="M4561" s="76" t="b">
        <v>0</v>
      </c>
      <c r="N4561" s="76" t="b">
        <v>0</v>
      </c>
      <c r="O4561" s="76" t="b">
        <v>0</v>
      </c>
      <c r="P4561" s="76" t="b">
        <v>0</v>
      </c>
      <c r="Q4561" s="76" t="b">
        <v>0</v>
      </c>
      <c r="R4561" s="14"/>
      <c r="S4561" s="14"/>
      <c r="T4561" s="14"/>
      <c r="U4561" s="14"/>
      <c r="V4561" s="14"/>
      <c r="W4561" s="14"/>
    </row>
    <row r="4562" ht="31.5" customHeight="1">
      <c r="A4562" s="158"/>
      <c r="B4562" s="159"/>
      <c r="C4562" s="160"/>
      <c r="D4562" s="130"/>
      <c r="E4562" s="130"/>
      <c r="F4562" s="161"/>
      <c r="G4562" s="164"/>
      <c r="H4562" s="76" t="b">
        <v>1</v>
      </c>
      <c r="I4562" s="76" t="b">
        <v>0</v>
      </c>
      <c r="J4562" s="76" t="b">
        <v>0</v>
      </c>
      <c r="K4562" s="76" t="b">
        <v>0</v>
      </c>
      <c r="L4562" s="76" t="b">
        <v>0</v>
      </c>
      <c r="M4562" s="76" t="b">
        <v>0</v>
      </c>
      <c r="N4562" s="76" t="b">
        <v>0</v>
      </c>
      <c r="O4562" s="76" t="b">
        <v>0</v>
      </c>
      <c r="P4562" s="76" t="b">
        <v>0</v>
      </c>
      <c r="Q4562" s="76" t="b">
        <v>0</v>
      </c>
      <c r="R4562" s="14"/>
      <c r="S4562" s="14"/>
      <c r="T4562" s="14"/>
      <c r="U4562" s="14"/>
      <c r="V4562" s="14"/>
      <c r="W4562" s="14"/>
    </row>
    <row r="4563" ht="31.5" customHeight="1">
      <c r="A4563" s="158"/>
      <c r="B4563" s="159"/>
      <c r="C4563" s="160"/>
      <c r="D4563" s="130"/>
      <c r="E4563" s="130"/>
      <c r="F4563" s="161"/>
      <c r="G4563" s="164"/>
      <c r="H4563" s="76" t="b">
        <v>1</v>
      </c>
      <c r="I4563" s="76" t="b">
        <v>0</v>
      </c>
      <c r="J4563" s="76" t="b">
        <v>0</v>
      </c>
      <c r="K4563" s="76" t="b">
        <v>0</v>
      </c>
      <c r="L4563" s="76" t="b">
        <v>0</v>
      </c>
      <c r="M4563" s="76" t="b">
        <v>0</v>
      </c>
      <c r="N4563" s="76" t="b">
        <v>0</v>
      </c>
      <c r="O4563" s="76" t="b">
        <v>0</v>
      </c>
      <c r="P4563" s="76" t="b">
        <v>0</v>
      </c>
      <c r="Q4563" s="76" t="b">
        <v>0</v>
      </c>
      <c r="R4563" s="14"/>
      <c r="S4563" s="14"/>
      <c r="T4563" s="14"/>
      <c r="U4563" s="14"/>
      <c r="V4563" s="14"/>
      <c r="W4563" s="14"/>
    </row>
    <row r="4564" ht="31.5" customHeight="1">
      <c r="A4564" s="158"/>
      <c r="B4564" s="159"/>
      <c r="C4564" s="160"/>
      <c r="D4564" s="130"/>
      <c r="E4564" s="130"/>
      <c r="F4564" s="161"/>
      <c r="G4564" s="164"/>
      <c r="H4564" s="76" t="b">
        <v>1</v>
      </c>
      <c r="I4564" s="76" t="b">
        <v>0</v>
      </c>
      <c r="J4564" s="76" t="b">
        <v>0</v>
      </c>
      <c r="K4564" s="76" t="b">
        <v>0</v>
      </c>
      <c r="L4564" s="76" t="b">
        <v>0</v>
      </c>
      <c r="M4564" s="76" t="b">
        <v>0</v>
      </c>
      <c r="N4564" s="76" t="b">
        <v>0</v>
      </c>
      <c r="O4564" s="76" t="b">
        <v>0</v>
      </c>
      <c r="P4564" s="76" t="b">
        <v>0</v>
      </c>
      <c r="Q4564" s="76" t="b">
        <v>0</v>
      </c>
      <c r="R4564" s="14"/>
      <c r="S4564" s="14"/>
      <c r="T4564" s="14"/>
      <c r="U4564" s="14"/>
      <c r="V4564" s="14"/>
      <c r="W4564" s="14"/>
    </row>
    <row r="4565" ht="31.5" customHeight="1">
      <c r="A4565" s="158"/>
      <c r="B4565" s="159"/>
      <c r="C4565" s="160"/>
      <c r="D4565" s="130"/>
      <c r="E4565" s="130"/>
      <c r="F4565" s="161"/>
      <c r="G4565" s="164"/>
      <c r="H4565" s="76" t="b">
        <v>1</v>
      </c>
      <c r="I4565" s="76" t="b">
        <v>0</v>
      </c>
      <c r="J4565" s="76" t="b">
        <v>0</v>
      </c>
      <c r="K4565" s="76" t="b">
        <v>0</v>
      </c>
      <c r="L4565" s="76" t="b">
        <v>0</v>
      </c>
      <c r="M4565" s="76" t="b">
        <v>0</v>
      </c>
      <c r="N4565" s="76" t="b">
        <v>0</v>
      </c>
      <c r="O4565" s="76" t="b">
        <v>0</v>
      </c>
      <c r="P4565" s="76" t="b">
        <v>0</v>
      </c>
      <c r="Q4565" s="76" t="b">
        <v>0</v>
      </c>
      <c r="R4565" s="14"/>
      <c r="S4565" s="14"/>
      <c r="T4565" s="14"/>
      <c r="U4565" s="14"/>
      <c r="V4565" s="14"/>
      <c r="W4565" s="14"/>
    </row>
    <row r="4566" ht="31.5" customHeight="1">
      <c r="A4566" s="158"/>
      <c r="B4566" s="159"/>
      <c r="C4566" s="160"/>
      <c r="D4566" s="130"/>
      <c r="E4566" s="130"/>
      <c r="F4566" s="161"/>
      <c r="G4566" s="164"/>
      <c r="H4566" s="76" t="b">
        <v>1</v>
      </c>
      <c r="I4566" s="76" t="b">
        <v>0</v>
      </c>
      <c r="J4566" s="76" t="b">
        <v>0</v>
      </c>
      <c r="K4566" s="76" t="b">
        <v>0</v>
      </c>
      <c r="L4566" s="76" t="b">
        <v>0</v>
      </c>
      <c r="M4566" s="76" t="b">
        <v>0</v>
      </c>
      <c r="N4566" s="76" t="b">
        <v>0</v>
      </c>
      <c r="O4566" s="76" t="b">
        <v>0</v>
      </c>
      <c r="P4566" s="76" t="b">
        <v>0</v>
      </c>
      <c r="Q4566" s="76" t="b">
        <v>0</v>
      </c>
      <c r="R4566" s="14"/>
      <c r="S4566" s="14"/>
      <c r="T4566" s="14"/>
      <c r="U4566" s="14"/>
      <c r="V4566" s="14"/>
      <c r="W4566" s="14"/>
    </row>
    <row r="4567" ht="31.5" customHeight="1">
      <c r="A4567" s="158"/>
      <c r="B4567" s="159"/>
      <c r="C4567" s="160"/>
      <c r="D4567" s="130"/>
      <c r="E4567" s="130"/>
      <c r="F4567" s="161"/>
      <c r="G4567" s="164"/>
      <c r="H4567" s="76" t="b">
        <v>1</v>
      </c>
      <c r="I4567" s="76" t="b">
        <v>0</v>
      </c>
      <c r="J4567" s="76" t="b">
        <v>0</v>
      </c>
      <c r="K4567" s="76" t="b">
        <v>0</v>
      </c>
      <c r="L4567" s="76" t="b">
        <v>0</v>
      </c>
      <c r="M4567" s="76" t="b">
        <v>0</v>
      </c>
      <c r="N4567" s="76" t="b">
        <v>0</v>
      </c>
      <c r="O4567" s="76" t="b">
        <v>0</v>
      </c>
      <c r="P4567" s="76" t="b">
        <v>0</v>
      </c>
      <c r="Q4567" s="76" t="b">
        <v>0</v>
      </c>
      <c r="R4567" s="14"/>
      <c r="S4567" s="14"/>
      <c r="T4567" s="14"/>
      <c r="U4567" s="14"/>
      <c r="V4567" s="14"/>
      <c r="W4567" s="14"/>
    </row>
    <row r="4568" ht="31.5" customHeight="1">
      <c r="A4568" s="158"/>
      <c r="B4568" s="159"/>
      <c r="C4568" s="160"/>
      <c r="D4568" s="130"/>
      <c r="E4568" s="130"/>
      <c r="F4568" s="161"/>
      <c r="G4568" s="164"/>
      <c r="H4568" s="76" t="b">
        <v>1</v>
      </c>
      <c r="I4568" s="76" t="b">
        <v>0</v>
      </c>
      <c r="J4568" s="76" t="b">
        <v>0</v>
      </c>
      <c r="K4568" s="76" t="b">
        <v>0</v>
      </c>
      <c r="L4568" s="76" t="b">
        <v>0</v>
      </c>
      <c r="M4568" s="76" t="b">
        <v>0</v>
      </c>
      <c r="N4568" s="76" t="b">
        <v>0</v>
      </c>
      <c r="O4568" s="76" t="b">
        <v>0</v>
      </c>
      <c r="P4568" s="76" t="b">
        <v>0</v>
      </c>
      <c r="Q4568" s="76" t="b">
        <v>0</v>
      </c>
      <c r="R4568" s="14"/>
      <c r="S4568" s="14"/>
      <c r="T4568" s="14"/>
      <c r="U4568" s="14"/>
      <c r="V4568" s="14"/>
      <c r="W4568" s="14"/>
    </row>
    <row r="4569" ht="31.5" customHeight="1">
      <c r="A4569" s="158"/>
      <c r="B4569" s="159"/>
      <c r="C4569" s="160"/>
      <c r="D4569" s="130"/>
      <c r="E4569" s="130"/>
      <c r="F4569" s="161"/>
      <c r="G4569" s="164"/>
      <c r="H4569" s="76" t="b">
        <v>1</v>
      </c>
      <c r="I4569" s="76" t="b">
        <v>0</v>
      </c>
      <c r="J4569" s="76" t="b">
        <v>0</v>
      </c>
      <c r="K4569" s="76" t="b">
        <v>0</v>
      </c>
      <c r="L4569" s="76" t="b">
        <v>0</v>
      </c>
      <c r="M4569" s="76" t="b">
        <v>0</v>
      </c>
      <c r="N4569" s="76" t="b">
        <v>0</v>
      </c>
      <c r="O4569" s="76" t="b">
        <v>0</v>
      </c>
      <c r="P4569" s="76" t="b">
        <v>0</v>
      </c>
      <c r="Q4569" s="76" t="b">
        <v>0</v>
      </c>
      <c r="R4569" s="14"/>
      <c r="S4569" s="14"/>
      <c r="T4569" s="14"/>
      <c r="U4569" s="14"/>
      <c r="V4569" s="14"/>
      <c r="W4569" s="14"/>
    </row>
    <row r="4570" ht="31.5" customHeight="1">
      <c r="A4570" s="158"/>
      <c r="B4570" s="159"/>
      <c r="C4570" s="160"/>
      <c r="D4570" s="130"/>
      <c r="E4570" s="130"/>
      <c r="F4570" s="161"/>
      <c r="G4570" s="164"/>
      <c r="H4570" s="76" t="b">
        <v>1</v>
      </c>
      <c r="I4570" s="76" t="b">
        <v>0</v>
      </c>
      <c r="J4570" s="76" t="b">
        <v>0</v>
      </c>
      <c r="K4570" s="76" t="b">
        <v>0</v>
      </c>
      <c r="L4570" s="76" t="b">
        <v>0</v>
      </c>
      <c r="M4570" s="76" t="b">
        <v>0</v>
      </c>
      <c r="N4570" s="76" t="b">
        <v>0</v>
      </c>
      <c r="O4570" s="76" t="b">
        <v>0</v>
      </c>
      <c r="P4570" s="76" t="b">
        <v>0</v>
      </c>
      <c r="Q4570" s="76" t="b">
        <v>0</v>
      </c>
      <c r="R4570" s="14"/>
      <c r="S4570" s="14"/>
      <c r="T4570" s="14"/>
      <c r="U4570" s="14"/>
      <c r="V4570" s="14"/>
      <c r="W4570" s="14"/>
    </row>
    <row r="4571" ht="31.5" customHeight="1">
      <c r="A4571" s="158"/>
      <c r="B4571" s="159"/>
      <c r="C4571" s="160"/>
      <c r="D4571" s="130"/>
      <c r="E4571" s="130"/>
      <c r="F4571" s="161"/>
      <c r="G4571" s="164"/>
      <c r="H4571" s="76" t="b">
        <v>1</v>
      </c>
      <c r="I4571" s="76" t="b">
        <v>0</v>
      </c>
      <c r="J4571" s="76" t="b">
        <v>0</v>
      </c>
      <c r="K4571" s="76" t="b">
        <v>0</v>
      </c>
      <c r="L4571" s="76" t="b">
        <v>0</v>
      </c>
      <c r="M4571" s="76" t="b">
        <v>0</v>
      </c>
      <c r="N4571" s="76" t="b">
        <v>0</v>
      </c>
      <c r="O4571" s="76" t="b">
        <v>0</v>
      </c>
      <c r="P4571" s="76" t="b">
        <v>0</v>
      </c>
      <c r="Q4571" s="76" t="b">
        <v>0</v>
      </c>
      <c r="R4571" s="14"/>
      <c r="S4571" s="14"/>
      <c r="T4571" s="14"/>
      <c r="U4571" s="14"/>
      <c r="V4571" s="14"/>
      <c r="W4571" s="14"/>
    </row>
    <row r="4572" ht="31.5" customHeight="1">
      <c r="A4572" s="158"/>
      <c r="B4572" s="159"/>
      <c r="C4572" s="160"/>
      <c r="D4572" s="130"/>
      <c r="E4572" s="130"/>
      <c r="F4572" s="161"/>
      <c r="G4572" s="164"/>
      <c r="H4572" s="76" t="b">
        <v>1</v>
      </c>
      <c r="I4572" s="76" t="b">
        <v>0</v>
      </c>
      <c r="J4572" s="76" t="b">
        <v>0</v>
      </c>
      <c r="K4572" s="76" t="b">
        <v>0</v>
      </c>
      <c r="L4572" s="76" t="b">
        <v>0</v>
      </c>
      <c r="M4572" s="76" t="b">
        <v>0</v>
      </c>
      <c r="N4572" s="76" t="b">
        <v>0</v>
      </c>
      <c r="O4572" s="76" t="b">
        <v>0</v>
      </c>
      <c r="P4572" s="76" t="b">
        <v>0</v>
      </c>
      <c r="Q4572" s="76" t="b">
        <v>0</v>
      </c>
      <c r="R4572" s="14"/>
      <c r="S4572" s="14"/>
      <c r="T4572" s="14"/>
      <c r="U4572" s="14"/>
      <c r="V4572" s="14"/>
      <c r="W4572" s="14"/>
    </row>
    <row r="4573" ht="31.5" customHeight="1">
      <c r="A4573" s="158"/>
      <c r="B4573" s="159"/>
      <c r="C4573" s="160"/>
      <c r="D4573" s="130"/>
      <c r="E4573" s="130"/>
      <c r="F4573" s="161"/>
      <c r="G4573" s="164"/>
      <c r="H4573" s="76" t="b">
        <v>1</v>
      </c>
      <c r="I4573" s="76" t="b">
        <v>0</v>
      </c>
      <c r="J4573" s="76" t="b">
        <v>0</v>
      </c>
      <c r="K4573" s="76" t="b">
        <v>0</v>
      </c>
      <c r="L4573" s="76" t="b">
        <v>0</v>
      </c>
      <c r="M4573" s="76" t="b">
        <v>0</v>
      </c>
      <c r="N4573" s="76" t="b">
        <v>0</v>
      </c>
      <c r="O4573" s="76" t="b">
        <v>0</v>
      </c>
      <c r="P4573" s="76" t="b">
        <v>0</v>
      </c>
      <c r="Q4573" s="76" t="b">
        <v>0</v>
      </c>
      <c r="R4573" s="14"/>
      <c r="S4573" s="14"/>
      <c r="T4573" s="14"/>
      <c r="U4573" s="14"/>
      <c r="V4573" s="14"/>
      <c r="W4573" s="14"/>
    </row>
    <row r="4574" ht="31.5" customHeight="1">
      <c r="A4574" s="158"/>
      <c r="B4574" s="159"/>
      <c r="C4574" s="160"/>
      <c r="D4574" s="130"/>
      <c r="E4574" s="130"/>
      <c r="F4574" s="161"/>
      <c r="G4574" s="164"/>
      <c r="H4574" s="76" t="b">
        <v>1</v>
      </c>
      <c r="I4574" s="76" t="b">
        <v>0</v>
      </c>
      <c r="J4574" s="76" t="b">
        <v>0</v>
      </c>
      <c r="K4574" s="76" t="b">
        <v>0</v>
      </c>
      <c r="L4574" s="76" t="b">
        <v>0</v>
      </c>
      <c r="M4574" s="76" t="b">
        <v>0</v>
      </c>
      <c r="N4574" s="76" t="b">
        <v>0</v>
      </c>
      <c r="O4574" s="76" t="b">
        <v>0</v>
      </c>
      <c r="P4574" s="76" t="b">
        <v>0</v>
      </c>
      <c r="Q4574" s="76" t="b">
        <v>0</v>
      </c>
      <c r="R4574" s="14"/>
      <c r="S4574" s="14"/>
      <c r="T4574" s="14"/>
      <c r="U4574" s="14"/>
      <c r="V4574" s="14"/>
      <c r="W4574" s="14"/>
    </row>
    <row r="4575" ht="31.5" customHeight="1">
      <c r="A4575" s="158"/>
      <c r="B4575" s="159"/>
      <c r="C4575" s="160"/>
      <c r="D4575" s="130"/>
      <c r="E4575" s="130"/>
      <c r="F4575" s="161"/>
      <c r="G4575" s="164"/>
      <c r="H4575" s="76" t="b">
        <v>1</v>
      </c>
      <c r="I4575" s="76" t="b">
        <v>0</v>
      </c>
      <c r="J4575" s="76" t="b">
        <v>0</v>
      </c>
      <c r="K4575" s="76" t="b">
        <v>0</v>
      </c>
      <c r="L4575" s="76" t="b">
        <v>0</v>
      </c>
      <c r="M4575" s="76" t="b">
        <v>0</v>
      </c>
      <c r="N4575" s="76" t="b">
        <v>0</v>
      </c>
      <c r="O4575" s="76" t="b">
        <v>0</v>
      </c>
      <c r="P4575" s="76" t="b">
        <v>0</v>
      </c>
      <c r="Q4575" s="76" t="b">
        <v>0</v>
      </c>
      <c r="R4575" s="14"/>
      <c r="S4575" s="14"/>
      <c r="T4575" s="14"/>
      <c r="U4575" s="14"/>
      <c r="V4575" s="14"/>
      <c r="W4575" s="14"/>
    </row>
    <row r="4576" ht="31.5" customHeight="1">
      <c r="A4576" s="158"/>
      <c r="B4576" s="159"/>
      <c r="C4576" s="160"/>
      <c r="D4576" s="130"/>
      <c r="E4576" s="130"/>
      <c r="F4576" s="161"/>
      <c r="G4576" s="164"/>
      <c r="H4576" s="76" t="b">
        <v>1</v>
      </c>
      <c r="I4576" s="76" t="b">
        <v>0</v>
      </c>
      <c r="J4576" s="76" t="b">
        <v>0</v>
      </c>
      <c r="K4576" s="76" t="b">
        <v>0</v>
      </c>
      <c r="L4576" s="76" t="b">
        <v>0</v>
      </c>
      <c r="M4576" s="76" t="b">
        <v>0</v>
      </c>
      <c r="N4576" s="76" t="b">
        <v>0</v>
      </c>
      <c r="O4576" s="76" t="b">
        <v>0</v>
      </c>
      <c r="P4576" s="76" t="b">
        <v>0</v>
      </c>
      <c r="Q4576" s="76" t="b">
        <v>0</v>
      </c>
      <c r="R4576" s="14"/>
      <c r="S4576" s="14"/>
      <c r="T4576" s="14"/>
      <c r="U4576" s="14"/>
      <c r="V4576" s="14"/>
      <c r="W4576" s="14"/>
    </row>
    <row r="4577" ht="31.5" customHeight="1">
      <c r="A4577" s="158"/>
      <c r="B4577" s="159"/>
      <c r="C4577" s="160"/>
      <c r="D4577" s="130"/>
      <c r="E4577" s="130"/>
      <c r="F4577" s="161"/>
      <c r="G4577" s="164"/>
      <c r="H4577" s="76" t="b">
        <v>1</v>
      </c>
      <c r="I4577" s="76" t="b">
        <v>0</v>
      </c>
      <c r="J4577" s="76" t="b">
        <v>0</v>
      </c>
      <c r="K4577" s="76" t="b">
        <v>0</v>
      </c>
      <c r="L4577" s="76" t="b">
        <v>0</v>
      </c>
      <c r="M4577" s="76" t="b">
        <v>0</v>
      </c>
      <c r="N4577" s="76" t="b">
        <v>0</v>
      </c>
      <c r="O4577" s="76" t="b">
        <v>0</v>
      </c>
      <c r="P4577" s="76" t="b">
        <v>0</v>
      </c>
      <c r="Q4577" s="76" t="b">
        <v>0</v>
      </c>
      <c r="R4577" s="14"/>
      <c r="S4577" s="14"/>
      <c r="T4577" s="14"/>
      <c r="U4577" s="14"/>
      <c r="V4577" s="14"/>
      <c r="W4577" s="14"/>
    </row>
    <row r="4578" ht="31.5" customHeight="1">
      <c r="A4578" s="158"/>
      <c r="B4578" s="159"/>
      <c r="C4578" s="160"/>
      <c r="D4578" s="130"/>
      <c r="E4578" s="130"/>
      <c r="F4578" s="161"/>
      <c r="G4578" s="164"/>
      <c r="H4578" s="76" t="b">
        <v>1</v>
      </c>
      <c r="I4578" s="76" t="b">
        <v>0</v>
      </c>
      <c r="J4578" s="76" t="b">
        <v>0</v>
      </c>
      <c r="K4578" s="76" t="b">
        <v>0</v>
      </c>
      <c r="L4578" s="76" t="b">
        <v>0</v>
      </c>
      <c r="M4578" s="76" t="b">
        <v>0</v>
      </c>
      <c r="N4578" s="76" t="b">
        <v>0</v>
      </c>
      <c r="O4578" s="76" t="b">
        <v>0</v>
      </c>
      <c r="P4578" s="76" t="b">
        <v>0</v>
      </c>
      <c r="Q4578" s="76" t="b">
        <v>0</v>
      </c>
      <c r="R4578" s="14"/>
      <c r="S4578" s="14"/>
      <c r="T4578" s="14"/>
      <c r="U4578" s="14"/>
      <c r="V4578" s="14"/>
      <c r="W4578" s="14"/>
    </row>
    <row r="4579" ht="31.5" customHeight="1">
      <c r="A4579" s="158"/>
      <c r="B4579" s="159"/>
      <c r="C4579" s="160"/>
      <c r="D4579" s="130"/>
      <c r="E4579" s="130"/>
      <c r="F4579" s="161"/>
      <c r="G4579" s="164"/>
      <c r="H4579" s="76" t="b">
        <v>1</v>
      </c>
      <c r="I4579" s="76" t="b">
        <v>0</v>
      </c>
      <c r="J4579" s="76" t="b">
        <v>0</v>
      </c>
      <c r="K4579" s="76" t="b">
        <v>0</v>
      </c>
      <c r="L4579" s="76" t="b">
        <v>0</v>
      </c>
      <c r="M4579" s="76" t="b">
        <v>0</v>
      </c>
      <c r="N4579" s="76" t="b">
        <v>0</v>
      </c>
      <c r="O4579" s="76" t="b">
        <v>0</v>
      </c>
      <c r="P4579" s="76" t="b">
        <v>0</v>
      </c>
      <c r="Q4579" s="76" t="b">
        <v>0</v>
      </c>
      <c r="R4579" s="14"/>
      <c r="S4579" s="14"/>
      <c r="T4579" s="14"/>
      <c r="U4579" s="14"/>
      <c r="V4579" s="14"/>
      <c r="W4579" s="14"/>
    </row>
    <row r="4580" ht="31.5" customHeight="1">
      <c r="A4580" s="158"/>
      <c r="B4580" s="159"/>
      <c r="C4580" s="160"/>
      <c r="D4580" s="130"/>
      <c r="E4580" s="130"/>
      <c r="F4580" s="161"/>
      <c r="G4580" s="164"/>
      <c r="H4580" s="76" t="b">
        <v>1</v>
      </c>
      <c r="I4580" s="76" t="b">
        <v>0</v>
      </c>
      <c r="J4580" s="76" t="b">
        <v>0</v>
      </c>
      <c r="K4580" s="76" t="b">
        <v>0</v>
      </c>
      <c r="L4580" s="76" t="b">
        <v>0</v>
      </c>
      <c r="M4580" s="76" t="b">
        <v>0</v>
      </c>
      <c r="N4580" s="76" t="b">
        <v>0</v>
      </c>
      <c r="O4580" s="76" t="b">
        <v>0</v>
      </c>
      <c r="P4580" s="76" t="b">
        <v>0</v>
      </c>
      <c r="Q4580" s="76" t="b">
        <v>0</v>
      </c>
      <c r="R4580" s="14"/>
      <c r="S4580" s="14"/>
      <c r="T4580" s="14"/>
      <c r="U4580" s="14"/>
      <c r="V4580" s="14"/>
      <c r="W4580" s="14"/>
    </row>
    <row r="4581" ht="31.5" customHeight="1">
      <c r="A4581" s="158"/>
      <c r="B4581" s="159"/>
      <c r="C4581" s="160"/>
      <c r="D4581" s="130"/>
      <c r="E4581" s="130"/>
      <c r="F4581" s="161"/>
      <c r="G4581" s="164"/>
      <c r="H4581" s="76" t="b">
        <v>1</v>
      </c>
      <c r="I4581" s="76" t="b">
        <v>0</v>
      </c>
      <c r="J4581" s="76" t="b">
        <v>0</v>
      </c>
      <c r="K4581" s="76" t="b">
        <v>0</v>
      </c>
      <c r="L4581" s="76" t="b">
        <v>0</v>
      </c>
      <c r="M4581" s="76" t="b">
        <v>0</v>
      </c>
      <c r="N4581" s="76" t="b">
        <v>0</v>
      </c>
      <c r="O4581" s="76" t="b">
        <v>0</v>
      </c>
      <c r="P4581" s="76" t="b">
        <v>0</v>
      </c>
      <c r="Q4581" s="76" t="b">
        <v>0</v>
      </c>
      <c r="R4581" s="14"/>
      <c r="S4581" s="14"/>
      <c r="T4581" s="14"/>
      <c r="U4581" s="14"/>
      <c r="V4581" s="14"/>
      <c r="W4581" s="14"/>
    </row>
    <row r="4582" ht="31.5" customHeight="1">
      <c r="A4582" s="158"/>
      <c r="B4582" s="159"/>
      <c r="C4582" s="160"/>
      <c r="D4582" s="130"/>
      <c r="E4582" s="130"/>
      <c r="F4582" s="161"/>
      <c r="G4582" s="164"/>
      <c r="H4582" s="76" t="b">
        <v>1</v>
      </c>
      <c r="I4582" s="76" t="b">
        <v>0</v>
      </c>
      <c r="J4582" s="76" t="b">
        <v>0</v>
      </c>
      <c r="K4582" s="76" t="b">
        <v>0</v>
      </c>
      <c r="L4582" s="76" t="b">
        <v>0</v>
      </c>
      <c r="M4582" s="76" t="b">
        <v>0</v>
      </c>
      <c r="N4582" s="76" t="b">
        <v>0</v>
      </c>
      <c r="O4582" s="76" t="b">
        <v>0</v>
      </c>
      <c r="P4582" s="76" t="b">
        <v>0</v>
      </c>
      <c r="Q4582" s="76" t="b">
        <v>0</v>
      </c>
      <c r="R4582" s="14"/>
      <c r="S4582" s="14"/>
      <c r="T4582" s="14"/>
      <c r="U4582" s="14"/>
      <c r="V4582" s="14"/>
      <c r="W4582" s="14"/>
    </row>
    <row r="4583" ht="31.5" customHeight="1">
      <c r="A4583" s="158"/>
      <c r="B4583" s="159"/>
      <c r="C4583" s="160"/>
      <c r="D4583" s="130"/>
      <c r="E4583" s="130"/>
      <c r="F4583" s="161"/>
      <c r="G4583" s="164"/>
      <c r="H4583" s="76" t="b">
        <v>1</v>
      </c>
      <c r="I4583" s="76" t="b">
        <v>0</v>
      </c>
      <c r="J4583" s="76" t="b">
        <v>0</v>
      </c>
      <c r="K4583" s="76" t="b">
        <v>0</v>
      </c>
      <c r="L4583" s="76" t="b">
        <v>0</v>
      </c>
      <c r="M4583" s="76" t="b">
        <v>0</v>
      </c>
      <c r="N4583" s="76" t="b">
        <v>0</v>
      </c>
      <c r="O4583" s="76" t="b">
        <v>0</v>
      </c>
      <c r="P4583" s="76" t="b">
        <v>0</v>
      </c>
      <c r="Q4583" s="76" t="b">
        <v>0</v>
      </c>
      <c r="R4583" s="14"/>
      <c r="S4583" s="14"/>
      <c r="T4583" s="14"/>
      <c r="U4583" s="14"/>
      <c r="V4583" s="14"/>
      <c r="W4583" s="14"/>
    </row>
    <row r="4584" ht="31.5" customHeight="1">
      <c r="A4584" s="158"/>
      <c r="B4584" s="159"/>
      <c r="C4584" s="160"/>
      <c r="D4584" s="130"/>
      <c r="E4584" s="130"/>
      <c r="F4584" s="161"/>
      <c r="G4584" s="164"/>
      <c r="H4584" s="76" t="b">
        <v>1</v>
      </c>
      <c r="I4584" s="76" t="b">
        <v>0</v>
      </c>
      <c r="J4584" s="76" t="b">
        <v>0</v>
      </c>
      <c r="K4584" s="76" t="b">
        <v>0</v>
      </c>
      <c r="L4584" s="76" t="b">
        <v>0</v>
      </c>
      <c r="M4584" s="76" t="b">
        <v>0</v>
      </c>
      <c r="N4584" s="76" t="b">
        <v>0</v>
      </c>
      <c r="O4584" s="76" t="b">
        <v>0</v>
      </c>
      <c r="P4584" s="76" t="b">
        <v>0</v>
      </c>
      <c r="Q4584" s="76" t="b">
        <v>0</v>
      </c>
      <c r="R4584" s="14"/>
      <c r="S4584" s="14"/>
      <c r="T4584" s="14"/>
      <c r="U4584" s="14"/>
      <c r="V4584" s="14"/>
      <c r="W4584" s="14"/>
    </row>
    <row r="4585" ht="31.5" customHeight="1">
      <c r="A4585" s="158"/>
      <c r="B4585" s="159"/>
      <c r="C4585" s="160"/>
      <c r="D4585" s="130"/>
      <c r="E4585" s="130"/>
      <c r="F4585" s="161"/>
      <c r="G4585" s="164"/>
      <c r="H4585" s="76" t="b">
        <v>1</v>
      </c>
      <c r="I4585" s="76" t="b">
        <v>0</v>
      </c>
      <c r="J4585" s="76" t="b">
        <v>0</v>
      </c>
      <c r="K4585" s="76" t="b">
        <v>0</v>
      </c>
      <c r="L4585" s="76" t="b">
        <v>0</v>
      </c>
      <c r="M4585" s="76" t="b">
        <v>0</v>
      </c>
      <c r="N4585" s="76" t="b">
        <v>0</v>
      </c>
      <c r="O4585" s="76" t="b">
        <v>0</v>
      </c>
      <c r="P4585" s="76" t="b">
        <v>0</v>
      </c>
      <c r="Q4585" s="76" t="b">
        <v>0</v>
      </c>
      <c r="R4585" s="14"/>
      <c r="S4585" s="14"/>
      <c r="T4585" s="14"/>
      <c r="U4585" s="14"/>
      <c r="V4585" s="14"/>
      <c r="W4585" s="14"/>
    </row>
    <row r="4586" ht="31.5" customHeight="1">
      <c r="A4586" s="158"/>
      <c r="B4586" s="159"/>
      <c r="C4586" s="160"/>
      <c r="D4586" s="130"/>
      <c r="E4586" s="130"/>
      <c r="F4586" s="161"/>
      <c r="G4586" s="164"/>
      <c r="H4586" s="76" t="b">
        <v>1</v>
      </c>
      <c r="I4586" s="76" t="b">
        <v>0</v>
      </c>
      <c r="J4586" s="76" t="b">
        <v>0</v>
      </c>
      <c r="K4586" s="76" t="b">
        <v>0</v>
      </c>
      <c r="L4586" s="76" t="b">
        <v>0</v>
      </c>
      <c r="M4586" s="76" t="b">
        <v>0</v>
      </c>
      <c r="N4586" s="76" t="b">
        <v>0</v>
      </c>
      <c r="O4586" s="76" t="b">
        <v>0</v>
      </c>
      <c r="P4586" s="76" t="b">
        <v>0</v>
      </c>
      <c r="Q4586" s="76" t="b">
        <v>0</v>
      </c>
      <c r="R4586" s="14"/>
      <c r="S4586" s="14"/>
      <c r="T4586" s="14"/>
      <c r="U4586" s="14"/>
      <c r="V4586" s="14"/>
      <c r="W4586" s="14"/>
    </row>
    <row r="4587" ht="31.5" customHeight="1">
      <c r="A4587" s="158"/>
      <c r="B4587" s="159"/>
      <c r="C4587" s="160"/>
      <c r="D4587" s="130"/>
      <c r="E4587" s="130"/>
      <c r="F4587" s="161"/>
      <c r="G4587" s="164"/>
      <c r="H4587" s="76" t="b">
        <v>1</v>
      </c>
      <c r="I4587" s="76" t="b">
        <v>0</v>
      </c>
      <c r="J4587" s="76" t="b">
        <v>0</v>
      </c>
      <c r="K4587" s="76" t="b">
        <v>0</v>
      </c>
      <c r="L4587" s="76" t="b">
        <v>0</v>
      </c>
      <c r="M4587" s="76" t="b">
        <v>0</v>
      </c>
      <c r="N4587" s="76" t="b">
        <v>0</v>
      </c>
      <c r="O4587" s="76" t="b">
        <v>0</v>
      </c>
      <c r="P4587" s="76" t="b">
        <v>0</v>
      </c>
      <c r="Q4587" s="76" t="b">
        <v>0</v>
      </c>
      <c r="R4587" s="14"/>
      <c r="S4587" s="14"/>
      <c r="T4587" s="14"/>
      <c r="U4587" s="14"/>
      <c r="V4587" s="14"/>
      <c r="W4587" s="14"/>
    </row>
    <row r="4588" ht="31.5" customHeight="1">
      <c r="A4588" s="158"/>
      <c r="B4588" s="159"/>
      <c r="C4588" s="160"/>
      <c r="D4588" s="130"/>
      <c r="E4588" s="130"/>
      <c r="F4588" s="161"/>
      <c r="G4588" s="164"/>
      <c r="H4588" s="76" t="b">
        <v>1</v>
      </c>
      <c r="I4588" s="76" t="b">
        <v>0</v>
      </c>
      <c r="J4588" s="76" t="b">
        <v>0</v>
      </c>
      <c r="K4588" s="76" t="b">
        <v>0</v>
      </c>
      <c r="L4588" s="76" t="b">
        <v>0</v>
      </c>
      <c r="M4588" s="76" t="b">
        <v>0</v>
      </c>
      <c r="N4588" s="76" t="b">
        <v>0</v>
      </c>
      <c r="O4588" s="76" t="b">
        <v>0</v>
      </c>
      <c r="P4588" s="76" t="b">
        <v>0</v>
      </c>
      <c r="Q4588" s="76" t="b">
        <v>0</v>
      </c>
      <c r="R4588" s="14"/>
      <c r="S4588" s="14"/>
      <c r="T4588" s="14"/>
      <c r="U4588" s="14"/>
      <c r="V4588" s="14"/>
      <c r="W4588" s="14"/>
    </row>
    <row r="4589" ht="31.5" customHeight="1">
      <c r="A4589" s="158"/>
      <c r="B4589" s="159"/>
      <c r="C4589" s="160"/>
      <c r="D4589" s="130"/>
      <c r="E4589" s="130"/>
      <c r="F4589" s="161"/>
      <c r="G4589" s="164"/>
      <c r="H4589" s="76" t="b">
        <v>1</v>
      </c>
      <c r="I4589" s="76" t="b">
        <v>0</v>
      </c>
      <c r="J4589" s="76" t="b">
        <v>0</v>
      </c>
      <c r="K4589" s="76" t="b">
        <v>0</v>
      </c>
      <c r="L4589" s="76" t="b">
        <v>0</v>
      </c>
      <c r="M4589" s="76" t="b">
        <v>0</v>
      </c>
      <c r="N4589" s="76" t="b">
        <v>0</v>
      </c>
      <c r="O4589" s="76" t="b">
        <v>0</v>
      </c>
      <c r="P4589" s="76" t="b">
        <v>0</v>
      </c>
      <c r="Q4589" s="76" t="b">
        <v>0</v>
      </c>
      <c r="R4589" s="14"/>
      <c r="S4589" s="14"/>
      <c r="T4589" s="14"/>
      <c r="U4589" s="14"/>
      <c r="V4589" s="14"/>
      <c r="W4589" s="14"/>
    </row>
    <row r="4590" ht="31.5" customHeight="1">
      <c r="A4590" s="158"/>
      <c r="B4590" s="159"/>
      <c r="C4590" s="160"/>
      <c r="D4590" s="130"/>
      <c r="E4590" s="130"/>
      <c r="F4590" s="161"/>
      <c r="G4590" s="164"/>
      <c r="H4590" s="76" t="b">
        <v>1</v>
      </c>
      <c r="I4590" s="76" t="b">
        <v>0</v>
      </c>
      <c r="J4590" s="76" t="b">
        <v>0</v>
      </c>
      <c r="K4590" s="76" t="b">
        <v>0</v>
      </c>
      <c r="L4590" s="76" t="b">
        <v>0</v>
      </c>
      <c r="M4590" s="76" t="b">
        <v>0</v>
      </c>
      <c r="N4590" s="76" t="b">
        <v>0</v>
      </c>
      <c r="O4590" s="76" t="b">
        <v>0</v>
      </c>
      <c r="P4590" s="76" t="b">
        <v>0</v>
      </c>
      <c r="Q4590" s="76" t="b">
        <v>0</v>
      </c>
      <c r="R4590" s="14"/>
      <c r="S4590" s="14"/>
      <c r="T4590" s="14"/>
      <c r="U4590" s="14"/>
      <c r="V4590" s="14"/>
      <c r="W4590" s="14"/>
    </row>
    <row r="4591" ht="31.5" customHeight="1">
      <c r="A4591" s="158"/>
      <c r="B4591" s="159"/>
      <c r="C4591" s="160"/>
      <c r="D4591" s="130"/>
      <c r="E4591" s="130"/>
      <c r="F4591" s="161"/>
      <c r="G4591" s="164"/>
      <c r="H4591" s="76" t="b">
        <v>1</v>
      </c>
      <c r="I4591" s="76" t="b">
        <v>0</v>
      </c>
      <c r="J4591" s="76" t="b">
        <v>0</v>
      </c>
      <c r="K4591" s="76" t="b">
        <v>0</v>
      </c>
      <c r="L4591" s="76" t="b">
        <v>0</v>
      </c>
      <c r="M4591" s="76" t="b">
        <v>0</v>
      </c>
      <c r="N4591" s="76" t="b">
        <v>0</v>
      </c>
      <c r="O4591" s="76" t="b">
        <v>0</v>
      </c>
      <c r="P4591" s="76" t="b">
        <v>0</v>
      </c>
      <c r="Q4591" s="76" t="b">
        <v>0</v>
      </c>
      <c r="R4591" s="14"/>
      <c r="S4591" s="14"/>
      <c r="T4591" s="14"/>
      <c r="U4591" s="14"/>
      <c r="V4591" s="14"/>
      <c r="W4591" s="14"/>
    </row>
    <row r="4592" ht="31.5" customHeight="1">
      <c r="A4592" s="158"/>
      <c r="B4592" s="159"/>
      <c r="C4592" s="160"/>
      <c r="D4592" s="130"/>
      <c r="E4592" s="130"/>
      <c r="F4592" s="161"/>
      <c r="G4592" s="164"/>
      <c r="H4592" s="76" t="b">
        <v>1</v>
      </c>
      <c r="I4592" s="76" t="b">
        <v>0</v>
      </c>
      <c r="J4592" s="76" t="b">
        <v>0</v>
      </c>
      <c r="K4592" s="76" t="b">
        <v>0</v>
      </c>
      <c r="L4592" s="76" t="b">
        <v>0</v>
      </c>
      <c r="M4592" s="76" t="b">
        <v>0</v>
      </c>
      <c r="N4592" s="76" t="b">
        <v>0</v>
      </c>
      <c r="O4592" s="76" t="b">
        <v>0</v>
      </c>
      <c r="P4592" s="76" t="b">
        <v>0</v>
      </c>
      <c r="Q4592" s="76" t="b">
        <v>0</v>
      </c>
      <c r="R4592" s="14"/>
      <c r="S4592" s="14"/>
      <c r="T4592" s="14"/>
      <c r="U4592" s="14"/>
      <c r="V4592" s="14"/>
      <c r="W4592" s="14"/>
    </row>
    <row r="4593" ht="31.5" customHeight="1">
      <c r="A4593" s="158"/>
      <c r="B4593" s="159"/>
      <c r="C4593" s="160"/>
      <c r="D4593" s="130"/>
      <c r="E4593" s="130"/>
      <c r="F4593" s="161"/>
      <c r="G4593" s="164"/>
      <c r="H4593" s="76" t="b">
        <v>1</v>
      </c>
      <c r="I4593" s="76" t="b">
        <v>0</v>
      </c>
      <c r="J4593" s="76" t="b">
        <v>0</v>
      </c>
      <c r="K4593" s="76" t="b">
        <v>0</v>
      </c>
      <c r="L4593" s="76" t="b">
        <v>0</v>
      </c>
      <c r="M4593" s="76" t="b">
        <v>0</v>
      </c>
      <c r="N4593" s="76" t="b">
        <v>0</v>
      </c>
      <c r="O4593" s="76" t="b">
        <v>0</v>
      </c>
      <c r="P4593" s="76" t="b">
        <v>0</v>
      </c>
      <c r="Q4593" s="76" t="b">
        <v>0</v>
      </c>
      <c r="R4593" s="14"/>
      <c r="S4593" s="14"/>
      <c r="T4593" s="14"/>
      <c r="U4593" s="14"/>
      <c r="V4593" s="14"/>
      <c r="W4593" s="14"/>
    </row>
    <row r="4594" ht="31.5" customHeight="1">
      <c r="A4594" s="158"/>
      <c r="B4594" s="159"/>
      <c r="C4594" s="160"/>
      <c r="D4594" s="130"/>
      <c r="E4594" s="130"/>
      <c r="F4594" s="161"/>
      <c r="G4594" s="164"/>
      <c r="H4594" s="76" t="b">
        <v>1</v>
      </c>
      <c r="I4594" s="76" t="b">
        <v>0</v>
      </c>
      <c r="J4594" s="76" t="b">
        <v>0</v>
      </c>
      <c r="K4594" s="76" t="b">
        <v>0</v>
      </c>
      <c r="L4594" s="76" t="b">
        <v>0</v>
      </c>
      <c r="M4594" s="76" t="b">
        <v>0</v>
      </c>
      <c r="N4594" s="76" t="b">
        <v>0</v>
      </c>
      <c r="O4594" s="76" t="b">
        <v>0</v>
      </c>
      <c r="P4594" s="76" t="b">
        <v>0</v>
      </c>
      <c r="Q4594" s="76" t="b">
        <v>0</v>
      </c>
      <c r="R4594" s="14"/>
      <c r="S4594" s="14"/>
      <c r="T4594" s="14"/>
      <c r="U4594" s="14"/>
      <c r="V4594" s="14"/>
      <c r="W4594" s="14"/>
    </row>
    <row r="4595" ht="31.5" customHeight="1">
      <c r="A4595" s="158"/>
      <c r="B4595" s="159"/>
      <c r="C4595" s="160"/>
      <c r="D4595" s="130"/>
      <c r="E4595" s="130"/>
      <c r="F4595" s="161"/>
      <c r="G4595" s="164"/>
      <c r="H4595" s="76" t="b">
        <v>1</v>
      </c>
      <c r="I4595" s="76" t="b">
        <v>0</v>
      </c>
      <c r="J4595" s="76" t="b">
        <v>0</v>
      </c>
      <c r="K4595" s="76" t="b">
        <v>0</v>
      </c>
      <c r="L4595" s="76" t="b">
        <v>0</v>
      </c>
      <c r="M4595" s="76" t="b">
        <v>0</v>
      </c>
      <c r="N4595" s="76" t="b">
        <v>0</v>
      </c>
      <c r="O4595" s="76" t="b">
        <v>0</v>
      </c>
      <c r="P4595" s="76" t="b">
        <v>0</v>
      </c>
      <c r="Q4595" s="76" t="b">
        <v>0</v>
      </c>
      <c r="R4595" s="14"/>
      <c r="S4595" s="14"/>
      <c r="T4595" s="14"/>
      <c r="U4595" s="14"/>
      <c r="V4595" s="14"/>
      <c r="W4595" s="14"/>
    </row>
    <row r="4596" ht="31.5" customHeight="1">
      <c r="A4596" s="158"/>
      <c r="B4596" s="159"/>
      <c r="C4596" s="160"/>
      <c r="D4596" s="130"/>
      <c r="E4596" s="130"/>
      <c r="F4596" s="161"/>
      <c r="G4596" s="164"/>
      <c r="H4596" s="76" t="b">
        <v>1</v>
      </c>
      <c r="I4596" s="76" t="b">
        <v>0</v>
      </c>
      <c r="J4596" s="76" t="b">
        <v>0</v>
      </c>
      <c r="K4596" s="76" t="b">
        <v>0</v>
      </c>
      <c r="L4596" s="76" t="b">
        <v>0</v>
      </c>
      <c r="M4596" s="76" t="b">
        <v>0</v>
      </c>
      <c r="N4596" s="76" t="b">
        <v>0</v>
      </c>
      <c r="O4596" s="76" t="b">
        <v>0</v>
      </c>
      <c r="P4596" s="76" t="b">
        <v>0</v>
      </c>
      <c r="Q4596" s="76" t="b">
        <v>0</v>
      </c>
      <c r="R4596" s="14"/>
      <c r="S4596" s="14"/>
      <c r="T4596" s="14"/>
      <c r="U4596" s="14"/>
      <c r="V4596" s="14"/>
      <c r="W4596" s="14"/>
    </row>
    <row r="4597" ht="31.5" customHeight="1">
      <c r="A4597" s="158"/>
      <c r="B4597" s="159"/>
      <c r="C4597" s="160"/>
      <c r="D4597" s="130"/>
      <c r="E4597" s="130"/>
      <c r="F4597" s="161"/>
      <c r="G4597" s="164"/>
      <c r="H4597" s="76" t="b">
        <v>1</v>
      </c>
      <c r="I4597" s="76" t="b">
        <v>0</v>
      </c>
      <c r="J4597" s="76" t="b">
        <v>0</v>
      </c>
      <c r="K4597" s="76" t="b">
        <v>0</v>
      </c>
      <c r="L4597" s="76" t="b">
        <v>0</v>
      </c>
      <c r="M4597" s="76" t="b">
        <v>0</v>
      </c>
      <c r="N4597" s="76" t="b">
        <v>0</v>
      </c>
      <c r="O4597" s="76" t="b">
        <v>0</v>
      </c>
      <c r="P4597" s="76" t="b">
        <v>0</v>
      </c>
      <c r="Q4597" s="76" t="b">
        <v>0</v>
      </c>
      <c r="R4597" s="14"/>
      <c r="S4597" s="14"/>
      <c r="T4597" s="14"/>
      <c r="U4597" s="14"/>
      <c r="V4597" s="14"/>
      <c r="W4597" s="14"/>
    </row>
    <row r="4598" ht="31.5" customHeight="1">
      <c r="A4598" s="158"/>
      <c r="B4598" s="159"/>
      <c r="C4598" s="160"/>
      <c r="D4598" s="130"/>
      <c r="E4598" s="130"/>
      <c r="F4598" s="161"/>
      <c r="G4598" s="164"/>
      <c r="H4598" s="76" t="b">
        <v>1</v>
      </c>
      <c r="I4598" s="76" t="b">
        <v>0</v>
      </c>
      <c r="J4598" s="76" t="b">
        <v>0</v>
      </c>
      <c r="K4598" s="76" t="b">
        <v>0</v>
      </c>
      <c r="L4598" s="76" t="b">
        <v>0</v>
      </c>
      <c r="M4598" s="76" t="b">
        <v>0</v>
      </c>
      <c r="N4598" s="76" t="b">
        <v>0</v>
      </c>
      <c r="O4598" s="76" t="b">
        <v>0</v>
      </c>
      <c r="P4598" s="76" t="b">
        <v>0</v>
      </c>
      <c r="Q4598" s="76" t="b">
        <v>0</v>
      </c>
      <c r="R4598" s="14"/>
      <c r="S4598" s="14"/>
      <c r="T4598" s="14"/>
      <c r="U4598" s="14"/>
      <c r="V4598" s="14"/>
      <c r="W4598" s="14"/>
    </row>
    <row r="4599" ht="31.5" customHeight="1">
      <c r="A4599" s="158"/>
      <c r="B4599" s="159"/>
      <c r="C4599" s="160"/>
      <c r="D4599" s="130"/>
      <c r="E4599" s="130"/>
      <c r="F4599" s="161"/>
      <c r="G4599" s="164"/>
      <c r="H4599" s="76" t="b">
        <v>1</v>
      </c>
      <c r="I4599" s="76" t="b">
        <v>0</v>
      </c>
      <c r="J4599" s="76" t="b">
        <v>0</v>
      </c>
      <c r="K4599" s="76" t="b">
        <v>0</v>
      </c>
      <c r="L4599" s="76" t="b">
        <v>0</v>
      </c>
      <c r="M4599" s="76" t="b">
        <v>0</v>
      </c>
      <c r="N4599" s="76" t="b">
        <v>0</v>
      </c>
      <c r="O4599" s="76" t="b">
        <v>0</v>
      </c>
      <c r="P4599" s="76" t="b">
        <v>0</v>
      </c>
      <c r="Q4599" s="76" t="b">
        <v>0</v>
      </c>
      <c r="R4599" s="14"/>
      <c r="S4599" s="14"/>
      <c r="T4599" s="14"/>
      <c r="U4599" s="14"/>
      <c r="V4599" s="14"/>
      <c r="W4599" s="14"/>
    </row>
    <row r="4600" ht="31.5" customHeight="1">
      <c r="A4600" s="158"/>
      <c r="B4600" s="159"/>
      <c r="C4600" s="160"/>
      <c r="D4600" s="130"/>
      <c r="E4600" s="130"/>
      <c r="F4600" s="161"/>
      <c r="G4600" s="164"/>
      <c r="H4600" s="76" t="b">
        <v>1</v>
      </c>
      <c r="I4600" s="76" t="b">
        <v>0</v>
      </c>
      <c r="J4600" s="76" t="b">
        <v>0</v>
      </c>
      <c r="K4600" s="76" t="b">
        <v>0</v>
      </c>
      <c r="L4600" s="76" t="b">
        <v>0</v>
      </c>
      <c r="M4600" s="76" t="b">
        <v>0</v>
      </c>
      <c r="N4600" s="76" t="b">
        <v>0</v>
      </c>
      <c r="O4600" s="76" t="b">
        <v>0</v>
      </c>
      <c r="P4600" s="76" t="b">
        <v>0</v>
      </c>
      <c r="Q4600" s="76" t="b">
        <v>0</v>
      </c>
      <c r="R4600" s="14"/>
      <c r="S4600" s="14"/>
      <c r="T4600" s="14"/>
      <c r="U4600" s="14"/>
      <c r="V4600" s="14"/>
      <c r="W4600" s="14"/>
    </row>
    <row r="4601" ht="31.5" customHeight="1">
      <c r="A4601" s="158"/>
      <c r="B4601" s="159"/>
      <c r="C4601" s="160"/>
      <c r="D4601" s="130"/>
      <c r="E4601" s="130"/>
      <c r="F4601" s="161"/>
      <c r="G4601" s="164"/>
      <c r="H4601" s="76" t="b">
        <v>1</v>
      </c>
      <c r="I4601" s="76" t="b">
        <v>0</v>
      </c>
      <c r="J4601" s="76" t="b">
        <v>0</v>
      </c>
      <c r="K4601" s="76" t="b">
        <v>0</v>
      </c>
      <c r="L4601" s="76" t="b">
        <v>0</v>
      </c>
      <c r="M4601" s="76" t="b">
        <v>0</v>
      </c>
      <c r="N4601" s="76" t="b">
        <v>0</v>
      </c>
      <c r="O4601" s="76" t="b">
        <v>0</v>
      </c>
      <c r="P4601" s="76" t="b">
        <v>0</v>
      </c>
      <c r="Q4601" s="76" t="b">
        <v>0</v>
      </c>
      <c r="R4601" s="14"/>
      <c r="S4601" s="14"/>
      <c r="T4601" s="14"/>
      <c r="U4601" s="14"/>
      <c r="V4601" s="14"/>
      <c r="W4601" s="14"/>
    </row>
    <row r="4602" ht="31.5" customHeight="1">
      <c r="A4602" s="158"/>
      <c r="B4602" s="159"/>
      <c r="C4602" s="160"/>
      <c r="D4602" s="130"/>
      <c r="E4602" s="130"/>
      <c r="F4602" s="161"/>
      <c r="G4602" s="164"/>
      <c r="H4602" s="76" t="b">
        <v>1</v>
      </c>
      <c r="I4602" s="76" t="b">
        <v>0</v>
      </c>
      <c r="J4602" s="76" t="b">
        <v>0</v>
      </c>
      <c r="K4602" s="76" t="b">
        <v>0</v>
      </c>
      <c r="L4602" s="76" t="b">
        <v>0</v>
      </c>
      <c r="M4602" s="76" t="b">
        <v>0</v>
      </c>
      <c r="N4602" s="76" t="b">
        <v>0</v>
      </c>
      <c r="O4602" s="76" t="b">
        <v>0</v>
      </c>
      <c r="P4602" s="76" t="b">
        <v>0</v>
      </c>
      <c r="Q4602" s="76" t="b">
        <v>0</v>
      </c>
      <c r="R4602" s="14"/>
      <c r="S4602" s="14"/>
      <c r="T4602" s="14"/>
      <c r="U4602" s="14"/>
      <c r="V4602" s="14"/>
      <c r="W4602" s="14"/>
    </row>
    <row r="4603" ht="31.5" customHeight="1">
      <c r="A4603" s="158"/>
      <c r="B4603" s="159"/>
      <c r="C4603" s="160"/>
      <c r="D4603" s="130"/>
      <c r="E4603" s="130"/>
      <c r="F4603" s="161"/>
      <c r="G4603" s="164"/>
      <c r="H4603" s="76" t="b">
        <v>1</v>
      </c>
      <c r="I4603" s="76" t="b">
        <v>0</v>
      </c>
      <c r="J4603" s="76" t="b">
        <v>0</v>
      </c>
      <c r="K4603" s="76" t="b">
        <v>0</v>
      </c>
      <c r="L4603" s="76" t="b">
        <v>0</v>
      </c>
      <c r="M4603" s="76" t="b">
        <v>0</v>
      </c>
      <c r="N4603" s="76" t="b">
        <v>0</v>
      </c>
      <c r="O4603" s="76" t="b">
        <v>0</v>
      </c>
      <c r="P4603" s="76" t="b">
        <v>0</v>
      </c>
      <c r="Q4603" s="76" t="b">
        <v>0</v>
      </c>
      <c r="R4603" s="14"/>
      <c r="S4603" s="14"/>
      <c r="T4603" s="14"/>
      <c r="U4603" s="14"/>
      <c r="V4603" s="14"/>
      <c r="W4603" s="14"/>
    </row>
    <row r="4604" ht="31.5" customHeight="1">
      <c r="A4604" s="158"/>
      <c r="B4604" s="159"/>
      <c r="C4604" s="160"/>
      <c r="D4604" s="130"/>
      <c r="E4604" s="130"/>
      <c r="F4604" s="161"/>
      <c r="G4604" s="164"/>
      <c r="H4604" s="76" t="b">
        <v>1</v>
      </c>
      <c r="I4604" s="76" t="b">
        <v>0</v>
      </c>
      <c r="J4604" s="76" t="b">
        <v>0</v>
      </c>
      <c r="K4604" s="76" t="b">
        <v>0</v>
      </c>
      <c r="L4604" s="76" t="b">
        <v>0</v>
      </c>
      <c r="M4604" s="76" t="b">
        <v>0</v>
      </c>
      <c r="N4604" s="76" t="b">
        <v>0</v>
      </c>
      <c r="O4604" s="76" t="b">
        <v>0</v>
      </c>
      <c r="P4604" s="76" t="b">
        <v>0</v>
      </c>
      <c r="Q4604" s="76" t="b">
        <v>0</v>
      </c>
      <c r="R4604" s="14"/>
      <c r="S4604" s="14"/>
      <c r="T4604" s="14"/>
      <c r="U4604" s="14"/>
      <c r="V4604" s="14"/>
      <c r="W4604" s="14"/>
    </row>
    <row r="4605" ht="31.5" customHeight="1">
      <c r="A4605" s="158"/>
      <c r="B4605" s="159"/>
      <c r="C4605" s="160"/>
      <c r="D4605" s="130"/>
      <c r="E4605" s="130"/>
      <c r="F4605" s="161"/>
      <c r="G4605" s="164"/>
      <c r="H4605" s="76" t="b">
        <v>1</v>
      </c>
      <c r="I4605" s="76" t="b">
        <v>0</v>
      </c>
      <c r="J4605" s="76" t="b">
        <v>0</v>
      </c>
      <c r="K4605" s="76" t="b">
        <v>0</v>
      </c>
      <c r="L4605" s="76" t="b">
        <v>0</v>
      </c>
      <c r="M4605" s="76" t="b">
        <v>0</v>
      </c>
      <c r="N4605" s="76" t="b">
        <v>0</v>
      </c>
      <c r="O4605" s="76" t="b">
        <v>0</v>
      </c>
      <c r="P4605" s="76" t="b">
        <v>0</v>
      </c>
      <c r="Q4605" s="76" t="b">
        <v>0</v>
      </c>
      <c r="R4605" s="14"/>
      <c r="S4605" s="14"/>
      <c r="T4605" s="14"/>
      <c r="U4605" s="14"/>
      <c r="V4605" s="14"/>
      <c r="W4605" s="14"/>
    </row>
    <row r="4606" ht="31.5" customHeight="1">
      <c r="A4606" s="158"/>
      <c r="B4606" s="159"/>
      <c r="C4606" s="160"/>
      <c r="D4606" s="130"/>
      <c r="E4606" s="130"/>
      <c r="F4606" s="161"/>
      <c r="G4606" s="164"/>
      <c r="H4606" s="76" t="b">
        <v>1</v>
      </c>
      <c r="I4606" s="76" t="b">
        <v>0</v>
      </c>
      <c r="J4606" s="76" t="b">
        <v>0</v>
      </c>
      <c r="K4606" s="76" t="b">
        <v>0</v>
      </c>
      <c r="L4606" s="76" t="b">
        <v>0</v>
      </c>
      <c r="M4606" s="76" t="b">
        <v>0</v>
      </c>
      <c r="N4606" s="76" t="b">
        <v>0</v>
      </c>
      <c r="O4606" s="76" t="b">
        <v>0</v>
      </c>
      <c r="P4606" s="76" t="b">
        <v>0</v>
      </c>
      <c r="Q4606" s="76" t="b">
        <v>0</v>
      </c>
      <c r="R4606" s="14"/>
      <c r="S4606" s="14"/>
      <c r="T4606" s="14"/>
      <c r="U4606" s="14"/>
      <c r="V4606" s="14"/>
      <c r="W4606" s="14"/>
    </row>
    <row r="4607" ht="31.5" customHeight="1">
      <c r="A4607" s="158"/>
      <c r="B4607" s="159"/>
      <c r="C4607" s="160"/>
      <c r="D4607" s="130"/>
      <c r="E4607" s="130"/>
      <c r="F4607" s="161"/>
      <c r="G4607" s="164"/>
      <c r="H4607" s="76" t="b">
        <v>1</v>
      </c>
      <c r="I4607" s="76" t="b">
        <v>0</v>
      </c>
      <c r="J4607" s="76" t="b">
        <v>0</v>
      </c>
      <c r="K4607" s="76" t="b">
        <v>0</v>
      </c>
      <c r="L4607" s="76" t="b">
        <v>0</v>
      </c>
      <c r="M4607" s="76" t="b">
        <v>0</v>
      </c>
      <c r="N4607" s="76" t="b">
        <v>0</v>
      </c>
      <c r="O4607" s="76" t="b">
        <v>0</v>
      </c>
      <c r="P4607" s="76" t="b">
        <v>0</v>
      </c>
      <c r="Q4607" s="76" t="b">
        <v>0</v>
      </c>
      <c r="R4607" s="14"/>
      <c r="S4607" s="14"/>
      <c r="T4607" s="14"/>
      <c r="U4607" s="14"/>
      <c r="V4607" s="14"/>
      <c r="W4607" s="14"/>
    </row>
    <row r="4608" ht="31.5" customHeight="1">
      <c r="A4608" s="158"/>
      <c r="B4608" s="159"/>
      <c r="C4608" s="160"/>
      <c r="D4608" s="130"/>
      <c r="E4608" s="130"/>
      <c r="F4608" s="161"/>
      <c r="G4608" s="164"/>
      <c r="H4608" s="76" t="b">
        <v>1</v>
      </c>
      <c r="I4608" s="76" t="b">
        <v>0</v>
      </c>
      <c r="J4608" s="76" t="b">
        <v>0</v>
      </c>
      <c r="K4608" s="76" t="b">
        <v>0</v>
      </c>
      <c r="L4608" s="76" t="b">
        <v>0</v>
      </c>
      <c r="M4608" s="76" t="b">
        <v>0</v>
      </c>
      <c r="N4608" s="76" t="b">
        <v>0</v>
      </c>
      <c r="O4608" s="76" t="b">
        <v>0</v>
      </c>
      <c r="P4608" s="76" t="b">
        <v>0</v>
      </c>
      <c r="Q4608" s="76" t="b">
        <v>0</v>
      </c>
      <c r="R4608" s="14"/>
      <c r="S4608" s="14"/>
      <c r="T4608" s="14"/>
      <c r="U4608" s="14"/>
      <c r="V4608" s="14"/>
      <c r="W4608" s="14"/>
    </row>
    <row r="4609" ht="31.5" customHeight="1">
      <c r="A4609" s="158"/>
      <c r="B4609" s="159"/>
      <c r="C4609" s="160"/>
      <c r="D4609" s="130"/>
      <c r="E4609" s="130"/>
      <c r="F4609" s="161"/>
      <c r="G4609" s="164"/>
      <c r="H4609" s="76" t="b">
        <v>1</v>
      </c>
      <c r="I4609" s="76" t="b">
        <v>0</v>
      </c>
      <c r="J4609" s="76" t="b">
        <v>0</v>
      </c>
      <c r="K4609" s="76" t="b">
        <v>0</v>
      </c>
      <c r="L4609" s="76" t="b">
        <v>0</v>
      </c>
      <c r="M4609" s="76" t="b">
        <v>0</v>
      </c>
      <c r="N4609" s="76" t="b">
        <v>0</v>
      </c>
      <c r="O4609" s="76" t="b">
        <v>0</v>
      </c>
      <c r="P4609" s="76" t="b">
        <v>0</v>
      </c>
      <c r="Q4609" s="76" t="b">
        <v>0</v>
      </c>
      <c r="R4609" s="14"/>
      <c r="S4609" s="14"/>
      <c r="T4609" s="14"/>
      <c r="U4609" s="14"/>
      <c r="V4609" s="14"/>
      <c r="W4609" s="14"/>
    </row>
    <row r="4610" ht="31.5" customHeight="1">
      <c r="A4610" s="158"/>
      <c r="B4610" s="159"/>
      <c r="C4610" s="160"/>
      <c r="D4610" s="130"/>
      <c r="E4610" s="130"/>
      <c r="F4610" s="161"/>
      <c r="G4610" s="164"/>
      <c r="H4610" s="76" t="b">
        <v>1</v>
      </c>
      <c r="I4610" s="76" t="b">
        <v>0</v>
      </c>
      <c r="J4610" s="76" t="b">
        <v>0</v>
      </c>
      <c r="K4610" s="76" t="b">
        <v>0</v>
      </c>
      <c r="L4610" s="76" t="b">
        <v>0</v>
      </c>
      <c r="M4610" s="76" t="b">
        <v>0</v>
      </c>
      <c r="N4610" s="76" t="b">
        <v>0</v>
      </c>
      <c r="O4610" s="76" t="b">
        <v>0</v>
      </c>
      <c r="P4610" s="76" t="b">
        <v>0</v>
      </c>
      <c r="Q4610" s="76" t="b">
        <v>0</v>
      </c>
      <c r="R4610" s="14"/>
      <c r="S4610" s="14"/>
      <c r="T4610" s="14"/>
      <c r="U4610" s="14"/>
      <c r="V4610" s="14"/>
      <c r="W4610" s="14"/>
    </row>
    <row r="4611" ht="31.5" customHeight="1">
      <c r="A4611" s="158"/>
      <c r="B4611" s="159"/>
      <c r="C4611" s="160"/>
      <c r="D4611" s="130"/>
      <c r="E4611" s="130"/>
      <c r="F4611" s="161"/>
      <c r="G4611" s="164"/>
      <c r="H4611" s="76" t="b">
        <v>1</v>
      </c>
      <c r="I4611" s="76" t="b">
        <v>0</v>
      </c>
      <c r="J4611" s="76" t="b">
        <v>0</v>
      </c>
      <c r="K4611" s="76" t="b">
        <v>0</v>
      </c>
      <c r="L4611" s="76" t="b">
        <v>0</v>
      </c>
      <c r="M4611" s="76" t="b">
        <v>0</v>
      </c>
      <c r="N4611" s="76" t="b">
        <v>0</v>
      </c>
      <c r="O4611" s="76" t="b">
        <v>0</v>
      </c>
      <c r="P4611" s="76" t="b">
        <v>0</v>
      </c>
      <c r="Q4611" s="76" t="b">
        <v>0</v>
      </c>
      <c r="R4611" s="14"/>
      <c r="S4611" s="14"/>
      <c r="T4611" s="14"/>
      <c r="U4611" s="14"/>
      <c r="V4611" s="14"/>
      <c r="W4611" s="14"/>
    </row>
    <row r="4612" ht="31.5" customHeight="1">
      <c r="A4612" s="158"/>
      <c r="B4612" s="159"/>
      <c r="C4612" s="160"/>
      <c r="D4612" s="130"/>
      <c r="E4612" s="130"/>
      <c r="F4612" s="161"/>
      <c r="G4612" s="164"/>
      <c r="H4612" s="76" t="b">
        <v>1</v>
      </c>
      <c r="I4612" s="76" t="b">
        <v>0</v>
      </c>
      <c r="J4612" s="76" t="b">
        <v>0</v>
      </c>
      <c r="K4612" s="76" t="b">
        <v>0</v>
      </c>
      <c r="L4612" s="76" t="b">
        <v>0</v>
      </c>
      <c r="M4612" s="76" t="b">
        <v>0</v>
      </c>
      <c r="N4612" s="76" t="b">
        <v>0</v>
      </c>
      <c r="O4612" s="76" t="b">
        <v>0</v>
      </c>
      <c r="P4612" s="76" t="b">
        <v>0</v>
      </c>
      <c r="Q4612" s="76" t="b">
        <v>0</v>
      </c>
      <c r="R4612" s="14"/>
      <c r="S4612" s="14"/>
      <c r="T4612" s="14"/>
      <c r="U4612" s="14"/>
      <c r="V4612" s="14"/>
      <c r="W4612" s="14"/>
    </row>
    <row r="4613" ht="31.5" customHeight="1">
      <c r="A4613" s="158"/>
      <c r="B4613" s="159"/>
      <c r="C4613" s="160"/>
      <c r="D4613" s="130"/>
      <c r="E4613" s="130"/>
      <c r="F4613" s="161"/>
      <c r="G4613" s="164"/>
      <c r="H4613" s="76" t="b">
        <v>1</v>
      </c>
      <c r="I4613" s="76" t="b">
        <v>0</v>
      </c>
      <c r="J4613" s="76" t="b">
        <v>0</v>
      </c>
      <c r="K4613" s="76" t="b">
        <v>0</v>
      </c>
      <c r="L4613" s="76" t="b">
        <v>0</v>
      </c>
      <c r="M4613" s="76" t="b">
        <v>0</v>
      </c>
      <c r="N4613" s="76" t="b">
        <v>0</v>
      </c>
      <c r="O4613" s="76" t="b">
        <v>0</v>
      </c>
      <c r="P4613" s="76" t="b">
        <v>0</v>
      </c>
      <c r="Q4613" s="76" t="b">
        <v>0</v>
      </c>
      <c r="R4613" s="14"/>
      <c r="S4613" s="14"/>
      <c r="T4613" s="14"/>
      <c r="U4613" s="14"/>
      <c r="V4613" s="14"/>
      <c r="W4613" s="14"/>
    </row>
    <row r="4614" ht="31.5" customHeight="1">
      <c r="A4614" s="158"/>
      <c r="B4614" s="159"/>
      <c r="C4614" s="160"/>
      <c r="D4614" s="130"/>
      <c r="E4614" s="130"/>
      <c r="F4614" s="161"/>
      <c r="G4614" s="164"/>
      <c r="H4614" s="76" t="b">
        <v>1</v>
      </c>
      <c r="I4614" s="76" t="b">
        <v>0</v>
      </c>
      <c r="J4614" s="76" t="b">
        <v>0</v>
      </c>
      <c r="K4614" s="76" t="b">
        <v>0</v>
      </c>
      <c r="L4614" s="76" t="b">
        <v>0</v>
      </c>
      <c r="M4614" s="76" t="b">
        <v>0</v>
      </c>
      <c r="N4614" s="76" t="b">
        <v>0</v>
      </c>
      <c r="O4614" s="76" t="b">
        <v>0</v>
      </c>
      <c r="P4614" s="76" t="b">
        <v>0</v>
      </c>
      <c r="Q4614" s="76" t="b">
        <v>0</v>
      </c>
      <c r="R4614" s="14"/>
      <c r="S4614" s="14"/>
      <c r="T4614" s="14"/>
      <c r="U4614" s="14"/>
      <c r="V4614" s="14"/>
      <c r="W4614" s="14"/>
    </row>
    <row r="4615" ht="31.5" customHeight="1">
      <c r="A4615" s="158"/>
      <c r="B4615" s="159"/>
      <c r="C4615" s="160"/>
      <c r="D4615" s="130"/>
      <c r="E4615" s="130"/>
      <c r="F4615" s="161"/>
      <c r="G4615" s="164"/>
      <c r="H4615" s="76" t="b">
        <v>1</v>
      </c>
      <c r="I4615" s="76" t="b">
        <v>0</v>
      </c>
      <c r="J4615" s="76" t="b">
        <v>0</v>
      </c>
      <c r="K4615" s="76" t="b">
        <v>0</v>
      </c>
      <c r="L4615" s="76" t="b">
        <v>0</v>
      </c>
      <c r="M4615" s="76" t="b">
        <v>0</v>
      </c>
      <c r="N4615" s="76" t="b">
        <v>0</v>
      </c>
      <c r="O4615" s="76" t="b">
        <v>0</v>
      </c>
      <c r="P4615" s="76" t="b">
        <v>0</v>
      </c>
      <c r="Q4615" s="76" t="b">
        <v>0</v>
      </c>
      <c r="R4615" s="14"/>
      <c r="S4615" s="14"/>
      <c r="T4615" s="14"/>
      <c r="U4615" s="14"/>
      <c r="V4615" s="14"/>
      <c r="W4615" s="14"/>
    </row>
    <row r="4616" ht="31.5" customHeight="1">
      <c r="A4616" s="158"/>
      <c r="B4616" s="159"/>
      <c r="C4616" s="160"/>
      <c r="D4616" s="130"/>
      <c r="E4616" s="130"/>
      <c r="F4616" s="161"/>
      <c r="G4616" s="164"/>
      <c r="H4616" s="76" t="b">
        <v>1</v>
      </c>
      <c r="I4616" s="76" t="b">
        <v>0</v>
      </c>
      <c r="J4616" s="76" t="b">
        <v>0</v>
      </c>
      <c r="K4616" s="76" t="b">
        <v>0</v>
      </c>
      <c r="L4616" s="76" t="b">
        <v>0</v>
      </c>
      <c r="M4616" s="76" t="b">
        <v>0</v>
      </c>
      <c r="N4616" s="76" t="b">
        <v>0</v>
      </c>
      <c r="O4616" s="76" t="b">
        <v>0</v>
      </c>
      <c r="P4616" s="76" t="b">
        <v>0</v>
      </c>
      <c r="Q4616" s="76" t="b">
        <v>0</v>
      </c>
      <c r="R4616" s="14"/>
      <c r="S4616" s="14"/>
      <c r="T4616" s="14"/>
      <c r="U4616" s="14"/>
      <c r="V4616" s="14"/>
      <c r="W4616" s="14"/>
    </row>
    <row r="4617" ht="31.5" customHeight="1">
      <c r="A4617" s="158"/>
      <c r="B4617" s="159"/>
      <c r="C4617" s="160"/>
      <c r="D4617" s="130"/>
      <c r="E4617" s="130"/>
      <c r="F4617" s="161"/>
      <c r="G4617" s="164"/>
      <c r="H4617" s="76" t="b">
        <v>1</v>
      </c>
      <c r="I4617" s="76" t="b">
        <v>0</v>
      </c>
      <c r="J4617" s="76" t="b">
        <v>0</v>
      </c>
      <c r="K4617" s="76" t="b">
        <v>0</v>
      </c>
      <c r="L4617" s="76" t="b">
        <v>0</v>
      </c>
      <c r="M4617" s="76" t="b">
        <v>0</v>
      </c>
      <c r="N4617" s="76" t="b">
        <v>0</v>
      </c>
      <c r="O4617" s="76" t="b">
        <v>0</v>
      </c>
      <c r="P4617" s="76" t="b">
        <v>0</v>
      </c>
      <c r="Q4617" s="76" t="b">
        <v>0</v>
      </c>
      <c r="R4617" s="14"/>
      <c r="S4617" s="14"/>
      <c r="T4617" s="14"/>
      <c r="U4617" s="14"/>
      <c r="V4617" s="14"/>
      <c r="W4617" s="14"/>
    </row>
    <row r="4618" ht="31.5" customHeight="1">
      <c r="A4618" s="158"/>
      <c r="B4618" s="159"/>
      <c r="C4618" s="160"/>
      <c r="D4618" s="130"/>
      <c r="E4618" s="130"/>
      <c r="F4618" s="161"/>
      <c r="G4618" s="164"/>
      <c r="H4618" s="76" t="b">
        <v>1</v>
      </c>
      <c r="I4618" s="76" t="b">
        <v>0</v>
      </c>
      <c r="J4618" s="76" t="b">
        <v>0</v>
      </c>
      <c r="K4618" s="76" t="b">
        <v>0</v>
      </c>
      <c r="L4618" s="76" t="b">
        <v>0</v>
      </c>
      <c r="M4618" s="76" t="b">
        <v>0</v>
      </c>
      <c r="N4618" s="76" t="b">
        <v>0</v>
      </c>
      <c r="O4618" s="76" t="b">
        <v>0</v>
      </c>
      <c r="P4618" s="76" t="b">
        <v>0</v>
      </c>
      <c r="Q4618" s="76" t="b">
        <v>0</v>
      </c>
      <c r="R4618" s="14"/>
      <c r="S4618" s="14"/>
      <c r="T4618" s="14"/>
      <c r="U4618" s="14"/>
      <c r="V4618" s="14"/>
      <c r="W4618" s="14"/>
    </row>
    <row r="4619" ht="31.5" customHeight="1">
      <c r="A4619" s="158"/>
      <c r="B4619" s="159"/>
      <c r="C4619" s="160"/>
      <c r="D4619" s="130"/>
      <c r="E4619" s="130"/>
      <c r="F4619" s="161"/>
      <c r="G4619" s="164"/>
      <c r="H4619" s="76" t="b">
        <v>1</v>
      </c>
      <c r="I4619" s="76" t="b">
        <v>0</v>
      </c>
      <c r="J4619" s="76" t="b">
        <v>0</v>
      </c>
      <c r="K4619" s="76" t="b">
        <v>0</v>
      </c>
      <c r="L4619" s="76" t="b">
        <v>0</v>
      </c>
      <c r="M4619" s="76" t="b">
        <v>0</v>
      </c>
      <c r="N4619" s="76" t="b">
        <v>0</v>
      </c>
      <c r="O4619" s="76" t="b">
        <v>0</v>
      </c>
      <c r="P4619" s="76" t="b">
        <v>0</v>
      </c>
      <c r="Q4619" s="76" t="b">
        <v>0</v>
      </c>
      <c r="R4619" s="14"/>
      <c r="S4619" s="14"/>
      <c r="T4619" s="14"/>
      <c r="U4619" s="14"/>
      <c r="V4619" s="14"/>
      <c r="W4619" s="14"/>
    </row>
    <row r="4620" ht="31.5" customHeight="1">
      <c r="A4620" s="158"/>
      <c r="B4620" s="159"/>
      <c r="C4620" s="160"/>
      <c r="D4620" s="130"/>
      <c r="E4620" s="130"/>
      <c r="F4620" s="161"/>
      <c r="G4620" s="164"/>
      <c r="H4620" s="76" t="b">
        <v>1</v>
      </c>
      <c r="I4620" s="76" t="b">
        <v>0</v>
      </c>
      <c r="J4620" s="76" t="b">
        <v>0</v>
      </c>
      <c r="K4620" s="76" t="b">
        <v>0</v>
      </c>
      <c r="L4620" s="76" t="b">
        <v>0</v>
      </c>
      <c r="M4620" s="76" t="b">
        <v>0</v>
      </c>
      <c r="N4620" s="76" t="b">
        <v>0</v>
      </c>
      <c r="O4620" s="76" t="b">
        <v>0</v>
      </c>
      <c r="P4620" s="76" t="b">
        <v>0</v>
      </c>
      <c r="Q4620" s="76" t="b">
        <v>0</v>
      </c>
      <c r="R4620" s="14"/>
      <c r="S4620" s="14"/>
      <c r="T4620" s="14"/>
      <c r="U4620" s="14"/>
      <c r="V4620" s="14"/>
      <c r="W4620" s="14"/>
    </row>
    <row r="4621" ht="31.5" customHeight="1">
      <c r="A4621" s="158"/>
      <c r="B4621" s="159"/>
      <c r="C4621" s="160"/>
      <c r="D4621" s="130"/>
      <c r="E4621" s="130"/>
      <c r="F4621" s="161"/>
      <c r="G4621" s="164"/>
      <c r="H4621" s="76" t="b">
        <v>1</v>
      </c>
      <c r="I4621" s="76" t="b">
        <v>0</v>
      </c>
      <c r="J4621" s="76" t="b">
        <v>0</v>
      </c>
      <c r="K4621" s="76" t="b">
        <v>0</v>
      </c>
      <c r="L4621" s="76" t="b">
        <v>0</v>
      </c>
      <c r="M4621" s="76" t="b">
        <v>0</v>
      </c>
      <c r="N4621" s="76" t="b">
        <v>0</v>
      </c>
      <c r="O4621" s="76" t="b">
        <v>0</v>
      </c>
      <c r="P4621" s="76" t="b">
        <v>0</v>
      </c>
      <c r="Q4621" s="76" t="b">
        <v>0</v>
      </c>
      <c r="R4621" s="14"/>
      <c r="S4621" s="14"/>
      <c r="T4621" s="14"/>
      <c r="U4621" s="14"/>
      <c r="V4621" s="14"/>
      <c r="W4621" s="14"/>
    </row>
    <row r="4622" ht="31.5" customHeight="1">
      <c r="A4622" s="158"/>
      <c r="B4622" s="159"/>
      <c r="C4622" s="160"/>
      <c r="D4622" s="130"/>
      <c r="E4622" s="130"/>
      <c r="F4622" s="161"/>
      <c r="G4622" s="164"/>
      <c r="H4622" s="76" t="b">
        <v>1</v>
      </c>
      <c r="I4622" s="76" t="b">
        <v>0</v>
      </c>
      <c r="J4622" s="76" t="b">
        <v>0</v>
      </c>
      <c r="K4622" s="76" t="b">
        <v>0</v>
      </c>
      <c r="L4622" s="76" t="b">
        <v>0</v>
      </c>
      <c r="M4622" s="76" t="b">
        <v>0</v>
      </c>
      <c r="N4622" s="76" t="b">
        <v>0</v>
      </c>
      <c r="O4622" s="76" t="b">
        <v>0</v>
      </c>
      <c r="P4622" s="76" t="b">
        <v>0</v>
      </c>
      <c r="Q4622" s="76" t="b">
        <v>0</v>
      </c>
      <c r="R4622" s="14"/>
      <c r="S4622" s="14"/>
      <c r="T4622" s="14"/>
      <c r="U4622" s="14"/>
      <c r="V4622" s="14"/>
      <c r="W4622" s="14"/>
    </row>
    <row r="4623" ht="31.5" customHeight="1">
      <c r="A4623" s="158"/>
      <c r="B4623" s="159"/>
      <c r="C4623" s="160"/>
      <c r="D4623" s="130"/>
      <c r="E4623" s="130"/>
      <c r="F4623" s="161"/>
      <c r="G4623" s="164"/>
      <c r="H4623" s="76" t="b">
        <v>1</v>
      </c>
      <c r="I4623" s="76" t="b">
        <v>0</v>
      </c>
      <c r="J4623" s="76" t="b">
        <v>0</v>
      </c>
      <c r="K4623" s="76" t="b">
        <v>0</v>
      </c>
      <c r="L4623" s="76" t="b">
        <v>0</v>
      </c>
      <c r="M4623" s="76" t="b">
        <v>0</v>
      </c>
      <c r="N4623" s="76" t="b">
        <v>0</v>
      </c>
      <c r="O4623" s="76" t="b">
        <v>0</v>
      </c>
      <c r="P4623" s="76" t="b">
        <v>0</v>
      </c>
      <c r="Q4623" s="76" t="b">
        <v>0</v>
      </c>
      <c r="R4623" s="14"/>
      <c r="S4623" s="14"/>
      <c r="T4623" s="14"/>
      <c r="U4623" s="14"/>
      <c r="V4623" s="14"/>
      <c r="W4623" s="14"/>
    </row>
    <row r="4624" ht="31.5" customHeight="1">
      <c r="A4624" s="158"/>
      <c r="B4624" s="159"/>
      <c r="C4624" s="160"/>
      <c r="D4624" s="130"/>
      <c r="E4624" s="130"/>
      <c r="F4624" s="161"/>
      <c r="G4624" s="164"/>
      <c r="H4624" s="76" t="b">
        <v>1</v>
      </c>
      <c r="I4624" s="76" t="b">
        <v>0</v>
      </c>
      <c r="J4624" s="76" t="b">
        <v>0</v>
      </c>
      <c r="K4624" s="76" t="b">
        <v>0</v>
      </c>
      <c r="L4624" s="76" t="b">
        <v>0</v>
      </c>
      <c r="M4624" s="76" t="b">
        <v>0</v>
      </c>
      <c r="N4624" s="76" t="b">
        <v>0</v>
      </c>
      <c r="O4624" s="76" t="b">
        <v>0</v>
      </c>
      <c r="P4624" s="76" t="b">
        <v>0</v>
      </c>
      <c r="Q4624" s="76" t="b">
        <v>0</v>
      </c>
      <c r="R4624" s="14"/>
      <c r="S4624" s="14"/>
      <c r="T4624" s="14"/>
      <c r="U4624" s="14"/>
      <c r="V4624" s="14"/>
      <c r="W4624" s="14"/>
    </row>
    <row r="4625" ht="31.5" customHeight="1">
      <c r="A4625" s="158"/>
      <c r="B4625" s="159"/>
      <c r="C4625" s="160"/>
      <c r="D4625" s="130"/>
      <c r="E4625" s="130"/>
      <c r="F4625" s="161"/>
      <c r="G4625" s="164"/>
      <c r="H4625" s="76" t="b">
        <v>1</v>
      </c>
      <c r="I4625" s="76" t="b">
        <v>0</v>
      </c>
      <c r="J4625" s="76" t="b">
        <v>0</v>
      </c>
      <c r="K4625" s="76" t="b">
        <v>0</v>
      </c>
      <c r="L4625" s="76" t="b">
        <v>0</v>
      </c>
      <c r="M4625" s="76" t="b">
        <v>0</v>
      </c>
      <c r="N4625" s="76" t="b">
        <v>0</v>
      </c>
      <c r="O4625" s="76" t="b">
        <v>0</v>
      </c>
      <c r="P4625" s="76" t="b">
        <v>0</v>
      </c>
      <c r="Q4625" s="76" t="b">
        <v>0</v>
      </c>
      <c r="R4625" s="14"/>
      <c r="S4625" s="14"/>
      <c r="T4625" s="14"/>
      <c r="U4625" s="14"/>
      <c r="V4625" s="14"/>
      <c r="W4625" s="14"/>
    </row>
    <row r="4626" ht="31.5" customHeight="1">
      <c r="A4626" s="158"/>
      <c r="B4626" s="159"/>
      <c r="C4626" s="160"/>
      <c r="D4626" s="130"/>
      <c r="E4626" s="130"/>
      <c r="F4626" s="161"/>
      <c r="G4626" s="164"/>
      <c r="H4626" s="76" t="b">
        <v>1</v>
      </c>
      <c r="I4626" s="76" t="b">
        <v>0</v>
      </c>
      <c r="J4626" s="76" t="b">
        <v>0</v>
      </c>
      <c r="K4626" s="76" t="b">
        <v>0</v>
      </c>
      <c r="L4626" s="76" t="b">
        <v>0</v>
      </c>
      <c r="M4626" s="76" t="b">
        <v>0</v>
      </c>
      <c r="N4626" s="76" t="b">
        <v>0</v>
      </c>
      <c r="O4626" s="76" t="b">
        <v>0</v>
      </c>
      <c r="P4626" s="76" t="b">
        <v>0</v>
      </c>
      <c r="Q4626" s="76" t="b">
        <v>0</v>
      </c>
      <c r="R4626" s="14"/>
      <c r="S4626" s="14"/>
      <c r="T4626" s="14"/>
      <c r="U4626" s="14"/>
      <c r="V4626" s="14"/>
      <c r="W4626" s="14"/>
    </row>
    <row r="4627" ht="31.5" customHeight="1">
      <c r="A4627" s="158"/>
      <c r="B4627" s="159"/>
      <c r="C4627" s="160"/>
      <c r="D4627" s="130"/>
      <c r="E4627" s="130"/>
      <c r="F4627" s="161"/>
      <c r="G4627" s="164"/>
      <c r="H4627" s="76" t="b">
        <v>1</v>
      </c>
      <c r="I4627" s="76" t="b">
        <v>0</v>
      </c>
      <c r="J4627" s="76" t="b">
        <v>0</v>
      </c>
      <c r="K4627" s="76" t="b">
        <v>0</v>
      </c>
      <c r="L4627" s="76" t="b">
        <v>0</v>
      </c>
      <c r="M4627" s="76" t="b">
        <v>0</v>
      </c>
      <c r="N4627" s="76" t="b">
        <v>0</v>
      </c>
      <c r="O4627" s="76" t="b">
        <v>0</v>
      </c>
      <c r="P4627" s="76" t="b">
        <v>0</v>
      </c>
      <c r="Q4627" s="76" t="b">
        <v>0</v>
      </c>
      <c r="R4627" s="14"/>
      <c r="S4627" s="14"/>
      <c r="T4627" s="14"/>
      <c r="U4627" s="14"/>
      <c r="V4627" s="14"/>
      <c r="W4627" s="14"/>
    </row>
    <row r="4628" ht="31.5" customHeight="1">
      <c r="A4628" s="158"/>
      <c r="B4628" s="159"/>
      <c r="C4628" s="160"/>
      <c r="D4628" s="130"/>
      <c r="E4628" s="130"/>
      <c r="F4628" s="161"/>
      <c r="G4628" s="164"/>
      <c r="H4628" s="76" t="b">
        <v>1</v>
      </c>
      <c r="I4628" s="76" t="b">
        <v>0</v>
      </c>
      <c r="J4628" s="76" t="b">
        <v>0</v>
      </c>
      <c r="K4628" s="76" t="b">
        <v>0</v>
      </c>
      <c r="L4628" s="76" t="b">
        <v>0</v>
      </c>
      <c r="M4628" s="76" t="b">
        <v>0</v>
      </c>
      <c r="N4628" s="76" t="b">
        <v>0</v>
      </c>
      <c r="O4628" s="76" t="b">
        <v>0</v>
      </c>
      <c r="P4628" s="76" t="b">
        <v>0</v>
      </c>
      <c r="Q4628" s="76" t="b">
        <v>0</v>
      </c>
      <c r="R4628" s="14"/>
      <c r="S4628" s="14"/>
      <c r="T4628" s="14"/>
      <c r="U4628" s="14"/>
      <c r="V4628" s="14"/>
      <c r="W4628" s="14"/>
    </row>
    <row r="4629" ht="31.5" customHeight="1">
      <c r="A4629" s="158"/>
      <c r="B4629" s="159"/>
      <c r="C4629" s="160"/>
      <c r="D4629" s="130"/>
      <c r="E4629" s="130"/>
      <c r="F4629" s="161"/>
      <c r="G4629" s="164"/>
      <c r="H4629" s="76" t="b">
        <v>1</v>
      </c>
      <c r="I4629" s="76" t="b">
        <v>0</v>
      </c>
      <c r="J4629" s="76" t="b">
        <v>0</v>
      </c>
      <c r="K4629" s="76" t="b">
        <v>0</v>
      </c>
      <c r="L4629" s="76" t="b">
        <v>0</v>
      </c>
      <c r="M4629" s="76" t="b">
        <v>0</v>
      </c>
      <c r="N4629" s="76" t="b">
        <v>0</v>
      </c>
      <c r="O4629" s="76" t="b">
        <v>0</v>
      </c>
      <c r="P4629" s="76" t="b">
        <v>0</v>
      </c>
      <c r="Q4629" s="76" t="b">
        <v>0</v>
      </c>
      <c r="R4629" s="14"/>
      <c r="S4629" s="14"/>
      <c r="T4629" s="14"/>
      <c r="U4629" s="14"/>
      <c r="V4629" s="14"/>
      <c r="W4629" s="14"/>
    </row>
    <row r="4630" ht="31.5" customHeight="1">
      <c r="A4630" s="158"/>
      <c r="B4630" s="159"/>
      <c r="C4630" s="160"/>
      <c r="D4630" s="130"/>
      <c r="E4630" s="130"/>
      <c r="F4630" s="161"/>
      <c r="G4630" s="164"/>
      <c r="H4630" s="76" t="b">
        <v>1</v>
      </c>
      <c r="I4630" s="76" t="b">
        <v>0</v>
      </c>
      <c r="J4630" s="76" t="b">
        <v>0</v>
      </c>
      <c r="K4630" s="76" t="b">
        <v>0</v>
      </c>
      <c r="L4630" s="76" t="b">
        <v>0</v>
      </c>
      <c r="M4630" s="76" t="b">
        <v>0</v>
      </c>
      <c r="N4630" s="76" t="b">
        <v>0</v>
      </c>
      <c r="O4630" s="76" t="b">
        <v>0</v>
      </c>
      <c r="P4630" s="76" t="b">
        <v>0</v>
      </c>
      <c r="Q4630" s="76" t="b">
        <v>0</v>
      </c>
      <c r="R4630" s="14"/>
      <c r="S4630" s="14"/>
      <c r="T4630" s="14"/>
      <c r="U4630" s="14"/>
      <c r="V4630" s="14"/>
      <c r="W4630" s="14"/>
    </row>
    <row r="4631" ht="31.5" customHeight="1">
      <c r="A4631" s="158"/>
      <c r="B4631" s="159"/>
      <c r="C4631" s="160"/>
      <c r="D4631" s="130"/>
      <c r="E4631" s="130"/>
      <c r="F4631" s="161"/>
      <c r="G4631" s="164"/>
      <c r="H4631" s="76" t="b">
        <v>1</v>
      </c>
      <c r="I4631" s="76" t="b">
        <v>0</v>
      </c>
      <c r="J4631" s="76" t="b">
        <v>0</v>
      </c>
      <c r="K4631" s="76" t="b">
        <v>0</v>
      </c>
      <c r="L4631" s="76" t="b">
        <v>0</v>
      </c>
      <c r="M4631" s="76" t="b">
        <v>0</v>
      </c>
      <c r="N4631" s="76" t="b">
        <v>0</v>
      </c>
      <c r="O4631" s="76" t="b">
        <v>0</v>
      </c>
      <c r="P4631" s="76" t="b">
        <v>0</v>
      </c>
      <c r="Q4631" s="76" t="b">
        <v>0</v>
      </c>
      <c r="R4631" s="14"/>
      <c r="S4631" s="14"/>
      <c r="T4631" s="14"/>
      <c r="U4631" s="14"/>
      <c r="V4631" s="14"/>
      <c r="W4631" s="14"/>
    </row>
    <row r="4632" ht="31.5" customHeight="1">
      <c r="A4632" s="158"/>
      <c r="B4632" s="159"/>
      <c r="C4632" s="160"/>
      <c r="D4632" s="130"/>
      <c r="E4632" s="130"/>
      <c r="F4632" s="161"/>
      <c r="G4632" s="164"/>
      <c r="H4632" s="76" t="b">
        <v>1</v>
      </c>
      <c r="I4632" s="76" t="b">
        <v>0</v>
      </c>
      <c r="J4632" s="76" t="b">
        <v>0</v>
      </c>
      <c r="K4632" s="76" t="b">
        <v>0</v>
      </c>
      <c r="L4632" s="76" t="b">
        <v>0</v>
      </c>
      <c r="M4632" s="76" t="b">
        <v>0</v>
      </c>
      <c r="N4632" s="76" t="b">
        <v>0</v>
      </c>
      <c r="O4632" s="76" t="b">
        <v>0</v>
      </c>
      <c r="P4632" s="76" t="b">
        <v>0</v>
      </c>
      <c r="Q4632" s="76" t="b">
        <v>0</v>
      </c>
      <c r="R4632" s="14"/>
      <c r="S4632" s="14"/>
      <c r="T4632" s="14"/>
      <c r="U4632" s="14"/>
      <c r="V4632" s="14"/>
      <c r="W4632" s="14"/>
    </row>
    <row r="4633" ht="31.5" customHeight="1">
      <c r="A4633" s="158"/>
      <c r="B4633" s="159"/>
      <c r="C4633" s="160"/>
      <c r="D4633" s="130"/>
      <c r="E4633" s="130"/>
      <c r="F4633" s="161"/>
      <c r="G4633" s="164"/>
      <c r="H4633" s="76" t="b">
        <v>1</v>
      </c>
      <c r="I4633" s="76" t="b">
        <v>0</v>
      </c>
      <c r="J4633" s="76" t="b">
        <v>0</v>
      </c>
      <c r="K4633" s="76" t="b">
        <v>0</v>
      </c>
      <c r="L4633" s="76" t="b">
        <v>0</v>
      </c>
      <c r="M4633" s="76" t="b">
        <v>0</v>
      </c>
      <c r="N4633" s="76" t="b">
        <v>0</v>
      </c>
      <c r="O4633" s="76" t="b">
        <v>0</v>
      </c>
      <c r="P4633" s="76" t="b">
        <v>0</v>
      </c>
      <c r="Q4633" s="76" t="b">
        <v>0</v>
      </c>
      <c r="R4633" s="14"/>
      <c r="S4633" s="14"/>
      <c r="T4633" s="14"/>
      <c r="U4633" s="14"/>
      <c r="V4633" s="14"/>
      <c r="W4633" s="14"/>
    </row>
    <row r="4634" ht="31.5" customHeight="1">
      <c r="A4634" s="158"/>
      <c r="B4634" s="159"/>
      <c r="C4634" s="160"/>
      <c r="D4634" s="130"/>
      <c r="E4634" s="130"/>
      <c r="F4634" s="161"/>
      <c r="G4634" s="164"/>
      <c r="H4634" s="76" t="b">
        <v>1</v>
      </c>
      <c r="I4634" s="76" t="b">
        <v>0</v>
      </c>
      <c r="J4634" s="76" t="b">
        <v>0</v>
      </c>
      <c r="K4634" s="76" t="b">
        <v>0</v>
      </c>
      <c r="L4634" s="76" t="b">
        <v>0</v>
      </c>
      <c r="M4634" s="76" t="b">
        <v>0</v>
      </c>
      <c r="N4634" s="76" t="b">
        <v>0</v>
      </c>
      <c r="O4634" s="76" t="b">
        <v>0</v>
      </c>
      <c r="P4634" s="76" t="b">
        <v>0</v>
      </c>
      <c r="Q4634" s="76" t="b">
        <v>0</v>
      </c>
      <c r="R4634" s="14"/>
      <c r="S4634" s="14"/>
      <c r="T4634" s="14"/>
      <c r="U4634" s="14"/>
      <c r="V4634" s="14"/>
      <c r="W4634" s="14"/>
    </row>
    <row r="4635" ht="31.5" customHeight="1">
      <c r="A4635" s="158"/>
      <c r="B4635" s="159"/>
      <c r="C4635" s="160"/>
      <c r="D4635" s="130"/>
      <c r="E4635" s="130"/>
      <c r="F4635" s="161"/>
      <c r="G4635" s="164"/>
      <c r="H4635" s="76" t="b">
        <v>1</v>
      </c>
      <c r="I4635" s="76" t="b">
        <v>0</v>
      </c>
      <c r="J4635" s="76" t="b">
        <v>0</v>
      </c>
      <c r="K4635" s="76" t="b">
        <v>0</v>
      </c>
      <c r="L4635" s="76" t="b">
        <v>0</v>
      </c>
      <c r="M4635" s="76" t="b">
        <v>0</v>
      </c>
      <c r="N4635" s="76" t="b">
        <v>0</v>
      </c>
      <c r="O4635" s="76" t="b">
        <v>0</v>
      </c>
      <c r="P4635" s="76" t="b">
        <v>0</v>
      </c>
      <c r="Q4635" s="76" t="b">
        <v>0</v>
      </c>
      <c r="R4635" s="14"/>
      <c r="S4635" s="14"/>
      <c r="T4635" s="14"/>
      <c r="U4635" s="14"/>
      <c r="V4635" s="14"/>
      <c r="W4635" s="14"/>
    </row>
    <row r="4636" ht="31.5" customHeight="1">
      <c r="A4636" s="158"/>
      <c r="B4636" s="159"/>
      <c r="C4636" s="160"/>
      <c r="D4636" s="130"/>
      <c r="E4636" s="130"/>
      <c r="F4636" s="161"/>
      <c r="G4636" s="164"/>
      <c r="H4636" s="76" t="b">
        <v>1</v>
      </c>
      <c r="I4636" s="76" t="b">
        <v>0</v>
      </c>
      <c r="J4636" s="76" t="b">
        <v>0</v>
      </c>
      <c r="K4636" s="76" t="b">
        <v>0</v>
      </c>
      <c r="L4636" s="76" t="b">
        <v>0</v>
      </c>
      <c r="M4636" s="76" t="b">
        <v>0</v>
      </c>
      <c r="N4636" s="76" t="b">
        <v>0</v>
      </c>
      <c r="O4636" s="76" t="b">
        <v>0</v>
      </c>
      <c r="P4636" s="76" t="b">
        <v>0</v>
      </c>
      <c r="Q4636" s="76" t="b">
        <v>0</v>
      </c>
      <c r="R4636" s="14"/>
      <c r="S4636" s="14"/>
      <c r="T4636" s="14"/>
      <c r="U4636" s="14"/>
      <c r="V4636" s="14"/>
      <c r="W4636" s="14"/>
    </row>
    <row r="4637" ht="31.5" customHeight="1">
      <c r="A4637" s="158"/>
      <c r="B4637" s="159"/>
      <c r="C4637" s="160"/>
      <c r="D4637" s="130"/>
      <c r="E4637" s="130"/>
      <c r="F4637" s="161"/>
      <c r="G4637" s="164"/>
      <c r="H4637" s="76" t="b">
        <v>1</v>
      </c>
      <c r="I4637" s="76" t="b">
        <v>0</v>
      </c>
      <c r="J4637" s="76" t="b">
        <v>0</v>
      </c>
      <c r="K4637" s="76" t="b">
        <v>0</v>
      </c>
      <c r="L4637" s="76" t="b">
        <v>0</v>
      </c>
      <c r="M4637" s="76" t="b">
        <v>0</v>
      </c>
      <c r="N4637" s="76" t="b">
        <v>0</v>
      </c>
      <c r="O4637" s="76" t="b">
        <v>0</v>
      </c>
      <c r="P4637" s="76" t="b">
        <v>0</v>
      </c>
      <c r="Q4637" s="76" t="b">
        <v>0</v>
      </c>
      <c r="R4637" s="14"/>
      <c r="S4637" s="14"/>
      <c r="T4637" s="14"/>
      <c r="U4637" s="14"/>
      <c r="V4637" s="14"/>
      <c r="W4637" s="14"/>
    </row>
    <row r="4638" ht="31.5" customHeight="1">
      <c r="A4638" s="158"/>
      <c r="B4638" s="159"/>
      <c r="C4638" s="160"/>
      <c r="D4638" s="130"/>
      <c r="E4638" s="130"/>
      <c r="F4638" s="161"/>
      <c r="G4638" s="164"/>
      <c r="H4638" s="76" t="b">
        <v>1</v>
      </c>
      <c r="I4638" s="76" t="b">
        <v>0</v>
      </c>
      <c r="J4638" s="76" t="b">
        <v>0</v>
      </c>
      <c r="K4638" s="76" t="b">
        <v>0</v>
      </c>
      <c r="L4638" s="76" t="b">
        <v>0</v>
      </c>
      <c r="M4638" s="76" t="b">
        <v>0</v>
      </c>
      <c r="N4638" s="76" t="b">
        <v>0</v>
      </c>
      <c r="O4638" s="76" t="b">
        <v>0</v>
      </c>
      <c r="P4638" s="76" t="b">
        <v>0</v>
      </c>
      <c r="Q4638" s="76" t="b">
        <v>0</v>
      </c>
      <c r="R4638" s="14"/>
      <c r="S4638" s="14"/>
      <c r="T4638" s="14"/>
      <c r="U4638" s="14"/>
      <c r="V4638" s="14"/>
      <c r="W4638" s="14"/>
    </row>
    <row r="4639" ht="31.5" customHeight="1">
      <c r="A4639" s="158"/>
      <c r="B4639" s="159"/>
      <c r="C4639" s="160"/>
      <c r="D4639" s="130"/>
      <c r="E4639" s="130"/>
      <c r="F4639" s="161"/>
      <c r="G4639" s="164"/>
      <c r="H4639" s="76" t="b">
        <v>1</v>
      </c>
      <c r="I4639" s="76" t="b">
        <v>0</v>
      </c>
      <c r="J4639" s="76" t="b">
        <v>0</v>
      </c>
      <c r="K4639" s="76" t="b">
        <v>0</v>
      </c>
      <c r="L4639" s="76" t="b">
        <v>0</v>
      </c>
      <c r="M4639" s="76" t="b">
        <v>0</v>
      </c>
      <c r="N4639" s="76" t="b">
        <v>0</v>
      </c>
      <c r="O4639" s="76" t="b">
        <v>0</v>
      </c>
      <c r="P4639" s="76" t="b">
        <v>0</v>
      </c>
      <c r="Q4639" s="76" t="b">
        <v>0</v>
      </c>
      <c r="R4639" s="14"/>
      <c r="S4639" s="14"/>
      <c r="T4639" s="14"/>
      <c r="U4639" s="14"/>
      <c r="V4639" s="14"/>
      <c r="W4639" s="14"/>
    </row>
    <row r="4640" ht="31.5" customHeight="1">
      <c r="A4640" s="158"/>
      <c r="B4640" s="159"/>
      <c r="C4640" s="160"/>
      <c r="D4640" s="130"/>
      <c r="E4640" s="130"/>
      <c r="F4640" s="161"/>
      <c r="G4640" s="164"/>
      <c r="H4640" s="76" t="b">
        <v>1</v>
      </c>
      <c r="I4640" s="76" t="b">
        <v>0</v>
      </c>
      <c r="J4640" s="76" t="b">
        <v>0</v>
      </c>
      <c r="K4640" s="76" t="b">
        <v>0</v>
      </c>
      <c r="L4640" s="76" t="b">
        <v>0</v>
      </c>
      <c r="M4640" s="76" t="b">
        <v>0</v>
      </c>
      <c r="N4640" s="76" t="b">
        <v>0</v>
      </c>
      <c r="O4640" s="76" t="b">
        <v>0</v>
      </c>
      <c r="P4640" s="76" t="b">
        <v>0</v>
      </c>
      <c r="Q4640" s="76" t="b">
        <v>0</v>
      </c>
      <c r="R4640" s="14"/>
      <c r="S4640" s="14"/>
      <c r="T4640" s="14"/>
      <c r="U4640" s="14"/>
      <c r="V4640" s="14"/>
      <c r="W4640" s="14"/>
    </row>
    <row r="4641" ht="31.5" customHeight="1">
      <c r="A4641" s="158"/>
      <c r="B4641" s="159"/>
      <c r="C4641" s="160"/>
      <c r="D4641" s="130"/>
      <c r="E4641" s="130"/>
      <c r="F4641" s="161"/>
      <c r="G4641" s="164"/>
      <c r="H4641" s="76" t="b">
        <v>1</v>
      </c>
      <c r="I4641" s="76" t="b">
        <v>0</v>
      </c>
      <c r="J4641" s="76" t="b">
        <v>0</v>
      </c>
      <c r="K4641" s="76" t="b">
        <v>0</v>
      </c>
      <c r="L4641" s="76" t="b">
        <v>0</v>
      </c>
      <c r="M4641" s="76" t="b">
        <v>0</v>
      </c>
      <c r="N4641" s="76" t="b">
        <v>0</v>
      </c>
      <c r="O4641" s="76" t="b">
        <v>0</v>
      </c>
      <c r="P4641" s="76" t="b">
        <v>0</v>
      </c>
      <c r="Q4641" s="76" t="b">
        <v>0</v>
      </c>
      <c r="R4641" s="14"/>
      <c r="S4641" s="14"/>
      <c r="T4641" s="14"/>
      <c r="U4641" s="14"/>
      <c r="V4641" s="14"/>
      <c r="W4641" s="14"/>
    </row>
    <row r="4642" ht="31.5" customHeight="1">
      <c r="A4642" s="158"/>
      <c r="B4642" s="159"/>
      <c r="C4642" s="160"/>
      <c r="D4642" s="130"/>
      <c r="E4642" s="130"/>
      <c r="F4642" s="161"/>
      <c r="G4642" s="164"/>
      <c r="H4642" s="76" t="b">
        <v>1</v>
      </c>
      <c r="I4642" s="76" t="b">
        <v>0</v>
      </c>
      <c r="J4642" s="76" t="b">
        <v>0</v>
      </c>
      <c r="K4642" s="76" t="b">
        <v>0</v>
      </c>
      <c r="L4642" s="76" t="b">
        <v>0</v>
      </c>
      <c r="M4642" s="76" t="b">
        <v>0</v>
      </c>
      <c r="N4642" s="76" t="b">
        <v>0</v>
      </c>
      <c r="O4642" s="76" t="b">
        <v>0</v>
      </c>
      <c r="P4642" s="76" t="b">
        <v>0</v>
      </c>
      <c r="Q4642" s="76" t="b">
        <v>0</v>
      </c>
      <c r="R4642" s="14"/>
      <c r="S4642" s="14"/>
      <c r="T4642" s="14"/>
      <c r="U4642" s="14"/>
      <c r="V4642" s="14"/>
      <c r="W4642" s="14"/>
    </row>
    <row r="4643" ht="31.5" customHeight="1">
      <c r="A4643" s="158"/>
      <c r="B4643" s="159"/>
      <c r="C4643" s="160"/>
      <c r="D4643" s="130"/>
      <c r="E4643" s="130"/>
      <c r="F4643" s="161"/>
      <c r="G4643" s="164"/>
      <c r="H4643" s="76" t="b">
        <v>1</v>
      </c>
      <c r="I4643" s="76" t="b">
        <v>0</v>
      </c>
      <c r="J4643" s="76" t="b">
        <v>0</v>
      </c>
      <c r="K4643" s="76" t="b">
        <v>0</v>
      </c>
      <c r="L4643" s="76" t="b">
        <v>0</v>
      </c>
      <c r="M4643" s="76" t="b">
        <v>0</v>
      </c>
      <c r="N4643" s="76" t="b">
        <v>0</v>
      </c>
      <c r="O4643" s="76" t="b">
        <v>0</v>
      </c>
      <c r="P4643" s="76" t="b">
        <v>0</v>
      </c>
      <c r="Q4643" s="76" t="b">
        <v>0</v>
      </c>
      <c r="R4643" s="14"/>
      <c r="S4643" s="14"/>
      <c r="T4643" s="14"/>
      <c r="U4643" s="14"/>
      <c r="V4643" s="14"/>
      <c r="W4643" s="14"/>
    </row>
    <row r="4644" ht="31.5" customHeight="1">
      <c r="A4644" s="158"/>
      <c r="B4644" s="159"/>
      <c r="C4644" s="160"/>
      <c r="D4644" s="130"/>
      <c r="E4644" s="130"/>
      <c r="F4644" s="161"/>
      <c r="G4644" s="164"/>
      <c r="H4644" s="76" t="b">
        <v>1</v>
      </c>
      <c r="I4644" s="76" t="b">
        <v>0</v>
      </c>
      <c r="J4644" s="76" t="b">
        <v>0</v>
      </c>
      <c r="K4644" s="76" t="b">
        <v>0</v>
      </c>
      <c r="L4644" s="76" t="b">
        <v>0</v>
      </c>
      <c r="M4644" s="76" t="b">
        <v>0</v>
      </c>
      <c r="N4644" s="76" t="b">
        <v>0</v>
      </c>
      <c r="O4644" s="76" t="b">
        <v>0</v>
      </c>
      <c r="P4644" s="76" t="b">
        <v>0</v>
      </c>
      <c r="Q4644" s="76" t="b">
        <v>0</v>
      </c>
      <c r="R4644" s="14"/>
      <c r="S4644" s="14"/>
      <c r="T4644" s="14"/>
      <c r="U4644" s="14"/>
      <c r="V4644" s="14"/>
      <c r="W4644" s="14"/>
    </row>
    <row r="4645" ht="31.5" customHeight="1">
      <c r="A4645" s="158"/>
      <c r="B4645" s="159"/>
      <c r="C4645" s="160"/>
      <c r="D4645" s="130"/>
      <c r="E4645" s="130"/>
      <c r="F4645" s="161"/>
      <c r="G4645" s="164"/>
      <c r="H4645" s="76" t="b">
        <v>1</v>
      </c>
      <c r="I4645" s="76" t="b">
        <v>0</v>
      </c>
      <c r="J4645" s="76" t="b">
        <v>0</v>
      </c>
      <c r="K4645" s="76" t="b">
        <v>0</v>
      </c>
      <c r="L4645" s="76" t="b">
        <v>0</v>
      </c>
      <c r="M4645" s="76" t="b">
        <v>0</v>
      </c>
      <c r="N4645" s="76" t="b">
        <v>0</v>
      </c>
      <c r="O4645" s="76" t="b">
        <v>0</v>
      </c>
      <c r="P4645" s="76" t="b">
        <v>0</v>
      </c>
      <c r="Q4645" s="76" t="b">
        <v>0</v>
      </c>
      <c r="R4645" s="14"/>
      <c r="S4645" s="14"/>
      <c r="T4645" s="14"/>
      <c r="U4645" s="14"/>
      <c r="V4645" s="14"/>
      <c r="W4645" s="14"/>
    </row>
    <row r="4646" ht="31.5" customHeight="1">
      <c r="A4646" s="158"/>
      <c r="B4646" s="159"/>
      <c r="C4646" s="160"/>
      <c r="D4646" s="130"/>
      <c r="E4646" s="130"/>
      <c r="F4646" s="161"/>
      <c r="G4646" s="164"/>
      <c r="H4646" s="76" t="b">
        <v>1</v>
      </c>
      <c r="I4646" s="76" t="b">
        <v>0</v>
      </c>
      <c r="J4646" s="76" t="b">
        <v>0</v>
      </c>
      <c r="K4646" s="76" t="b">
        <v>0</v>
      </c>
      <c r="L4646" s="76" t="b">
        <v>0</v>
      </c>
      <c r="M4646" s="76" t="b">
        <v>0</v>
      </c>
      <c r="N4646" s="76" t="b">
        <v>0</v>
      </c>
      <c r="O4646" s="76" t="b">
        <v>0</v>
      </c>
      <c r="P4646" s="76" t="b">
        <v>0</v>
      </c>
      <c r="Q4646" s="76" t="b">
        <v>0</v>
      </c>
      <c r="R4646" s="14"/>
      <c r="S4646" s="14"/>
      <c r="T4646" s="14"/>
      <c r="U4646" s="14"/>
      <c r="V4646" s="14"/>
      <c r="W4646" s="14"/>
    </row>
    <row r="4647" ht="31.5" customHeight="1">
      <c r="A4647" s="158"/>
      <c r="B4647" s="159"/>
      <c r="C4647" s="160"/>
      <c r="D4647" s="130"/>
      <c r="E4647" s="130"/>
      <c r="F4647" s="161"/>
      <c r="G4647" s="164"/>
      <c r="H4647" s="76" t="b">
        <v>1</v>
      </c>
      <c r="I4647" s="76" t="b">
        <v>0</v>
      </c>
      <c r="J4647" s="76" t="b">
        <v>0</v>
      </c>
      <c r="K4647" s="76" t="b">
        <v>0</v>
      </c>
      <c r="L4647" s="76" t="b">
        <v>0</v>
      </c>
      <c r="M4647" s="76" t="b">
        <v>0</v>
      </c>
      <c r="N4647" s="76" t="b">
        <v>0</v>
      </c>
      <c r="O4647" s="76" t="b">
        <v>0</v>
      </c>
      <c r="P4647" s="76" t="b">
        <v>0</v>
      </c>
      <c r="Q4647" s="76" t="b">
        <v>0</v>
      </c>
      <c r="R4647" s="14"/>
      <c r="S4647" s="14"/>
      <c r="T4647" s="14"/>
      <c r="U4647" s="14"/>
      <c r="V4647" s="14"/>
      <c r="W4647" s="14"/>
    </row>
    <row r="4648" ht="31.5" customHeight="1">
      <c r="A4648" s="158"/>
      <c r="B4648" s="159"/>
      <c r="C4648" s="160"/>
      <c r="D4648" s="130"/>
      <c r="E4648" s="130"/>
      <c r="F4648" s="161"/>
      <c r="G4648" s="164"/>
      <c r="H4648" s="76" t="b">
        <v>1</v>
      </c>
      <c r="I4648" s="76" t="b">
        <v>0</v>
      </c>
      <c r="J4648" s="76" t="b">
        <v>0</v>
      </c>
      <c r="K4648" s="76" t="b">
        <v>0</v>
      </c>
      <c r="L4648" s="76" t="b">
        <v>0</v>
      </c>
      <c r="M4648" s="76" t="b">
        <v>0</v>
      </c>
      <c r="N4648" s="76" t="b">
        <v>0</v>
      </c>
      <c r="O4648" s="76" t="b">
        <v>0</v>
      </c>
      <c r="P4648" s="76" t="b">
        <v>0</v>
      </c>
      <c r="Q4648" s="76" t="b">
        <v>0</v>
      </c>
      <c r="R4648" s="14"/>
      <c r="S4648" s="14"/>
      <c r="T4648" s="14"/>
      <c r="U4648" s="14"/>
      <c r="V4648" s="14"/>
      <c r="W4648" s="14"/>
    </row>
    <row r="4649" ht="31.5" customHeight="1">
      <c r="A4649" s="158"/>
      <c r="B4649" s="159"/>
      <c r="C4649" s="160"/>
      <c r="D4649" s="130"/>
      <c r="E4649" s="130"/>
      <c r="F4649" s="161"/>
      <c r="G4649" s="164"/>
      <c r="H4649" s="76" t="b">
        <v>1</v>
      </c>
      <c r="I4649" s="76" t="b">
        <v>0</v>
      </c>
      <c r="J4649" s="76" t="b">
        <v>0</v>
      </c>
      <c r="K4649" s="76" t="b">
        <v>0</v>
      </c>
      <c r="L4649" s="76" t="b">
        <v>0</v>
      </c>
      <c r="M4649" s="76" t="b">
        <v>0</v>
      </c>
      <c r="N4649" s="76" t="b">
        <v>0</v>
      </c>
      <c r="O4649" s="76" t="b">
        <v>0</v>
      </c>
      <c r="P4649" s="76" t="b">
        <v>0</v>
      </c>
      <c r="Q4649" s="76" t="b">
        <v>0</v>
      </c>
      <c r="R4649" s="14"/>
      <c r="S4649" s="14"/>
      <c r="T4649" s="14"/>
      <c r="U4649" s="14"/>
      <c r="V4649" s="14"/>
      <c r="W4649" s="14"/>
    </row>
    <row r="4650" ht="31.5" customHeight="1">
      <c r="A4650" s="158"/>
      <c r="B4650" s="159"/>
      <c r="C4650" s="160"/>
      <c r="D4650" s="130"/>
      <c r="E4650" s="130"/>
      <c r="F4650" s="161"/>
      <c r="G4650" s="164"/>
      <c r="H4650" s="76" t="b">
        <v>1</v>
      </c>
      <c r="I4650" s="76" t="b">
        <v>0</v>
      </c>
      <c r="J4650" s="76" t="b">
        <v>0</v>
      </c>
      <c r="K4650" s="76" t="b">
        <v>0</v>
      </c>
      <c r="L4650" s="76" t="b">
        <v>0</v>
      </c>
      <c r="M4650" s="76" t="b">
        <v>0</v>
      </c>
      <c r="N4650" s="76" t="b">
        <v>0</v>
      </c>
      <c r="O4650" s="76" t="b">
        <v>0</v>
      </c>
      <c r="P4650" s="76" t="b">
        <v>0</v>
      </c>
      <c r="Q4650" s="76" t="b">
        <v>0</v>
      </c>
      <c r="R4650" s="14"/>
      <c r="S4650" s="14"/>
      <c r="T4650" s="14"/>
      <c r="U4650" s="14"/>
      <c r="V4650" s="14"/>
      <c r="W4650" s="14"/>
    </row>
    <row r="4651" ht="31.5" customHeight="1">
      <c r="A4651" s="158"/>
      <c r="B4651" s="159"/>
      <c r="C4651" s="160"/>
      <c r="D4651" s="130"/>
      <c r="E4651" s="130"/>
      <c r="F4651" s="161"/>
      <c r="G4651" s="164"/>
      <c r="H4651" s="76" t="b">
        <v>1</v>
      </c>
      <c r="I4651" s="76" t="b">
        <v>0</v>
      </c>
      <c r="J4651" s="76" t="b">
        <v>0</v>
      </c>
      <c r="K4651" s="76" t="b">
        <v>0</v>
      </c>
      <c r="L4651" s="76" t="b">
        <v>0</v>
      </c>
      <c r="M4651" s="76" t="b">
        <v>0</v>
      </c>
      <c r="N4651" s="76" t="b">
        <v>0</v>
      </c>
      <c r="O4651" s="76" t="b">
        <v>0</v>
      </c>
      <c r="P4651" s="76" t="b">
        <v>0</v>
      </c>
      <c r="Q4651" s="76" t="b">
        <v>0</v>
      </c>
      <c r="R4651" s="14"/>
      <c r="S4651" s="14"/>
      <c r="T4651" s="14"/>
      <c r="U4651" s="14"/>
      <c r="V4651" s="14"/>
      <c r="W4651" s="14"/>
    </row>
    <row r="4652" ht="31.5" customHeight="1">
      <c r="A4652" s="158"/>
      <c r="B4652" s="159"/>
      <c r="C4652" s="160"/>
      <c r="D4652" s="130"/>
      <c r="E4652" s="130"/>
      <c r="F4652" s="161"/>
      <c r="G4652" s="164"/>
      <c r="H4652" s="76" t="b">
        <v>1</v>
      </c>
      <c r="I4652" s="76" t="b">
        <v>0</v>
      </c>
      <c r="J4652" s="76" t="b">
        <v>0</v>
      </c>
      <c r="K4652" s="76" t="b">
        <v>0</v>
      </c>
      <c r="L4652" s="76" t="b">
        <v>0</v>
      </c>
      <c r="M4652" s="76" t="b">
        <v>0</v>
      </c>
      <c r="N4652" s="76" t="b">
        <v>0</v>
      </c>
      <c r="O4652" s="76" t="b">
        <v>0</v>
      </c>
      <c r="P4652" s="76" t="b">
        <v>0</v>
      </c>
      <c r="Q4652" s="76" t="b">
        <v>0</v>
      </c>
      <c r="R4652" s="14"/>
      <c r="S4652" s="14"/>
      <c r="T4652" s="14"/>
      <c r="U4652" s="14"/>
      <c r="V4652" s="14"/>
      <c r="W4652" s="14"/>
    </row>
    <row r="4653" ht="31.5" customHeight="1">
      <c r="A4653" s="158"/>
      <c r="B4653" s="159"/>
      <c r="C4653" s="160"/>
      <c r="D4653" s="130"/>
      <c r="E4653" s="130"/>
      <c r="F4653" s="161"/>
      <c r="G4653" s="164"/>
      <c r="H4653" s="76" t="b">
        <v>1</v>
      </c>
      <c r="I4653" s="76" t="b">
        <v>0</v>
      </c>
      <c r="J4653" s="76" t="b">
        <v>0</v>
      </c>
      <c r="K4653" s="76" t="b">
        <v>0</v>
      </c>
      <c r="L4653" s="76" t="b">
        <v>0</v>
      </c>
      <c r="M4653" s="76" t="b">
        <v>0</v>
      </c>
      <c r="N4653" s="76" t="b">
        <v>0</v>
      </c>
      <c r="O4653" s="76" t="b">
        <v>0</v>
      </c>
      <c r="P4653" s="76" t="b">
        <v>0</v>
      </c>
      <c r="Q4653" s="76" t="b">
        <v>0</v>
      </c>
      <c r="R4653" s="14"/>
      <c r="S4653" s="14"/>
      <c r="T4653" s="14"/>
      <c r="U4653" s="14"/>
      <c r="V4653" s="14"/>
      <c r="W4653" s="14"/>
    </row>
    <row r="4654" ht="31.5" customHeight="1">
      <c r="A4654" s="158"/>
      <c r="B4654" s="159"/>
      <c r="C4654" s="160"/>
      <c r="D4654" s="130"/>
      <c r="E4654" s="130"/>
      <c r="F4654" s="161"/>
      <c r="G4654" s="164"/>
      <c r="H4654" s="76" t="b">
        <v>1</v>
      </c>
      <c r="I4654" s="76" t="b">
        <v>0</v>
      </c>
      <c r="J4654" s="76" t="b">
        <v>0</v>
      </c>
      <c r="K4654" s="76" t="b">
        <v>0</v>
      </c>
      <c r="L4654" s="76" t="b">
        <v>0</v>
      </c>
      <c r="M4654" s="76" t="b">
        <v>0</v>
      </c>
      <c r="N4654" s="76" t="b">
        <v>0</v>
      </c>
      <c r="O4654" s="76" t="b">
        <v>0</v>
      </c>
      <c r="P4654" s="76" t="b">
        <v>0</v>
      </c>
      <c r="Q4654" s="76" t="b">
        <v>0</v>
      </c>
      <c r="R4654" s="14"/>
      <c r="S4654" s="14"/>
      <c r="T4654" s="14"/>
      <c r="U4654" s="14"/>
      <c r="V4654" s="14"/>
      <c r="W4654" s="14"/>
    </row>
    <row r="4655" ht="31.5" customHeight="1">
      <c r="A4655" s="158"/>
      <c r="B4655" s="159"/>
      <c r="C4655" s="160"/>
      <c r="D4655" s="130"/>
      <c r="E4655" s="130"/>
      <c r="F4655" s="161"/>
      <c r="G4655" s="164"/>
      <c r="H4655" s="76" t="b">
        <v>1</v>
      </c>
      <c r="I4655" s="76" t="b">
        <v>0</v>
      </c>
      <c r="J4655" s="76" t="b">
        <v>0</v>
      </c>
      <c r="K4655" s="76" t="b">
        <v>0</v>
      </c>
      <c r="L4655" s="76" t="b">
        <v>0</v>
      </c>
      <c r="M4655" s="76" t="b">
        <v>0</v>
      </c>
      <c r="N4655" s="76" t="b">
        <v>0</v>
      </c>
      <c r="O4655" s="76" t="b">
        <v>0</v>
      </c>
      <c r="P4655" s="76" t="b">
        <v>0</v>
      </c>
      <c r="Q4655" s="76" t="b">
        <v>0</v>
      </c>
      <c r="R4655" s="14"/>
      <c r="S4655" s="14"/>
      <c r="T4655" s="14"/>
      <c r="U4655" s="14"/>
      <c r="V4655" s="14"/>
      <c r="W4655" s="14"/>
    </row>
    <row r="4656" ht="31.5" customHeight="1">
      <c r="A4656" s="158"/>
      <c r="B4656" s="159"/>
      <c r="C4656" s="160"/>
      <c r="D4656" s="130"/>
      <c r="E4656" s="130"/>
      <c r="F4656" s="161"/>
      <c r="G4656" s="164"/>
      <c r="H4656" s="76" t="b">
        <v>1</v>
      </c>
      <c r="I4656" s="76" t="b">
        <v>0</v>
      </c>
      <c r="J4656" s="76" t="b">
        <v>0</v>
      </c>
      <c r="K4656" s="76" t="b">
        <v>0</v>
      </c>
      <c r="L4656" s="76" t="b">
        <v>0</v>
      </c>
      <c r="M4656" s="76" t="b">
        <v>0</v>
      </c>
      <c r="N4656" s="76" t="b">
        <v>0</v>
      </c>
      <c r="O4656" s="76" t="b">
        <v>0</v>
      </c>
      <c r="P4656" s="76" t="b">
        <v>0</v>
      </c>
      <c r="Q4656" s="76" t="b">
        <v>0</v>
      </c>
      <c r="R4656" s="14"/>
      <c r="S4656" s="14"/>
      <c r="T4656" s="14"/>
      <c r="U4656" s="14"/>
      <c r="V4656" s="14"/>
      <c r="W4656" s="14"/>
    </row>
    <row r="4657" ht="31.5" customHeight="1">
      <c r="A4657" s="158"/>
      <c r="B4657" s="159"/>
      <c r="C4657" s="160"/>
      <c r="D4657" s="130"/>
      <c r="E4657" s="130"/>
      <c r="F4657" s="161"/>
      <c r="G4657" s="164"/>
      <c r="H4657" s="76" t="b">
        <v>0</v>
      </c>
      <c r="I4657" s="76" t="b">
        <v>0</v>
      </c>
      <c r="J4657" s="76" t="b">
        <v>0</v>
      </c>
      <c r="K4657" s="76" t="b">
        <v>0</v>
      </c>
      <c r="L4657" s="76" t="b">
        <v>0</v>
      </c>
      <c r="M4657" s="76" t="b">
        <v>0</v>
      </c>
      <c r="N4657" s="76" t="b">
        <v>0</v>
      </c>
      <c r="O4657" s="76" t="b">
        <v>0</v>
      </c>
      <c r="P4657" s="76" t="b">
        <v>0</v>
      </c>
      <c r="Q4657" s="76" t="b">
        <v>0</v>
      </c>
      <c r="R4657" s="14"/>
      <c r="S4657" s="14"/>
      <c r="T4657" s="14"/>
      <c r="U4657" s="14"/>
      <c r="V4657" s="14"/>
      <c r="W4657" s="14"/>
    </row>
    <row r="4658" ht="31.5" customHeight="1">
      <c r="A4658" s="158"/>
      <c r="B4658" s="159"/>
      <c r="C4658" s="160"/>
      <c r="D4658" s="130"/>
      <c r="E4658" s="130"/>
      <c r="F4658" s="161"/>
      <c r="G4658" s="164"/>
      <c r="H4658" s="76" t="b">
        <v>0</v>
      </c>
      <c r="I4658" s="76" t="b">
        <v>0</v>
      </c>
      <c r="J4658" s="76" t="b">
        <v>0</v>
      </c>
      <c r="K4658" s="76" t="b">
        <v>0</v>
      </c>
      <c r="L4658" s="76" t="b">
        <v>0</v>
      </c>
      <c r="M4658" s="76" t="b">
        <v>0</v>
      </c>
      <c r="N4658" s="76" t="b">
        <v>0</v>
      </c>
      <c r="O4658" s="76" t="b">
        <v>0</v>
      </c>
      <c r="P4658" s="76" t="b">
        <v>0</v>
      </c>
      <c r="Q4658" s="76" t="b">
        <v>0</v>
      </c>
      <c r="R4658" s="14"/>
      <c r="S4658" s="14"/>
      <c r="T4658" s="14"/>
      <c r="U4658" s="14"/>
      <c r="V4658" s="14"/>
      <c r="W4658" s="14"/>
    </row>
    <row r="4659" ht="31.5" customHeight="1">
      <c r="A4659" s="158"/>
      <c r="B4659" s="159"/>
      <c r="C4659" s="160"/>
      <c r="D4659" s="130"/>
      <c r="E4659" s="130"/>
      <c r="F4659" s="161"/>
      <c r="G4659" s="164"/>
      <c r="H4659" s="76" t="b">
        <v>0</v>
      </c>
      <c r="I4659" s="76" t="b">
        <v>0</v>
      </c>
      <c r="J4659" s="76" t="b">
        <v>0</v>
      </c>
      <c r="K4659" s="76" t="b">
        <v>0</v>
      </c>
      <c r="L4659" s="76" t="b">
        <v>0</v>
      </c>
      <c r="M4659" s="76" t="b">
        <v>0</v>
      </c>
      <c r="N4659" s="76" t="b">
        <v>0</v>
      </c>
      <c r="O4659" s="76" t="b">
        <v>0</v>
      </c>
      <c r="P4659" s="76" t="b">
        <v>0</v>
      </c>
      <c r="Q4659" s="76" t="b">
        <v>0</v>
      </c>
      <c r="R4659" s="14"/>
      <c r="S4659" s="14"/>
      <c r="T4659" s="14"/>
      <c r="U4659" s="14"/>
      <c r="V4659" s="14"/>
      <c r="W4659" s="14"/>
    </row>
    <row r="4660" ht="31.5" customHeight="1">
      <c r="A4660" s="158"/>
      <c r="B4660" s="159"/>
      <c r="C4660" s="160"/>
      <c r="D4660" s="130"/>
      <c r="E4660" s="130"/>
      <c r="F4660" s="161"/>
      <c r="G4660" s="164"/>
      <c r="H4660" s="76" t="b">
        <v>0</v>
      </c>
      <c r="I4660" s="76" t="b">
        <v>0</v>
      </c>
      <c r="J4660" s="76" t="b">
        <v>0</v>
      </c>
      <c r="K4660" s="76" t="b">
        <v>0</v>
      </c>
      <c r="L4660" s="76" t="b">
        <v>0</v>
      </c>
      <c r="M4660" s="76" t="b">
        <v>0</v>
      </c>
      <c r="N4660" s="76" t="b">
        <v>0</v>
      </c>
      <c r="O4660" s="76" t="b">
        <v>0</v>
      </c>
      <c r="P4660" s="76" t="b">
        <v>0</v>
      </c>
      <c r="Q4660" s="76" t="b">
        <v>0</v>
      </c>
      <c r="R4660" s="14"/>
      <c r="S4660" s="14"/>
      <c r="T4660" s="14"/>
      <c r="U4660" s="14"/>
      <c r="V4660" s="14"/>
      <c r="W4660" s="14"/>
    </row>
    <row r="4661" ht="31.5" customHeight="1">
      <c r="A4661" s="158"/>
      <c r="B4661" s="159"/>
      <c r="C4661" s="160"/>
      <c r="D4661" s="130"/>
      <c r="E4661" s="130"/>
      <c r="F4661" s="161"/>
      <c r="G4661" s="164"/>
      <c r="H4661" s="76" t="b">
        <v>0</v>
      </c>
      <c r="I4661" s="76" t="b">
        <v>0</v>
      </c>
      <c r="J4661" s="76" t="b">
        <v>0</v>
      </c>
      <c r="K4661" s="76" t="b">
        <v>0</v>
      </c>
      <c r="L4661" s="76" t="b">
        <v>0</v>
      </c>
      <c r="M4661" s="76" t="b">
        <v>0</v>
      </c>
      <c r="N4661" s="76" t="b">
        <v>0</v>
      </c>
      <c r="O4661" s="76" t="b">
        <v>0</v>
      </c>
      <c r="P4661" s="76" t="b">
        <v>0</v>
      </c>
      <c r="Q4661" s="76" t="b">
        <v>0</v>
      </c>
      <c r="R4661" s="14"/>
      <c r="S4661" s="14"/>
      <c r="T4661" s="14"/>
      <c r="U4661" s="14"/>
      <c r="V4661" s="14"/>
      <c r="W4661" s="14"/>
    </row>
    <row r="4662" ht="31.5" customHeight="1">
      <c r="A4662" s="158"/>
      <c r="B4662" s="159"/>
      <c r="C4662" s="160"/>
      <c r="D4662" s="130"/>
      <c r="E4662" s="130"/>
      <c r="F4662" s="161"/>
      <c r="G4662" s="164"/>
      <c r="H4662" s="76" t="b">
        <v>0</v>
      </c>
      <c r="I4662" s="76" t="b">
        <v>0</v>
      </c>
      <c r="J4662" s="76" t="b">
        <v>0</v>
      </c>
      <c r="K4662" s="76" t="b">
        <v>0</v>
      </c>
      <c r="L4662" s="76" t="b">
        <v>0</v>
      </c>
      <c r="M4662" s="76" t="b">
        <v>0</v>
      </c>
      <c r="N4662" s="76" t="b">
        <v>0</v>
      </c>
      <c r="O4662" s="76" t="b">
        <v>0</v>
      </c>
      <c r="P4662" s="76" t="b">
        <v>0</v>
      </c>
      <c r="Q4662" s="76" t="b">
        <v>0</v>
      </c>
      <c r="R4662" s="14"/>
      <c r="S4662" s="14"/>
      <c r="T4662" s="14"/>
      <c r="U4662" s="14"/>
      <c r="V4662" s="14"/>
      <c r="W4662" s="14"/>
    </row>
    <row r="4663" ht="31.5" customHeight="1">
      <c r="A4663" s="158"/>
      <c r="B4663" s="159"/>
      <c r="C4663" s="160"/>
      <c r="D4663" s="130"/>
      <c r="E4663" s="130"/>
      <c r="F4663" s="161"/>
      <c r="G4663" s="164"/>
      <c r="H4663" s="76" t="b">
        <v>0</v>
      </c>
      <c r="I4663" s="76" t="b">
        <v>0</v>
      </c>
      <c r="J4663" s="76" t="b">
        <v>0</v>
      </c>
      <c r="K4663" s="76" t="b">
        <v>0</v>
      </c>
      <c r="L4663" s="76" t="b">
        <v>0</v>
      </c>
      <c r="M4663" s="76" t="b">
        <v>0</v>
      </c>
      <c r="N4663" s="76" t="b">
        <v>0</v>
      </c>
      <c r="O4663" s="76" t="b">
        <v>0</v>
      </c>
      <c r="P4663" s="76" t="b">
        <v>0</v>
      </c>
      <c r="Q4663" s="76" t="b">
        <v>0</v>
      </c>
      <c r="R4663" s="14"/>
      <c r="S4663" s="14"/>
      <c r="T4663" s="14"/>
      <c r="U4663" s="14"/>
      <c r="V4663" s="14"/>
      <c r="W4663" s="14"/>
    </row>
    <row r="4664" ht="31.5" customHeight="1">
      <c r="A4664" s="158"/>
      <c r="B4664" s="159"/>
      <c r="C4664" s="160"/>
      <c r="D4664" s="130"/>
      <c r="E4664" s="130"/>
      <c r="F4664" s="161"/>
      <c r="G4664" s="164"/>
      <c r="H4664" s="76" t="b">
        <v>0</v>
      </c>
      <c r="I4664" s="76" t="b">
        <v>0</v>
      </c>
      <c r="J4664" s="76" t="b">
        <v>0</v>
      </c>
      <c r="K4664" s="76" t="b">
        <v>0</v>
      </c>
      <c r="L4664" s="76" t="b">
        <v>0</v>
      </c>
      <c r="M4664" s="76" t="b">
        <v>0</v>
      </c>
      <c r="N4664" s="76" t="b">
        <v>0</v>
      </c>
      <c r="O4664" s="76" t="b">
        <v>0</v>
      </c>
      <c r="P4664" s="76" t="b">
        <v>0</v>
      </c>
      <c r="Q4664" s="76" t="b">
        <v>0</v>
      </c>
      <c r="R4664" s="14"/>
      <c r="S4664" s="14"/>
      <c r="T4664" s="14"/>
      <c r="U4664" s="14"/>
      <c r="V4664" s="14"/>
      <c r="W4664" s="14"/>
    </row>
    <row r="4665" ht="31.5" customHeight="1">
      <c r="A4665" s="158"/>
      <c r="B4665" s="159"/>
      <c r="C4665" s="160"/>
      <c r="D4665" s="130"/>
      <c r="E4665" s="130"/>
      <c r="F4665" s="161"/>
      <c r="G4665" s="164"/>
      <c r="H4665" s="76" t="b">
        <v>0</v>
      </c>
      <c r="I4665" s="76" t="b">
        <v>0</v>
      </c>
      <c r="J4665" s="76" t="b">
        <v>0</v>
      </c>
      <c r="K4665" s="76" t="b">
        <v>0</v>
      </c>
      <c r="L4665" s="76" t="b">
        <v>0</v>
      </c>
      <c r="M4665" s="76" t="b">
        <v>0</v>
      </c>
      <c r="N4665" s="76" t="b">
        <v>0</v>
      </c>
      <c r="O4665" s="76" t="b">
        <v>0</v>
      </c>
      <c r="P4665" s="76" t="b">
        <v>0</v>
      </c>
      <c r="Q4665" s="76" t="b">
        <v>0</v>
      </c>
      <c r="R4665" s="14"/>
      <c r="S4665" s="14"/>
      <c r="T4665" s="14"/>
      <c r="U4665" s="14"/>
      <c r="V4665" s="14"/>
      <c r="W4665" s="14"/>
    </row>
    <row r="4666" ht="31.5" customHeight="1">
      <c r="A4666" s="158"/>
      <c r="B4666" s="159"/>
      <c r="C4666" s="160"/>
      <c r="D4666" s="130"/>
      <c r="E4666" s="130"/>
      <c r="F4666" s="161"/>
      <c r="G4666" s="164"/>
      <c r="H4666" s="76" t="b">
        <v>0</v>
      </c>
      <c r="I4666" s="76" t="b">
        <v>0</v>
      </c>
      <c r="J4666" s="76" t="b">
        <v>0</v>
      </c>
      <c r="K4666" s="76" t="b">
        <v>0</v>
      </c>
      <c r="L4666" s="76" t="b">
        <v>0</v>
      </c>
      <c r="M4666" s="76" t="b">
        <v>0</v>
      </c>
      <c r="N4666" s="76" t="b">
        <v>0</v>
      </c>
      <c r="O4666" s="76" t="b">
        <v>0</v>
      </c>
      <c r="P4666" s="76" t="b">
        <v>0</v>
      </c>
      <c r="Q4666" s="76" t="b">
        <v>0</v>
      </c>
      <c r="R4666" s="14"/>
      <c r="S4666" s="14"/>
      <c r="T4666" s="14"/>
      <c r="U4666" s="14"/>
      <c r="V4666" s="14"/>
      <c r="W4666" s="14"/>
    </row>
    <row r="4667" ht="31.5" customHeight="1">
      <c r="A4667" s="158"/>
      <c r="B4667" s="159"/>
      <c r="C4667" s="160"/>
      <c r="D4667" s="130"/>
      <c r="E4667" s="130"/>
      <c r="F4667" s="161"/>
      <c r="G4667" s="164"/>
      <c r="H4667" s="76" t="b">
        <v>0</v>
      </c>
      <c r="I4667" s="76" t="b">
        <v>0</v>
      </c>
      <c r="J4667" s="76" t="b">
        <v>0</v>
      </c>
      <c r="K4667" s="76" t="b">
        <v>0</v>
      </c>
      <c r="L4667" s="76" t="b">
        <v>0</v>
      </c>
      <c r="M4667" s="76" t="b">
        <v>0</v>
      </c>
      <c r="N4667" s="76" t="b">
        <v>0</v>
      </c>
      <c r="O4667" s="76" t="b">
        <v>0</v>
      </c>
      <c r="P4667" s="76" t="b">
        <v>0</v>
      </c>
      <c r="Q4667" s="76" t="b">
        <v>0</v>
      </c>
      <c r="R4667" s="14"/>
      <c r="S4667" s="14"/>
      <c r="T4667" s="14"/>
      <c r="U4667" s="14"/>
      <c r="V4667" s="14"/>
      <c r="W4667" s="14"/>
    </row>
    <row r="4668" ht="31.5" customHeight="1">
      <c r="A4668" s="158"/>
      <c r="B4668" s="159"/>
      <c r="C4668" s="160"/>
      <c r="D4668" s="130"/>
      <c r="E4668" s="130"/>
      <c r="F4668" s="161"/>
      <c r="G4668" s="164"/>
      <c r="H4668" s="76" t="b">
        <v>0</v>
      </c>
      <c r="I4668" s="76" t="b">
        <v>0</v>
      </c>
      <c r="J4668" s="76" t="b">
        <v>0</v>
      </c>
      <c r="K4668" s="76" t="b">
        <v>0</v>
      </c>
      <c r="L4668" s="76" t="b">
        <v>0</v>
      </c>
      <c r="M4668" s="76" t="b">
        <v>0</v>
      </c>
      <c r="N4668" s="76" t="b">
        <v>0</v>
      </c>
      <c r="O4668" s="76" t="b">
        <v>0</v>
      </c>
      <c r="P4668" s="76" t="b">
        <v>0</v>
      </c>
      <c r="Q4668" s="76" t="b">
        <v>0</v>
      </c>
      <c r="R4668" s="14"/>
      <c r="S4668" s="14"/>
      <c r="T4668" s="14"/>
      <c r="U4668" s="14"/>
      <c r="V4668" s="14"/>
      <c r="W4668" s="14"/>
    </row>
    <row r="4669" ht="31.5" customHeight="1">
      <c r="A4669" s="158"/>
      <c r="B4669" s="159"/>
      <c r="C4669" s="160"/>
      <c r="D4669" s="130"/>
      <c r="E4669" s="130"/>
      <c r="F4669" s="161"/>
      <c r="G4669" s="164"/>
      <c r="H4669" s="76" t="b">
        <v>0</v>
      </c>
      <c r="I4669" s="76" t="b">
        <v>0</v>
      </c>
      <c r="J4669" s="76" t="b">
        <v>0</v>
      </c>
      <c r="K4669" s="76" t="b">
        <v>0</v>
      </c>
      <c r="L4669" s="76" t="b">
        <v>0</v>
      </c>
      <c r="M4669" s="76" t="b">
        <v>0</v>
      </c>
      <c r="N4669" s="76" t="b">
        <v>0</v>
      </c>
      <c r="O4669" s="76" t="b">
        <v>0</v>
      </c>
      <c r="P4669" s="76" t="b">
        <v>0</v>
      </c>
      <c r="Q4669" s="76" t="b">
        <v>0</v>
      </c>
      <c r="R4669" s="14"/>
      <c r="S4669" s="14"/>
      <c r="T4669" s="14"/>
      <c r="U4669" s="14"/>
      <c r="V4669" s="14"/>
      <c r="W4669" s="14"/>
    </row>
    <row r="4670" ht="31.5" customHeight="1">
      <c r="A4670" s="158"/>
      <c r="B4670" s="159"/>
      <c r="C4670" s="160"/>
      <c r="D4670" s="130"/>
      <c r="E4670" s="130"/>
      <c r="F4670" s="161"/>
      <c r="G4670" s="164"/>
      <c r="H4670" s="76" t="b">
        <v>0</v>
      </c>
      <c r="I4670" s="76" t="b">
        <v>0</v>
      </c>
      <c r="J4670" s="76" t="b">
        <v>0</v>
      </c>
      <c r="K4670" s="76" t="b">
        <v>0</v>
      </c>
      <c r="L4670" s="76" t="b">
        <v>0</v>
      </c>
      <c r="M4670" s="76" t="b">
        <v>0</v>
      </c>
      <c r="N4670" s="76" t="b">
        <v>0</v>
      </c>
      <c r="O4670" s="76" t="b">
        <v>0</v>
      </c>
      <c r="P4670" s="76" t="b">
        <v>0</v>
      </c>
      <c r="Q4670" s="76" t="b">
        <v>0</v>
      </c>
      <c r="R4670" s="14"/>
      <c r="S4670" s="14"/>
      <c r="T4670" s="14"/>
      <c r="U4670" s="14"/>
      <c r="V4670" s="14"/>
      <c r="W4670" s="14"/>
    </row>
    <row r="4671" ht="31.5" customHeight="1">
      <c r="A4671" s="158"/>
      <c r="B4671" s="159"/>
      <c r="C4671" s="160"/>
      <c r="D4671" s="130"/>
      <c r="E4671" s="130"/>
      <c r="F4671" s="161"/>
      <c r="G4671" s="164"/>
      <c r="H4671" s="76" t="b">
        <v>0</v>
      </c>
      <c r="I4671" s="76" t="b">
        <v>0</v>
      </c>
      <c r="J4671" s="76" t="b">
        <v>0</v>
      </c>
      <c r="K4671" s="76" t="b">
        <v>0</v>
      </c>
      <c r="L4671" s="76" t="b">
        <v>0</v>
      </c>
      <c r="M4671" s="76" t="b">
        <v>0</v>
      </c>
      <c r="N4671" s="76" t="b">
        <v>0</v>
      </c>
      <c r="O4671" s="76" t="b">
        <v>0</v>
      </c>
      <c r="P4671" s="76" t="b">
        <v>0</v>
      </c>
      <c r="Q4671" s="76" t="b">
        <v>0</v>
      </c>
      <c r="R4671" s="14"/>
      <c r="S4671" s="14"/>
      <c r="T4671" s="14"/>
      <c r="U4671" s="14"/>
      <c r="V4671" s="14"/>
      <c r="W4671" s="14"/>
    </row>
    <row r="4672" ht="31.5" customHeight="1">
      <c r="A4672" s="158"/>
      <c r="B4672" s="159"/>
      <c r="C4672" s="160"/>
      <c r="D4672" s="130"/>
      <c r="E4672" s="130"/>
      <c r="F4672" s="161"/>
      <c r="G4672" s="164"/>
      <c r="H4672" s="76" t="b">
        <v>0</v>
      </c>
      <c r="I4672" s="76" t="b">
        <v>0</v>
      </c>
      <c r="J4672" s="76" t="b">
        <v>0</v>
      </c>
      <c r="K4672" s="76" t="b">
        <v>0</v>
      </c>
      <c r="L4672" s="76" t="b">
        <v>0</v>
      </c>
      <c r="M4672" s="76" t="b">
        <v>0</v>
      </c>
      <c r="N4672" s="76" t="b">
        <v>0</v>
      </c>
      <c r="O4672" s="76" t="b">
        <v>0</v>
      </c>
      <c r="P4672" s="76" t="b">
        <v>0</v>
      </c>
      <c r="Q4672" s="76" t="b">
        <v>0</v>
      </c>
      <c r="R4672" s="14"/>
      <c r="S4672" s="14"/>
      <c r="T4672" s="14"/>
      <c r="U4672" s="14"/>
      <c r="V4672" s="14"/>
      <c r="W4672" s="14"/>
    </row>
    <row r="4673" ht="31.5" customHeight="1">
      <c r="A4673" s="158"/>
      <c r="B4673" s="159"/>
      <c r="C4673" s="160"/>
      <c r="D4673" s="130"/>
      <c r="E4673" s="130"/>
      <c r="F4673" s="161"/>
      <c r="G4673" s="164"/>
      <c r="H4673" s="76" t="b">
        <v>0</v>
      </c>
      <c r="I4673" s="76" t="b">
        <v>0</v>
      </c>
      <c r="J4673" s="76" t="b">
        <v>0</v>
      </c>
      <c r="K4673" s="76" t="b">
        <v>0</v>
      </c>
      <c r="L4673" s="76" t="b">
        <v>0</v>
      </c>
      <c r="M4673" s="76" t="b">
        <v>0</v>
      </c>
      <c r="N4673" s="76" t="b">
        <v>0</v>
      </c>
      <c r="O4673" s="76" t="b">
        <v>0</v>
      </c>
      <c r="P4673" s="76" t="b">
        <v>0</v>
      </c>
      <c r="Q4673" s="76" t="b">
        <v>0</v>
      </c>
      <c r="R4673" s="14"/>
      <c r="S4673" s="14"/>
      <c r="T4673" s="14"/>
      <c r="U4673" s="14"/>
      <c r="V4673" s="14"/>
      <c r="W4673" s="14"/>
    </row>
    <row r="4674" ht="31.5" customHeight="1">
      <c r="A4674" s="158"/>
      <c r="B4674" s="159"/>
      <c r="C4674" s="160"/>
      <c r="D4674" s="130"/>
      <c r="E4674" s="130"/>
      <c r="F4674" s="161"/>
      <c r="G4674" s="164"/>
      <c r="H4674" s="76" t="b">
        <v>0</v>
      </c>
      <c r="I4674" s="76" t="b">
        <v>0</v>
      </c>
      <c r="J4674" s="76" t="b">
        <v>0</v>
      </c>
      <c r="K4674" s="76" t="b">
        <v>0</v>
      </c>
      <c r="L4674" s="76" t="b">
        <v>0</v>
      </c>
      <c r="M4674" s="76" t="b">
        <v>0</v>
      </c>
      <c r="N4674" s="76" t="b">
        <v>0</v>
      </c>
      <c r="O4674" s="76" t="b">
        <v>0</v>
      </c>
      <c r="P4674" s="76" t="b">
        <v>0</v>
      </c>
      <c r="Q4674" s="76" t="b">
        <v>0</v>
      </c>
      <c r="R4674" s="14"/>
      <c r="S4674" s="14"/>
      <c r="T4674" s="14"/>
      <c r="U4674" s="14"/>
      <c r="V4674" s="14"/>
      <c r="W4674" s="14"/>
    </row>
    <row r="4675" ht="31.5" customHeight="1">
      <c r="A4675" s="158"/>
      <c r="B4675" s="159"/>
      <c r="C4675" s="160"/>
      <c r="D4675" s="130"/>
      <c r="E4675" s="130"/>
      <c r="F4675" s="161"/>
      <c r="G4675" s="164"/>
      <c r="H4675" s="76" t="b">
        <v>0</v>
      </c>
      <c r="I4675" s="76" t="b">
        <v>0</v>
      </c>
      <c r="J4675" s="76" t="b">
        <v>0</v>
      </c>
      <c r="K4675" s="76" t="b">
        <v>0</v>
      </c>
      <c r="L4675" s="76" t="b">
        <v>0</v>
      </c>
      <c r="M4675" s="76" t="b">
        <v>0</v>
      </c>
      <c r="N4675" s="76" t="b">
        <v>0</v>
      </c>
      <c r="O4675" s="76" t="b">
        <v>0</v>
      </c>
      <c r="P4675" s="76" t="b">
        <v>0</v>
      </c>
      <c r="Q4675" s="76" t="b">
        <v>0</v>
      </c>
      <c r="R4675" s="14"/>
      <c r="S4675" s="14"/>
      <c r="T4675" s="14"/>
      <c r="U4675" s="14"/>
      <c r="V4675" s="14"/>
      <c r="W4675" s="14"/>
    </row>
    <row r="4676" ht="31.5" customHeight="1">
      <c r="A4676" s="158"/>
      <c r="B4676" s="159"/>
      <c r="C4676" s="160"/>
      <c r="D4676" s="130"/>
      <c r="E4676" s="130"/>
      <c r="F4676" s="161"/>
      <c r="G4676" s="164"/>
      <c r="H4676" s="76" t="b">
        <v>0</v>
      </c>
      <c r="I4676" s="76" t="b">
        <v>0</v>
      </c>
      <c r="J4676" s="76" t="b">
        <v>0</v>
      </c>
      <c r="K4676" s="76" t="b">
        <v>0</v>
      </c>
      <c r="L4676" s="76" t="b">
        <v>0</v>
      </c>
      <c r="M4676" s="76" t="b">
        <v>0</v>
      </c>
      <c r="N4676" s="76" t="b">
        <v>0</v>
      </c>
      <c r="O4676" s="76" t="b">
        <v>0</v>
      </c>
      <c r="P4676" s="76" t="b">
        <v>0</v>
      </c>
      <c r="Q4676" s="76" t="b">
        <v>0</v>
      </c>
      <c r="R4676" s="14"/>
      <c r="S4676" s="14"/>
      <c r="T4676" s="14"/>
      <c r="U4676" s="14"/>
      <c r="V4676" s="14"/>
      <c r="W4676" s="14"/>
    </row>
    <row r="4677" ht="31.5" customHeight="1">
      <c r="A4677" s="158"/>
      <c r="B4677" s="159"/>
      <c r="C4677" s="160"/>
      <c r="D4677" s="130"/>
      <c r="E4677" s="130"/>
      <c r="F4677" s="161"/>
      <c r="G4677" s="164"/>
      <c r="H4677" s="76" t="b">
        <v>0</v>
      </c>
      <c r="I4677" s="76" t="b">
        <v>0</v>
      </c>
      <c r="J4677" s="76" t="b">
        <v>0</v>
      </c>
      <c r="K4677" s="76" t="b">
        <v>0</v>
      </c>
      <c r="L4677" s="76" t="b">
        <v>0</v>
      </c>
      <c r="M4677" s="76" t="b">
        <v>0</v>
      </c>
      <c r="N4677" s="76" t="b">
        <v>0</v>
      </c>
      <c r="O4677" s="76" t="b">
        <v>0</v>
      </c>
      <c r="P4677" s="76" t="b">
        <v>0</v>
      </c>
      <c r="Q4677" s="76" t="b">
        <v>0</v>
      </c>
      <c r="R4677" s="14"/>
      <c r="S4677" s="14"/>
      <c r="T4677" s="14"/>
      <c r="U4677" s="14"/>
      <c r="V4677" s="14"/>
      <c r="W4677" s="14"/>
    </row>
    <row r="4678" ht="31.5" customHeight="1">
      <c r="A4678" s="158"/>
      <c r="B4678" s="159"/>
      <c r="C4678" s="160"/>
      <c r="D4678" s="130"/>
      <c r="E4678" s="130"/>
      <c r="F4678" s="161"/>
      <c r="G4678" s="164"/>
      <c r="H4678" s="76" t="b">
        <v>0</v>
      </c>
      <c r="I4678" s="76" t="b">
        <v>0</v>
      </c>
      <c r="J4678" s="76" t="b">
        <v>0</v>
      </c>
      <c r="K4678" s="76" t="b">
        <v>0</v>
      </c>
      <c r="L4678" s="76" t="b">
        <v>0</v>
      </c>
      <c r="M4678" s="76" t="b">
        <v>0</v>
      </c>
      <c r="N4678" s="76" t="b">
        <v>0</v>
      </c>
      <c r="O4678" s="76" t="b">
        <v>0</v>
      </c>
      <c r="P4678" s="76" t="b">
        <v>0</v>
      </c>
      <c r="Q4678" s="76" t="b">
        <v>0</v>
      </c>
      <c r="R4678" s="14"/>
      <c r="S4678" s="14"/>
      <c r="T4678" s="14"/>
      <c r="U4678" s="14"/>
      <c r="V4678" s="14"/>
      <c r="W4678" s="14"/>
    </row>
    <row r="4679" ht="31.5" customHeight="1">
      <c r="A4679" s="158"/>
      <c r="B4679" s="159"/>
      <c r="C4679" s="160"/>
      <c r="D4679" s="130"/>
      <c r="E4679" s="130"/>
      <c r="F4679" s="161"/>
      <c r="G4679" s="164"/>
      <c r="H4679" s="76" t="b">
        <v>0</v>
      </c>
      <c r="I4679" s="76" t="b">
        <v>0</v>
      </c>
      <c r="J4679" s="76" t="b">
        <v>0</v>
      </c>
      <c r="K4679" s="76" t="b">
        <v>0</v>
      </c>
      <c r="L4679" s="76" t="b">
        <v>0</v>
      </c>
      <c r="M4679" s="76" t="b">
        <v>0</v>
      </c>
      <c r="N4679" s="76" t="b">
        <v>0</v>
      </c>
      <c r="O4679" s="76" t="b">
        <v>0</v>
      </c>
      <c r="P4679" s="76" t="b">
        <v>0</v>
      </c>
      <c r="Q4679" s="76" t="b">
        <v>0</v>
      </c>
      <c r="R4679" s="14"/>
      <c r="S4679" s="14"/>
      <c r="T4679" s="14"/>
      <c r="U4679" s="14"/>
      <c r="V4679" s="14"/>
      <c r="W4679" s="14"/>
    </row>
    <row r="4680" ht="31.5" customHeight="1">
      <c r="A4680" s="158"/>
      <c r="B4680" s="159"/>
      <c r="C4680" s="160"/>
      <c r="D4680" s="130"/>
      <c r="E4680" s="130"/>
      <c r="F4680" s="161"/>
      <c r="G4680" s="164"/>
      <c r="H4680" s="76" t="b">
        <v>0</v>
      </c>
      <c r="I4680" s="76" t="b">
        <v>0</v>
      </c>
      <c r="J4680" s="76" t="b">
        <v>0</v>
      </c>
      <c r="K4680" s="76" t="b">
        <v>0</v>
      </c>
      <c r="L4680" s="76" t="b">
        <v>0</v>
      </c>
      <c r="M4680" s="76" t="b">
        <v>0</v>
      </c>
      <c r="N4680" s="76" t="b">
        <v>0</v>
      </c>
      <c r="O4680" s="76" t="b">
        <v>0</v>
      </c>
      <c r="P4680" s="76" t="b">
        <v>0</v>
      </c>
      <c r="Q4680" s="76" t="b">
        <v>0</v>
      </c>
      <c r="R4680" s="14"/>
      <c r="S4680" s="14"/>
      <c r="T4680" s="14"/>
      <c r="U4680" s="14"/>
      <c r="V4680" s="14"/>
      <c r="W4680" s="14"/>
    </row>
    <row r="4681" ht="31.5" customHeight="1">
      <c r="A4681" s="158"/>
      <c r="B4681" s="159"/>
      <c r="C4681" s="160"/>
      <c r="D4681" s="130"/>
      <c r="E4681" s="130"/>
      <c r="F4681" s="161"/>
      <c r="G4681" s="164"/>
      <c r="H4681" s="76" t="b">
        <v>0</v>
      </c>
      <c r="I4681" s="76" t="b">
        <v>0</v>
      </c>
      <c r="J4681" s="76" t="b">
        <v>0</v>
      </c>
      <c r="K4681" s="76" t="b">
        <v>0</v>
      </c>
      <c r="L4681" s="76" t="b">
        <v>0</v>
      </c>
      <c r="M4681" s="76" t="b">
        <v>0</v>
      </c>
      <c r="N4681" s="76" t="b">
        <v>0</v>
      </c>
      <c r="O4681" s="76" t="b">
        <v>0</v>
      </c>
      <c r="P4681" s="76" t="b">
        <v>0</v>
      </c>
      <c r="Q4681" s="76" t="b">
        <v>0</v>
      </c>
      <c r="R4681" s="14"/>
      <c r="S4681" s="14"/>
      <c r="T4681" s="14"/>
      <c r="U4681" s="14"/>
      <c r="V4681" s="14"/>
      <c r="W4681" s="14"/>
    </row>
    <row r="4682" ht="31.5" customHeight="1">
      <c r="A4682" s="158"/>
      <c r="B4682" s="159"/>
      <c r="C4682" s="160"/>
      <c r="D4682" s="130"/>
      <c r="E4682" s="130"/>
      <c r="F4682" s="161"/>
      <c r="G4682" s="164"/>
      <c r="H4682" s="76" t="b">
        <v>0</v>
      </c>
      <c r="I4682" s="76" t="b">
        <v>0</v>
      </c>
      <c r="J4682" s="76" t="b">
        <v>0</v>
      </c>
      <c r="K4682" s="76" t="b">
        <v>0</v>
      </c>
      <c r="L4682" s="76" t="b">
        <v>0</v>
      </c>
      <c r="M4682" s="76" t="b">
        <v>0</v>
      </c>
      <c r="N4682" s="76" t="b">
        <v>0</v>
      </c>
      <c r="O4682" s="76" t="b">
        <v>0</v>
      </c>
      <c r="P4682" s="76" t="b">
        <v>0</v>
      </c>
      <c r="Q4682" s="76" t="b">
        <v>0</v>
      </c>
      <c r="R4682" s="14"/>
      <c r="S4682" s="14"/>
      <c r="T4682" s="14"/>
      <c r="U4682" s="14"/>
      <c r="V4682" s="14"/>
      <c r="W4682" s="14"/>
    </row>
    <row r="4683" ht="31.5" customHeight="1">
      <c r="A4683" s="158"/>
      <c r="B4683" s="159"/>
      <c r="C4683" s="160"/>
      <c r="D4683" s="130"/>
      <c r="E4683" s="130"/>
      <c r="F4683" s="161"/>
      <c r="G4683" s="164"/>
      <c r="H4683" s="76" t="b">
        <v>0</v>
      </c>
      <c r="I4683" s="76" t="b">
        <v>0</v>
      </c>
      <c r="J4683" s="76" t="b">
        <v>0</v>
      </c>
      <c r="K4683" s="76" t="b">
        <v>0</v>
      </c>
      <c r="L4683" s="76" t="b">
        <v>0</v>
      </c>
      <c r="M4683" s="76" t="b">
        <v>0</v>
      </c>
      <c r="N4683" s="76" t="b">
        <v>0</v>
      </c>
      <c r="O4683" s="76" t="b">
        <v>0</v>
      </c>
      <c r="P4683" s="76" t="b">
        <v>0</v>
      </c>
      <c r="Q4683" s="76" t="b">
        <v>0</v>
      </c>
      <c r="R4683" s="14"/>
      <c r="S4683" s="14"/>
      <c r="T4683" s="14"/>
      <c r="U4683" s="14"/>
      <c r="V4683" s="14"/>
      <c r="W4683" s="14"/>
    </row>
    <row r="4684" ht="31.5" customHeight="1">
      <c r="A4684" s="158"/>
      <c r="B4684" s="159"/>
      <c r="C4684" s="160"/>
      <c r="D4684" s="130"/>
      <c r="E4684" s="130"/>
      <c r="F4684" s="161"/>
      <c r="G4684" s="164"/>
      <c r="H4684" s="76" t="b">
        <v>0</v>
      </c>
      <c r="I4684" s="76" t="b">
        <v>0</v>
      </c>
      <c r="J4684" s="76" t="b">
        <v>0</v>
      </c>
      <c r="K4684" s="76" t="b">
        <v>0</v>
      </c>
      <c r="L4684" s="76" t="b">
        <v>0</v>
      </c>
      <c r="M4684" s="76" t="b">
        <v>0</v>
      </c>
      <c r="N4684" s="76" t="b">
        <v>0</v>
      </c>
      <c r="O4684" s="76" t="b">
        <v>0</v>
      </c>
      <c r="P4684" s="76" t="b">
        <v>0</v>
      </c>
      <c r="Q4684" s="76" t="b">
        <v>0</v>
      </c>
      <c r="R4684" s="14"/>
      <c r="S4684" s="14"/>
      <c r="T4684" s="14"/>
      <c r="U4684" s="14"/>
      <c r="V4684" s="14"/>
      <c r="W4684" s="14"/>
    </row>
    <row r="4685" ht="31.5" customHeight="1">
      <c r="A4685" s="158"/>
      <c r="B4685" s="159"/>
      <c r="C4685" s="160"/>
      <c r="D4685" s="130"/>
      <c r="E4685" s="130"/>
      <c r="F4685" s="161"/>
      <c r="G4685" s="164"/>
      <c r="H4685" s="76" t="b">
        <v>0</v>
      </c>
      <c r="I4685" s="76" t="b">
        <v>0</v>
      </c>
      <c r="J4685" s="76" t="b">
        <v>0</v>
      </c>
      <c r="K4685" s="76" t="b">
        <v>0</v>
      </c>
      <c r="L4685" s="76" t="b">
        <v>0</v>
      </c>
      <c r="M4685" s="76" t="b">
        <v>0</v>
      </c>
      <c r="N4685" s="76" t="b">
        <v>0</v>
      </c>
      <c r="O4685" s="76" t="b">
        <v>0</v>
      </c>
      <c r="P4685" s="76" t="b">
        <v>0</v>
      </c>
      <c r="Q4685" s="76" t="b">
        <v>0</v>
      </c>
      <c r="R4685" s="14"/>
      <c r="S4685" s="14"/>
      <c r="T4685" s="14"/>
      <c r="U4685" s="14"/>
      <c r="V4685" s="14"/>
      <c r="W4685" s="14"/>
    </row>
    <row r="4686" ht="31.5" customHeight="1">
      <c r="A4686" s="158"/>
      <c r="B4686" s="159"/>
      <c r="C4686" s="160"/>
      <c r="D4686" s="130"/>
      <c r="E4686" s="130"/>
      <c r="F4686" s="161"/>
      <c r="G4686" s="164"/>
      <c r="H4686" s="76" t="b">
        <v>0</v>
      </c>
      <c r="I4686" s="76" t="b">
        <v>0</v>
      </c>
      <c r="J4686" s="76" t="b">
        <v>0</v>
      </c>
      <c r="K4686" s="76" t="b">
        <v>0</v>
      </c>
      <c r="L4686" s="76" t="b">
        <v>0</v>
      </c>
      <c r="M4686" s="76" t="b">
        <v>0</v>
      </c>
      <c r="N4686" s="76" t="b">
        <v>0</v>
      </c>
      <c r="O4686" s="76" t="b">
        <v>0</v>
      </c>
      <c r="P4686" s="76" t="b">
        <v>0</v>
      </c>
      <c r="Q4686" s="76" t="b">
        <v>0</v>
      </c>
      <c r="R4686" s="14"/>
      <c r="S4686" s="14"/>
      <c r="T4686" s="14"/>
      <c r="U4686" s="14"/>
      <c r="V4686" s="14"/>
      <c r="W4686" s="14"/>
    </row>
    <row r="4687" ht="31.5" customHeight="1">
      <c r="A4687" s="158"/>
      <c r="B4687" s="159"/>
      <c r="C4687" s="160"/>
      <c r="D4687" s="130"/>
      <c r="E4687" s="130"/>
      <c r="F4687" s="161"/>
      <c r="G4687" s="164"/>
      <c r="H4687" s="76" t="b">
        <v>0</v>
      </c>
      <c r="I4687" s="76" t="b">
        <v>0</v>
      </c>
      <c r="J4687" s="76" t="b">
        <v>0</v>
      </c>
      <c r="K4687" s="76" t="b">
        <v>0</v>
      </c>
      <c r="L4687" s="76" t="b">
        <v>0</v>
      </c>
      <c r="M4687" s="76" t="b">
        <v>0</v>
      </c>
      <c r="N4687" s="76" t="b">
        <v>0</v>
      </c>
      <c r="O4687" s="76" t="b">
        <v>0</v>
      </c>
      <c r="P4687" s="76" t="b">
        <v>0</v>
      </c>
      <c r="Q4687" s="76" t="b">
        <v>0</v>
      </c>
      <c r="R4687" s="14"/>
      <c r="S4687" s="14"/>
      <c r="T4687" s="14"/>
      <c r="U4687" s="14"/>
      <c r="V4687" s="14"/>
      <c r="W4687" s="14"/>
    </row>
    <row r="4688" ht="31.5" customHeight="1">
      <c r="A4688" s="158"/>
      <c r="B4688" s="159"/>
      <c r="C4688" s="160"/>
      <c r="D4688" s="130"/>
      <c r="E4688" s="130"/>
      <c r="F4688" s="161"/>
      <c r="G4688" s="164"/>
      <c r="H4688" s="76" t="b">
        <v>0</v>
      </c>
      <c r="I4688" s="76" t="b">
        <v>0</v>
      </c>
      <c r="J4688" s="76" t="b">
        <v>0</v>
      </c>
      <c r="K4688" s="76" t="b">
        <v>0</v>
      </c>
      <c r="L4688" s="76" t="b">
        <v>0</v>
      </c>
      <c r="M4688" s="76" t="b">
        <v>0</v>
      </c>
      <c r="N4688" s="76" t="b">
        <v>0</v>
      </c>
      <c r="O4688" s="76" t="b">
        <v>0</v>
      </c>
      <c r="P4688" s="76" t="b">
        <v>0</v>
      </c>
      <c r="Q4688" s="76" t="b">
        <v>0</v>
      </c>
      <c r="R4688" s="14"/>
      <c r="S4688" s="14"/>
      <c r="T4688" s="14"/>
      <c r="U4688" s="14"/>
      <c r="V4688" s="14"/>
      <c r="W4688" s="14"/>
    </row>
    <row r="4689" ht="31.5" customHeight="1">
      <c r="A4689" s="158"/>
      <c r="B4689" s="159"/>
      <c r="C4689" s="160"/>
      <c r="D4689" s="130"/>
      <c r="E4689" s="130"/>
      <c r="F4689" s="161"/>
      <c r="G4689" s="164"/>
      <c r="H4689" s="76" t="b">
        <v>0</v>
      </c>
      <c r="I4689" s="76" t="b">
        <v>0</v>
      </c>
      <c r="J4689" s="76" t="b">
        <v>0</v>
      </c>
      <c r="K4689" s="76" t="b">
        <v>0</v>
      </c>
      <c r="L4689" s="76" t="b">
        <v>0</v>
      </c>
      <c r="M4689" s="76" t="b">
        <v>0</v>
      </c>
      <c r="N4689" s="76" t="b">
        <v>0</v>
      </c>
      <c r="O4689" s="76" t="b">
        <v>0</v>
      </c>
      <c r="P4689" s="76" t="b">
        <v>0</v>
      </c>
      <c r="Q4689" s="76" t="b">
        <v>0</v>
      </c>
      <c r="R4689" s="14"/>
      <c r="S4689" s="14"/>
      <c r="T4689" s="14"/>
      <c r="U4689" s="14"/>
      <c r="V4689" s="14"/>
      <c r="W4689" s="14"/>
    </row>
    <row r="4690" ht="31.5" customHeight="1">
      <c r="A4690" s="158"/>
      <c r="B4690" s="159"/>
      <c r="C4690" s="160"/>
      <c r="D4690" s="130"/>
      <c r="E4690" s="130"/>
      <c r="F4690" s="161"/>
      <c r="G4690" s="164"/>
      <c r="H4690" s="76" t="b">
        <v>0</v>
      </c>
      <c r="I4690" s="76" t="b">
        <v>0</v>
      </c>
      <c r="J4690" s="76" t="b">
        <v>0</v>
      </c>
      <c r="K4690" s="76" t="b">
        <v>0</v>
      </c>
      <c r="L4690" s="76" t="b">
        <v>0</v>
      </c>
      <c r="M4690" s="76" t="b">
        <v>0</v>
      </c>
      <c r="N4690" s="76" t="b">
        <v>0</v>
      </c>
      <c r="O4690" s="76" t="b">
        <v>0</v>
      </c>
      <c r="P4690" s="76" t="b">
        <v>0</v>
      </c>
      <c r="Q4690" s="76" t="b">
        <v>0</v>
      </c>
      <c r="R4690" s="14"/>
      <c r="S4690" s="14"/>
      <c r="T4690" s="14"/>
      <c r="U4690" s="14"/>
      <c r="V4690" s="14"/>
      <c r="W4690" s="14"/>
    </row>
    <row r="4691" ht="31.5" customHeight="1">
      <c r="A4691" s="158"/>
      <c r="B4691" s="159"/>
      <c r="C4691" s="160"/>
      <c r="D4691" s="130"/>
      <c r="E4691" s="130"/>
      <c r="F4691" s="161"/>
      <c r="G4691" s="164"/>
      <c r="H4691" s="76" t="b">
        <v>0</v>
      </c>
      <c r="I4691" s="76" t="b">
        <v>0</v>
      </c>
      <c r="J4691" s="76" t="b">
        <v>0</v>
      </c>
      <c r="K4691" s="76" t="b">
        <v>0</v>
      </c>
      <c r="L4691" s="76" t="b">
        <v>0</v>
      </c>
      <c r="M4691" s="76" t="b">
        <v>0</v>
      </c>
      <c r="N4691" s="76" t="b">
        <v>0</v>
      </c>
      <c r="O4691" s="76" t="b">
        <v>0</v>
      </c>
      <c r="P4691" s="76" t="b">
        <v>0</v>
      </c>
      <c r="Q4691" s="76" t="b">
        <v>0</v>
      </c>
      <c r="R4691" s="14"/>
      <c r="S4691" s="14"/>
      <c r="T4691" s="14"/>
      <c r="U4691" s="14"/>
      <c r="V4691" s="14"/>
      <c r="W4691" s="14"/>
    </row>
    <row r="4692" ht="31.5" customHeight="1">
      <c r="A4692" s="158"/>
      <c r="B4692" s="159"/>
      <c r="C4692" s="160"/>
      <c r="D4692" s="130"/>
      <c r="E4692" s="130"/>
      <c r="F4692" s="161"/>
      <c r="G4692" s="164"/>
      <c r="H4692" s="76" t="b">
        <v>0</v>
      </c>
      <c r="I4692" s="76" t="b">
        <v>0</v>
      </c>
      <c r="J4692" s="76" t="b">
        <v>0</v>
      </c>
      <c r="K4692" s="76" t="b">
        <v>0</v>
      </c>
      <c r="L4692" s="76" t="b">
        <v>0</v>
      </c>
      <c r="M4692" s="76" t="b">
        <v>0</v>
      </c>
      <c r="N4692" s="76" t="b">
        <v>0</v>
      </c>
      <c r="O4692" s="76" t="b">
        <v>0</v>
      </c>
      <c r="P4692" s="76" t="b">
        <v>0</v>
      </c>
      <c r="Q4692" s="76" t="b">
        <v>0</v>
      </c>
      <c r="R4692" s="14"/>
      <c r="S4692" s="14"/>
      <c r="T4692" s="14"/>
      <c r="U4692" s="14"/>
      <c r="V4692" s="14"/>
      <c r="W4692" s="14"/>
    </row>
    <row r="4693" ht="31.5" customHeight="1">
      <c r="A4693" s="158"/>
      <c r="B4693" s="159"/>
      <c r="C4693" s="160"/>
      <c r="D4693" s="130"/>
      <c r="E4693" s="130"/>
      <c r="F4693" s="161"/>
      <c r="G4693" s="164"/>
      <c r="H4693" s="76" t="b">
        <v>0</v>
      </c>
      <c r="I4693" s="76" t="b">
        <v>0</v>
      </c>
      <c r="J4693" s="76" t="b">
        <v>0</v>
      </c>
      <c r="K4693" s="76" t="b">
        <v>0</v>
      </c>
      <c r="L4693" s="76" t="b">
        <v>0</v>
      </c>
      <c r="M4693" s="76" t="b">
        <v>0</v>
      </c>
      <c r="N4693" s="76" t="b">
        <v>0</v>
      </c>
      <c r="O4693" s="76" t="b">
        <v>0</v>
      </c>
      <c r="P4693" s="76" t="b">
        <v>0</v>
      </c>
      <c r="Q4693" s="76" t="b">
        <v>0</v>
      </c>
      <c r="R4693" s="14"/>
      <c r="S4693" s="14"/>
      <c r="T4693" s="14"/>
      <c r="U4693" s="14"/>
      <c r="V4693" s="14"/>
      <c r="W4693" s="14"/>
    </row>
    <row r="4694" ht="31.5" customHeight="1">
      <c r="A4694" s="158"/>
      <c r="B4694" s="159"/>
      <c r="C4694" s="160"/>
      <c r="D4694" s="130"/>
      <c r="E4694" s="130"/>
      <c r="F4694" s="161"/>
      <c r="G4694" s="164"/>
      <c r="H4694" s="76" t="b">
        <v>0</v>
      </c>
      <c r="I4694" s="76" t="b">
        <v>0</v>
      </c>
      <c r="J4694" s="76" t="b">
        <v>0</v>
      </c>
      <c r="K4694" s="76" t="b">
        <v>0</v>
      </c>
      <c r="L4694" s="76" t="b">
        <v>0</v>
      </c>
      <c r="M4694" s="76" t="b">
        <v>0</v>
      </c>
      <c r="N4694" s="76" t="b">
        <v>0</v>
      </c>
      <c r="O4694" s="76" t="b">
        <v>0</v>
      </c>
      <c r="P4694" s="76" t="b">
        <v>0</v>
      </c>
      <c r="Q4694" s="76" t="b">
        <v>0</v>
      </c>
      <c r="R4694" s="14"/>
      <c r="S4694" s="14"/>
      <c r="T4694" s="14"/>
      <c r="U4694" s="14"/>
      <c r="V4694" s="14"/>
      <c r="W4694" s="14"/>
    </row>
    <row r="4695" ht="31.5" customHeight="1">
      <c r="A4695" s="158"/>
      <c r="B4695" s="159"/>
      <c r="C4695" s="160"/>
      <c r="D4695" s="130"/>
      <c r="E4695" s="130"/>
      <c r="F4695" s="161"/>
      <c r="G4695" s="164"/>
      <c r="H4695" s="76" t="b">
        <v>0</v>
      </c>
      <c r="I4695" s="76" t="b">
        <v>0</v>
      </c>
      <c r="J4695" s="76" t="b">
        <v>0</v>
      </c>
      <c r="K4695" s="76" t="b">
        <v>0</v>
      </c>
      <c r="L4695" s="76" t="b">
        <v>0</v>
      </c>
      <c r="M4695" s="76" t="b">
        <v>0</v>
      </c>
      <c r="N4695" s="76" t="b">
        <v>0</v>
      </c>
      <c r="O4695" s="76" t="b">
        <v>0</v>
      </c>
      <c r="P4695" s="76" t="b">
        <v>0</v>
      </c>
      <c r="Q4695" s="76" t="b">
        <v>0</v>
      </c>
      <c r="R4695" s="14"/>
      <c r="S4695" s="14"/>
      <c r="T4695" s="14"/>
      <c r="U4695" s="14"/>
      <c r="V4695" s="14"/>
      <c r="W4695" s="14"/>
    </row>
    <row r="4696" ht="31.5" customHeight="1">
      <c r="A4696" s="158"/>
      <c r="B4696" s="159"/>
      <c r="C4696" s="160"/>
      <c r="D4696" s="130"/>
      <c r="E4696" s="130"/>
      <c r="F4696" s="161"/>
      <c r="G4696" s="164"/>
      <c r="H4696" s="76" t="b">
        <v>0</v>
      </c>
      <c r="I4696" s="76" t="b">
        <v>0</v>
      </c>
      <c r="J4696" s="76" t="b">
        <v>0</v>
      </c>
      <c r="K4696" s="76" t="b">
        <v>0</v>
      </c>
      <c r="L4696" s="76" t="b">
        <v>0</v>
      </c>
      <c r="M4696" s="76" t="b">
        <v>0</v>
      </c>
      <c r="N4696" s="76" t="b">
        <v>0</v>
      </c>
      <c r="O4696" s="76" t="b">
        <v>0</v>
      </c>
      <c r="P4696" s="76" t="b">
        <v>0</v>
      </c>
      <c r="Q4696" s="76" t="b">
        <v>0</v>
      </c>
      <c r="R4696" s="14"/>
      <c r="S4696" s="14"/>
      <c r="T4696" s="14"/>
      <c r="U4696" s="14"/>
      <c r="V4696" s="14"/>
      <c r="W4696" s="14"/>
    </row>
    <row r="4697" ht="31.5" customHeight="1">
      <c r="A4697" s="158"/>
      <c r="B4697" s="159"/>
      <c r="C4697" s="160"/>
      <c r="D4697" s="130"/>
      <c r="E4697" s="130"/>
      <c r="F4697" s="161"/>
      <c r="G4697" s="164"/>
      <c r="H4697" s="76" t="b">
        <v>0</v>
      </c>
      <c r="I4697" s="76" t="b">
        <v>0</v>
      </c>
      <c r="J4697" s="76" t="b">
        <v>0</v>
      </c>
      <c r="K4697" s="76" t="b">
        <v>0</v>
      </c>
      <c r="L4697" s="76" t="b">
        <v>0</v>
      </c>
      <c r="M4697" s="76" t="b">
        <v>0</v>
      </c>
      <c r="N4697" s="76" t="b">
        <v>0</v>
      </c>
      <c r="O4697" s="76" t="b">
        <v>0</v>
      </c>
      <c r="P4697" s="76" t="b">
        <v>0</v>
      </c>
      <c r="Q4697" s="76" t="b">
        <v>0</v>
      </c>
      <c r="R4697" s="14"/>
      <c r="S4697" s="14"/>
      <c r="T4697" s="14"/>
      <c r="U4697" s="14"/>
      <c r="V4697" s="14"/>
      <c r="W4697" s="14"/>
    </row>
    <row r="4698" ht="31.5" customHeight="1">
      <c r="A4698" s="158"/>
      <c r="B4698" s="159"/>
      <c r="C4698" s="160"/>
      <c r="D4698" s="130"/>
      <c r="E4698" s="130"/>
      <c r="F4698" s="161"/>
      <c r="G4698" s="164"/>
      <c r="H4698" s="76" t="b">
        <v>0</v>
      </c>
      <c r="I4698" s="76" t="b">
        <v>0</v>
      </c>
      <c r="J4698" s="76" t="b">
        <v>0</v>
      </c>
      <c r="K4698" s="76" t="b">
        <v>0</v>
      </c>
      <c r="L4698" s="76" t="b">
        <v>0</v>
      </c>
      <c r="M4698" s="76" t="b">
        <v>0</v>
      </c>
      <c r="N4698" s="76" t="b">
        <v>0</v>
      </c>
      <c r="O4698" s="76" t="b">
        <v>0</v>
      </c>
      <c r="P4698" s="76" t="b">
        <v>0</v>
      </c>
      <c r="Q4698" s="76" t="b">
        <v>0</v>
      </c>
      <c r="R4698" s="14"/>
      <c r="S4698" s="14"/>
      <c r="T4698" s="14"/>
      <c r="U4698" s="14"/>
      <c r="V4698" s="14"/>
      <c r="W4698" s="14"/>
    </row>
    <row r="4699" ht="31.5" customHeight="1">
      <c r="A4699" s="158"/>
      <c r="B4699" s="159"/>
      <c r="C4699" s="160"/>
      <c r="D4699" s="130"/>
      <c r="E4699" s="130"/>
      <c r="F4699" s="161"/>
      <c r="G4699" s="164"/>
      <c r="H4699" s="76" t="b">
        <v>0</v>
      </c>
      <c r="I4699" s="76" t="b">
        <v>0</v>
      </c>
      <c r="J4699" s="76" t="b">
        <v>0</v>
      </c>
      <c r="K4699" s="76" t="b">
        <v>0</v>
      </c>
      <c r="L4699" s="76" t="b">
        <v>0</v>
      </c>
      <c r="M4699" s="76" t="b">
        <v>0</v>
      </c>
      <c r="N4699" s="76" t="b">
        <v>0</v>
      </c>
      <c r="O4699" s="76" t="b">
        <v>0</v>
      </c>
      <c r="P4699" s="76" t="b">
        <v>0</v>
      </c>
      <c r="Q4699" s="76" t="b">
        <v>0</v>
      </c>
      <c r="R4699" s="14"/>
      <c r="S4699" s="14"/>
      <c r="T4699" s="14"/>
      <c r="U4699" s="14"/>
      <c r="V4699" s="14"/>
      <c r="W4699" s="14"/>
    </row>
    <row r="4700" ht="31.5" customHeight="1">
      <c r="A4700" s="158"/>
      <c r="B4700" s="159"/>
      <c r="C4700" s="160"/>
      <c r="D4700" s="130"/>
      <c r="E4700" s="130"/>
      <c r="F4700" s="161"/>
      <c r="G4700" s="164"/>
      <c r="H4700" s="76" t="b">
        <v>0</v>
      </c>
      <c r="I4700" s="76" t="b">
        <v>0</v>
      </c>
      <c r="J4700" s="76" t="b">
        <v>0</v>
      </c>
      <c r="K4700" s="76" t="b">
        <v>0</v>
      </c>
      <c r="L4700" s="76" t="b">
        <v>0</v>
      </c>
      <c r="M4700" s="76" t="b">
        <v>0</v>
      </c>
      <c r="N4700" s="76" t="b">
        <v>0</v>
      </c>
      <c r="O4700" s="76" t="b">
        <v>0</v>
      </c>
      <c r="P4700" s="76" t="b">
        <v>0</v>
      </c>
      <c r="Q4700" s="76" t="b">
        <v>0</v>
      </c>
      <c r="R4700" s="14"/>
      <c r="S4700" s="14"/>
      <c r="T4700" s="14"/>
      <c r="U4700" s="14"/>
      <c r="V4700" s="14"/>
      <c r="W4700" s="14"/>
    </row>
    <row r="4701" ht="31.5" customHeight="1">
      <c r="A4701" s="158"/>
      <c r="B4701" s="159"/>
      <c r="C4701" s="160"/>
      <c r="D4701" s="130"/>
      <c r="E4701" s="130"/>
      <c r="F4701" s="161"/>
      <c r="G4701" s="164"/>
      <c r="H4701" s="76" t="b">
        <v>1</v>
      </c>
      <c r="I4701" s="76" t="b">
        <v>0</v>
      </c>
      <c r="J4701" s="76" t="b">
        <v>0</v>
      </c>
      <c r="K4701" s="76" t="b">
        <v>0</v>
      </c>
      <c r="L4701" s="76" t="b">
        <v>0</v>
      </c>
      <c r="M4701" s="76" t="b">
        <v>0</v>
      </c>
      <c r="N4701" s="76" t="b">
        <v>0</v>
      </c>
      <c r="O4701" s="76" t="b">
        <v>0</v>
      </c>
      <c r="P4701" s="76" t="b">
        <v>0</v>
      </c>
      <c r="Q4701" s="76" t="b">
        <v>0</v>
      </c>
      <c r="R4701" s="14"/>
      <c r="S4701" s="14"/>
      <c r="T4701" s="14"/>
      <c r="U4701" s="14"/>
      <c r="V4701" s="14"/>
      <c r="W4701" s="14"/>
    </row>
    <row r="4702" ht="31.5" customHeight="1">
      <c r="A4702" s="158"/>
      <c r="B4702" s="159"/>
      <c r="C4702" s="160"/>
      <c r="D4702" s="130"/>
      <c r="E4702" s="130"/>
      <c r="F4702" s="161"/>
      <c r="G4702" s="164"/>
      <c r="H4702" s="76" t="b">
        <v>1</v>
      </c>
      <c r="I4702" s="76" t="b">
        <v>0</v>
      </c>
      <c r="J4702" s="76" t="b">
        <v>0</v>
      </c>
      <c r="K4702" s="76" t="b">
        <v>0</v>
      </c>
      <c r="L4702" s="76" t="b">
        <v>0</v>
      </c>
      <c r="M4702" s="76" t="b">
        <v>0</v>
      </c>
      <c r="N4702" s="76" t="b">
        <v>0</v>
      </c>
      <c r="O4702" s="76" t="b">
        <v>0</v>
      </c>
      <c r="P4702" s="76" t="b">
        <v>0</v>
      </c>
      <c r="Q4702" s="76" t="b">
        <v>0</v>
      </c>
      <c r="R4702" s="14"/>
      <c r="S4702" s="14"/>
      <c r="T4702" s="14"/>
      <c r="U4702" s="14"/>
      <c r="V4702" s="14"/>
      <c r="W4702" s="14"/>
    </row>
    <row r="4703" ht="31.5" customHeight="1">
      <c r="A4703" s="158"/>
      <c r="B4703" s="159"/>
      <c r="C4703" s="160"/>
      <c r="D4703" s="130"/>
      <c r="E4703" s="130"/>
      <c r="F4703" s="161"/>
      <c r="G4703" s="164"/>
      <c r="H4703" s="76" t="b">
        <v>1</v>
      </c>
      <c r="I4703" s="76" t="b">
        <v>0</v>
      </c>
      <c r="J4703" s="76" t="b">
        <v>0</v>
      </c>
      <c r="K4703" s="76" t="b">
        <v>0</v>
      </c>
      <c r="L4703" s="76" t="b">
        <v>0</v>
      </c>
      <c r="M4703" s="76" t="b">
        <v>0</v>
      </c>
      <c r="N4703" s="76" t="b">
        <v>0</v>
      </c>
      <c r="O4703" s="76" t="b">
        <v>0</v>
      </c>
      <c r="P4703" s="76" t="b">
        <v>0</v>
      </c>
      <c r="Q4703" s="76" t="b">
        <v>0</v>
      </c>
      <c r="R4703" s="14"/>
      <c r="S4703" s="14"/>
      <c r="T4703" s="14"/>
      <c r="U4703" s="14"/>
      <c r="V4703" s="14"/>
      <c r="W4703" s="14"/>
    </row>
    <row r="4704" ht="31.5" customHeight="1">
      <c r="A4704" s="158"/>
      <c r="B4704" s="159"/>
      <c r="C4704" s="160"/>
      <c r="D4704" s="130"/>
      <c r="E4704" s="130"/>
      <c r="F4704" s="161"/>
      <c r="G4704" s="164"/>
      <c r="H4704" s="76" t="b">
        <v>1</v>
      </c>
      <c r="I4704" s="76" t="b">
        <v>0</v>
      </c>
      <c r="J4704" s="76" t="b">
        <v>0</v>
      </c>
      <c r="K4704" s="76" t="b">
        <v>0</v>
      </c>
      <c r="L4704" s="76" t="b">
        <v>0</v>
      </c>
      <c r="M4704" s="76" t="b">
        <v>0</v>
      </c>
      <c r="N4704" s="76" t="b">
        <v>0</v>
      </c>
      <c r="O4704" s="76" t="b">
        <v>0</v>
      </c>
      <c r="P4704" s="76" t="b">
        <v>0</v>
      </c>
      <c r="Q4704" s="76" t="b">
        <v>0</v>
      </c>
      <c r="R4704" s="14"/>
      <c r="S4704" s="14"/>
      <c r="T4704" s="14"/>
      <c r="U4704" s="14"/>
      <c r="V4704" s="14"/>
      <c r="W4704" s="14"/>
    </row>
    <row r="4705" ht="31.5" customHeight="1">
      <c r="A4705" s="158"/>
      <c r="B4705" s="159"/>
      <c r="C4705" s="160"/>
      <c r="D4705" s="130"/>
      <c r="E4705" s="130"/>
      <c r="F4705" s="161"/>
      <c r="G4705" s="164"/>
      <c r="H4705" s="76" t="b">
        <v>1</v>
      </c>
      <c r="I4705" s="76" t="b">
        <v>0</v>
      </c>
      <c r="J4705" s="76" t="b">
        <v>0</v>
      </c>
      <c r="K4705" s="76" t="b">
        <v>0</v>
      </c>
      <c r="L4705" s="76" t="b">
        <v>0</v>
      </c>
      <c r="M4705" s="76" t="b">
        <v>0</v>
      </c>
      <c r="N4705" s="76" t="b">
        <v>0</v>
      </c>
      <c r="O4705" s="76" t="b">
        <v>0</v>
      </c>
      <c r="P4705" s="76" t="b">
        <v>0</v>
      </c>
      <c r="Q4705" s="76" t="b">
        <v>0</v>
      </c>
      <c r="R4705" s="14"/>
      <c r="S4705" s="14"/>
      <c r="T4705" s="14"/>
      <c r="U4705" s="14"/>
      <c r="V4705" s="14"/>
      <c r="W4705" s="14"/>
    </row>
    <row r="4706" ht="31.5" customHeight="1">
      <c r="A4706" s="158"/>
      <c r="B4706" s="159"/>
      <c r="C4706" s="160"/>
      <c r="D4706" s="130"/>
      <c r="E4706" s="130"/>
      <c r="F4706" s="161"/>
      <c r="G4706" s="164"/>
      <c r="H4706" s="76" t="b">
        <v>1</v>
      </c>
      <c r="I4706" s="76" t="b">
        <v>0</v>
      </c>
      <c r="J4706" s="76" t="b">
        <v>0</v>
      </c>
      <c r="K4706" s="76" t="b">
        <v>0</v>
      </c>
      <c r="L4706" s="76" t="b">
        <v>0</v>
      </c>
      <c r="M4706" s="76" t="b">
        <v>0</v>
      </c>
      <c r="N4706" s="76" t="b">
        <v>0</v>
      </c>
      <c r="O4706" s="76" t="b">
        <v>0</v>
      </c>
      <c r="P4706" s="76" t="b">
        <v>0</v>
      </c>
      <c r="Q4706" s="76" t="b">
        <v>0</v>
      </c>
      <c r="R4706" s="14"/>
      <c r="S4706" s="14"/>
      <c r="T4706" s="14"/>
      <c r="U4706" s="14"/>
      <c r="V4706" s="14"/>
      <c r="W4706" s="14"/>
    </row>
    <row r="4707" ht="31.5" customHeight="1">
      <c r="A4707" s="158"/>
      <c r="B4707" s="159"/>
      <c r="C4707" s="160"/>
      <c r="D4707" s="130"/>
      <c r="E4707" s="130"/>
      <c r="F4707" s="161"/>
      <c r="G4707" s="164"/>
      <c r="H4707" s="76" t="b">
        <v>1</v>
      </c>
      <c r="I4707" s="76" t="b">
        <v>0</v>
      </c>
      <c r="J4707" s="76" t="b">
        <v>0</v>
      </c>
      <c r="K4707" s="76" t="b">
        <v>0</v>
      </c>
      <c r="L4707" s="76" t="b">
        <v>0</v>
      </c>
      <c r="M4707" s="76" t="b">
        <v>0</v>
      </c>
      <c r="N4707" s="76" t="b">
        <v>0</v>
      </c>
      <c r="O4707" s="76" t="b">
        <v>0</v>
      </c>
      <c r="P4707" s="76" t="b">
        <v>0</v>
      </c>
      <c r="Q4707" s="76" t="b">
        <v>0</v>
      </c>
      <c r="R4707" s="14"/>
      <c r="S4707" s="14"/>
      <c r="T4707" s="14"/>
      <c r="U4707" s="14"/>
      <c r="V4707" s="14"/>
      <c r="W4707" s="14"/>
    </row>
    <row r="4708" ht="31.5" customHeight="1">
      <c r="A4708" s="158"/>
      <c r="B4708" s="159"/>
      <c r="C4708" s="160"/>
      <c r="D4708" s="130"/>
      <c r="E4708" s="130"/>
      <c r="F4708" s="161"/>
      <c r="G4708" s="164"/>
      <c r="H4708" s="76" t="b">
        <v>1</v>
      </c>
      <c r="I4708" s="76" t="b">
        <v>0</v>
      </c>
      <c r="J4708" s="76" t="b">
        <v>0</v>
      </c>
      <c r="K4708" s="76" t="b">
        <v>0</v>
      </c>
      <c r="L4708" s="76" t="b">
        <v>0</v>
      </c>
      <c r="M4708" s="76" t="b">
        <v>0</v>
      </c>
      <c r="N4708" s="76" t="b">
        <v>0</v>
      </c>
      <c r="O4708" s="76" t="b">
        <v>0</v>
      </c>
      <c r="P4708" s="76" t="b">
        <v>0</v>
      </c>
      <c r="Q4708" s="76" t="b">
        <v>0</v>
      </c>
      <c r="R4708" s="14"/>
      <c r="S4708" s="14"/>
      <c r="T4708" s="14"/>
      <c r="U4708" s="14"/>
      <c r="V4708" s="14"/>
      <c r="W4708" s="14"/>
    </row>
    <row r="4709" ht="31.5" customHeight="1">
      <c r="A4709" s="158"/>
      <c r="B4709" s="159"/>
      <c r="C4709" s="160"/>
      <c r="D4709" s="130"/>
      <c r="E4709" s="130"/>
      <c r="F4709" s="161"/>
      <c r="G4709" s="164"/>
      <c r="H4709" s="76" t="b">
        <v>1</v>
      </c>
      <c r="I4709" s="76" t="b">
        <v>0</v>
      </c>
      <c r="J4709" s="76" t="b">
        <v>0</v>
      </c>
      <c r="K4709" s="76" t="b">
        <v>0</v>
      </c>
      <c r="L4709" s="76" t="b">
        <v>0</v>
      </c>
      <c r="M4709" s="76" t="b">
        <v>0</v>
      </c>
      <c r="N4709" s="76" t="b">
        <v>0</v>
      </c>
      <c r="O4709" s="76" t="b">
        <v>0</v>
      </c>
      <c r="P4709" s="76" t="b">
        <v>0</v>
      </c>
      <c r="Q4709" s="76" t="b">
        <v>0</v>
      </c>
      <c r="R4709" s="14"/>
      <c r="S4709" s="14"/>
      <c r="T4709" s="14"/>
      <c r="U4709" s="14"/>
      <c r="V4709" s="14"/>
      <c r="W4709" s="14"/>
    </row>
    <row r="4710" ht="31.5" customHeight="1">
      <c r="A4710" s="158"/>
      <c r="B4710" s="159"/>
      <c r="C4710" s="160"/>
      <c r="D4710" s="130"/>
      <c r="E4710" s="130"/>
      <c r="F4710" s="161"/>
      <c r="G4710" s="164"/>
      <c r="H4710" s="76" t="b">
        <v>1</v>
      </c>
      <c r="I4710" s="76" t="b">
        <v>0</v>
      </c>
      <c r="J4710" s="76" t="b">
        <v>0</v>
      </c>
      <c r="K4710" s="76" t="b">
        <v>0</v>
      </c>
      <c r="L4710" s="76" t="b">
        <v>0</v>
      </c>
      <c r="M4710" s="76" t="b">
        <v>0</v>
      </c>
      <c r="N4710" s="76" t="b">
        <v>0</v>
      </c>
      <c r="O4710" s="76" t="b">
        <v>0</v>
      </c>
      <c r="P4710" s="76" t="b">
        <v>0</v>
      </c>
      <c r="Q4710" s="76" t="b">
        <v>0</v>
      </c>
      <c r="R4710" s="14"/>
      <c r="S4710" s="14"/>
      <c r="T4710" s="14"/>
      <c r="U4710" s="14"/>
      <c r="V4710" s="14"/>
      <c r="W4710" s="14"/>
    </row>
    <row r="4711" ht="31.5" customHeight="1">
      <c r="A4711" s="158"/>
      <c r="B4711" s="159"/>
      <c r="C4711" s="160"/>
      <c r="D4711" s="130"/>
      <c r="E4711" s="130"/>
      <c r="F4711" s="161"/>
      <c r="G4711" s="164"/>
      <c r="H4711" s="76" t="b">
        <v>1</v>
      </c>
      <c r="I4711" s="76" t="b">
        <v>0</v>
      </c>
      <c r="J4711" s="76" t="b">
        <v>0</v>
      </c>
      <c r="K4711" s="76" t="b">
        <v>0</v>
      </c>
      <c r="L4711" s="76" t="b">
        <v>0</v>
      </c>
      <c r="M4711" s="76" t="b">
        <v>0</v>
      </c>
      <c r="N4711" s="76" t="b">
        <v>0</v>
      </c>
      <c r="O4711" s="76" t="b">
        <v>0</v>
      </c>
      <c r="P4711" s="76" t="b">
        <v>0</v>
      </c>
      <c r="Q4711" s="76" t="b">
        <v>0</v>
      </c>
      <c r="R4711" s="14"/>
      <c r="S4711" s="14"/>
      <c r="T4711" s="14"/>
      <c r="U4711" s="14"/>
      <c r="V4711" s="14"/>
      <c r="W4711" s="14"/>
    </row>
    <row r="4712" ht="31.5" customHeight="1">
      <c r="A4712" s="158"/>
      <c r="B4712" s="159"/>
      <c r="C4712" s="160"/>
      <c r="D4712" s="130"/>
      <c r="E4712" s="130"/>
      <c r="F4712" s="161"/>
      <c r="G4712" s="164"/>
      <c r="H4712" s="76" t="b">
        <v>1</v>
      </c>
      <c r="I4712" s="76" t="b">
        <v>0</v>
      </c>
      <c r="J4712" s="76" t="b">
        <v>0</v>
      </c>
      <c r="K4712" s="76" t="b">
        <v>0</v>
      </c>
      <c r="L4712" s="76" t="b">
        <v>0</v>
      </c>
      <c r="M4712" s="76" t="b">
        <v>0</v>
      </c>
      <c r="N4712" s="76" t="b">
        <v>0</v>
      </c>
      <c r="O4712" s="76" t="b">
        <v>0</v>
      </c>
      <c r="P4712" s="76" t="b">
        <v>0</v>
      </c>
      <c r="Q4712" s="76" t="b">
        <v>0</v>
      </c>
      <c r="R4712" s="14"/>
      <c r="S4712" s="14"/>
      <c r="T4712" s="14"/>
      <c r="U4712" s="14"/>
      <c r="V4712" s="14"/>
      <c r="W4712" s="14"/>
    </row>
    <row r="4713" ht="31.5" customHeight="1">
      <c r="A4713" s="158"/>
      <c r="B4713" s="159"/>
      <c r="C4713" s="160"/>
      <c r="D4713" s="130"/>
      <c r="E4713" s="130"/>
      <c r="F4713" s="161"/>
      <c r="G4713" s="164"/>
      <c r="H4713" s="76" t="b">
        <v>1</v>
      </c>
      <c r="I4713" s="76" t="b">
        <v>0</v>
      </c>
      <c r="J4713" s="76" t="b">
        <v>0</v>
      </c>
      <c r="K4713" s="76" t="b">
        <v>0</v>
      </c>
      <c r="L4713" s="76" t="b">
        <v>0</v>
      </c>
      <c r="M4713" s="76" t="b">
        <v>0</v>
      </c>
      <c r="N4713" s="76" t="b">
        <v>0</v>
      </c>
      <c r="O4713" s="76" t="b">
        <v>0</v>
      </c>
      <c r="P4713" s="76" t="b">
        <v>0</v>
      </c>
      <c r="Q4713" s="76" t="b">
        <v>0</v>
      </c>
      <c r="R4713" s="14"/>
      <c r="S4713" s="14"/>
      <c r="T4713" s="14"/>
      <c r="U4713" s="14"/>
      <c r="V4713" s="14"/>
      <c r="W4713" s="14"/>
    </row>
    <row r="4714" ht="31.5" customHeight="1">
      <c r="A4714" s="158"/>
      <c r="B4714" s="159"/>
      <c r="C4714" s="160"/>
      <c r="D4714" s="130"/>
      <c r="E4714" s="130"/>
      <c r="F4714" s="161"/>
      <c r="G4714" s="164"/>
      <c r="H4714" s="76" t="b">
        <v>1</v>
      </c>
      <c r="I4714" s="76" t="b">
        <v>0</v>
      </c>
      <c r="J4714" s="76" t="b">
        <v>0</v>
      </c>
      <c r="K4714" s="76" t="b">
        <v>0</v>
      </c>
      <c r="L4714" s="76" t="b">
        <v>0</v>
      </c>
      <c r="M4714" s="76" t="b">
        <v>0</v>
      </c>
      <c r="N4714" s="76" t="b">
        <v>0</v>
      </c>
      <c r="O4714" s="76" t="b">
        <v>0</v>
      </c>
      <c r="P4714" s="76" t="b">
        <v>0</v>
      </c>
      <c r="Q4714" s="76" t="b">
        <v>0</v>
      </c>
      <c r="R4714" s="14"/>
      <c r="S4714" s="14"/>
      <c r="T4714" s="14"/>
      <c r="U4714" s="14"/>
      <c r="V4714" s="14"/>
      <c r="W4714" s="14"/>
    </row>
    <row r="4715" ht="31.5" customHeight="1">
      <c r="A4715" s="158"/>
      <c r="B4715" s="159"/>
      <c r="C4715" s="160"/>
      <c r="D4715" s="130"/>
      <c r="E4715" s="130"/>
      <c r="F4715" s="161"/>
      <c r="G4715" s="164"/>
      <c r="H4715" s="76" t="b">
        <v>1</v>
      </c>
      <c r="I4715" s="76" t="b">
        <v>0</v>
      </c>
      <c r="J4715" s="76" t="b">
        <v>0</v>
      </c>
      <c r="K4715" s="76" t="b">
        <v>0</v>
      </c>
      <c r="L4715" s="76" t="b">
        <v>0</v>
      </c>
      <c r="M4715" s="76" t="b">
        <v>0</v>
      </c>
      <c r="N4715" s="76" t="b">
        <v>0</v>
      </c>
      <c r="O4715" s="76" t="b">
        <v>0</v>
      </c>
      <c r="P4715" s="76" t="b">
        <v>0</v>
      </c>
      <c r="Q4715" s="76" t="b">
        <v>0</v>
      </c>
      <c r="R4715" s="14"/>
      <c r="S4715" s="14"/>
      <c r="T4715" s="14"/>
      <c r="U4715" s="14"/>
      <c r="V4715" s="14"/>
      <c r="W4715" s="14"/>
    </row>
    <row r="4716" ht="31.5" customHeight="1">
      <c r="A4716" s="158"/>
      <c r="B4716" s="159"/>
      <c r="C4716" s="160"/>
      <c r="D4716" s="130"/>
      <c r="E4716" s="130"/>
      <c r="F4716" s="161"/>
      <c r="G4716" s="164"/>
      <c r="H4716" s="76" t="b">
        <v>1</v>
      </c>
      <c r="I4716" s="76" t="b">
        <v>0</v>
      </c>
      <c r="J4716" s="76" t="b">
        <v>0</v>
      </c>
      <c r="K4716" s="76" t="b">
        <v>0</v>
      </c>
      <c r="L4716" s="76" t="b">
        <v>0</v>
      </c>
      <c r="M4716" s="76" t="b">
        <v>0</v>
      </c>
      <c r="N4716" s="76" t="b">
        <v>0</v>
      </c>
      <c r="O4716" s="76" t="b">
        <v>0</v>
      </c>
      <c r="P4716" s="76" t="b">
        <v>0</v>
      </c>
      <c r="Q4716" s="76" t="b">
        <v>0</v>
      </c>
      <c r="R4716" s="14"/>
      <c r="S4716" s="14"/>
      <c r="T4716" s="14"/>
      <c r="U4716" s="14"/>
      <c r="V4716" s="14"/>
      <c r="W4716" s="14"/>
    </row>
    <row r="4717" ht="31.5" customHeight="1">
      <c r="A4717" s="158"/>
      <c r="B4717" s="159"/>
      <c r="C4717" s="160"/>
      <c r="D4717" s="130"/>
      <c r="E4717" s="130"/>
      <c r="F4717" s="161"/>
      <c r="G4717" s="164"/>
      <c r="H4717" s="76" t="b">
        <v>1</v>
      </c>
      <c r="I4717" s="76" t="b">
        <v>0</v>
      </c>
      <c r="J4717" s="76" t="b">
        <v>0</v>
      </c>
      <c r="K4717" s="76" t="b">
        <v>0</v>
      </c>
      <c r="L4717" s="76" t="b">
        <v>0</v>
      </c>
      <c r="M4717" s="76" t="b">
        <v>0</v>
      </c>
      <c r="N4717" s="76" t="b">
        <v>0</v>
      </c>
      <c r="O4717" s="76" t="b">
        <v>0</v>
      </c>
      <c r="P4717" s="76" t="b">
        <v>0</v>
      </c>
      <c r="Q4717" s="76" t="b">
        <v>0</v>
      </c>
      <c r="R4717" s="14"/>
      <c r="S4717" s="14"/>
      <c r="T4717" s="14"/>
      <c r="U4717" s="14"/>
      <c r="V4717" s="14"/>
      <c r="W4717" s="14"/>
    </row>
    <row r="4718" ht="31.5" customHeight="1">
      <c r="A4718" s="158"/>
      <c r="B4718" s="159"/>
      <c r="C4718" s="160"/>
      <c r="D4718" s="130"/>
      <c r="E4718" s="130"/>
      <c r="F4718" s="161"/>
      <c r="G4718" s="164"/>
      <c r="H4718" s="76" t="b">
        <v>1</v>
      </c>
      <c r="I4718" s="76" t="b">
        <v>0</v>
      </c>
      <c r="J4718" s="76" t="b">
        <v>0</v>
      </c>
      <c r="K4718" s="76" t="b">
        <v>0</v>
      </c>
      <c r="L4718" s="76" t="b">
        <v>0</v>
      </c>
      <c r="M4718" s="76" t="b">
        <v>0</v>
      </c>
      <c r="N4718" s="76" t="b">
        <v>0</v>
      </c>
      <c r="O4718" s="76" t="b">
        <v>0</v>
      </c>
      <c r="P4718" s="76" t="b">
        <v>0</v>
      </c>
      <c r="Q4718" s="76" t="b">
        <v>0</v>
      </c>
      <c r="R4718" s="14"/>
      <c r="S4718" s="14"/>
      <c r="T4718" s="14"/>
      <c r="U4718" s="14"/>
      <c r="V4718" s="14"/>
      <c r="W4718" s="14"/>
    </row>
    <row r="4719" ht="31.5" customHeight="1">
      <c r="A4719" s="158"/>
      <c r="B4719" s="159"/>
      <c r="C4719" s="160"/>
      <c r="D4719" s="130"/>
      <c r="E4719" s="130"/>
      <c r="F4719" s="161"/>
      <c r="G4719" s="164"/>
      <c r="H4719" s="76" t="b">
        <v>1</v>
      </c>
      <c r="I4719" s="76" t="b">
        <v>0</v>
      </c>
      <c r="J4719" s="76" t="b">
        <v>0</v>
      </c>
      <c r="K4719" s="76" t="b">
        <v>0</v>
      </c>
      <c r="L4719" s="76" t="b">
        <v>0</v>
      </c>
      <c r="M4719" s="76" t="b">
        <v>0</v>
      </c>
      <c r="N4719" s="76" t="b">
        <v>0</v>
      </c>
      <c r="O4719" s="76" t="b">
        <v>0</v>
      </c>
      <c r="P4719" s="76" t="b">
        <v>0</v>
      </c>
      <c r="Q4719" s="76" t="b">
        <v>0</v>
      </c>
      <c r="R4719" s="14"/>
      <c r="S4719" s="14"/>
      <c r="T4719" s="14"/>
      <c r="U4719" s="14"/>
      <c r="V4719" s="14"/>
      <c r="W4719" s="14"/>
    </row>
    <row r="4720" ht="31.5" customHeight="1">
      <c r="A4720" s="158"/>
      <c r="B4720" s="159"/>
      <c r="C4720" s="160"/>
      <c r="D4720" s="130"/>
      <c r="E4720" s="130"/>
      <c r="F4720" s="161"/>
      <c r="G4720" s="164"/>
      <c r="H4720" s="76" t="b">
        <v>1</v>
      </c>
      <c r="I4720" s="76" t="b">
        <v>0</v>
      </c>
      <c r="J4720" s="76" t="b">
        <v>0</v>
      </c>
      <c r="K4720" s="76" t="b">
        <v>0</v>
      </c>
      <c r="L4720" s="76" t="b">
        <v>0</v>
      </c>
      <c r="M4720" s="76" t="b">
        <v>0</v>
      </c>
      <c r="N4720" s="76" t="b">
        <v>0</v>
      </c>
      <c r="O4720" s="76" t="b">
        <v>0</v>
      </c>
      <c r="P4720" s="76" t="b">
        <v>0</v>
      </c>
      <c r="Q4720" s="76" t="b">
        <v>0</v>
      </c>
      <c r="R4720" s="14"/>
      <c r="S4720" s="14"/>
      <c r="T4720" s="14"/>
      <c r="U4720" s="14"/>
      <c r="V4720" s="14"/>
      <c r="W4720" s="14"/>
    </row>
    <row r="4721" ht="31.5" customHeight="1">
      <c r="A4721" s="158"/>
      <c r="B4721" s="159"/>
      <c r="C4721" s="160"/>
      <c r="D4721" s="130"/>
      <c r="E4721" s="130"/>
      <c r="F4721" s="161"/>
      <c r="G4721" s="164"/>
      <c r="H4721" s="76" t="b">
        <v>1</v>
      </c>
      <c r="I4721" s="76" t="b">
        <v>0</v>
      </c>
      <c r="J4721" s="76" t="b">
        <v>0</v>
      </c>
      <c r="K4721" s="76" t="b">
        <v>0</v>
      </c>
      <c r="L4721" s="76" t="b">
        <v>0</v>
      </c>
      <c r="M4721" s="76" t="b">
        <v>0</v>
      </c>
      <c r="N4721" s="76" t="b">
        <v>0</v>
      </c>
      <c r="O4721" s="76" t="b">
        <v>0</v>
      </c>
      <c r="P4721" s="76" t="b">
        <v>0</v>
      </c>
      <c r="Q4721" s="76" t="b">
        <v>0</v>
      </c>
      <c r="R4721" s="14"/>
      <c r="S4721" s="14"/>
      <c r="T4721" s="14"/>
      <c r="U4721" s="14"/>
      <c r="V4721" s="14"/>
      <c r="W4721" s="14"/>
    </row>
    <row r="4722" ht="31.5" customHeight="1">
      <c r="A4722" s="158"/>
      <c r="B4722" s="159"/>
      <c r="C4722" s="160"/>
      <c r="D4722" s="130"/>
      <c r="E4722" s="130"/>
      <c r="F4722" s="161"/>
      <c r="G4722" s="164"/>
      <c r="H4722" s="76" t="b">
        <v>1</v>
      </c>
      <c r="I4722" s="76" t="b">
        <v>0</v>
      </c>
      <c r="J4722" s="76" t="b">
        <v>0</v>
      </c>
      <c r="K4722" s="76" t="b">
        <v>0</v>
      </c>
      <c r="L4722" s="76" t="b">
        <v>0</v>
      </c>
      <c r="M4722" s="76" t="b">
        <v>0</v>
      </c>
      <c r="N4722" s="76" t="b">
        <v>0</v>
      </c>
      <c r="O4722" s="76" t="b">
        <v>0</v>
      </c>
      <c r="P4722" s="76" t="b">
        <v>0</v>
      </c>
      <c r="Q4722" s="76" t="b">
        <v>0</v>
      </c>
      <c r="R4722" s="14"/>
      <c r="S4722" s="14"/>
      <c r="T4722" s="14"/>
      <c r="U4722" s="14"/>
      <c r="V4722" s="14"/>
      <c r="W4722" s="14"/>
    </row>
    <row r="4723" ht="31.5" customHeight="1">
      <c r="A4723" s="158"/>
      <c r="B4723" s="159"/>
      <c r="C4723" s="160"/>
      <c r="D4723" s="130"/>
      <c r="E4723" s="130"/>
      <c r="F4723" s="161"/>
      <c r="G4723" s="164"/>
      <c r="H4723" s="76" t="b">
        <v>1</v>
      </c>
      <c r="I4723" s="76" t="b">
        <v>0</v>
      </c>
      <c r="J4723" s="76" t="b">
        <v>0</v>
      </c>
      <c r="K4723" s="76" t="b">
        <v>0</v>
      </c>
      <c r="L4723" s="76" t="b">
        <v>0</v>
      </c>
      <c r="M4723" s="76" t="b">
        <v>0</v>
      </c>
      <c r="N4723" s="76" t="b">
        <v>0</v>
      </c>
      <c r="O4723" s="76" t="b">
        <v>0</v>
      </c>
      <c r="P4723" s="76" t="b">
        <v>0</v>
      </c>
      <c r="Q4723" s="76" t="b">
        <v>0</v>
      </c>
      <c r="R4723" s="14"/>
      <c r="S4723" s="14"/>
      <c r="T4723" s="14"/>
      <c r="U4723" s="14"/>
      <c r="V4723" s="14"/>
      <c r="W4723" s="14"/>
    </row>
    <row r="4724" ht="31.5" customHeight="1">
      <c r="A4724" s="158"/>
      <c r="B4724" s="159"/>
      <c r="C4724" s="160"/>
      <c r="D4724" s="130"/>
      <c r="E4724" s="130"/>
      <c r="F4724" s="161"/>
      <c r="G4724" s="164"/>
      <c r="H4724" s="76" t="b">
        <v>1</v>
      </c>
      <c r="I4724" s="76" t="b">
        <v>0</v>
      </c>
      <c r="J4724" s="76" t="b">
        <v>0</v>
      </c>
      <c r="K4724" s="76" t="b">
        <v>0</v>
      </c>
      <c r="L4724" s="76" t="b">
        <v>0</v>
      </c>
      <c r="M4724" s="76" t="b">
        <v>0</v>
      </c>
      <c r="N4724" s="76" t="b">
        <v>0</v>
      </c>
      <c r="O4724" s="76" t="b">
        <v>0</v>
      </c>
      <c r="P4724" s="76" t="b">
        <v>0</v>
      </c>
      <c r="Q4724" s="76" t="b">
        <v>0</v>
      </c>
      <c r="R4724" s="14"/>
      <c r="S4724" s="14"/>
      <c r="T4724" s="14"/>
      <c r="U4724" s="14"/>
      <c r="V4724" s="14"/>
      <c r="W4724" s="14"/>
    </row>
    <row r="4725" ht="31.5" customHeight="1">
      <c r="A4725" s="158"/>
      <c r="B4725" s="159"/>
      <c r="C4725" s="160"/>
      <c r="D4725" s="130"/>
      <c r="E4725" s="130"/>
      <c r="F4725" s="161"/>
      <c r="G4725" s="164"/>
      <c r="H4725" s="76" t="b">
        <v>1</v>
      </c>
      <c r="I4725" s="76" t="b">
        <v>0</v>
      </c>
      <c r="J4725" s="76" t="b">
        <v>0</v>
      </c>
      <c r="K4725" s="76" t="b">
        <v>0</v>
      </c>
      <c r="L4725" s="76" t="b">
        <v>0</v>
      </c>
      <c r="M4725" s="76" t="b">
        <v>0</v>
      </c>
      <c r="N4725" s="76" t="b">
        <v>0</v>
      </c>
      <c r="O4725" s="76" t="b">
        <v>0</v>
      </c>
      <c r="P4725" s="76" t="b">
        <v>0</v>
      </c>
      <c r="Q4725" s="76" t="b">
        <v>0</v>
      </c>
      <c r="R4725" s="14"/>
      <c r="S4725" s="14"/>
      <c r="T4725" s="14"/>
      <c r="U4725" s="14"/>
      <c r="V4725" s="14"/>
      <c r="W4725" s="14"/>
    </row>
    <row r="4726" ht="31.5" customHeight="1">
      <c r="A4726" s="158"/>
      <c r="B4726" s="159"/>
      <c r="C4726" s="160"/>
      <c r="D4726" s="130"/>
      <c r="E4726" s="130"/>
      <c r="F4726" s="161"/>
      <c r="G4726" s="164"/>
      <c r="H4726" s="76" t="b">
        <v>1</v>
      </c>
      <c r="I4726" s="76" t="b">
        <v>0</v>
      </c>
      <c r="J4726" s="76" t="b">
        <v>0</v>
      </c>
      <c r="K4726" s="76" t="b">
        <v>0</v>
      </c>
      <c r="L4726" s="76" t="b">
        <v>0</v>
      </c>
      <c r="M4726" s="76" t="b">
        <v>0</v>
      </c>
      <c r="N4726" s="76" t="b">
        <v>0</v>
      </c>
      <c r="O4726" s="76" t="b">
        <v>0</v>
      </c>
      <c r="P4726" s="76" t="b">
        <v>0</v>
      </c>
      <c r="Q4726" s="76" t="b">
        <v>0</v>
      </c>
      <c r="R4726" s="14"/>
      <c r="S4726" s="14"/>
      <c r="T4726" s="14"/>
      <c r="U4726" s="14"/>
      <c r="V4726" s="14"/>
      <c r="W4726" s="14"/>
    </row>
    <row r="4727" ht="31.5" customHeight="1">
      <c r="A4727" s="158"/>
      <c r="B4727" s="159"/>
      <c r="C4727" s="160"/>
      <c r="D4727" s="130"/>
      <c r="E4727" s="130"/>
      <c r="F4727" s="161"/>
      <c r="G4727" s="164"/>
      <c r="H4727" s="76" t="b">
        <v>1</v>
      </c>
      <c r="I4727" s="76" t="b">
        <v>0</v>
      </c>
      <c r="J4727" s="76" t="b">
        <v>0</v>
      </c>
      <c r="K4727" s="76" t="b">
        <v>0</v>
      </c>
      <c r="L4727" s="76" t="b">
        <v>0</v>
      </c>
      <c r="M4727" s="76" t="b">
        <v>0</v>
      </c>
      <c r="N4727" s="76" t="b">
        <v>0</v>
      </c>
      <c r="O4727" s="76" t="b">
        <v>0</v>
      </c>
      <c r="P4727" s="76" t="b">
        <v>0</v>
      </c>
      <c r="Q4727" s="76" t="b">
        <v>0</v>
      </c>
      <c r="R4727" s="14"/>
      <c r="S4727" s="14"/>
      <c r="T4727" s="14"/>
      <c r="U4727" s="14"/>
      <c r="V4727" s="14"/>
      <c r="W4727" s="14"/>
    </row>
    <row r="4728" ht="31.5" customHeight="1">
      <c r="A4728" s="158"/>
      <c r="B4728" s="159"/>
      <c r="C4728" s="160"/>
      <c r="D4728" s="130"/>
      <c r="E4728" s="130"/>
      <c r="F4728" s="161"/>
      <c r="G4728" s="164"/>
      <c r="H4728" s="76" t="b">
        <v>1</v>
      </c>
      <c r="I4728" s="76" t="b">
        <v>0</v>
      </c>
      <c r="J4728" s="76" t="b">
        <v>0</v>
      </c>
      <c r="K4728" s="76" t="b">
        <v>0</v>
      </c>
      <c r="L4728" s="76" t="b">
        <v>0</v>
      </c>
      <c r="M4728" s="76" t="b">
        <v>0</v>
      </c>
      <c r="N4728" s="76" t="b">
        <v>0</v>
      </c>
      <c r="O4728" s="76" t="b">
        <v>0</v>
      </c>
      <c r="P4728" s="76" t="b">
        <v>0</v>
      </c>
      <c r="Q4728" s="76" t="b">
        <v>0</v>
      </c>
      <c r="R4728" s="14"/>
      <c r="S4728" s="14"/>
      <c r="T4728" s="14"/>
      <c r="U4728" s="14"/>
      <c r="V4728" s="14"/>
      <c r="W4728" s="14"/>
    </row>
    <row r="4729" ht="31.5" customHeight="1">
      <c r="A4729" s="158"/>
      <c r="B4729" s="159"/>
      <c r="C4729" s="160"/>
      <c r="D4729" s="130"/>
      <c r="E4729" s="130"/>
      <c r="F4729" s="161"/>
      <c r="G4729" s="164"/>
      <c r="H4729" s="76" t="b">
        <v>1</v>
      </c>
      <c r="I4729" s="76" t="b">
        <v>0</v>
      </c>
      <c r="J4729" s="76" t="b">
        <v>0</v>
      </c>
      <c r="K4729" s="76" t="b">
        <v>0</v>
      </c>
      <c r="L4729" s="76" t="b">
        <v>0</v>
      </c>
      <c r="M4729" s="76" t="b">
        <v>0</v>
      </c>
      <c r="N4729" s="76" t="b">
        <v>0</v>
      </c>
      <c r="O4729" s="76" t="b">
        <v>0</v>
      </c>
      <c r="P4729" s="76" t="b">
        <v>0</v>
      </c>
      <c r="Q4729" s="76" t="b">
        <v>0</v>
      </c>
      <c r="R4729" s="14"/>
      <c r="S4729" s="14"/>
      <c r="T4729" s="14"/>
      <c r="U4729" s="14"/>
      <c r="V4729" s="14"/>
      <c r="W4729" s="14"/>
    </row>
    <row r="4730" ht="31.5" customHeight="1">
      <c r="A4730" s="158"/>
      <c r="B4730" s="159"/>
      <c r="C4730" s="160"/>
      <c r="D4730" s="130"/>
      <c r="E4730" s="130"/>
      <c r="F4730" s="161"/>
      <c r="G4730" s="164"/>
      <c r="H4730" s="76" t="b">
        <v>1</v>
      </c>
      <c r="I4730" s="76" t="b">
        <v>0</v>
      </c>
      <c r="J4730" s="76" t="b">
        <v>0</v>
      </c>
      <c r="K4730" s="76" t="b">
        <v>0</v>
      </c>
      <c r="L4730" s="76" t="b">
        <v>0</v>
      </c>
      <c r="M4730" s="76" t="b">
        <v>0</v>
      </c>
      <c r="N4730" s="76" t="b">
        <v>0</v>
      </c>
      <c r="O4730" s="76" t="b">
        <v>0</v>
      </c>
      <c r="P4730" s="76" t="b">
        <v>0</v>
      </c>
      <c r="Q4730" s="76" t="b">
        <v>0</v>
      </c>
      <c r="R4730" s="14"/>
      <c r="S4730" s="14"/>
      <c r="T4730" s="14"/>
      <c r="U4730" s="14"/>
      <c r="V4730" s="14"/>
      <c r="W4730" s="14"/>
    </row>
    <row r="4731" ht="31.5" customHeight="1">
      <c r="A4731" s="158"/>
      <c r="B4731" s="159"/>
      <c r="C4731" s="160"/>
      <c r="D4731" s="130"/>
      <c r="E4731" s="130"/>
      <c r="F4731" s="161"/>
      <c r="G4731" s="164"/>
      <c r="H4731" s="76" t="b">
        <v>1</v>
      </c>
      <c r="I4731" s="76" t="b">
        <v>0</v>
      </c>
      <c r="J4731" s="76" t="b">
        <v>0</v>
      </c>
      <c r="K4731" s="76" t="b">
        <v>0</v>
      </c>
      <c r="L4731" s="76" t="b">
        <v>0</v>
      </c>
      <c r="M4731" s="76" t="b">
        <v>0</v>
      </c>
      <c r="N4731" s="76" t="b">
        <v>0</v>
      </c>
      <c r="O4731" s="76" t="b">
        <v>0</v>
      </c>
      <c r="P4731" s="76" t="b">
        <v>0</v>
      </c>
      <c r="Q4731" s="76" t="b">
        <v>0</v>
      </c>
      <c r="R4731" s="14"/>
      <c r="S4731" s="14"/>
      <c r="T4731" s="14"/>
      <c r="U4731" s="14"/>
      <c r="V4731" s="14"/>
      <c r="W4731" s="14"/>
    </row>
    <row r="4732" ht="31.5" customHeight="1">
      <c r="A4732" s="158"/>
      <c r="B4732" s="159"/>
      <c r="C4732" s="160"/>
      <c r="D4732" s="130"/>
      <c r="E4732" s="130"/>
      <c r="F4732" s="161"/>
      <c r="G4732" s="164"/>
      <c r="H4732" s="76" t="b">
        <v>1</v>
      </c>
      <c r="I4732" s="76" t="b">
        <v>0</v>
      </c>
      <c r="J4732" s="76" t="b">
        <v>0</v>
      </c>
      <c r="K4732" s="76" t="b">
        <v>0</v>
      </c>
      <c r="L4732" s="76" t="b">
        <v>0</v>
      </c>
      <c r="M4732" s="76" t="b">
        <v>0</v>
      </c>
      <c r="N4732" s="76" t="b">
        <v>0</v>
      </c>
      <c r="O4732" s="76" t="b">
        <v>0</v>
      </c>
      <c r="P4732" s="76" t="b">
        <v>0</v>
      </c>
      <c r="Q4732" s="76" t="b">
        <v>0</v>
      </c>
      <c r="R4732" s="14"/>
      <c r="S4732" s="14"/>
      <c r="T4732" s="14"/>
      <c r="U4732" s="14"/>
      <c r="V4732" s="14"/>
      <c r="W4732" s="14"/>
    </row>
    <row r="4733" ht="31.5" customHeight="1">
      <c r="A4733" s="158"/>
      <c r="B4733" s="159"/>
      <c r="C4733" s="160"/>
      <c r="D4733" s="130"/>
      <c r="E4733" s="130"/>
      <c r="F4733" s="161"/>
      <c r="G4733" s="164"/>
      <c r="H4733" s="76" t="b">
        <v>1</v>
      </c>
      <c r="I4733" s="76" t="b">
        <v>0</v>
      </c>
      <c r="J4733" s="76" t="b">
        <v>0</v>
      </c>
      <c r="K4733" s="76" t="b">
        <v>0</v>
      </c>
      <c r="L4733" s="76" t="b">
        <v>0</v>
      </c>
      <c r="M4733" s="76" t="b">
        <v>0</v>
      </c>
      <c r="N4733" s="76" t="b">
        <v>0</v>
      </c>
      <c r="O4733" s="76" t="b">
        <v>0</v>
      </c>
      <c r="P4733" s="76" t="b">
        <v>0</v>
      </c>
      <c r="Q4733" s="76" t="b">
        <v>0</v>
      </c>
      <c r="R4733" s="14"/>
      <c r="S4733" s="14"/>
      <c r="T4733" s="14"/>
      <c r="U4733" s="14"/>
      <c r="V4733" s="14"/>
      <c r="W4733" s="14"/>
    </row>
    <row r="4734" ht="31.5" customHeight="1">
      <c r="A4734" s="158"/>
      <c r="B4734" s="159"/>
      <c r="C4734" s="160"/>
      <c r="D4734" s="130"/>
      <c r="E4734" s="130"/>
      <c r="F4734" s="161"/>
      <c r="G4734" s="164"/>
      <c r="H4734" s="76" t="b">
        <v>1</v>
      </c>
      <c r="I4734" s="76" t="b">
        <v>0</v>
      </c>
      <c r="J4734" s="76" t="b">
        <v>0</v>
      </c>
      <c r="K4734" s="76" t="b">
        <v>0</v>
      </c>
      <c r="L4734" s="76" t="b">
        <v>0</v>
      </c>
      <c r="M4734" s="76" t="b">
        <v>0</v>
      </c>
      <c r="N4734" s="76" t="b">
        <v>0</v>
      </c>
      <c r="O4734" s="76" t="b">
        <v>0</v>
      </c>
      <c r="P4734" s="76" t="b">
        <v>0</v>
      </c>
      <c r="Q4734" s="76" t="b">
        <v>0</v>
      </c>
      <c r="R4734" s="14"/>
      <c r="S4734" s="14"/>
      <c r="T4734" s="14"/>
      <c r="U4734" s="14"/>
      <c r="V4734" s="14"/>
      <c r="W4734" s="14"/>
    </row>
    <row r="4735" ht="31.5" customHeight="1">
      <c r="A4735" s="158"/>
      <c r="B4735" s="159"/>
      <c r="C4735" s="160"/>
      <c r="D4735" s="130"/>
      <c r="E4735" s="130"/>
      <c r="F4735" s="161"/>
      <c r="G4735" s="164"/>
      <c r="H4735" s="76" t="b">
        <v>1</v>
      </c>
      <c r="I4735" s="76" t="b">
        <v>0</v>
      </c>
      <c r="J4735" s="76" t="b">
        <v>0</v>
      </c>
      <c r="K4735" s="76" t="b">
        <v>0</v>
      </c>
      <c r="L4735" s="76" t="b">
        <v>0</v>
      </c>
      <c r="M4735" s="76" t="b">
        <v>0</v>
      </c>
      <c r="N4735" s="76" t="b">
        <v>0</v>
      </c>
      <c r="O4735" s="76" t="b">
        <v>0</v>
      </c>
      <c r="P4735" s="76" t="b">
        <v>0</v>
      </c>
      <c r="Q4735" s="76" t="b">
        <v>0</v>
      </c>
      <c r="R4735" s="14"/>
      <c r="S4735" s="14"/>
      <c r="T4735" s="14"/>
      <c r="U4735" s="14"/>
      <c r="V4735" s="14"/>
      <c r="W4735" s="14"/>
    </row>
    <row r="4736" ht="31.5" customHeight="1">
      <c r="A4736" s="158"/>
      <c r="B4736" s="159"/>
      <c r="C4736" s="160"/>
      <c r="D4736" s="130"/>
      <c r="E4736" s="130"/>
      <c r="F4736" s="161"/>
      <c r="G4736" s="164"/>
      <c r="H4736" s="76" t="b">
        <v>1</v>
      </c>
      <c r="I4736" s="76" t="b">
        <v>0</v>
      </c>
      <c r="J4736" s="76" t="b">
        <v>0</v>
      </c>
      <c r="K4736" s="76" t="b">
        <v>0</v>
      </c>
      <c r="L4736" s="76" t="b">
        <v>0</v>
      </c>
      <c r="M4736" s="76" t="b">
        <v>0</v>
      </c>
      <c r="N4736" s="76" t="b">
        <v>0</v>
      </c>
      <c r="O4736" s="76" t="b">
        <v>0</v>
      </c>
      <c r="P4736" s="76" t="b">
        <v>0</v>
      </c>
      <c r="Q4736" s="76" t="b">
        <v>0</v>
      </c>
      <c r="R4736" s="14"/>
      <c r="S4736" s="14"/>
      <c r="T4736" s="14"/>
      <c r="U4736" s="14"/>
      <c r="V4736" s="14"/>
      <c r="W4736" s="14"/>
    </row>
    <row r="4737" ht="31.5" customHeight="1">
      <c r="A4737" s="158"/>
      <c r="B4737" s="159"/>
      <c r="C4737" s="160"/>
      <c r="D4737" s="130"/>
      <c r="E4737" s="130"/>
      <c r="F4737" s="161"/>
      <c r="G4737" s="164"/>
      <c r="H4737" s="76" t="b">
        <v>1</v>
      </c>
      <c r="I4737" s="76" t="b">
        <v>0</v>
      </c>
      <c r="J4737" s="76" t="b">
        <v>0</v>
      </c>
      <c r="K4737" s="76" t="b">
        <v>0</v>
      </c>
      <c r="L4737" s="76" t="b">
        <v>0</v>
      </c>
      <c r="M4737" s="76" t="b">
        <v>0</v>
      </c>
      <c r="N4737" s="76" t="b">
        <v>0</v>
      </c>
      <c r="O4737" s="76" t="b">
        <v>0</v>
      </c>
      <c r="P4737" s="76" t="b">
        <v>0</v>
      </c>
      <c r="Q4737" s="76" t="b">
        <v>0</v>
      </c>
      <c r="R4737" s="14"/>
      <c r="S4737" s="14"/>
      <c r="T4737" s="14"/>
      <c r="U4737" s="14"/>
      <c r="V4737" s="14"/>
      <c r="W4737" s="14"/>
    </row>
    <row r="4738" ht="31.5" customHeight="1">
      <c r="A4738" s="158"/>
      <c r="B4738" s="159"/>
      <c r="C4738" s="160"/>
      <c r="D4738" s="130"/>
      <c r="E4738" s="130"/>
      <c r="F4738" s="161"/>
      <c r="G4738" s="164"/>
      <c r="H4738" s="76" t="b">
        <v>1</v>
      </c>
      <c r="I4738" s="76" t="b">
        <v>0</v>
      </c>
      <c r="J4738" s="76" t="b">
        <v>0</v>
      </c>
      <c r="K4738" s="76" t="b">
        <v>0</v>
      </c>
      <c r="L4738" s="76" t="b">
        <v>0</v>
      </c>
      <c r="M4738" s="76" t="b">
        <v>0</v>
      </c>
      <c r="N4738" s="76" t="b">
        <v>0</v>
      </c>
      <c r="O4738" s="76" t="b">
        <v>0</v>
      </c>
      <c r="P4738" s="76" t="b">
        <v>0</v>
      </c>
      <c r="Q4738" s="76" t="b">
        <v>0</v>
      </c>
      <c r="R4738" s="14"/>
      <c r="S4738" s="14"/>
      <c r="T4738" s="14"/>
      <c r="U4738" s="14"/>
      <c r="V4738" s="14"/>
      <c r="W4738" s="14"/>
    </row>
    <row r="4739" ht="31.5" customHeight="1">
      <c r="A4739" s="158"/>
      <c r="B4739" s="159"/>
      <c r="C4739" s="160"/>
      <c r="D4739" s="130"/>
      <c r="E4739" s="130"/>
      <c r="F4739" s="161"/>
      <c r="G4739" s="164"/>
      <c r="H4739" s="76" t="b">
        <v>1</v>
      </c>
      <c r="I4739" s="76" t="b">
        <v>0</v>
      </c>
      <c r="J4739" s="76" t="b">
        <v>0</v>
      </c>
      <c r="K4739" s="76" t="b">
        <v>0</v>
      </c>
      <c r="L4739" s="76" t="b">
        <v>0</v>
      </c>
      <c r="M4739" s="76" t="b">
        <v>0</v>
      </c>
      <c r="N4739" s="76" t="b">
        <v>0</v>
      </c>
      <c r="O4739" s="76" t="b">
        <v>0</v>
      </c>
      <c r="P4739" s="76" t="b">
        <v>0</v>
      </c>
      <c r="Q4739" s="76" t="b">
        <v>0</v>
      </c>
      <c r="R4739" s="14"/>
      <c r="S4739" s="14"/>
      <c r="T4739" s="14"/>
      <c r="U4739" s="14"/>
      <c r="V4739" s="14"/>
      <c r="W4739" s="14"/>
    </row>
    <row r="4740" ht="31.5" customHeight="1">
      <c r="A4740" s="158"/>
      <c r="B4740" s="159"/>
      <c r="C4740" s="160"/>
      <c r="D4740" s="130"/>
      <c r="E4740" s="130"/>
      <c r="F4740" s="161"/>
      <c r="G4740" s="164"/>
      <c r="H4740" s="76" t="b">
        <v>1</v>
      </c>
      <c r="I4740" s="76" t="b">
        <v>0</v>
      </c>
      <c r="J4740" s="76" t="b">
        <v>0</v>
      </c>
      <c r="K4740" s="76" t="b">
        <v>0</v>
      </c>
      <c r="L4740" s="76" t="b">
        <v>0</v>
      </c>
      <c r="M4740" s="76" t="b">
        <v>0</v>
      </c>
      <c r="N4740" s="76" t="b">
        <v>0</v>
      </c>
      <c r="O4740" s="76" t="b">
        <v>0</v>
      </c>
      <c r="P4740" s="76" t="b">
        <v>0</v>
      </c>
      <c r="Q4740" s="76" t="b">
        <v>0</v>
      </c>
      <c r="R4740" s="14"/>
      <c r="S4740" s="14"/>
      <c r="T4740" s="14"/>
      <c r="U4740" s="14"/>
      <c r="V4740" s="14"/>
      <c r="W4740" s="14"/>
    </row>
    <row r="4741" ht="31.5" customHeight="1">
      <c r="A4741" s="158"/>
      <c r="B4741" s="159"/>
      <c r="C4741" s="160"/>
      <c r="D4741" s="130"/>
      <c r="E4741" s="130"/>
      <c r="F4741" s="161"/>
      <c r="G4741" s="164"/>
      <c r="H4741" s="76" t="b">
        <v>1</v>
      </c>
      <c r="I4741" s="76" t="b">
        <v>0</v>
      </c>
      <c r="J4741" s="76" t="b">
        <v>0</v>
      </c>
      <c r="K4741" s="76" t="b">
        <v>0</v>
      </c>
      <c r="L4741" s="76" t="b">
        <v>0</v>
      </c>
      <c r="M4741" s="76" t="b">
        <v>0</v>
      </c>
      <c r="N4741" s="76" t="b">
        <v>0</v>
      </c>
      <c r="O4741" s="76" t="b">
        <v>0</v>
      </c>
      <c r="P4741" s="76" t="b">
        <v>0</v>
      </c>
      <c r="Q4741" s="76" t="b">
        <v>0</v>
      </c>
      <c r="R4741" s="14"/>
      <c r="S4741" s="14"/>
      <c r="T4741" s="14"/>
      <c r="U4741" s="14"/>
      <c r="V4741" s="14"/>
      <c r="W4741" s="14"/>
    </row>
    <row r="4742" ht="31.5" customHeight="1">
      <c r="A4742" s="158"/>
      <c r="B4742" s="159"/>
      <c r="C4742" s="160"/>
      <c r="D4742" s="130"/>
      <c r="E4742" s="130"/>
      <c r="F4742" s="161"/>
      <c r="G4742" s="164"/>
      <c r="H4742" s="76" t="b">
        <v>1</v>
      </c>
      <c r="I4742" s="76" t="b">
        <v>0</v>
      </c>
      <c r="J4742" s="76" t="b">
        <v>0</v>
      </c>
      <c r="K4742" s="76" t="b">
        <v>0</v>
      </c>
      <c r="L4742" s="76" t="b">
        <v>0</v>
      </c>
      <c r="M4742" s="76" t="b">
        <v>0</v>
      </c>
      <c r="N4742" s="76" t="b">
        <v>0</v>
      </c>
      <c r="O4742" s="76" t="b">
        <v>0</v>
      </c>
      <c r="P4742" s="76" t="b">
        <v>0</v>
      </c>
      <c r="Q4742" s="76" t="b">
        <v>0</v>
      </c>
      <c r="R4742" s="14"/>
      <c r="S4742" s="14"/>
      <c r="T4742" s="14"/>
      <c r="U4742" s="14"/>
      <c r="V4742" s="14"/>
      <c r="W4742" s="14"/>
    </row>
    <row r="4743" ht="31.5" customHeight="1">
      <c r="A4743" s="158"/>
      <c r="B4743" s="159"/>
      <c r="C4743" s="160"/>
      <c r="D4743" s="130"/>
      <c r="E4743" s="130"/>
      <c r="F4743" s="161"/>
      <c r="G4743" s="164"/>
      <c r="H4743" s="76" t="b">
        <v>1</v>
      </c>
      <c r="I4743" s="76" t="b">
        <v>0</v>
      </c>
      <c r="J4743" s="76" t="b">
        <v>0</v>
      </c>
      <c r="K4743" s="76" t="b">
        <v>0</v>
      </c>
      <c r="L4743" s="76" t="b">
        <v>0</v>
      </c>
      <c r="M4743" s="76" t="b">
        <v>0</v>
      </c>
      <c r="N4743" s="76" t="b">
        <v>0</v>
      </c>
      <c r="O4743" s="76" t="b">
        <v>0</v>
      </c>
      <c r="P4743" s="76" t="b">
        <v>0</v>
      </c>
      <c r="Q4743" s="76" t="b">
        <v>0</v>
      </c>
      <c r="R4743" s="14"/>
      <c r="S4743" s="14"/>
      <c r="T4743" s="14"/>
      <c r="U4743" s="14"/>
      <c r="V4743" s="14"/>
      <c r="W4743" s="14"/>
    </row>
    <row r="4744" ht="31.5" customHeight="1">
      <c r="A4744" s="158"/>
      <c r="B4744" s="159"/>
      <c r="C4744" s="160"/>
      <c r="D4744" s="130"/>
      <c r="E4744" s="130"/>
      <c r="F4744" s="161"/>
      <c r="G4744" s="164"/>
      <c r="H4744" s="76" t="b">
        <v>1</v>
      </c>
      <c r="I4744" s="76" t="b">
        <v>0</v>
      </c>
      <c r="J4744" s="76" t="b">
        <v>0</v>
      </c>
      <c r="K4744" s="76" t="b">
        <v>0</v>
      </c>
      <c r="L4744" s="76" t="b">
        <v>0</v>
      </c>
      <c r="M4744" s="76" t="b">
        <v>0</v>
      </c>
      <c r="N4744" s="76" t="b">
        <v>0</v>
      </c>
      <c r="O4744" s="76" t="b">
        <v>0</v>
      </c>
      <c r="P4744" s="76" t="b">
        <v>0</v>
      </c>
      <c r="Q4744" s="76" t="b">
        <v>0</v>
      </c>
      <c r="R4744" s="14"/>
      <c r="S4744" s="14"/>
      <c r="T4744" s="14"/>
      <c r="U4744" s="14"/>
      <c r="V4744" s="14"/>
      <c r="W4744" s="14"/>
    </row>
    <row r="4745" ht="31.5" customHeight="1">
      <c r="A4745" s="158"/>
      <c r="B4745" s="159"/>
      <c r="C4745" s="160"/>
      <c r="D4745" s="130"/>
      <c r="E4745" s="130"/>
      <c r="F4745" s="161"/>
      <c r="G4745" s="164"/>
      <c r="H4745" s="76" t="b">
        <v>1</v>
      </c>
      <c r="I4745" s="76" t="b">
        <v>0</v>
      </c>
      <c r="J4745" s="76" t="b">
        <v>0</v>
      </c>
      <c r="K4745" s="76" t="b">
        <v>0</v>
      </c>
      <c r="L4745" s="76" t="b">
        <v>0</v>
      </c>
      <c r="M4745" s="76" t="b">
        <v>0</v>
      </c>
      <c r="N4745" s="76" t="b">
        <v>0</v>
      </c>
      <c r="O4745" s="76" t="b">
        <v>0</v>
      </c>
      <c r="P4745" s="76" t="b">
        <v>0</v>
      </c>
      <c r="Q4745" s="76" t="b">
        <v>0</v>
      </c>
      <c r="R4745" s="14"/>
      <c r="S4745" s="14"/>
      <c r="T4745" s="14"/>
      <c r="U4745" s="14"/>
      <c r="V4745" s="14"/>
      <c r="W4745" s="14"/>
    </row>
    <row r="4746" ht="31.5" customHeight="1">
      <c r="A4746" s="158"/>
      <c r="B4746" s="159"/>
      <c r="C4746" s="160"/>
      <c r="D4746" s="130"/>
      <c r="E4746" s="130"/>
      <c r="F4746" s="161"/>
      <c r="G4746" s="164"/>
      <c r="H4746" s="76" t="b">
        <v>1</v>
      </c>
      <c r="I4746" s="76" t="b">
        <v>0</v>
      </c>
      <c r="J4746" s="76" t="b">
        <v>0</v>
      </c>
      <c r="K4746" s="76" t="b">
        <v>0</v>
      </c>
      <c r="L4746" s="76" t="b">
        <v>0</v>
      </c>
      <c r="M4746" s="76" t="b">
        <v>0</v>
      </c>
      <c r="N4746" s="76" t="b">
        <v>0</v>
      </c>
      <c r="O4746" s="76" t="b">
        <v>0</v>
      </c>
      <c r="P4746" s="76" t="b">
        <v>0</v>
      </c>
      <c r="Q4746" s="76" t="b">
        <v>0</v>
      </c>
      <c r="R4746" s="14"/>
      <c r="S4746" s="14"/>
      <c r="T4746" s="14"/>
      <c r="U4746" s="14"/>
      <c r="V4746" s="14"/>
      <c r="W4746" s="14"/>
    </row>
    <row r="4747" ht="31.5" customHeight="1">
      <c r="A4747" s="158"/>
      <c r="B4747" s="159"/>
      <c r="C4747" s="160"/>
      <c r="D4747" s="130"/>
      <c r="E4747" s="130"/>
      <c r="F4747" s="161"/>
      <c r="G4747" s="164"/>
      <c r="H4747" s="76" t="b">
        <v>1</v>
      </c>
      <c r="I4747" s="76" t="b">
        <v>0</v>
      </c>
      <c r="J4747" s="76" t="b">
        <v>0</v>
      </c>
      <c r="K4747" s="76" t="b">
        <v>0</v>
      </c>
      <c r="L4747" s="76" t="b">
        <v>0</v>
      </c>
      <c r="M4747" s="76" t="b">
        <v>0</v>
      </c>
      <c r="N4747" s="76" t="b">
        <v>0</v>
      </c>
      <c r="O4747" s="76" t="b">
        <v>0</v>
      </c>
      <c r="P4747" s="76" t="b">
        <v>0</v>
      </c>
      <c r="Q4747" s="76" t="b">
        <v>0</v>
      </c>
      <c r="R4747" s="14"/>
      <c r="S4747" s="14"/>
      <c r="T4747" s="14"/>
      <c r="U4747" s="14"/>
      <c r="V4747" s="14"/>
      <c r="W4747" s="14"/>
    </row>
    <row r="4748" ht="31.5" customHeight="1">
      <c r="A4748" s="158"/>
      <c r="B4748" s="159"/>
      <c r="C4748" s="160"/>
      <c r="D4748" s="130"/>
      <c r="E4748" s="130"/>
      <c r="F4748" s="161"/>
      <c r="G4748" s="164"/>
      <c r="H4748" s="76" t="b">
        <v>1</v>
      </c>
      <c r="I4748" s="76" t="b">
        <v>0</v>
      </c>
      <c r="J4748" s="76" t="b">
        <v>0</v>
      </c>
      <c r="K4748" s="76" t="b">
        <v>0</v>
      </c>
      <c r="L4748" s="76" t="b">
        <v>0</v>
      </c>
      <c r="M4748" s="76" t="b">
        <v>0</v>
      </c>
      <c r="N4748" s="76" t="b">
        <v>0</v>
      </c>
      <c r="O4748" s="76" t="b">
        <v>0</v>
      </c>
      <c r="P4748" s="76" t="b">
        <v>0</v>
      </c>
      <c r="Q4748" s="76" t="b">
        <v>0</v>
      </c>
      <c r="R4748" s="14"/>
      <c r="S4748" s="14"/>
      <c r="T4748" s="14"/>
      <c r="U4748" s="14"/>
      <c r="V4748" s="14"/>
      <c r="W4748" s="14"/>
    </row>
    <row r="4749" ht="31.5" customHeight="1">
      <c r="A4749" s="158"/>
      <c r="B4749" s="159"/>
      <c r="C4749" s="160"/>
      <c r="D4749" s="130"/>
      <c r="E4749" s="130"/>
      <c r="F4749" s="161"/>
      <c r="G4749" s="164"/>
      <c r="H4749" s="76" t="b">
        <v>1</v>
      </c>
      <c r="I4749" s="76" t="b">
        <v>0</v>
      </c>
      <c r="J4749" s="76" t="b">
        <v>0</v>
      </c>
      <c r="K4749" s="76" t="b">
        <v>0</v>
      </c>
      <c r="L4749" s="76" t="b">
        <v>0</v>
      </c>
      <c r="M4749" s="76" t="b">
        <v>0</v>
      </c>
      <c r="N4749" s="76" t="b">
        <v>0</v>
      </c>
      <c r="O4749" s="76" t="b">
        <v>0</v>
      </c>
      <c r="P4749" s="76" t="b">
        <v>0</v>
      </c>
      <c r="Q4749" s="76" t="b">
        <v>0</v>
      </c>
      <c r="R4749" s="14"/>
      <c r="S4749" s="14"/>
      <c r="T4749" s="14"/>
      <c r="U4749" s="14"/>
      <c r="V4749" s="14"/>
      <c r="W4749" s="14"/>
    </row>
    <row r="4750" ht="31.5" customHeight="1">
      <c r="A4750" s="158"/>
      <c r="B4750" s="159"/>
      <c r="C4750" s="160"/>
      <c r="D4750" s="130"/>
      <c r="E4750" s="130"/>
      <c r="F4750" s="161"/>
      <c r="G4750" s="164"/>
      <c r="H4750" s="76" t="b">
        <v>1</v>
      </c>
      <c r="I4750" s="76" t="b">
        <v>0</v>
      </c>
      <c r="J4750" s="76" t="b">
        <v>0</v>
      </c>
      <c r="K4750" s="76" t="b">
        <v>0</v>
      </c>
      <c r="L4750" s="76" t="b">
        <v>0</v>
      </c>
      <c r="M4750" s="76" t="b">
        <v>0</v>
      </c>
      <c r="N4750" s="76" t="b">
        <v>0</v>
      </c>
      <c r="O4750" s="76" t="b">
        <v>0</v>
      </c>
      <c r="P4750" s="76" t="b">
        <v>0</v>
      </c>
      <c r="Q4750" s="76" t="b">
        <v>0</v>
      </c>
      <c r="R4750" s="14"/>
      <c r="S4750" s="14"/>
      <c r="T4750" s="14"/>
      <c r="U4750" s="14"/>
      <c r="V4750" s="14"/>
      <c r="W4750" s="14"/>
    </row>
    <row r="4751" ht="31.5" customHeight="1">
      <c r="A4751" s="158"/>
      <c r="B4751" s="159"/>
      <c r="C4751" s="160"/>
      <c r="D4751" s="130"/>
      <c r="E4751" s="130"/>
      <c r="F4751" s="161"/>
      <c r="G4751" s="164"/>
      <c r="H4751" s="76" t="b">
        <v>1</v>
      </c>
      <c r="I4751" s="76" t="b">
        <v>0</v>
      </c>
      <c r="J4751" s="76" t="b">
        <v>0</v>
      </c>
      <c r="K4751" s="76" t="b">
        <v>0</v>
      </c>
      <c r="L4751" s="76" t="b">
        <v>0</v>
      </c>
      <c r="M4751" s="76" t="b">
        <v>0</v>
      </c>
      <c r="N4751" s="76" t="b">
        <v>0</v>
      </c>
      <c r="O4751" s="76" t="b">
        <v>0</v>
      </c>
      <c r="P4751" s="76" t="b">
        <v>0</v>
      </c>
      <c r="Q4751" s="76" t="b">
        <v>0</v>
      </c>
      <c r="R4751" s="14"/>
      <c r="S4751" s="14"/>
      <c r="T4751" s="14"/>
      <c r="U4751" s="14"/>
      <c r="V4751" s="14"/>
      <c r="W4751" s="14"/>
    </row>
    <row r="4752" ht="31.5" customHeight="1">
      <c r="A4752" s="158"/>
      <c r="B4752" s="159"/>
      <c r="C4752" s="160"/>
      <c r="D4752" s="130"/>
      <c r="E4752" s="130"/>
      <c r="F4752" s="161"/>
      <c r="G4752" s="164"/>
      <c r="H4752" s="76" t="b">
        <v>1</v>
      </c>
      <c r="I4752" s="76" t="b">
        <v>0</v>
      </c>
      <c r="J4752" s="76" t="b">
        <v>0</v>
      </c>
      <c r="K4752" s="76" t="b">
        <v>0</v>
      </c>
      <c r="L4752" s="76" t="b">
        <v>0</v>
      </c>
      <c r="M4752" s="76" t="b">
        <v>0</v>
      </c>
      <c r="N4752" s="76" t="b">
        <v>0</v>
      </c>
      <c r="O4752" s="76" t="b">
        <v>0</v>
      </c>
      <c r="P4752" s="76" t="b">
        <v>0</v>
      </c>
      <c r="Q4752" s="76" t="b">
        <v>0</v>
      </c>
      <c r="R4752" s="14"/>
      <c r="S4752" s="14"/>
      <c r="T4752" s="14"/>
      <c r="U4752" s="14"/>
      <c r="V4752" s="14"/>
      <c r="W4752" s="14"/>
    </row>
    <row r="4753" ht="31.5" customHeight="1">
      <c r="A4753" s="158"/>
      <c r="B4753" s="159"/>
      <c r="C4753" s="160"/>
      <c r="D4753" s="130"/>
      <c r="E4753" s="130"/>
      <c r="F4753" s="161"/>
      <c r="G4753" s="164"/>
      <c r="H4753" s="76" t="b">
        <v>1</v>
      </c>
      <c r="I4753" s="76" t="b">
        <v>0</v>
      </c>
      <c r="J4753" s="76" t="b">
        <v>0</v>
      </c>
      <c r="K4753" s="76" t="b">
        <v>0</v>
      </c>
      <c r="L4753" s="76" t="b">
        <v>0</v>
      </c>
      <c r="M4753" s="76" t="b">
        <v>0</v>
      </c>
      <c r="N4753" s="76" t="b">
        <v>0</v>
      </c>
      <c r="O4753" s="76" t="b">
        <v>0</v>
      </c>
      <c r="P4753" s="76" t="b">
        <v>0</v>
      </c>
      <c r="Q4753" s="76" t="b">
        <v>0</v>
      </c>
      <c r="R4753" s="14"/>
      <c r="S4753" s="14"/>
      <c r="T4753" s="14"/>
      <c r="U4753" s="14"/>
      <c r="V4753" s="14"/>
      <c r="W4753" s="14"/>
    </row>
    <row r="4754" ht="31.5" customHeight="1">
      <c r="A4754" s="158"/>
      <c r="B4754" s="159"/>
      <c r="C4754" s="160"/>
      <c r="D4754" s="130"/>
      <c r="E4754" s="130"/>
      <c r="F4754" s="161"/>
      <c r="G4754" s="164"/>
      <c r="H4754" s="76" t="b">
        <v>1</v>
      </c>
      <c r="I4754" s="76" t="b">
        <v>0</v>
      </c>
      <c r="J4754" s="76" t="b">
        <v>0</v>
      </c>
      <c r="K4754" s="76" t="b">
        <v>0</v>
      </c>
      <c r="L4754" s="76" t="b">
        <v>0</v>
      </c>
      <c r="M4754" s="76" t="b">
        <v>0</v>
      </c>
      <c r="N4754" s="76" t="b">
        <v>0</v>
      </c>
      <c r="O4754" s="76" t="b">
        <v>0</v>
      </c>
      <c r="P4754" s="76" t="b">
        <v>0</v>
      </c>
      <c r="Q4754" s="76" t="b">
        <v>0</v>
      </c>
      <c r="R4754" s="14"/>
      <c r="S4754" s="14"/>
      <c r="T4754" s="14"/>
      <c r="U4754" s="14"/>
      <c r="V4754" s="14"/>
      <c r="W4754" s="14"/>
    </row>
    <row r="4755" ht="31.5" customHeight="1">
      <c r="A4755" s="158"/>
      <c r="B4755" s="159"/>
      <c r="C4755" s="160"/>
      <c r="D4755" s="130"/>
      <c r="E4755" s="130"/>
      <c r="F4755" s="161"/>
      <c r="G4755" s="164"/>
      <c r="H4755" s="76" t="b">
        <v>1</v>
      </c>
      <c r="I4755" s="76" t="b">
        <v>0</v>
      </c>
      <c r="J4755" s="76" t="b">
        <v>0</v>
      </c>
      <c r="K4755" s="76" t="b">
        <v>0</v>
      </c>
      <c r="L4755" s="76" t="b">
        <v>0</v>
      </c>
      <c r="M4755" s="76" t="b">
        <v>0</v>
      </c>
      <c r="N4755" s="76" t="b">
        <v>0</v>
      </c>
      <c r="O4755" s="76" t="b">
        <v>0</v>
      </c>
      <c r="P4755" s="76" t="b">
        <v>0</v>
      </c>
      <c r="Q4755" s="76" t="b">
        <v>0</v>
      </c>
      <c r="R4755" s="14"/>
      <c r="S4755" s="14"/>
      <c r="T4755" s="14"/>
      <c r="U4755" s="14"/>
      <c r="V4755" s="14"/>
      <c r="W4755" s="14"/>
    </row>
    <row r="4756" ht="31.5" customHeight="1">
      <c r="A4756" s="158"/>
      <c r="B4756" s="159"/>
      <c r="C4756" s="160"/>
      <c r="D4756" s="130"/>
      <c r="E4756" s="130"/>
      <c r="F4756" s="161"/>
      <c r="G4756" s="164"/>
      <c r="H4756" s="76" t="b">
        <v>1</v>
      </c>
      <c r="I4756" s="76" t="b">
        <v>0</v>
      </c>
      <c r="J4756" s="76" t="b">
        <v>0</v>
      </c>
      <c r="K4756" s="76" t="b">
        <v>0</v>
      </c>
      <c r="L4756" s="76" t="b">
        <v>0</v>
      </c>
      <c r="M4756" s="76" t="b">
        <v>0</v>
      </c>
      <c r="N4756" s="76" t="b">
        <v>0</v>
      </c>
      <c r="O4756" s="76" t="b">
        <v>0</v>
      </c>
      <c r="P4756" s="76" t="b">
        <v>0</v>
      </c>
      <c r="Q4756" s="76" t="b">
        <v>0</v>
      </c>
      <c r="R4756" s="14"/>
      <c r="S4756" s="14"/>
      <c r="T4756" s="14"/>
      <c r="U4756" s="14"/>
      <c r="V4756" s="14"/>
      <c r="W4756" s="14"/>
    </row>
    <row r="4757" ht="31.5" customHeight="1">
      <c r="A4757" s="158"/>
      <c r="B4757" s="159"/>
      <c r="C4757" s="160"/>
      <c r="D4757" s="130"/>
      <c r="E4757" s="130"/>
      <c r="F4757" s="161"/>
      <c r="G4757" s="164"/>
      <c r="H4757" s="76" t="b">
        <v>1</v>
      </c>
      <c r="I4757" s="76" t="b">
        <v>0</v>
      </c>
      <c r="J4757" s="76" t="b">
        <v>0</v>
      </c>
      <c r="K4757" s="76" t="b">
        <v>0</v>
      </c>
      <c r="L4757" s="76" t="b">
        <v>0</v>
      </c>
      <c r="M4757" s="76" t="b">
        <v>0</v>
      </c>
      <c r="N4757" s="76" t="b">
        <v>0</v>
      </c>
      <c r="O4757" s="76" t="b">
        <v>0</v>
      </c>
      <c r="P4757" s="76" t="b">
        <v>0</v>
      </c>
      <c r="Q4757" s="76" t="b">
        <v>0</v>
      </c>
      <c r="R4757" s="14"/>
      <c r="S4757" s="14"/>
      <c r="T4757" s="14"/>
      <c r="U4757" s="14"/>
      <c r="V4757" s="14"/>
      <c r="W4757" s="14"/>
    </row>
    <row r="4758" ht="31.5" customHeight="1">
      <c r="A4758" s="158"/>
      <c r="B4758" s="159"/>
      <c r="C4758" s="160"/>
      <c r="D4758" s="130"/>
      <c r="E4758" s="130"/>
      <c r="F4758" s="161"/>
      <c r="G4758" s="164"/>
      <c r="H4758" s="76" t="b">
        <v>1</v>
      </c>
      <c r="I4758" s="76" t="b">
        <v>0</v>
      </c>
      <c r="J4758" s="76" t="b">
        <v>0</v>
      </c>
      <c r="K4758" s="76" t="b">
        <v>0</v>
      </c>
      <c r="L4758" s="76" t="b">
        <v>0</v>
      </c>
      <c r="M4758" s="76" t="b">
        <v>0</v>
      </c>
      <c r="N4758" s="76" t="b">
        <v>0</v>
      </c>
      <c r="O4758" s="76" t="b">
        <v>0</v>
      </c>
      <c r="P4758" s="76" t="b">
        <v>0</v>
      </c>
      <c r="Q4758" s="76" t="b">
        <v>0</v>
      </c>
      <c r="R4758" s="14"/>
      <c r="S4758" s="14"/>
      <c r="T4758" s="14"/>
      <c r="U4758" s="14"/>
      <c r="V4758" s="14"/>
      <c r="W4758" s="14"/>
    </row>
    <row r="4759" ht="31.5" customHeight="1">
      <c r="A4759" s="158"/>
      <c r="B4759" s="159"/>
      <c r="C4759" s="160"/>
      <c r="D4759" s="130"/>
      <c r="E4759" s="130"/>
      <c r="F4759" s="161"/>
      <c r="G4759" s="164"/>
      <c r="H4759" s="76" t="b">
        <v>1</v>
      </c>
      <c r="I4759" s="76" t="b">
        <v>0</v>
      </c>
      <c r="J4759" s="76" t="b">
        <v>0</v>
      </c>
      <c r="K4759" s="76" t="b">
        <v>0</v>
      </c>
      <c r="L4759" s="76" t="b">
        <v>0</v>
      </c>
      <c r="M4759" s="76" t="b">
        <v>0</v>
      </c>
      <c r="N4759" s="76" t="b">
        <v>0</v>
      </c>
      <c r="O4759" s="76" t="b">
        <v>0</v>
      </c>
      <c r="P4759" s="76" t="b">
        <v>0</v>
      </c>
      <c r="Q4759" s="76" t="b">
        <v>0</v>
      </c>
      <c r="R4759" s="14"/>
      <c r="S4759" s="14"/>
      <c r="T4759" s="14"/>
      <c r="U4759" s="14"/>
      <c r="V4759" s="14"/>
      <c r="W4759" s="14"/>
    </row>
    <row r="4760" ht="31.5" customHeight="1">
      <c r="A4760" s="158"/>
      <c r="B4760" s="159"/>
      <c r="C4760" s="160"/>
      <c r="D4760" s="130"/>
      <c r="E4760" s="130"/>
      <c r="F4760" s="161"/>
      <c r="G4760" s="164"/>
      <c r="H4760" s="76" t="b">
        <v>1</v>
      </c>
      <c r="I4760" s="76" t="b">
        <v>0</v>
      </c>
      <c r="J4760" s="76" t="b">
        <v>0</v>
      </c>
      <c r="K4760" s="76" t="b">
        <v>0</v>
      </c>
      <c r="L4760" s="76" t="b">
        <v>0</v>
      </c>
      <c r="M4760" s="76" t="b">
        <v>0</v>
      </c>
      <c r="N4760" s="76" t="b">
        <v>0</v>
      </c>
      <c r="O4760" s="76" t="b">
        <v>0</v>
      </c>
      <c r="P4760" s="76" t="b">
        <v>0</v>
      </c>
      <c r="Q4760" s="76" t="b">
        <v>0</v>
      </c>
      <c r="R4760" s="14"/>
      <c r="S4760" s="14"/>
      <c r="T4760" s="14"/>
      <c r="U4760" s="14"/>
      <c r="V4760" s="14"/>
      <c r="W4760" s="14"/>
    </row>
    <row r="4761" ht="31.5" customHeight="1">
      <c r="A4761" s="158"/>
      <c r="B4761" s="159"/>
      <c r="C4761" s="160"/>
      <c r="D4761" s="130"/>
      <c r="E4761" s="130"/>
      <c r="F4761" s="161"/>
      <c r="G4761" s="164"/>
      <c r="H4761" s="76" t="b">
        <v>1</v>
      </c>
      <c r="I4761" s="76" t="b">
        <v>0</v>
      </c>
      <c r="J4761" s="76" t="b">
        <v>0</v>
      </c>
      <c r="K4761" s="76" t="b">
        <v>0</v>
      </c>
      <c r="L4761" s="76" t="b">
        <v>0</v>
      </c>
      <c r="M4761" s="76" t="b">
        <v>0</v>
      </c>
      <c r="N4761" s="76" t="b">
        <v>0</v>
      </c>
      <c r="O4761" s="76" t="b">
        <v>0</v>
      </c>
      <c r="P4761" s="76" t="b">
        <v>0</v>
      </c>
      <c r="Q4761" s="76" t="b">
        <v>0</v>
      </c>
      <c r="R4761" s="14"/>
      <c r="S4761" s="14"/>
      <c r="T4761" s="14"/>
      <c r="U4761" s="14"/>
      <c r="V4761" s="14"/>
      <c r="W4761" s="14"/>
    </row>
    <row r="4762" ht="31.5" customHeight="1">
      <c r="A4762" s="158"/>
      <c r="B4762" s="159"/>
      <c r="C4762" s="160"/>
      <c r="D4762" s="130"/>
      <c r="E4762" s="130"/>
      <c r="F4762" s="161"/>
      <c r="G4762" s="164"/>
      <c r="H4762" s="76" t="b">
        <v>1</v>
      </c>
      <c r="I4762" s="76" t="b">
        <v>0</v>
      </c>
      <c r="J4762" s="76" t="b">
        <v>0</v>
      </c>
      <c r="K4762" s="76" t="b">
        <v>0</v>
      </c>
      <c r="L4762" s="76" t="b">
        <v>0</v>
      </c>
      <c r="M4762" s="76" t="b">
        <v>0</v>
      </c>
      <c r="N4762" s="76" t="b">
        <v>0</v>
      </c>
      <c r="O4762" s="76" t="b">
        <v>0</v>
      </c>
      <c r="P4762" s="76" t="b">
        <v>0</v>
      </c>
      <c r="Q4762" s="76" t="b">
        <v>0</v>
      </c>
      <c r="R4762" s="14"/>
      <c r="S4762" s="14"/>
      <c r="T4762" s="14"/>
      <c r="U4762" s="14"/>
      <c r="V4762" s="14"/>
      <c r="W4762" s="14"/>
    </row>
    <row r="4763" ht="31.5" customHeight="1">
      <c r="A4763" s="158"/>
      <c r="B4763" s="159"/>
      <c r="C4763" s="160"/>
      <c r="D4763" s="130"/>
      <c r="E4763" s="130"/>
      <c r="F4763" s="161"/>
      <c r="G4763" s="164"/>
      <c r="H4763" s="76" t="b">
        <v>1</v>
      </c>
      <c r="I4763" s="76" t="b">
        <v>0</v>
      </c>
      <c r="J4763" s="76" t="b">
        <v>0</v>
      </c>
      <c r="K4763" s="76" t="b">
        <v>0</v>
      </c>
      <c r="L4763" s="76" t="b">
        <v>0</v>
      </c>
      <c r="M4763" s="76" t="b">
        <v>0</v>
      </c>
      <c r="N4763" s="76" t="b">
        <v>0</v>
      </c>
      <c r="O4763" s="76" t="b">
        <v>0</v>
      </c>
      <c r="P4763" s="76" t="b">
        <v>0</v>
      </c>
      <c r="Q4763" s="76" t="b">
        <v>0</v>
      </c>
      <c r="R4763" s="14"/>
      <c r="S4763" s="14"/>
      <c r="T4763" s="14"/>
      <c r="U4763" s="14"/>
      <c r="V4763" s="14"/>
      <c r="W4763" s="14"/>
    </row>
    <row r="4764" ht="31.5" customHeight="1">
      <c r="A4764" s="158"/>
      <c r="B4764" s="159"/>
      <c r="C4764" s="160"/>
      <c r="D4764" s="130"/>
      <c r="E4764" s="130"/>
      <c r="F4764" s="161"/>
      <c r="G4764" s="164"/>
      <c r="H4764" s="76" t="b">
        <v>1</v>
      </c>
      <c r="I4764" s="76" t="b">
        <v>0</v>
      </c>
      <c r="J4764" s="76" t="b">
        <v>0</v>
      </c>
      <c r="K4764" s="76" t="b">
        <v>0</v>
      </c>
      <c r="L4764" s="76" t="b">
        <v>0</v>
      </c>
      <c r="M4764" s="76" t="b">
        <v>0</v>
      </c>
      <c r="N4764" s="76" t="b">
        <v>0</v>
      </c>
      <c r="O4764" s="76" t="b">
        <v>0</v>
      </c>
      <c r="P4764" s="76" t="b">
        <v>0</v>
      </c>
      <c r="Q4764" s="76" t="b">
        <v>0</v>
      </c>
      <c r="R4764" s="14"/>
      <c r="S4764" s="14"/>
      <c r="T4764" s="14"/>
      <c r="U4764" s="14"/>
      <c r="V4764" s="14"/>
      <c r="W4764" s="14"/>
    </row>
    <row r="4765" ht="31.5" customHeight="1">
      <c r="A4765" s="158"/>
      <c r="B4765" s="159"/>
      <c r="C4765" s="160"/>
      <c r="D4765" s="130"/>
      <c r="E4765" s="130"/>
      <c r="F4765" s="161"/>
      <c r="G4765" s="164"/>
      <c r="H4765" s="76" t="b">
        <v>1</v>
      </c>
      <c r="I4765" s="76" t="b">
        <v>0</v>
      </c>
      <c r="J4765" s="76" t="b">
        <v>0</v>
      </c>
      <c r="K4765" s="76" t="b">
        <v>0</v>
      </c>
      <c r="L4765" s="76" t="b">
        <v>0</v>
      </c>
      <c r="M4765" s="76" t="b">
        <v>0</v>
      </c>
      <c r="N4765" s="76" t="b">
        <v>0</v>
      </c>
      <c r="O4765" s="76" t="b">
        <v>0</v>
      </c>
      <c r="P4765" s="76" t="b">
        <v>0</v>
      </c>
      <c r="Q4765" s="76" t="b">
        <v>0</v>
      </c>
      <c r="R4765" s="14"/>
      <c r="S4765" s="14"/>
      <c r="T4765" s="14"/>
      <c r="U4765" s="14"/>
      <c r="V4765" s="14"/>
      <c r="W4765" s="14"/>
    </row>
    <row r="4766" ht="31.5" customHeight="1">
      <c r="A4766" s="158"/>
      <c r="B4766" s="159"/>
      <c r="C4766" s="160"/>
      <c r="D4766" s="130"/>
      <c r="E4766" s="130"/>
      <c r="F4766" s="161"/>
      <c r="G4766" s="164"/>
      <c r="H4766" s="76" t="b">
        <v>1</v>
      </c>
      <c r="I4766" s="76" t="b">
        <v>0</v>
      </c>
      <c r="J4766" s="76" t="b">
        <v>0</v>
      </c>
      <c r="K4766" s="76" t="b">
        <v>0</v>
      </c>
      <c r="L4766" s="76" t="b">
        <v>0</v>
      </c>
      <c r="M4766" s="76" t="b">
        <v>0</v>
      </c>
      <c r="N4766" s="76" t="b">
        <v>0</v>
      </c>
      <c r="O4766" s="76" t="b">
        <v>0</v>
      </c>
      <c r="P4766" s="76" t="b">
        <v>0</v>
      </c>
      <c r="Q4766" s="76" t="b">
        <v>0</v>
      </c>
      <c r="R4766" s="14"/>
      <c r="S4766" s="14"/>
      <c r="T4766" s="14"/>
      <c r="U4766" s="14"/>
      <c r="V4766" s="14"/>
      <c r="W4766" s="14"/>
    </row>
    <row r="4767" ht="31.5" customHeight="1">
      <c r="A4767" s="158"/>
      <c r="B4767" s="159"/>
      <c r="C4767" s="160"/>
      <c r="D4767" s="130"/>
      <c r="E4767" s="130"/>
      <c r="F4767" s="161"/>
      <c r="G4767" s="164"/>
      <c r="H4767" s="76" t="b">
        <v>1</v>
      </c>
      <c r="I4767" s="76" t="b">
        <v>0</v>
      </c>
      <c r="J4767" s="76" t="b">
        <v>0</v>
      </c>
      <c r="K4767" s="76" t="b">
        <v>0</v>
      </c>
      <c r="L4767" s="76" t="b">
        <v>0</v>
      </c>
      <c r="M4767" s="76" t="b">
        <v>0</v>
      </c>
      <c r="N4767" s="76" t="b">
        <v>0</v>
      </c>
      <c r="O4767" s="76" t="b">
        <v>0</v>
      </c>
      <c r="P4767" s="76" t="b">
        <v>0</v>
      </c>
      <c r="Q4767" s="76" t="b">
        <v>0</v>
      </c>
      <c r="R4767" s="14"/>
      <c r="S4767" s="14"/>
      <c r="T4767" s="14"/>
      <c r="U4767" s="14"/>
      <c r="V4767" s="14"/>
      <c r="W4767" s="14"/>
    </row>
    <row r="4768" ht="31.5" customHeight="1">
      <c r="A4768" s="158"/>
      <c r="B4768" s="159"/>
      <c r="C4768" s="160"/>
      <c r="D4768" s="130"/>
      <c r="E4768" s="130"/>
      <c r="F4768" s="161"/>
      <c r="G4768" s="164"/>
      <c r="H4768" s="76" t="b">
        <v>1</v>
      </c>
      <c r="I4768" s="76" t="b">
        <v>0</v>
      </c>
      <c r="J4768" s="76" t="b">
        <v>0</v>
      </c>
      <c r="K4768" s="76" t="b">
        <v>0</v>
      </c>
      <c r="L4768" s="76" t="b">
        <v>0</v>
      </c>
      <c r="M4768" s="76" t="b">
        <v>0</v>
      </c>
      <c r="N4768" s="76" t="b">
        <v>0</v>
      </c>
      <c r="O4768" s="76" t="b">
        <v>0</v>
      </c>
      <c r="P4768" s="76" t="b">
        <v>0</v>
      </c>
      <c r="Q4768" s="76" t="b">
        <v>0</v>
      </c>
      <c r="R4768" s="14"/>
      <c r="S4768" s="14"/>
      <c r="T4768" s="14"/>
      <c r="U4768" s="14"/>
      <c r="V4768" s="14"/>
      <c r="W4768" s="14"/>
    </row>
    <row r="4769" ht="31.5" customHeight="1">
      <c r="A4769" s="158"/>
      <c r="B4769" s="159"/>
      <c r="C4769" s="160"/>
      <c r="D4769" s="130"/>
      <c r="E4769" s="130"/>
      <c r="F4769" s="161"/>
      <c r="G4769" s="164"/>
      <c r="H4769" s="76" t="b">
        <v>1</v>
      </c>
      <c r="I4769" s="76" t="b">
        <v>0</v>
      </c>
      <c r="J4769" s="76" t="b">
        <v>0</v>
      </c>
      <c r="K4769" s="76" t="b">
        <v>0</v>
      </c>
      <c r="L4769" s="76" t="b">
        <v>0</v>
      </c>
      <c r="M4769" s="76" t="b">
        <v>0</v>
      </c>
      <c r="N4769" s="76" t="b">
        <v>0</v>
      </c>
      <c r="O4769" s="76" t="b">
        <v>0</v>
      </c>
      <c r="P4769" s="76" t="b">
        <v>0</v>
      </c>
      <c r="Q4769" s="76" t="b">
        <v>0</v>
      </c>
      <c r="R4769" s="14"/>
      <c r="S4769" s="14"/>
      <c r="T4769" s="14"/>
      <c r="U4769" s="14"/>
      <c r="V4769" s="14"/>
      <c r="W4769" s="14"/>
    </row>
    <row r="4770" ht="31.5" customHeight="1">
      <c r="A4770" s="158"/>
      <c r="B4770" s="159"/>
      <c r="C4770" s="160"/>
      <c r="D4770" s="130"/>
      <c r="E4770" s="130"/>
      <c r="F4770" s="161"/>
      <c r="G4770" s="164"/>
      <c r="H4770" s="76" t="b">
        <v>1</v>
      </c>
      <c r="I4770" s="76" t="b">
        <v>0</v>
      </c>
      <c r="J4770" s="76" t="b">
        <v>0</v>
      </c>
      <c r="K4770" s="76" t="b">
        <v>0</v>
      </c>
      <c r="L4770" s="76" t="b">
        <v>0</v>
      </c>
      <c r="M4770" s="76" t="b">
        <v>0</v>
      </c>
      <c r="N4770" s="76" t="b">
        <v>0</v>
      </c>
      <c r="O4770" s="76" t="b">
        <v>0</v>
      </c>
      <c r="P4770" s="76" t="b">
        <v>0</v>
      </c>
      <c r="Q4770" s="76" t="b">
        <v>0</v>
      </c>
      <c r="R4770" s="14"/>
      <c r="S4770" s="14"/>
      <c r="T4770" s="14"/>
      <c r="U4770" s="14"/>
      <c r="V4770" s="14"/>
      <c r="W4770" s="14"/>
    </row>
    <row r="4771" ht="31.5" customHeight="1">
      <c r="A4771" s="158"/>
      <c r="B4771" s="159"/>
      <c r="C4771" s="160"/>
      <c r="D4771" s="130"/>
      <c r="E4771" s="130"/>
      <c r="F4771" s="161"/>
      <c r="G4771" s="164"/>
      <c r="H4771" s="76" t="b">
        <v>1</v>
      </c>
      <c r="I4771" s="76" t="b">
        <v>0</v>
      </c>
      <c r="J4771" s="76" t="b">
        <v>0</v>
      </c>
      <c r="K4771" s="76" t="b">
        <v>0</v>
      </c>
      <c r="L4771" s="76" t="b">
        <v>0</v>
      </c>
      <c r="M4771" s="76" t="b">
        <v>0</v>
      </c>
      <c r="N4771" s="76" t="b">
        <v>0</v>
      </c>
      <c r="O4771" s="76" t="b">
        <v>0</v>
      </c>
      <c r="P4771" s="76" t="b">
        <v>0</v>
      </c>
      <c r="Q4771" s="76" t="b">
        <v>0</v>
      </c>
      <c r="R4771" s="14"/>
      <c r="S4771" s="14"/>
      <c r="T4771" s="14"/>
      <c r="U4771" s="14"/>
      <c r="V4771" s="14"/>
      <c r="W4771" s="14"/>
    </row>
    <row r="4772" ht="31.5" customHeight="1">
      <c r="A4772" s="158"/>
      <c r="B4772" s="159"/>
      <c r="C4772" s="160"/>
      <c r="D4772" s="130"/>
      <c r="E4772" s="130"/>
      <c r="F4772" s="161"/>
      <c r="G4772" s="164"/>
      <c r="H4772" s="76" t="b">
        <v>1</v>
      </c>
      <c r="I4772" s="76" t="b">
        <v>0</v>
      </c>
      <c r="J4772" s="76" t="b">
        <v>0</v>
      </c>
      <c r="K4772" s="76" t="b">
        <v>0</v>
      </c>
      <c r="L4772" s="76" t="b">
        <v>0</v>
      </c>
      <c r="M4772" s="76" t="b">
        <v>0</v>
      </c>
      <c r="N4772" s="76" t="b">
        <v>0</v>
      </c>
      <c r="O4772" s="76" t="b">
        <v>0</v>
      </c>
      <c r="P4772" s="76" t="b">
        <v>0</v>
      </c>
      <c r="Q4772" s="76" t="b">
        <v>0</v>
      </c>
      <c r="R4772" s="14"/>
      <c r="S4772" s="14"/>
      <c r="T4772" s="14"/>
      <c r="U4772" s="14"/>
      <c r="V4772" s="14"/>
      <c r="W4772" s="14"/>
    </row>
    <row r="4773" ht="31.5" customHeight="1">
      <c r="A4773" s="158"/>
      <c r="B4773" s="159"/>
      <c r="C4773" s="160"/>
      <c r="D4773" s="130"/>
      <c r="E4773" s="130"/>
      <c r="F4773" s="161"/>
      <c r="G4773" s="164"/>
      <c r="H4773" s="76" t="b">
        <v>1</v>
      </c>
      <c r="I4773" s="76" t="b">
        <v>0</v>
      </c>
      <c r="J4773" s="76" t="b">
        <v>0</v>
      </c>
      <c r="K4773" s="76" t="b">
        <v>0</v>
      </c>
      <c r="L4773" s="76" t="b">
        <v>0</v>
      </c>
      <c r="M4773" s="76" t="b">
        <v>0</v>
      </c>
      <c r="N4773" s="76" t="b">
        <v>0</v>
      </c>
      <c r="O4773" s="76" t="b">
        <v>0</v>
      </c>
      <c r="P4773" s="76" t="b">
        <v>0</v>
      </c>
      <c r="Q4773" s="76" t="b">
        <v>0</v>
      </c>
      <c r="R4773" s="14"/>
      <c r="S4773" s="14"/>
      <c r="T4773" s="14"/>
      <c r="U4773" s="14"/>
      <c r="V4773" s="14"/>
      <c r="W4773" s="14"/>
    </row>
    <row r="4774" ht="31.5" customHeight="1">
      <c r="A4774" s="158"/>
      <c r="B4774" s="159"/>
      <c r="C4774" s="160"/>
      <c r="D4774" s="130"/>
      <c r="E4774" s="130"/>
      <c r="F4774" s="161"/>
      <c r="G4774" s="164"/>
      <c r="H4774" s="76" t="b">
        <v>1</v>
      </c>
      <c r="I4774" s="76" t="b">
        <v>0</v>
      </c>
      <c r="J4774" s="76" t="b">
        <v>0</v>
      </c>
      <c r="K4774" s="76" t="b">
        <v>0</v>
      </c>
      <c r="L4774" s="76" t="b">
        <v>0</v>
      </c>
      <c r="M4774" s="76" t="b">
        <v>0</v>
      </c>
      <c r="N4774" s="76" t="b">
        <v>0</v>
      </c>
      <c r="O4774" s="76" t="b">
        <v>0</v>
      </c>
      <c r="P4774" s="76" t="b">
        <v>0</v>
      </c>
      <c r="Q4774" s="76" t="b">
        <v>0</v>
      </c>
      <c r="R4774" s="14"/>
      <c r="S4774" s="14"/>
      <c r="T4774" s="14"/>
      <c r="U4774" s="14"/>
      <c r="V4774" s="14"/>
      <c r="W4774" s="14"/>
    </row>
    <row r="4775" ht="31.5" customHeight="1">
      <c r="A4775" s="158"/>
      <c r="B4775" s="159"/>
      <c r="C4775" s="160"/>
      <c r="D4775" s="130"/>
      <c r="E4775" s="130"/>
      <c r="F4775" s="161"/>
      <c r="G4775" s="164"/>
      <c r="H4775" s="76" t="b">
        <v>1</v>
      </c>
      <c r="I4775" s="76" t="b">
        <v>0</v>
      </c>
      <c r="J4775" s="76" t="b">
        <v>0</v>
      </c>
      <c r="K4775" s="76" t="b">
        <v>0</v>
      </c>
      <c r="L4775" s="76" t="b">
        <v>0</v>
      </c>
      <c r="M4775" s="76" t="b">
        <v>0</v>
      </c>
      <c r="N4775" s="76" t="b">
        <v>0</v>
      </c>
      <c r="O4775" s="76" t="b">
        <v>0</v>
      </c>
      <c r="P4775" s="76" t="b">
        <v>0</v>
      </c>
      <c r="Q4775" s="76" t="b">
        <v>0</v>
      </c>
      <c r="R4775" s="14"/>
      <c r="S4775" s="14"/>
      <c r="T4775" s="14"/>
      <c r="U4775" s="14"/>
      <c r="V4775" s="14"/>
      <c r="W4775" s="14"/>
    </row>
    <row r="4776" ht="31.5" customHeight="1">
      <c r="A4776" s="158"/>
      <c r="B4776" s="159"/>
      <c r="C4776" s="160"/>
      <c r="D4776" s="130"/>
      <c r="E4776" s="130"/>
      <c r="F4776" s="161"/>
      <c r="G4776" s="164"/>
      <c r="H4776" s="76" t="b">
        <v>1</v>
      </c>
      <c r="I4776" s="76" t="b">
        <v>0</v>
      </c>
      <c r="J4776" s="76" t="b">
        <v>0</v>
      </c>
      <c r="K4776" s="76" t="b">
        <v>0</v>
      </c>
      <c r="L4776" s="76" t="b">
        <v>0</v>
      </c>
      <c r="M4776" s="76" t="b">
        <v>0</v>
      </c>
      <c r="N4776" s="76" t="b">
        <v>0</v>
      </c>
      <c r="O4776" s="76" t="b">
        <v>0</v>
      </c>
      <c r="P4776" s="76" t="b">
        <v>0</v>
      </c>
      <c r="Q4776" s="76" t="b">
        <v>0</v>
      </c>
      <c r="R4776" s="14"/>
      <c r="S4776" s="14"/>
      <c r="T4776" s="14"/>
      <c r="U4776" s="14"/>
      <c r="V4776" s="14"/>
      <c r="W4776" s="14"/>
    </row>
    <row r="4777" ht="31.5" customHeight="1">
      <c r="A4777" s="158"/>
      <c r="B4777" s="159"/>
      <c r="C4777" s="160"/>
      <c r="D4777" s="130"/>
      <c r="E4777" s="130"/>
      <c r="F4777" s="161"/>
      <c r="G4777" s="164"/>
      <c r="H4777" s="76" t="b">
        <v>1</v>
      </c>
      <c r="I4777" s="76" t="b">
        <v>0</v>
      </c>
      <c r="J4777" s="76" t="b">
        <v>0</v>
      </c>
      <c r="K4777" s="76" t="b">
        <v>0</v>
      </c>
      <c r="L4777" s="76" t="b">
        <v>0</v>
      </c>
      <c r="M4777" s="76" t="b">
        <v>0</v>
      </c>
      <c r="N4777" s="76" t="b">
        <v>0</v>
      </c>
      <c r="O4777" s="76" t="b">
        <v>0</v>
      </c>
      <c r="P4777" s="76" t="b">
        <v>0</v>
      </c>
      <c r="Q4777" s="76" t="b">
        <v>0</v>
      </c>
      <c r="R4777" s="14"/>
      <c r="S4777" s="14"/>
      <c r="T4777" s="14"/>
      <c r="U4777" s="14"/>
      <c r="V4777" s="14"/>
      <c r="W4777" s="14"/>
    </row>
    <row r="4778" ht="31.5" customHeight="1">
      <c r="A4778" s="158"/>
      <c r="B4778" s="159"/>
      <c r="C4778" s="160"/>
      <c r="D4778" s="130"/>
      <c r="E4778" s="130"/>
      <c r="F4778" s="161"/>
      <c r="G4778" s="164"/>
      <c r="H4778" s="76" t="b">
        <v>1</v>
      </c>
      <c r="I4778" s="76" t="b">
        <v>0</v>
      </c>
      <c r="J4778" s="76" t="b">
        <v>0</v>
      </c>
      <c r="K4778" s="76" t="b">
        <v>0</v>
      </c>
      <c r="L4778" s="76" t="b">
        <v>0</v>
      </c>
      <c r="M4778" s="76" t="b">
        <v>0</v>
      </c>
      <c r="N4778" s="76" t="b">
        <v>0</v>
      </c>
      <c r="O4778" s="76" t="b">
        <v>0</v>
      </c>
      <c r="P4778" s="76" t="b">
        <v>0</v>
      </c>
      <c r="Q4778" s="76" t="b">
        <v>0</v>
      </c>
      <c r="R4778" s="14"/>
      <c r="S4778" s="14"/>
      <c r="T4778" s="14"/>
      <c r="U4778" s="14"/>
      <c r="V4778" s="14"/>
      <c r="W4778" s="14"/>
    </row>
    <row r="4779" ht="31.5" customHeight="1">
      <c r="A4779" s="158"/>
      <c r="B4779" s="159"/>
      <c r="C4779" s="160"/>
      <c r="D4779" s="130"/>
      <c r="E4779" s="130"/>
      <c r="F4779" s="161"/>
      <c r="G4779" s="164"/>
      <c r="H4779" s="76" t="b">
        <v>1</v>
      </c>
      <c r="I4779" s="76" t="b">
        <v>0</v>
      </c>
      <c r="J4779" s="76" t="b">
        <v>0</v>
      </c>
      <c r="K4779" s="76" t="b">
        <v>0</v>
      </c>
      <c r="L4779" s="76" t="b">
        <v>0</v>
      </c>
      <c r="M4779" s="76" t="b">
        <v>0</v>
      </c>
      <c r="N4779" s="76" t="b">
        <v>0</v>
      </c>
      <c r="O4779" s="76" t="b">
        <v>0</v>
      </c>
      <c r="P4779" s="76" t="b">
        <v>0</v>
      </c>
      <c r="Q4779" s="76" t="b">
        <v>0</v>
      </c>
      <c r="R4779" s="14"/>
      <c r="S4779" s="14"/>
      <c r="T4779" s="14"/>
      <c r="U4779" s="14"/>
      <c r="V4779" s="14"/>
      <c r="W4779" s="14"/>
    </row>
    <row r="4780" ht="31.5" customHeight="1">
      <c r="A4780" s="158"/>
      <c r="B4780" s="159"/>
      <c r="C4780" s="160"/>
      <c r="D4780" s="130"/>
      <c r="E4780" s="130"/>
      <c r="F4780" s="161"/>
      <c r="G4780" s="164"/>
      <c r="H4780" s="76" t="b">
        <v>1</v>
      </c>
      <c r="I4780" s="76" t="b">
        <v>0</v>
      </c>
      <c r="J4780" s="76" t="b">
        <v>0</v>
      </c>
      <c r="K4780" s="76" t="b">
        <v>0</v>
      </c>
      <c r="L4780" s="76" t="b">
        <v>0</v>
      </c>
      <c r="M4780" s="76" t="b">
        <v>0</v>
      </c>
      <c r="N4780" s="76" t="b">
        <v>0</v>
      </c>
      <c r="O4780" s="76" t="b">
        <v>0</v>
      </c>
      <c r="P4780" s="76" t="b">
        <v>0</v>
      </c>
      <c r="Q4780" s="76" t="b">
        <v>0</v>
      </c>
      <c r="R4780" s="14"/>
      <c r="S4780" s="14"/>
      <c r="T4780" s="14"/>
      <c r="U4780" s="14"/>
      <c r="V4780" s="14"/>
      <c r="W4780" s="14"/>
    </row>
    <row r="4781" ht="31.5" customHeight="1">
      <c r="A4781" s="158"/>
      <c r="B4781" s="159"/>
      <c r="C4781" s="160"/>
      <c r="D4781" s="130"/>
      <c r="E4781" s="130"/>
      <c r="F4781" s="161"/>
      <c r="G4781" s="164"/>
      <c r="H4781" s="76" t="b">
        <v>1</v>
      </c>
      <c r="I4781" s="76" t="b">
        <v>0</v>
      </c>
      <c r="J4781" s="76" t="b">
        <v>0</v>
      </c>
      <c r="K4781" s="76" t="b">
        <v>0</v>
      </c>
      <c r="L4781" s="76" t="b">
        <v>0</v>
      </c>
      <c r="M4781" s="76" t="b">
        <v>0</v>
      </c>
      <c r="N4781" s="76" t="b">
        <v>0</v>
      </c>
      <c r="O4781" s="76" t="b">
        <v>0</v>
      </c>
      <c r="P4781" s="76" t="b">
        <v>0</v>
      </c>
      <c r="Q4781" s="76" t="b">
        <v>0</v>
      </c>
      <c r="R4781" s="14"/>
      <c r="S4781" s="14"/>
      <c r="T4781" s="14"/>
      <c r="U4781" s="14"/>
      <c r="V4781" s="14"/>
      <c r="W4781" s="14"/>
    </row>
    <row r="4782" ht="31.5" customHeight="1">
      <c r="A4782" s="158"/>
      <c r="B4782" s="159"/>
      <c r="C4782" s="160"/>
      <c r="D4782" s="130"/>
      <c r="E4782" s="130"/>
      <c r="F4782" s="161"/>
      <c r="G4782" s="164"/>
      <c r="H4782" s="76" t="b">
        <v>1</v>
      </c>
      <c r="I4782" s="76" t="b">
        <v>0</v>
      </c>
      <c r="J4782" s="76" t="b">
        <v>0</v>
      </c>
      <c r="K4782" s="76" t="b">
        <v>0</v>
      </c>
      <c r="L4782" s="76" t="b">
        <v>0</v>
      </c>
      <c r="M4782" s="76" t="b">
        <v>0</v>
      </c>
      <c r="N4782" s="76" t="b">
        <v>0</v>
      </c>
      <c r="O4782" s="76" t="b">
        <v>0</v>
      </c>
      <c r="P4782" s="76" t="b">
        <v>0</v>
      </c>
      <c r="Q4782" s="76" t="b">
        <v>0</v>
      </c>
      <c r="R4782" s="14"/>
      <c r="S4782" s="14"/>
      <c r="T4782" s="14"/>
      <c r="U4782" s="14"/>
      <c r="V4782" s="14"/>
      <c r="W4782" s="14"/>
    </row>
    <row r="4783" ht="31.5" customHeight="1">
      <c r="A4783" s="158"/>
      <c r="B4783" s="159"/>
      <c r="C4783" s="160"/>
      <c r="D4783" s="130"/>
      <c r="E4783" s="130"/>
      <c r="F4783" s="161"/>
      <c r="G4783" s="164"/>
      <c r="H4783" s="76" t="b">
        <v>1</v>
      </c>
      <c r="I4783" s="76" t="b">
        <v>0</v>
      </c>
      <c r="J4783" s="76" t="b">
        <v>0</v>
      </c>
      <c r="K4783" s="76" t="b">
        <v>0</v>
      </c>
      <c r="L4783" s="76" t="b">
        <v>0</v>
      </c>
      <c r="M4783" s="76" t="b">
        <v>0</v>
      </c>
      <c r="N4783" s="76" t="b">
        <v>0</v>
      </c>
      <c r="O4783" s="76" t="b">
        <v>0</v>
      </c>
      <c r="P4783" s="76" t="b">
        <v>0</v>
      </c>
      <c r="Q4783" s="76" t="b">
        <v>0</v>
      </c>
      <c r="R4783" s="14"/>
      <c r="S4783" s="14"/>
      <c r="T4783" s="14"/>
      <c r="U4783" s="14"/>
      <c r="V4783" s="14"/>
      <c r="W4783" s="14"/>
    </row>
    <row r="4784" ht="31.5" customHeight="1">
      <c r="A4784" s="158"/>
      <c r="B4784" s="159"/>
      <c r="C4784" s="160"/>
      <c r="D4784" s="130"/>
      <c r="E4784" s="130"/>
      <c r="F4784" s="161"/>
      <c r="G4784" s="164"/>
      <c r="H4784" s="76" t="b">
        <v>1</v>
      </c>
      <c r="I4784" s="76" t="b">
        <v>0</v>
      </c>
      <c r="J4784" s="76" t="b">
        <v>0</v>
      </c>
      <c r="K4784" s="76" t="b">
        <v>0</v>
      </c>
      <c r="L4784" s="76" t="b">
        <v>0</v>
      </c>
      <c r="M4784" s="76" t="b">
        <v>0</v>
      </c>
      <c r="N4784" s="76" t="b">
        <v>0</v>
      </c>
      <c r="O4784" s="76" t="b">
        <v>0</v>
      </c>
      <c r="P4784" s="76" t="b">
        <v>0</v>
      </c>
      <c r="Q4784" s="76" t="b">
        <v>0</v>
      </c>
      <c r="R4784" s="14"/>
      <c r="S4784" s="14"/>
      <c r="T4784" s="14"/>
      <c r="U4784" s="14"/>
      <c r="V4784" s="14"/>
      <c r="W4784" s="14"/>
    </row>
    <row r="4785" ht="31.5" customHeight="1">
      <c r="A4785" s="158"/>
      <c r="B4785" s="159"/>
      <c r="C4785" s="160"/>
      <c r="D4785" s="130"/>
      <c r="E4785" s="130"/>
      <c r="F4785" s="161"/>
      <c r="G4785" s="164"/>
      <c r="H4785" s="76" t="b">
        <v>1</v>
      </c>
      <c r="I4785" s="76" t="b">
        <v>0</v>
      </c>
      <c r="J4785" s="76" t="b">
        <v>0</v>
      </c>
      <c r="K4785" s="76" t="b">
        <v>0</v>
      </c>
      <c r="L4785" s="76" t="b">
        <v>0</v>
      </c>
      <c r="M4785" s="76" t="b">
        <v>0</v>
      </c>
      <c r="N4785" s="76" t="b">
        <v>0</v>
      </c>
      <c r="O4785" s="76" t="b">
        <v>0</v>
      </c>
      <c r="P4785" s="76" t="b">
        <v>0</v>
      </c>
      <c r="Q4785" s="76" t="b">
        <v>0</v>
      </c>
      <c r="R4785" s="14"/>
      <c r="S4785" s="14"/>
      <c r="T4785" s="14"/>
      <c r="U4785" s="14"/>
      <c r="V4785" s="14"/>
      <c r="W4785" s="14"/>
    </row>
    <row r="4786" ht="31.5" customHeight="1">
      <c r="A4786" s="158"/>
      <c r="B4786" s="159"/>
      <c r="C4786" s="160"/>
      <c r="D4786" s="130"/>
      <c r="E4786" s="130"/>
      <c r="F4786" s="161"/>
      <c r="G4786" s="164"/>
      <c r="H4786" s="76" t="b">
        <v>1</v>
      </c>
      <c r="I4786" s="76" t="b">
        <v>0</v>
      </c>
      <c r="J4786" s="76" t="b">
        <v>0</v>
      </c>
      <c r="K4786" s="76" t="b">
        <v>0</v>
      </c>
      <c r="L4786" s="76" t="b">
        <v>0</v>
      </c>
      <c r="M4786" s="76" t="b">
        <v>0</v>
      </c>
      <c r="N4786" s="76" t="b">
        <v>0</v>
      </c>
      <c r="O4786" s="76" t="b">
        <v>0</v>
      </c>
      <c r="P4786" s="76" t="b">
        <v>0</v>
      </c>
      <c r="Q4786" s="76" t="b">
        <v>0</v>
      </c>
      <c r="R4786" s="14"/>
      <c r="S4786" s="14"/>
      <c r="T4786" s="14"/>
      <c r="U4786" s="14"/>
      <c r="V4786" s="14"/>
      <c r="W4786" s="14"/>
    </row>
    <row r="4787" ht="31.5" customHeight="1">
      <c r="A4787" s="158"/>
      <c r="B4787" s="159"/>
      <c r="C4787" s="160"/>
      <c r="D4787" s="130"/>
      <c r="E4787" s="130"/>
      <c r="F4787" s="161"/>
      <c r="G4787" s="164"/>
      <c r="H4787" s="76" t="b">
        <v>1</v>
      </c>
      <c r="I4787" s="76" t="b">
        <v>0</v>
      </c>
      <c r="J4787" s="76" t="b">
        <v>0</v>
      </c>
      <c r="K4787" s="76" t="b">
        <v>0</v>
      </c>
      <c r="L4787" s="76" t="b">
        <v>0</v>
      </c>
      <c r="M4787" s="76" t="b">
        <v>0</v>
      </c>
      <c r="N4787" s="76" t="b">
        <v>0</v>
      </c>
      <c r="O4787" s="76" t="b">
        <v>0</v>
      </c>
      <c r="P4787" s="76" t="b">
        <v>0</v>
      </c>
      <c r="Q4787" s="76" t="b">
        <v>0</v>
      </c>
      <c r="R4787" s="14"/>
      <c r="S4787" s="14"/>
      <c r="T4787" s="14"/>
      <c r="U4787" s="14"/>
      <c r="V4787" s="14"/>
      <c r="W4787" s="14"/>
    </row>
    <row r="4788" ht="31.5" customHeight="1">
      <c r="A4788" s="158"/>
      <c r="B4788" s="159"/>
      <c r="C4788" s="160"/>
      <c r="D4788" s="130"/>
      <c r="E4788" s="130"/>
      <c r="F4788" s="161"/>
      <c r="G4788" s="164"/>
      <c r="H4788" s="76" t="b">
        <v>1</v>
      </c>
      <c r="I4788" s="76" t="b">
        <v>0</v>
      </c>
      <c r="J4788" s="76" t="b">
        <v>0</v>
      </c>
      <c r="K4788" s="76" t="b">
        <v>0</v>
      </c>
      <c r="L4788" s="76" t="b">
        <v>0</v>
      </c>
      <c r="M4788" s="76" t="b">
        <v>0</v>
      </c>
      <c r="N4788" s="76" t="b">
        <v>0</v>
      </c>
      <c r="O4788" s="76" t="b">
        <v>0</v>
      </c>
      <c r="P4788" s="76" t="b">
        <v>0</v>
      </c>
      <c r="Q4788" s="76" t="b">
        <v>0</v>
      </c>
      <c r="R4788" s="14"/>
      <c r="S4788" s="14"/>
      <c r="T4788" s="14"/>
      <c r="U4788" s="14"/>
      <c r="V4788" s="14"/>
      <c r="W4788" s="14"/>
    </row>
    <row r="4789" ht="31.5" customHeight="1">
      <c r="A4789" s="158"/>
      <c r="B4789" s="159"/>
      <c r="C4789" s="160"/>
      <c r="D4789" s="130"/>
      <c r="E4789" s="130"/>
      <c r="F4789" s="161"/>
      <c r="G4789" s="164"/>
      <c r="H4789" s="76" t="b">
        <v>1</v>
      </c>
      <c r="I4789" s="76" t="b">
        <v>0</v>
      </c>
      <c r="J4789" s="76" t="b">
        <v>0</v>
      </c>
      <c r="K4789" s="76" t="b">
        <v>0</v>
      </c>
      <c r="L4789" s="76" t="b">
        <v>0</v>
      </c>
      <c r="M4789" s="76" t="b">
        <v>0</v>
      </c>
      <c r="N4789" s="76" t="b">
        <v>0</v>
      </c>
      <c r="O4789" s="76" t="b">
        <v>0</v>
      </c>
      <c r="P4789" s="76" t="b">
        <v>0</v>
      </c>
      <c r="Q4789" s="76" t="b">
        <v>0</v>
      </c>
      <c r="R4789" s="14"/>
      <c r="S4789" s="14"/>
      <c r="T4789" s="14"/>
      <c r="U4789" s="14"/>
      <c r="V4789" s="14"/>
      <c r="W4789" s="14"/>
    </row>
    <row r="4790" ht="31.5" customHeight="1">
      <c r="A4790" s="158"/>
      <c r="B4790" s="159"/>
      <c r="C4790" s="160"/>
      <c r="D4790" s="130"/>
      <c r="E4790" s="130"/>
      <c r="F4790" s="161"/>
      <c r="G4790" s="164"/>
      <c r="H4790" s="76" t="b">
        <v>1</v>
      </c>
      <c r="I4790" s="76" t="b">
        <v>0</v>
      </c>
      <c r="J4790" s="76" t="b">
        <v>0</v>
      </c>
      <c r="K4790" s="76" t="b">
        <v>0</v>
      </c>
      <c r="L4790" s="76" t="b">
        <v>0</v>
      </c>
      <c r="M4790" s="76" t="b">
        <v>0</v>
      </c>
      <c r="N4790" s="76" t="b">
        <v>0</v>
      </c>
      <c r="O4790" s="76" t="b">
        <v>0</v>
      </c>
      <c r="P4790" s="76" t="b">
        <v>0</v>
      </c>
      <c r="Q4790" s="76" t="b">
        <v>0</v>
      </c>
      <c r="R4790" s="14"/>
      <c r="S4790" s="14"/>
      <c r="T4790" s="14"/>
      <c r="U4790" s="14"/>
      <c r="V4790" s="14"/>
      <c r="W4790" s="14"/>
    </row>
    <row r="4791" ht="31.5" customHeight="1">
      <c r="A4791" s="158"/>
      <c r="B4791" s="159"/>
      <c r="C4791" s="160"/>
      <c r="D4791" s="130"/>
      <c r="E4791" s="130"/>
      <c r="F4791" s="161"/>
      <c r="G4791" s="164"/>
      <c r="H4791" s="76" t="b">
        <v>1</v>
      </c>
      <c r="I4791" s="76" t="b">
        <v>0</v>
      </c>
      <c r="J4791" s="76" t="b">
        <v>0</v>
      </c>
      <c r="K4791" s="76" t="b">
        <v>0</v>
      </c>
      <c r="L4791" s="76" t="b">
        <v>0</v>
      </c>
      <c r="M4791" s="76" t="b">
        <v>0</v>
      </c>
      <c r="N4791" s="76" t="b">
        <v>0</v>
      </c>
      <c r="O4791" s="76" t="b">
        <v>0</v>
      </c>
      <c r="P4791" s="76" t="b">
        <v>0</v>
      </c>
      <c r="Q4791" s="76" t="b">
        <v>0</v>
      </c>
      <c r="R4791" s="14"/>
      <c r="S4791" s="14"/>
      <c r="T4791" s="14"/>
      <c r="U4791" s="14"/>
      <c r="V4791" s="14"/>
      <c r="W4791" s="14"/>
    </row>
    <row r="4792" ht="31.5" customHeight="1">
      <c r="A4792" s="158"/>
      <c r="B4792" s="159"/>
      <c r="C4792" s="160"/>
      <c r="D4792" s="130"/>
      <c r="E4792" s="130"/>
      <c r="F4792" s="161"/>
      <c r="G4792" s="164"/>
      <c r="H4792" s="76" t="b">
        <v>1</v>
      </c>
      <c r="I4792" s="76" t="b">
        <v>0</v>
      </c>
      <c r="J4792" s="76" t="b">
        <v>0</v>
      </c>
      <c r="K4792" s="76" t="b">
        <v>0</v>
      </c>
      <c r="L4792" s="76" t="b">
        <v>0</v>
      </c>
      <c r="M4792" s="76" t="b">
        <v>0</v>
      </c>
      <c r="N4792" s="76" t="b">
        <v>0</v>
      </c>
      <c r="O4792" s="76" t="b">
        <v>0</v>
      </c>
      <c r="P4792" s="76" t="b">
        <v>0</v>
      </c>
      <c r="Q4792" s="76" t="b">
        <v>0</v>
      </c>
      <c r="R4792" s="14"/>
      <c r="S4792" s="14"/>
      <c r="T4792" s="14"/>
      <c r="U4792" s="14"/>
      <c r="V4792" s="14"/>
      <c r="W4792" s="14"/>
    </row>
    <row r="4793" ht="31.5" customHeight="1">
      <c r="A4793" s="158"/>
      <c r="B4793" s="159"/>
      <c r="C4793" s="160"/>
      <c r="D4793" s="130"/>
      <c r="E4793" s="130"/>
      <c r="F4793" s="161"/>
      <c r="G4793" s="164"/>
      <c r="H4793" s="76" t="b">
        <v>1</v>
      </c>
      <c r="I4793" s="76" t="b">
        <v>0</v>
      </c>
      <c r="J4793" s="76" t="b">
        <v>0</v>
      </c>
      <c r="K4793" s="76" t="b">
        <v>0</v>
      </c>
      <c r="L4793" s="76" t="b">
        <v>0</v>
      </c>
      <c r="M4793" s="76" t="b">
        <v>0</v>
      </c>
      <c r="N4793" s="76" t="b">
        <v>0</v>
      </c>
      <c r="O4793" s="76" t="b">
        <v>0</v>
      </c>
      <c r="P4793" s="76" t="b">
        <v>0</v>
      </c>
      <c r="Q4793" s="76" t="b">
        <v>0</v>
      </c>
      <c r="R4793" s="14"/>
      <c r="S4793" s="14"/>
      <c r="T4793" s="14"/>
      <c r="U4793" s="14"/>
      <c r="V4793" s="14"/>
      <c r="W4793" s="14"/>
    </row>
    <row r="4794" ht="31.5" customHeight="1">
      <c r="A4794" s="158"/>
      <c r="B4794" s="159"/>
      <c r="C4794" s="160"/>
      <c r="D4794" s="130"/>
      <c r="E4794" s="130"/>
      <c r="F4794" s="161"/>
      <c r="G4794" s="164"/>
      <c r="H4794" s="76" t="b">
        <v>1</v>
      </c>
      <c r="I4794" s="76" t="b">
        <v>0</v>
      </c>
      <c r="J4794" s="76" t="b">
        <v>0</v>
      </c>
      <c r="K4794" s="76" t="b">
        <v>0</v>
      </c>
      <c r="L4794" s="76" t="b">
        <v>0</v>
      </c>
      <c r="M4794" s="76" t="b">
        <v>0</v>
      </c>
      <c r="N4794" s="76" t="b">
        <v>0</v>
      </c>
      <c r="O4794" s="76" t="b">
        <v>0</v>
      </c>
      <c r="P4794" s="76" t="b">
        <v>0</v>
      </c>
      <c r="Q4794" s="76" t="b">
        <v>0</v>
      </c>
      <c r="R4794" s="14"/>
      <c r="S4794" s="14"/>
      <c r="T4794" s="14"/>
      <c r="U4794" s="14"/>
      <c r="V4794" s="14"/>
      <c r="W4794" s="14"/>
    </row>
    <row r="4795" ht="31.5" customHeight="1">
      <c r="A4795" s="158"/>
      <c r="B4795" s="159"/>
      <c r="C4795" s="160"/>
      <c r="D4795" s="130"/>
      <c r="E4795" s="130"/>
      <c r="F4795" s="161"/>
      <c r="G4795" s="164"/>
      <c r="H4795" s="76" t="b">
        <v>1</v>
      </c>
      <c r="I4795" s="76" t="b">
        <v>0</v>
      </c>
      <c r="J4795" s="76" t="b">
        <v>0</v>
      </c>
      <c r="K4795" s="76" t="b">
        <v>0</v>
      </c>
      <c r="L4795" s="76" t="b">
        <v>0</v>
      </c>
      <c r="M4795" s="76" t="b">
        <v>0</v>
      </c>
      <c r="N4795" s="76" t="b">
        <v>0</v>
      </c>
      <c r="O4795" s="76" t="b">
        <v>0</v>
      </c>
      <c r="P4795" s="76" t="b">
        <v>0</v>
      </c>
      <c r="Q4795" s="76" t="b">
        <v>0</v>
      </c>
      <c r="R4795" s="14"/>
      <c r="S4795" s="14"/>
      <c r="T4795" s="14"/>
      <c r="U4795" s="14"/>
      <c r="V4795" s="14"/>
      <c r="W4795" s="14"/>
    </row>
    <row r="4796" ht="31.5" customHeight="1">
      <c r="A4796" s="158"/>
      <c r="B4796" s="159"/>
      <c r="C4796" s="160"/>
      <c r="D4796" s="130"/>
      <c r="E4796" s="130"/>
      <c r="F4796" s="161"/>
      <c r="G4796" s="164"/>
      <c r="H4796" s="76" t="b">
        <v>1</v>
      </c>
      <c r="I4796" s="76" t="b">
        <v>0</v>
      </c>
      <c r="J4796" s="76" t="b">
        <v>0</v>
      </c>
      <c r="K4796" s="76" t="b">
        <v>0</v>
      </c>
      <c r="L4796" s="76" t="b">
        <v>0</v>
      </c>
      <c r="M4796" s="76" t="b">
        <v>0</v>
      </c>
      <c r="N4796" s="76" t="b">
        <v>0</v>
      </c>
      <c r="O4796" s="76" t="b">
        <v>0</v>
      </c>
      <c r="P4796" s="76" t="b">
        <v>0</v>
      </c>
      <c r="Q4796" s="76" t="b">
        <v>0</v>
      </c>
      <c r="R4796" s="14"/>
      <c r="S4796" s="14"/>
      <c r="T4796" s="14"/>
      <c r="U4796" s="14"/>
      <c r="V4796" s="14"/>
      <c r="W4796" s="14"/>
    </row>
    <row r="4797" ht="31.5" customHeight="1">
      <c r="A4797" s="158"/>
      <c r="B4797" s="159"/>
      <c r="C4797" s="160"/>
      <c r="D4797" s="130"/>
      <c r="E4797" s="130"/>
      <c r="F4797" s="161"/>
      <c r="G4797" s="164"/>
      <c r="H4797" s="76" t="b">
        <v>1</v>
      </c>
      <c r="I4797" s="76" t="b">
        <v>0</v>
      </c>
      <c r="J4797" s="76" t="b">
        <v>0</v>
      </c>
      <c r="K4797" s="76" t="b">
        <v>0</v>
      </c>
      <c r="L4797" s="76" t="b">
        <v>0</v>
      </c>
      <c r="M4797" s="76" t="b">
        <v>0</v>
      </c>
      <c r="N4797" s="76" t="b">
        <v>0</v>
      </c>
      <c r="O4797" s="76" t="b">
        <v>0</v>
      </c>
      <c r="P4797" s="76" t="b">
        <v>0</v>
      </c>
      <c r="Q4797" s="76" t="b">
        <v>0</v>
      </c>
      <c r="R4797" s="14"/>
      <c r="S4797" s="14"/>
      <c r="T4797" s="14"/>
      <c r="U4797" s="14"/>
      <c r="V4797" s="14"/>
      <c r="W4797" s="14"/>
    </row>
    <row r="4798" ht="31.5" customHeight="1">
      <c r="A4798" s="158"/>
      <c r="B4798" s="159"/>
      <c r="C4798" s="160"/>
      <c r="D4798" s="130"/>
      <c r="E4798" s="130"/>
      <c r="F4798" s="161"/>
      <c r="G4798" s="164"/>
      <c r="H4798" s="76" t="b">
        <v>1</v>
      </c>
      <c r="I4798" s="76" t="b">
        <v>0</v>
      </c>
      <c r="J4798" s="76" t="b">
        <v>0</v>
      </c>
      <c r="K4798" s="76" t="b">
        <v>0</v>
      </c>
      <c r="L4798" s="76" t="b">
        <v>0</v>
      </c>
      <c r="M4798" s="76" t="b">
        <v>0</v>
      </c>
      <c r="N4798" s="76" t="b">
        <v>0</v>
      </c>
      <c r="O4798" s="76" t="b">
        <v>0</v>
      </c>
      <c r="P4798" s="76" t="b">
        <v>0</v>
      </c>
      <c r="Q4798" s="76" t="b">
        <v>0</v>
      </c>
      <c r="R4798" s="14"/>
      <c r="S4798" s="14"/>
      <c r="T4798" s="14"/>
      <c r="U4798" s="14"/>
      <c r="V4798" s="14"/>
      <c r="W4798" s="14"/>
    </row>
    <row r="4799" ht="31.5" customHeight="1">
      <c r="A4799" s="158"/>
      <c r="B4799" s="159"/>
      <c r="C4799" s="160"/>
      <c r="D4799" s="130"/>
      <c r="E4799" s="130"/>
      <c r="F4799" s="161"/>
      <c r="G4799" s="164"/>
      <c r="H4799" s="76" t="b">
        <v>1</v>
      </c>
      <c r="I4799" s="76" t="b">
        <v>0</v>
      </c>
      <c r="J4799" s="76" t="b">
        <v>0</v>
      </c>
      <c r="K4799" s="76" t="b">
        <v>0</v>
      </c>
      <c r="L4799" s="76" t="b">
        <v>0</v>
      </c>
      <c r="M4799" s="76" t="b">
        <v>0</v>
      </c>
      <c r="N4799" s="76" t="b">
        <v>0</v>
      </c>
      <c r="O4799" s="76" t="b">
        <v>0</v>
      </c>
      <c r="P4799" s="76" t="b">
        <v>0</v>
      </c>
      <c r="Q4799" s="76" t="b">
        <v>0</v>
      </c>
      <c r="R4799" s="14"/>
      <c r="S4799" s="14"/>
      <c r="T4799" s="14"/>
      <c r="U4799" s="14"/>
      <c r="V4799" s="14"/>
      <c r="W4799" s="14"/>
    </row>
    <row r="4800" ht="31.5" customHeight="1">
      <c r="A4800" s="158"/>
      <c r="B4800" s="159"/>
      <c r="C4800" s="160"/>
      <c r="D4800" s="130"/>
      <c r="E4800" s="130"/>
      <c r="F4800" s="161"/>
      <c r="G4800" s="164"/>
      <c r="H4800" s="76" t="b">
        <v>1</v>
      </c>
      <c r="I4800" s="76" t="b">
        <v>0</v>
      </c>
      <c r="J4800" s="76" t="b">
        <v>0</v>
      </c>
      <c r="K4800" s="76" t="b">
        <v>0</v>
      </c>
      <c r="L4800" s="76" t="b">
        <v>0</v>
      </c>
      <c r="M4800" s="76" t="b">
        <v>0</v>
      </c>
      <c r="N4800" s="76" t="b">
        <v>0</v>
      </c>
      <c r="O4800" s="76" t="b">
        <v>0</v>
      </c>
      <c r="P4800" s="76" t="b">
        <v>0</v>
      </c>
      <c r="Q4800" s="76" t="b">
        <v>0</v>
      </c>
      <c r="R4800" s="14"/>
      <c r="S4800" s="14"/>
      <c r="T4800" s="14"/>
      <c r="U4800" s="14"/>
      <c r="V4800" s="14"/>
      <c r="W4800" s="14"/>
    </row>
    <row r="4801" ht="31.5" customHeight="1">
      <c r="A4801" s="158"/>
      <c r="B4801" s="159"/>
      <c r="C4801" s="160"/>
      <c r="D4801" s="130"/>
      <c r="E4801" s="130"/>
      <c r="F4801" s="161"/>
      <c r="G4801" s="164"/>
      <c r="H4801" s="76" t="b">
        <v>1</v>
      </c>
      <c r="I4801" s="76" t="b">
        <v>0</v>
      </c>
      <c r="J4801" s="76" t="b">
        <v>0</v>
      </c>
      <c r="K4801" s="76" t="b">
        <v>0</v>
      </c>
      <c r="L4801" s="76" t="b">
        <v>0</v>
      </c>
      <c r="M4801" s="76" t="b">
        <v>0</v>
      </c>
      <c r="N4801" s="76" t="b">
        <v>0</v>
      </c>
      <c r="O4801" s="76" t="b">
        <v>0</v>
      </c>
      <c r="P4801" s="76" t="b">
        <v>0</v>
      </c>
      <c r="Q4801" s="76" t="b">
        <v>0</v>
      </c>
      <c r="R4801" s="14"/>
      <c r="S4801" s="14"/>
      <c r="T4801" s="14"/>
      <c r="U4801" s="14"/>
      <c r="V4801" s="14"/>
      <c r="W4801" s="14"/>
    </row>
    <row r="4802" ht="31.5" customHeight="1">
      <c r="A4802" s="158"/>
      <c r="B4802" s="159"/>
      <c r="C4802" s="160"/>
      <c r="D4802" s="130"/>
      <c r="E4802" s="130"/>
      <c r="F4802" s="161"/>
      <c r="G4802" s="164"/>
      <c r="H4802" s="76" t="b">
        <v>1</v>
      </c>
      <c r="I4802" s="76" t="b">
        <v>0</v>
      </c>
      <c r="J4802" s="76" t="b">
        <v>0</v>
      </c>
      <c r="K4802" s="76" t="b">
        <v>0</v>
      </c>
      <c r="L4802" s="76" t="b">
        <v>0</v>
      </c>
      <c r="M4802" s="76" t="b">
        <v>0</v>
      </c>
      <c r="N4802" s="76" t="b">
        <v>0</v>
      </c>
      <c r="O4802" s="76" t="b">
        <v>0</v>
      </c>
      <c r="P4802" s="76" t="b">
        <v>0</v>
      </c>
      <c r="Q4802" s="76" t="b">
        <v>0</v>
      </c>
      <c r="R4802" s="14"/>
      <c r="S4802" s="14"/>
      <c r="T4802" s="14"/>
      <c r="U4802" s="14"/>
      <c r="V4802" s="14"/>
      <c r="W4802" s="14"/>
    </row>
    <row r="4803" ht="31.5" customHeight="1">
      <c r="A4803" s="158"/>
      <c r="B4803" s="159"/>
      <c r="C4803" s="160"/>
      <c r="D4803" s="130"/>
      <c r="E4803" s="130"/>
      <c r="F4803" s="161"/>
      <c r="G4803" s="164"/>
      <c r="H4803" s="76" t="b">
        <v>1</v>
      </c>
      <c r="I4803" s="76" t="b">
        <v>0</v>
      </c>
      <c r="J4803" s="76" t="b">
        <v>0</v>
      </c>
      <c r="K4803" s="76" t="b">
        <v>0</v>
      </c>
      <c r="L4803" s="76" t="b">
        <v>0</v>
      </c>
      <c r="M4803" s="76" t="b">
        <v>0</v>
      </c>
      <c r="N4803" s="76" t="b">
        <v>0</v>
      </c>
      <c r="O4803" s="76" t="b">
        <v>0</v>
      </c>
      <c r="P4803" s="76" t="b">
        <v>0</v>
      </c>
      <c r="Q4803" s="76" t="b">
        <v>0</v>
      </c>
      <c r="R4803" s="14"/>
      <c r="S4803" s="14"/>
      <c r="T4803" s="14"/>
      <c r="U4803" s="14"/>
      <c r="V4803" s="14"/>
      <c r="W4803" s="14"/>
    </row>
    <row r="4804" ht="31.5" customHeight="1">
      <c r="A4804" s="158"/>
      <c r="B4804" s="159"/>
      <c r="C4804" s="160"/>
      <c r="D4804" s="130"/>
      <c r="E4804" s="130"/>
      <c r="F4804" s="161"/>
      <c r="G4804" s="164"/>
      <c r="H4804" s="76" t="b">
        <v>1</v>
      </c>
      <c r="I4804" s="76" t="b">
        <v>0</v>
      </c>
      <c r="J4804" s="76" t="b">
        <v>0</v>
      </c>
      <c r="K4804" s="76" t="b">
        <v>0</v>
      </c>
      <c r="L4804" s="76" t="b">
        <v>0</v>
      </c>
      <c r="M4804" s="76" t="b">
        <v>0</v>
      </c>
      <c r="N4804" s="76" t="b">
        <v>0</v>
      </c>
      <c r="O4804" s="76" t="b">
        <v>0</v>
      </c>
      <c r="P4804" s="76" t="b">
        <v>0</v>
      </c>
      <c r="Q4804" s="76" t="b">
        <v>0</v>
      </c>
      <c r="R4804" s="14"/>
      <c r="S4804" s="14"/>
      <c r="T4804" s="14"/>
      <c r="U4804" s="14"/>
      <c r="V4804" s="14"/>
      <c r="W4804" s="14"/>
    </row>
    <row r="4805" ht="31.5" customHeight="1">
      <c r="A4805" s="158"/>
      <c r="B4805" s="159"/>
      <c r="C4805" s="160"/>
      <c r="D4805" s="130"/>
      <c r="E4805" s="130"/>
      <c r="F4805" s="161"/>
      <c r="G4805" s="164"/>
      <c r="H4805" s="76" t="b">
        <v>1</v>
      </c>
      <c r="I4805" s="76" t="b">
        <v>0</v>
      </c>
      <c r="J4805" s="76" t="b">
        <v>0</v>
      </c>
      <c r="K4805" s="76" t="b">
        <v>0</v>
      </c>
      <c r="L4805" s="76" t="b">
        <v>0</v>
      </c>
      <c r="M4805" s="76" t="b">
        <v>0</v>
      </c>
      <c r="N4805" s="76" t="b">
        <v>0</v>
      </c>
      <c r="O4805" s="76" t="b">
        <v>0</v>
      </c>
      <c r="P4805" s="76" t="b">
        <v>0</v>
      </c>
      <c r="Q4805" s="76" t="b">
        <v>0</v>
      </c>
      <c r="R4805" s="14"/>
      <c r="S4805" s="14"/>
      <c r="T4805" s="14"/>
      <c r="U4805" s="14"/>
      <c r="V4805" s="14"/>
      <c r="W4805" s="14"/>
    </row>
    <row r="4806" ht="31.5" customHeight="1">
      <c r="A4806" s="158"/>
      <c r="B4806" s="159"/>
      <c r="C4806" s="160"/>
      <c r="D4806" s="130"/>
      <c r="E4806" s="130"/>
      <c r="F4806" s="161"/>
      <c r="G4806" s="164"/>
      <c r="H4806" s="76" t="b">
        <v>1</v>
      </c>
      <c r="I4806" s="76" t="b">
        <v>0</v>
      </c>
      <c r="J4806" s="76" t="b">
        <v>0</v>
      </c>
      <c r="K4806" s="76" t="b">
        <v>0</v>
      </c>
      <c r="L4806" s="76" t="b">
        <v>0</v>
      </c>
      <c r="M4806" s="76" t="b">
        <v>0</v>
      </c>
      <c r="N4806" s="76" t="b">
        <v>0</v>
      </c>
      <c r="O4806" s="76" t="b">
        <v>0</v>
      </c>
      <c r="P4806" s="76" t="b">
        <v>0</v>
      </c>
      <c r="Q4806" s="76" t="b">
        <v>0</v>
      </c>
      <c r="R4806" s="14"/>
      <c r="S4806" s="14"/>
      <c r="T4806" s="14"/>
      <c r="U4806" s="14"/>
      <c r="V4806" s="14"/>
      <c r="W4806" s="14"/>
    </row>
    <row r="4807" ht="31.5" customHeight="1">
      <c r="A4807" s="158"/>
      <c r="B4807" s="159"/>
      <c r="C4807" s="160"/>
      <c r="D4807" s="130"/>
      <c r="E4807" s="130"/>
      <c r="F4807" s="161"/>
      <c r="G4807" s="164"/>
      <c r="H4807" s="76" t="b">
        <v>1</v>
      </c>
      <c r="I4807" s="76" t="b">
        <v>0</v>
      </c>
      <c r="J4807" s="76" t="b">
        <v>0</v>
      </c>
      <c r="K4807" s="76" t="b">
        <v>0</v>
      </c>
      <c r="L4807" s="76" t="b">
        <v>0</v>
      </c>
      <c r="M4807" s="76" t="b">
        <v>0</v>
      </c>
      <c r="N4807" s="76" t="b">
        <v>0</v>
      </c>
      <c r="O4807" s="76" t="b">
        <v>0</v>
      </c>
      <c r="P4807" s="76" t="b">
        <v>0</v>
      </c>
      <c r="Q4807" s="76" t="b">
        <v>0</v>
      </c>
      <c r="R4807" s="14"/>
      <c r="S4807" s="14"/>
      <c r="T4807" s="14"/>
      <c r="U4807" s="14"/>
      <c r="V4807" s="14"/>
      <c r="W4807" s="14"/>
    </row>
    <row r="4808" ht="31.5" customHeight="1">
      <c r="A4808" s="158"/>
      <c r="B4808" s="159"/>
      <c r="C4808" s="160"/>
      <c r="D4808" s="130"/>
      <c r="E4808" s="130"/>
      <c r="F4808" s="161"/>
      <c r="G4808" s="164"/>
      <c r="H4808" s="76" t="b">
        <v>1</v>
      </c>
      <c r="I4808" s="76" t="b">
        <v>0</v>
      </c>
      <c r="J4808" s="76" t="b">
        <v>0</v>
      </c>
      <c r="K4808" s="76" t="b">
        <v>0</v>
      </c>
      <c r="L4808" s="76" t="b">
        <v>0</v>
      </c>
      <c r="M4808" s="76" t="b">
        <v>0</v>
      </c>
      <c r="N4808" s="76" t="b">
        <v>0</v>
      </c>
      <c r="O4808" s="76" t="b">
        <v>0</v>
      </c>
      <c r="P4808" s="76" t="b">
        <v>0</v>
      </c>
      <c r="Q4808" s="76" t="b">
        <v>0</v>
      </c>
      <c r="R4808" s="14"/>
      <c r="S4808" s="14"/>
      <c r="T4808" s="14"/>
      <c r="U4808" s="14"/>
      <c r="V4808" s="14"/>
      <c r="W4808" s="14"/>
    </row>
    <row r="4809" ht="31.5" customHeight="1">
      <c r="A4809" s="158"/>
      <c r="B4809" s="159"/>
      <c r="C4809" s="160"/>
      <c r="D4809" s="130"/>
      <c r="E4809" s="130"/>
      <c r="F4809" s="161"/>
      <c r="G4809" s="164"/>
      <c r="H4809" s="76" t="b">
        <v>1</v>
      </c>
      <c r="I4809" s="76" t="b">
        <v>0</v>
      </c>
      <c r="J4809" s="76" t="b">
        <v>0</v>
      </c>
      <c r="K4809" s="76" t="b">
        <v>0</v>
      </c>
      <c r="L4809" s="76" t="b">
        <v>0</v>
      </c>
      <c r="M4809" s="76" t="b">
        <v>0</v>
      </c>
      <c r="N4809" s="76" t="b">
        <v>0</v>
      </c>
      <c r="O4809" s="76" t="b">
        <v>0</v>
      </c>
      <c r="P4809" s="76" t="b">
        <v>0</v>
      </c>
      <c r="Q4809" s="76" t="b">
        <v>0</v>
      </c>
      <c r="R4809" s="14"/>
      <c r="S4809" s="14"/>
      <c r="T4809" s="14"/>
      <c r="U4809" s="14"/>
      <c r="V4809" s="14"/>
      <c r="W4809" s="14"/>
    </row>
    <row r="4810" ht="31.5" customHeight="1">
      <c r="A4810" s="158"/>
      <c r="B4810" s="159"/>
      <c r="C4810" s="160"/>
      <c r="D4810" s="130"/>
      <c r="E4810" s="130"/>
      <c r="F4810" s="161"/>
      <c r="G4810" s="164"/>
      <c r="H4810" s="76" t="b">
        <v>0</v>
      </c>
      <c r="I4810" s="76" t="b">
        <v>0</v>
      </c>
      <c r="J4810" s="76" t="b">
        <v>0</v>
      </c>
      <c r="K4810" s="76" t="b">
        <v>0</v>
      </c>
      <c r="L4810" s="76" t="b">
        <v>0</v>
      </c>
      <c r="M4810" s="76" t="b">
        <v>0</v>
      </c>
      <c r="N4810" s="76" t="b">
        <v>0</v>
      </c>
      <c r="O4810" s="76" t="b">
        <v>0</v>
      </c>
      <c r="P4810" s="76" t="b">
        <v>0</v>
      </c>
      <c r="Q4810" s="76" t="b">
        <v>0</v>
      </c>
      <c r="R4810" s="14"/>
      <c r="S4810" s="14"/>
      <c r="T4810" s="14"/>
      <c r="U4810" s="14"/>
      <c r="V4810" s="14"/>
      <c r="W4810" s="14"/>
    </row>
    <row r="4811" ht="31.5" customHeight="1">
      <c r="A4811" s="158"/>
      <c r="B4811" s="159"/>
      <c r="C4811" s="160"/>
      <c r="D4811" s="130"/>
      <c r="E4811" s="130"/>
      <c r="F4811" s="161"/>
      <c r="G4811" s="164"/>
      <c r="H4811" s="76" t="b">
        <v>0</v>
      </c>
      <c r="I4811" s="76" t="b">
        <v>0</v>
      </c>
      <c r="J4811" s="76" t="b">
        <v>0</v>
      </c>
      <c r="K4811" s="76" t="b">
        <v>0</v>
      </c>
      <c r="L4811" s="76" t="b">
        <v>0</v>
      </c>
      <c r="M4811" s="76" t="b">
        <v>0</v>
      </c>
      <c r="N4811" s="76" t="b">
        <v>0</v>
      </c>
      <c r="O4811" s="76" t="b">
        <v>0</v>
      </c>
      <c r="P4811" s="76" t="b">
        <v>0</v>
      </c>
      <c r="Q4811" s="76" t="b">
        <v>0</v>
      </c>
      <c r="R4811" s="14"/>
      <c r="S4811" s="14"/>
      <c r="T4811" s="14"/>
      <c r="U4811" s="14"/>
      <c r="V4811" s="14"/>
      <c r="W4811" s="14"/>
    </row>
    <row r="4812" ht="31.5" customHeight="1">
      <c r="A4812" s="158"/>
      <c r="B4812" s="159"/>
      <c r="C4812" s="160"/>
      <c r="D4812" s="130"/>
      <c r="E4812" s="130"/>
      <c r="F4812" s="161"/>
      <c r="G4812" s="164"/>
      <c r="H4812" s="76" t="b">
        <v>0</v>
      </c>
      <c r="I4812" s="76" t="b">
        <v>0</v>
      </c>
      <c r="J4812" s="76" t="b">
        <v>0</v>
      </c>
      <c r="K4812" s="76" t="b">
        <v>0</v>
      </c>
      <c r="L4812" s="76" t="b">
        <v>0</v>
      </c>
      <c r="M4812" s="76" t="b">
        <v>0</v>
      </c>
      <c r="N4812" s="76" t="b">
        <v>0</v>
      </c>
      <c r="O4812" s="76" t="b">
        <v>0</v>
      </c>
      <c r="P4812" s="76" t="b">
        <v>0</v>
      </c>
      <c r="Q4812" s="76" t="b">
        <v>0</v>
      </c>
      <c r="R4812" s="14"/>
      <c r="S4812" s="14"/>
      <c r="T4812" s="14"/>
      <c r="U4812" s="14"/>
      <c r="V4812" s="14"/>
      <c r="W4812" s="14"/>
    </row>
    <row r="4813" ht="31.5" customHeight="1">
      <c r="A4813" s="158"/>
      <c r="B4813" s="159"/>
      <c r="C4813" s="160"/>
      <c r="D4813" s="130"/>
      <c r="E4813" s="130"/>
      <c r="F4813" s="161"/>
      <c r="G4813" s="164"/>
      <c r="H4813" s="76" t="b">
        <v>0</v>
      </c>
      <c r="I4813" s="76" t="b">
        <v>0</v>
      </c>
      <c r="J4813" s="76" t="b">
        <v>0</v>
      </c>
      <c r="K4813" s="76" t="b">
        <v>0</v>
      </c>
      <c r="L4813" s="76" t="b">
        <v>0</v>
      </c>
      <c r="M4813" s="76" t="b">
        <v>0</v>
      </c>
      <c r="N4813" s="76" t="b">
        <v>0</v>
      </c>
      <c r="O4813" s="76" t="b">
        <v>0</v>
      </c>
      <c r="P4813" s="76" t="b">
        <v>0</v>
      </c>
      <c r="Q4813" s="76" t="b">
        <v>0</v>
      </c>
      <c r="R4813" s="14"/>
      <c r="S4813" s="14"/>
      <c r="T4813" s="14"/>
      <c r="U4813" s="14"/>
      <c r="V4813" s="14"/>
      <c r="W4813" s="14"/>
    </row>
    <row r="4814" ht="31.5" customHeight="1">
      <c r="A4814" s="158"/>
      <c r="B4814" s="159"/>
      <c r="C4814" s="160"/>
      <c r="D4814" s="130"/>
      <c r="E4814" s="130"/>
      <c r="F4814" s="161"/>
      <c r="G4814" s="164"/>
      <c r="H4814" s="76" t="b">
        <v>0</v>
      </c>
      <c r="I4814" s="76" t="b">
        <v>0</v>
      </c>
      <c r="J4814" s="76" t="b">
        <v>0</v>
      </c>
      <c r="K4814" s="76" t="b">
        <v>0</v>
      </c>
      <c r="L4814" s="76" t="b">
        <v>0</v>
      </c>
      <c r="M4814" s="76" t="b">
        <v>0</v>
      </c>
      <c r="N4814" s="76" t="b">
        <v>0</v>
      </c>
      <c r="O4814" s="76" t="b">
        <v>0</v>
      </c>
      <c r="P4814" s="76" t="b">
        <v>0</v>
      </c>
      <c r="Q4814" s="76" t="b">
        <v>0</v>
      </c>
      <c r="R4814" s="14"/>
      <c r="S4814" s="14"/>
      <c r="T4814" s="14"/>
      <c r="U4814" s="14"/>
      <c r="V4814" s="14"/>
      <c r="W4814" s="14"/>
    </row>
    <row r="4815" ht="31.5" customHeight="1">
      <c r="A4815" s="158"/>
      <c r="B4815" s="159"/>
      <c r="C4815" s="160"/>
      <c r="D4815" s="130"/>
      <c r="E4815" s="130"/>
      <c r="F4815" s="161"/>
      <c r="G4815" s="164"/>
      <c r="H4815" s="76" t="b">
        <v>0</v>
      </c>
      <c r="I4815" s="76" t="b">
        <v>0</v>
      </c>
      <c r="J4815" s="76" t="b">
        <v>0</v>
      </c>
      <c r="K4815" s="76" t="b">
        <v>0</v>
      </c>
      <c r="L4815" s="76" t="b">
        <v>0</v>
      </c>
      <c r="M4815" s="76" t="b">
        <v>0</v>
      </c>
      <c r="N4815" s="76" t="b">
        <v>0</v>
      </c>
      <c r="O4815" s="76" t="b">
        <v>0</v>
      </c>
      <c r="P4815" s="76" t="b">
        <v>0</v>
      </c>
      <c r="Q4815" s="76" t="b">
        <v>0</v>
      </c>
      <c r="R4815" s="14"/>
      <c r="S4815" s="14"/>
      <c r="T4815" s="14"/>
      <c r="U4815" s="14"/>
      <c r="V4815" s="14"/>
      <c r="W4815" s="14"/>
    </row>
    <row r="4816" ht="31.5" customHeight="1">
      <c r="A4816" s="158"/>
      <c r="B4816" s="159"/>
      <c r="C4816" s="160"/>
      <c r="D4816" s="130"/>
      <c r="E4816" s="130"/>
      <c r="F4816" s="161"/>
      <c r="G4816" s="164"/>
      <c r="H4816" s="76" t="b">
        <v>0</v>
      </c>
      <c r="I4816" s="76" t="b">
        <v>0</v>
      </c>
      <c r="J4816" s="76" t="b">
        <v>0</v>
      </c>
      <c r="K4816" s="76" t="b">
        <v>0</v>
      </c>
      <c r="L4816" s="76" t="b">
        <v>0</v>
      </c>
      <c r="M4816" s="76" t="b">
        <v>0</v>
      </c>
      <c r="N4816" s="76" t="b">
        <v>0</v>
      </c>
      <c r="O4816" s="76" t="b">
        <v>0</v>
      </c>
      <c r="P4816" s="76" t="b">
        <v>0</v>
      </c>
      <c r="Q4816" s="76" t="b">
        <v>0</v>
      </c>
      <c r="R4816" s="14"/>
      <c r="S4816" s="14"/>
      <c r="T4816" s="14"/>
      <c r="U4816" s="14"/>
      <c r="V4816" s="14"/>
      <c r="W4816" s="14"/>
    </row>
    <row r="4817" ht="31.5" customHeight="1">
      <c r="A4817" s="158"/>
      <c r="B4817" s="159"/>
      <c r="C4817" s="160"/>
      <c r="D4817" s="130"/>
      <c r="E4817" s="130"/>
      <c r="F4817" s="161"/>
      <c r="G4817" s="164"/>
      <c r="H4817" s="76" t="b">
        <v>0</v>
      </c>
      <c r="I4817" s="76" t="b">
        <v>0</v>
      </c>
      <c r="J4817" s="76" t="b">
        <v>0</v>
      </c>
      <c r="K4817" s="76" t="b">
        <v>0</v>
      </c>
      <c r="L4817" s="76" t="b">
        <v>0</v>
      </c>
      <c r="M4817" s="76" t="b">
        <v>0</v>
      </c>
      <c r="N4817" s="76" t="b">
        <v>0</v>
      </c>
      <c r="O4817" s="76" t="b">
        <v>0</v>
      </c>
      <c r="P4817" s="76" t="b">
        <v>0</v>
      </c>
      <c r="Q4817" s="76" t="b">
        <v>0</v>
      </c>
      <c r="R4817" s="14"/>
      <c r="S4817" s="14"/>
      <c r="T4817" s="14"/>
      <c r="U4817" s="14"/>
      <c r="V4817" s="14"/>
      <c r="W4817" s="14"/>
    </row>
    <row r="4818" ht="31.5" customHeight="1">
      <c r="A4818" s="158"/>
      <c r="B4818" s="159"/>
      <c r="C4818" s="160"/>
      <c r="D4818" s="130"/>
      <c r="E4818" s="130"/>
      <c r="F4818" s="161"/>
      <c r="G4818" s="164"/>
      <c r="H4818" s="76" t="b">
        <v>0</v>
      </c>
      <c r="I4818" s="76" t="b">
        <v>0</v>
      </c>
      <c r="J4818" s="76" t="b">
        <v>0</v>
      </c>
      <c r="K4818" s="76" t="b">
        <v>0</v>
      </c>
      <c r="L4818" s="76" t="b">
        <v>0</v>
      </c>
      <c r="M4818" s="76" t="b">
        <v>0</v>
      </c>
      <c r="N4818" s="76" t="b">
        <v>0</v>
      </c>
      <c r="O4818" s="76" t="b">
        <v>0</v>
      </c>
      <c r="P4818" s="76" t="b">
        <v>0</v>
      </c>
      <c r="Q4818" s="76" t="b">
        <v>0</v>
      </c>
      <c r="R4818" s="14"/>
      <c r="S4818" s="14"/>
      <c r="T4818" s="14"/>
      <c r="U4818" s="14"/>
      <c r="V4818" s="14"/>
      <c r="W4818" s="14"/>
    </row>
    <row r="4819" ht="31.5" customHeight="1">
      <c r="A4819" s="158"/>
      <c r="B4819" s="159"/>
      <c r="C4819" s="160"/>
      <c r="D4819" s="130"/>
      <c r="E4819" s="130"/>
      <c r="F4819" s="161"/>
      <c r="G4819" s="164"/>
      <c r="H4819" s="76" t="b">
        <v>0</v>
      </c>
      <c r="I4819" s="76" t="b">
        <v>0</v>
      </c>
      <c r="J4819" s="76" t="b">
        <v>0</v>
      </c>
      <c r="K4819" s="76" t="b">
        <v>0</v>
      </c>
      <c r="L4819" s="76" t="b">
        <v>0</v>
      </c>
      <c r="M4819" s="76" t="b">
        <v>0</v>
      </c>
      <c r="N4819" s="76" t="b">
        <v>0</v>
      </c>
      <c r="O4819" s="76" t="b">
        <v>0</v>
      </c>
      <c r="P4819" s="76" t="b">
        <v>0</v>
      </c>
      <c r="Q4819" s="76" t="b">
        <v>0</v>
      </c>
      <c r="R4819" s="14"/>
      <c r="S4819" s="14"/>
      <c r="T4819" s="14"/>
      <c r="U4819" s="14"/>
      <c r="V4819" s="14"/>
      <c r="W4819" s="14"/>
    </row>
    <row r="4820" ht="31.5" customHeight="1">
      <c r="A4820" s="158"/>
      <c r="B4820" s="159"/>
      <c r="C4820" s="160"/>
      <c r="D4820" s="130"/>
      <c r="E4820" s="130"/>
      <c r="F4820" s="161"/>
      <c r="G4820" s="164"/>
      <c r="H4820" s="76" t="b">
        <v>0</v>
      </c>
      <c r="I4820" s="76" t="b">
        <v>0</v>
      </c>
      <c r="J4820" s="76" t="b">
        <v>0</v>
      </c>
      <c r="K4820" s="76" t="b">
        <v>0</v>
      </c>
      <c r="L4820" s="76" t="b">
        <v>0</v>
      </c>
      <c r="M4820" s="76" t="b">
        <v>0</v>
      </c>
      <c r="N4820" s="76" t="b">
        <v>0</v>
      </c>
      <c r="O4820" s="76" t="b">
        <v>0</v>
      </c>
      <c r="P4820" s="76" t="b">
        <v>0</v>
      </c>
      <c r="Q4820" s="76" t="b">
        <v>0</v>
      </c>
      <c r="R4820" s="14"/>
      <c r="S4820" s="14"/>
      <c r="T4820" s="14"/>
      <c r="U4820" s="14"/>
      <c r="V4820" s="14"/>
      <c r="W4820" s="14"/>
    </row>
    <row r="4821" ht="31.5" customHeight="1">
      <c r="A4821" s="158"/>
      <c r="B4821" s="159"/>
      <c r="C4821" s="160"/>
      <c r="D4821" s="130"/>
      <c r="E4821" s="130"/>
      <c r="F4821" s="161"/>
      <c r="G4821" s="164"/>
      <c r="H4821" s="76" t="b">
        <v>0</v>
      </c>
      <c r="I4821" s="76" t="b">
        <v>0</v>
      </c>
      <c r="J4821" s="76" t="b">
        <v>0</v>
      </c>
      <c r="K4821" s="76" t="b">
        <v>0</v>
      </c>
      <c r="L4821" s="76" t="b">
        <v>0</v>
      </c>
      <c r="M4821" s="76" t="b">
        <v>0</v>
      </c>
      <c r="N4821" s="76" t="b">
        <v>0</v>
      </c>
      <c r="O4821" s="76" t="b">
        <v>0</v>
      </c>
      <c r="P4821" s="76" t="b">
        <v>0</v>
      </c>
      <c r="Q4821" s="76" t="b">
        <v>0</v>
      </c>
      <c r="R4821" s="14"/>
      <c r="S4821" s="14"/>
      <c r="T4821" s="14"/>
      <c r="U4821" s="14"/>
      <c r="V4821" s="14"/>
      <c r="W4821" s="14"/>
    </row>
    <row r="4822" ht="31.5" customHeight="1">
      <c r="A4822" s="158"/>
      <c r="B4822" s="159"/>
      <c r="C4822" s="160"/>
      <c r="D4822" s="130"/>
      <c r="E4822" s="130"/>
      <c r="F4822" s="161"/>
      <c r="G4822" s="164"/>
      <c r="H4822" s="76" t="b">
        <v>0</v>
      </c>
      <c r="I4822" s="76" t="b">
        <v>0</v>
      </c>
      <c r="J4822" s="76" t="b">
        <v>0</v>
      </c>
      <c r="K4822" s="76" t="b">
        <v>0</v>
      </c>
      <c r="L4822" s="76" t="b">
        <v>0</v>
      </c>
      <c r="M4822" s="76" t="b">
        <v>0</v>
      </c>
      <c r="N4822" s="76" t="b">
        <v>0</v>
      </c>
      <c r="O4822" s="76" t="b">
        <v>0</v>
      </c>
      <c r="P4822" s="76" t="b">
        <v>0</v>
      </c>
      <c r="Q4822" s="76" t="b">
        <v>0</v>
      </c>
      <c r="R4822" s="14"/>
      <c r="S4822" s="14"/>
      <c r="T4822" s="14"/>
      <c r="U4822" s="14"/>
      <c r="V4822" s="14"/>
      <c r="W4822" s="14"/>
    </row>
    <row r="4823" ht="31.5" customHeight="1">
      <c r="A4823" s="158"/>
      <c r="B4823" s="159"/>
      <c r="C4823" s="160"/>
      <c r="D4823" s="130"/>
      <c r="E4823" s="130"/>
      <c r="F4823" s="161"/>
      <c r="G4823" s="164"/>
      <c r="H4823" s="76" t="b">
        <v>0</v>
      </c>
      <c r="I4823" s="76" t="b">
        <v>0</v>
      </c>
      <c r="J4823" s="76" t="b">
        <v>0</v>
      </c>
      <c r="K4823" s="76" t="b">
        <v>0</v>
      </c>
      <c r="L4823" s="76" t="b">
        <v>0</v>
      </c>
      <c r="M4823" s="76" t="b">
        <v>0</v>
      </c>
      <c r="N4823" s="76" t="b">
        <v>0</v>
      </c>
      <c r="O4823" s="76" t="b">
        <v>0</v>
      </c>
      <c r="P4823" s="76" t="b">
        <v>0</v>
      </c>
      <c r="Q4823" s="76" t="b">
        <v>0</v>
      </c>
      <c r="R4823" s="14"/>
      <c r="S4823" s="14"/>
      <c r="T4823" s="14"/>
      <c r="U4823" s="14"/>
      <c r="V4823" s="14"/>
      <c r="W4823" s="14"/>
    </row>
    <row r="4824" ht="31.5" customHeight="1">
      <c r="A4824" s="158"/>
      <c r="B4824" s="159"/>
      <c r="C4824" s="160"/>
      <c r="D4824" s="130"/>
      <c r="E4824" s="130"/>
      <c r="F4824" s="161"/>
      <c r="G4824" s="164"/>
      <c r="H4824" s="76" t="b">
        <v>0</v>
      </c>
      <c r="I4824" s="76" t="b">
        <v>0</v>
      </c>
      <c r="J4824" s="76" t="b">
        <v>0</v>
      </c>
      <c r="K4824" s="76" t="b">
        <v>0</v>
      </c>
      <c r="L4824" s="76" t="b">
        <v>0</v>
      </c>
      <c r="M4824" s="76" t="b">
        <v>0</v>
      </c>
      <c r="N4824" s="76" t="b">
        <v>0</v>
      </c>
      <c r="O4824" s="76" t="b">
        <v>0</v>
      </c>
      <c r="P4824" s="76" t="b">
        <v>0</v>
      </c>
      <c r="Q4824" s="76" t="b">
        <v>0</v>
      </c>
      <c r="R4824" s="14"/>
      <c r="S4824" s="14"/>
      <c r="T4824" s="14"/>
      <c r="U4824" s="14"/>
      <c r="V4824" s="14"/>
      <c r="W4824" s="14"/>
    </row>
    <row r="4825" ht="31.5" customHeight="1">
      <c r="A4825" s="158"/>
      <c r="B4825" s="159"/>
      <c r="C4825" s="160"/>
      <c r="D4825" s="130"/>
      <c r="E4825" s="130"/>
      <c r="F4825" s="161"/>
      <c r="G4825" s="164"/>
      <c r="H4825" s="76" t="b">
        <v>0</v>
      </c>
      <c r="I4825" s="76" t="b">
        <v>0</v>
      </c>
      <c r="J4825" s="76" t="b">
        <v>0</v>
      </c>
      <c r="K4825" s="76" t="b">
        <v>0</v>
      </c>
      <c r="L4825" s="76" t="b">
        <v>0</v>
      </c>
      <c r="M4825" s="76" t="b">
        <v>0</v>
      </c>
      <c r="N4825" s="76" t="b">
        <v>0</v>
      </c>
      <c r="O4825" s="76" t="b">
        <v>0</v>
      </c>
      <c r="P4825" s="76" t="b">
        <v>0</v>
      </c>
      <c r="Q4825" s="76" t="b">
        <v>0</v>
      </c>
      <c r="R4825" s="14"/>
      <c r="S4825" s="14"/>
      <c r="T4825" s="14"/>
      <c r="U4825" s="14"/>
      <c r="V4825" s="14"/>
      <c r="W4825" s="14"/>
    </row>
    <row r="4826" ht="31.5" customHeight="1">
      <c r="A4826" s="158"/>
      <c r="B4826" s="159"/>
      <c r="C4826" s="160"/>
      <c r="D4826" s="130"/>
      <c r="E4826" s="130"/>
      <c r="F4826" s="161"/>
      <c r="G4826" s="164"/>
      <c r="H4826" s="76" t="b">
        <v>0</v>
      </c>
      <c r="I4826" s="76" t="b">
        <v>0</v>
      </c>
      <c r="J4826" s="76" t="b">
        <v>0</v>
      </c>
      <c r="K4826" s="76" t="b">
        <v>0</v>
      </c>
      <c r="L4826" s="76" t="b">
        <v>0</v>
      </c>
      <c r="M4826" s="76" t="b">
        <v>0</v>
      </c>
      <c r="N4826" s="76" t="b">
        <v>0</v>
      </c>
      <c r="O4826" s="76" t="b">
        <v>0</v>
      </c>
      <c r="P4826" s="76" t="b">
        <v>0</v>
      </c>
      <c r="Q4826" s="76" t="b">
        <v>0</v>
      </c>
      <c r="R4826" s="14"/>
      <c r="S4826" s="14"/>
      <c r="T4826" s="14"/>
      <c r="U4826" s="14"/>
      <c r="V4826" s="14"/>
      <c r="W4826" s="14"/>
    </row>
    <row r="4827" ht="31.5" customHeight="1">
      <c r="A4827" s="158"/>
      <c r="B4827" s="159"/>
      <c r="C4827" s="160"/>
      <c r="D4827" s="130"/>
      <c r="E4827" s="130"/>
      <c r="F4827" s="161"/>
      <c r="G4827" s="164"/>
      <c r="H4827" s="76" t="b">
        <v>0</v>
      </c>
      <c r="I4827" s="76" t="b">
        <v>0</v>
      </c>
      <c r="J4827" s="76" t="b">
        <v>0</v>
      </c>
      <c r="K4827" s="76" t="b">
        <v>0</v>
      </c>
      <c r="L4827" s="76" t="b">
        <v>0</v>
      </c>
      <c r="M4827" s="76" t="b">
        <v>0</v>
      </c>
      <c r="N4827" s="76" t="b">
        <v>0</v>
      </c>
      <c r="O4827" s="76" t="b">
        <v>0</v>
      </c>
      <c r="P4827" s="76" t="b">
        <v>0</v>
      </c>
      <c r="Q4827" s="76" t="b">
        <v>0</v>
      </c>
      <c r="R4827" s="14"/>
      <c r="S4827" s="14"/>
      <c r="T4827" s="14"/>
      <c r="U4827" s="14"/>
      <c r="V4827" s="14"/>
      <c r="W4827" s="14"/>
    </row>
    <row r="4828" ht="31.5" customHeight="1">
      <c r="A4828" s="158"/>
      <c r="B4828" s="159"/>
      <c r="C4828" s="160"/>
      <c r="D4828" s="130"/>
      <c r="E4828" s="130"/>
      <c r="F4828" s="161"/>
      <c r="G4828" s="164"/>
      <c r="H4828" s="76" t="b">
        <v>0</v>
      </c>
      <c r="I4828" s="76" t="b">
        <v>0</v>
      </c>
      <c r="J4828" s="76" t="b">
        <v>0</v>
      </c>
      <c r="K4828" s="76" t="b">
        <v>0</v>
      </c>
      <c r="L4828" s="76" t="b">
        <v>0</v>
      </c>
      <c r="M4828" s="76" t="b">
        <v>0</v>
      </c>
      <c r="N4828" s="76" t="b">
        <v>0</v>
      </c>
      <c r="O4828" s="76" t="b">
        <v>0</v>
      </c>
      <c r="P4828" s="76" t="b">
        <v>0</v>
      </c>
      <c r="Q4828" s="76" t="b">
        <v>0</v>
      </c>
      <c r="R4828" s="14"/>
      <c r="S4828" s="14"/>
      <c r="T4828" s="14"/>
      <c r="U4828" s="14"/>
      <c r="V4828" s="14"/>
      <c r="W4828" s="14"/>
    </row>
    <row r="4829" ht="31.5" customHeight="1">
      <c r="A4829" s="158"/>
      <c r="B4829" s="159"/>
      <c r="C4829" s="160"/>
      <c r="D4829" s="130"/>
      <c r="E4829" s="130"/>
      <c r="F4829" s="161"/>
      <c r="G4829" s="164"/>
      <c r="H4829" s="76" t="b">
        <v>0</v>
      </c>
      <c r="I4829" s="76" t="b">
        <v>0</v>
      </c>
      <c r="J4829" s="76" t="b">
        <v>0</v>
      </c>
      <c r="K4829" s="76" t="b">
        <v>0</v>
      </c>
      <c r="L4829" s="76" t="b">
        <v>0</v>
      </c>
      <c r="M4829" s="76" t="b">
        <v>0</v>
      </c>
      <c r="N4829" s="76" t="b">
        <v>0</v>
      </c>
      <c r="O4829" s="76" t="b">
        <v>0</v>
      </c>
      <c r="P4829" s="76" t="b">
        <v>0</v>
      </c>
      <c r="Q4829" s="76" t="b">
        <v>0</v>
      </c>
      <c r="R4829" s="14"/>
      <c r="S4829" s="14"/>
      <c r="T4829" s="14"/>
      <c r="U4829" s="14"/>
      <c r="V4829" s="14"/>
      <c r="W4829" s="14"/>
    </row>
    <row r="4830" ht="31.5" customHeight="1">
      <c r="A4830" s="158"/>
      <c r="B4830" s="159"/>
      <c r="C4830" s="160"/>
      <c r="D4830" s="130"/>
      <c r="E4830" s="130"/>
      <c r="F4830" s="161"/>
      <c r="G4830" s="164"/>
      <c r="H4830" s="76" t="b">
        <v>0</v>
      </c>
      <c r="I4830" s="76" t="b">
        <v>0</v>
      </c>
      <c r="J4830" s="76" t="b">
        <v>0</v>
      </c>
      <c r="K4830" s="76" t="b">
        <v>0</v>
      </c>
      <c r="L4830" s="76" t="b">
        <v>0</v>
      </c>
      <c r="M4830" s="76" t="b">
        <v>0</v>
      </c>
      <c r="N4830" s="76" t="b">
        <v>0</v>
      </c>
      <c r="O4830" s="76" t="b">
        <v>0</v>
      </c>
      <c r="P4830" s="76" t="b">
        <v>0</v>
      </c>
      <c r="Q4830" s="76" t="b">
        <v>0</v>
      </c>
      <c r="R4830" s="14"/>
      <c r="S4830" s="14"/>
      <c r="T4830" s="14"/>
      <c r="U4830" s="14"/>
      <c r="V4830" s="14"/>
      <c r="W4830" s="14"/>
    </row>
    <row r="4831" ht="31.5" customHeight="1">
      <c r="A4831" s="158"/>
      <c r="B4831" s="159"/>
      <c r="C4831" s="160"/>
      <c r="D4831" s="130"/>
      <c r="E4831" s="130"/>
      <c r="F4831" s="161"/>
      <c r="G4831" s="164"/>
      <c r="H4831" s="76" t="b">
        <v>0</v>
      </c>
      <c r="I4831" s="76" t="b">
        <v>0</v>
      </c>
      <c r="J4831" s="76" t="b">
        <v>0</v>
      </c>
      <c r="K4831" s="76" t="b">
        <v>0</v>
      </c>
      <c r="L4831" s="76" t="b">
        <v>0</v>
      </c>
      <c r="M4831" s="76" t="b">
        <v>0</v>
      </c>
      <c r="N4831" s="76" t="b">
        <v>0</v>
      </c>
      <c r="O4831" s="76" t="b">
        <v>0</v>
      </c>
      <c r="P4831" s="76" t="b">
        <v>0</v>
      </c>
      <c r="Q4831" s="76" t="b">
        <v>0</v>
      </c>
      <c r="R4831" s="14"/>
      <c r="S4831" s="14"/>
      <c r="T4831" s="14"/>
      <c r="U4831" s="14"/>
      <c r="V4831" s="14"/>
      <c r="W4831" s="14"/>
    </row>
    <row r="4832" ht="31.5" customHeight="1">
      <c r="A4832" s="158"/>
      <c r="B4832" s="159"/>
      <c r="C4832" s="160"/>
      <c r="D4832" s="130"/>
      <c r="E4832" s="130"/>
      <c r="F4832" s="161"/>
      <c r="G4832" s="164"/>
      <c r="H4832" s="76" t="b">
        <v>0</v>
      </c>
      <c r="I4832" s="76" t="b">
        <v>0</v>
      </c>
      <c r="J4832" s="76" t="b">
        <v>0</v>
      </c>
      <c r="K4832" s="76" t="b">
        <v>0</v>
      </c>
      <c r="L4832" s="76" t="b">
        <v>0</v>
      </c>
      <c r="M4832" s="76" t="b">
        <v>0</v>
      </c>
      <c r="N4832" s="76" t="b">
        <v>0</v>
      </c>
      <c r="O4832" s="76" t="b">
        <v>0</v>
      </c>
      <c r="P4832" s="76" t="b">
        <v>0</v>
      </c>
      <c r="Q4832" s="76" t="b">
        <v>0</v>
      </c>
      <c r="R4832" s="14"/>
      <c r="S4832" s="14"/>
      <c r="T4832" s="14"/>
      <c r="U4832" s="14"/>
      <c r="V4832" s="14"/>
      <c r="W4832" s="14"/>
    </row>
    <row r="4833" ht="31.5" customHeight="1">
      <c r="A4833" s="158"/>
      <c r="B4833" s="159"/>
      <c r="C4833" s="160"/>
      <c r="D4833" s="130"/>
      <c r="E4833" s="130"/>
      <c r="F4833" s="161"/>
      <c r="G4833" s="164"/>
      <c r="H4833" s="76" t="b">
        <v>0</v>
      </c>
      <c r="I4833" s="76" t="b">
        <v>0</v>
      </c>
      <c r="J4833" s="76" t="b">
        <v>0</v>
      </c>
      <c r="K4833" s="76" t="b">
        <v>0</v>
      </c>
      <c r="L4833" s="76" t="b">
        <v>0</v>
      </c>
      <c r="M4833" s="76" t="b">
        <v>0</v>
      </c>
      <c r="N4833" s="76" t="b">
        <v>0</v>
      </c>
      <c r="O4833" s="76" t="b">
        <v>0</v>
      </c>
      <c r="P4833" s="76" t="b">
        <v>0</v>
      </c>
      <c r="Q4833" s="76" t="b">
        <v>0</v>
      </c>
      <c r="R4833" s="14"/>
      <c r="S4833" s="14"/>
      <c r="T4833" s="14"/>
      <c r="U4833" s="14"/>
      <c r="V4833" s="14"/>
      <c r="W4833" s="14"/>
    </row>
    <row r="4834" ht="31.5" customHeight="1">
      <c r="A4834" s="158"/>
      <c r="B4834" s="159"/>
      <c r="C4834" s="160"/>
      <c r="D4834" s="130"/>
      <c r="E4834" s="130"/>
      <c r="F4834" s="161"/>
      <c r="G4834" s="164"/>
      <c r="H4834" s="76" t="b">
        <v>0</v>
      </c>
      <c r="I4834" s="76" t="b">
        <v>0</v>
      </c>
      <c r="J4834" s="76" t="b">
        <v>0</v>
      </c>
      <c r="K4834" s="76" t="b">
        <v>0</v>
      </c>
      <c r="L4834" s="76" t="b">
        <v>0</v>
      </c>
      <c r="M4834" s="76" t="b">
        <v>0</v>
      </c>
      <c r="N4834" s="76" t="b">
        <v>0</v>
      </c>
      <c r="O4834" s="76" t="b">
        <v>0</v>
      </c>
      <c r="P4834" s="76" t="b">
        <v>0</v>
      </c>
      <c r="Q4834" s="76" t="b">
        <v>0</v>
      </c>
      <c r="R4834" s="14"/>
      <c r="S4834" s="14"/>
      <c r="T4834" s="14"/>
      <c r="U4834" s="14"/>
      <c r="V4834" s="14"/>
      <c r="W4834" s="14"/>
    </row>
    <row r="4835" ht="31.5" customHeight="1">
      <c r="A4835" s="158"/>
      <c r="B4835" s="159"/>
      <c r="C4835" s="160"/>
      <c r="D4835" s="130"/>
      <c r="E4835" s="130"/>
      <c r="F4835" s="161"/>
      <c r="G4835" s="164"/>
      <c r="H4835" s="76" t="b">
        <v>0</v>
      </c>
      <c r="I4835" s="76" t="b">
        <v>0</v>
      </c>
      <c r="J4835" s="76" t="b">
        <v>0</v>
      </c>
      <c r="K4835" s="76" t="b">
        <v>0</v>
      </c>
      <c r="L4835" s="76" t="b">
        <v>0</v>
      </c>
      <c r="M4835" s="76" t="b">
        <v>0</v>
      </c>
      <c r="N4835" s="76" t="b">
        <v>0</v>
      </c>
      <c r="O4835" s="76" t="b">
        <v>0</v>
      </c>
      <c r="P4835" s="76" t="b">
        <v>0</v>
      </c>
      <c r="Q4835" s="76" t="b">
        <v>0</v>
      </c>
      <c r="R4835" s="14"/>
      <c r="S4835" s="14"/>
      <c r="T4835" s="14"/>
      <c r="U4835" s="14"/>
      <c r="V4835" s="14"/>
      <c r="W4835" s="14"/>
    </row>
    <row r="4836" ht="31.5" customHeight="1">
      <c r="A4836" s="158"/>
      <c r="B4836" s="159"/>
      <c r="C4836" s="160"/>
      <c r="D4836" s="130"/>
      <c r="E4836" s="130"/>
      <c r="F4836" s="161"/>
      <c r="G4836" s="164"/>
      <c r="H4836" s="76" t="b">
        <v>0</v>
      </c>
      <c r="I4836" s="76" t="b">
        <v>0</v>
      </c>
      <c r="J4836" s="76" t="b">
        <v>0</v>
      </c>
      <c r="K4836" s="76" t="b">
        <v>0</v>
      </c>
      <c r="L4836" s="76" t="b">
        <v>0</v>
      </c>
      <c r="M4836" s="76" t="b">
        <v>0</v>
      </c>
      <c r="N4836" s="76" t="b">
        <v>0</v>
      </c>
      <c r="O4836" s="76" t="b">
        <v>0</v>
      </c>
      <c r="P4836" s="76" t="b">
        <v>0</v>
      </c>
      <c r="Q4836" s="76" t="b">
        <v>0</v>
      </c>
      <c r="R4836" s="14"/>
      <c r="S4836" s="14"/>
      <c r="T4836" s="14"/>
      <c r="U4836" s="14"/>
      <c r="V4836" s="14"/>
      <c r="W4836" s="14"/>
    </row>
    <row r="4837" ht="31.5" customHeight="1">
      <c r="A4837" s="158"/>
      <c r="B4837" s="159"/>
      <c r="C4837" s="160"/>
      <c r="D4837" s="130"/>
      <c r="E4837" s="130"/>
      <c r="F4837" s="161"/>
      <c r="G4837" s="164"/>
      <c r="H4837" s="76" t="b">
        <v>0</v>
      </c>
      <c r="I4837" s="76" t="b">
        <v>0</v>
      </c>
      <c r="J4837" s="76" t="b">
        <v>0</v>
      </c>
      <c r="K4837" s="76" t="b">
        <v>0</v>
      </c>
      <c r="L4837" s="76" t="b">
        <v>0</v>
      </c>
      <c r="M4837" s="76" t="b">
        <v>0</v>
      </c>
      <c r="N4837" s="76" t="b">
        <v>0</v>
      </c>
      <c r="O4837" s="76" t="b">
        <v>0</v>
      </c>
      <c r="P4837" s="76" t="b">
        <v>0</v>
      </c>
      <c r="Q4837" s="76" t="b">
        <v>0</v>
      </c>
      <c r="R4837" s="14"/>
      <c r="S4837" s="14"/>
      <c r="T4837" s="14"/>
      <c r="U4837" s="14"/>
      <c r="V4837" s="14"/>
      <c r="W4837" s="14"/>
    </row>
    <row r="4838" ht="31.5" customHeight="1">
      <c r="A4838" s="158"/>
      <c r="B4838" s="159"/>
      <c r="C4838" s="160"/>
      <c r="D4838" s="130"/>
      <c r="E4838" s="130"/>
      <c r="F4838" s="161"/>
      <c r="G4838" s="164"/>
      <c r="H4838" s="76" t="b">
        <v>0</v>
      </c>
      <c r="I4838" s="76" t="b">
        <v>0</v>
      </c>
      <c r="J4838" s="76" t="b">
        <v>0</v>
      </c>
      <c r="K4838" s="76" t="b">
        <v>0</v>
      </c>
      <c r="L4838" s="76" t="b">
        <v>0</v>
      </c>
      <c r="M4838" s="76" t="b">
        <v>0</v>
      </c>
      <c r="N4838" s="76" t="b">
        <v>0</v>
      </c>
      <c r="O4838" s="76" t="b">
        <v>0</v>
      </c>
      <c r="P4838" s="76" t="b">
        <v>0</v>
      </c>
      <c r="Q4838" s="76" t="b">
        <v>0</v>
      </c>
      <c r="R4838" s="14"/>
      <c r="S4838" s="14"/>
      <c r="T4838" s="14"/>
      <c r="U4838" s="14"/>
      <c r="V4838" s="14"/>
      <c r="W4838" s="14"/>
    </row>
    <row r="4839" ht="31.5" customHeight="1">
      <c r="A4839" s="158"/>
      <c r="B4839" s="159"/>
      <c r="C4839" s="160"/>
      <c r="D4839" s="130"/>
      <c r="E4839" s="130"/>
      <c r="F4839" s="161"/>
      <c r="G4839" s="164"/>
      <c r="H4839" s="76" t="b">
        <v>0</v>
      </c>
      <c r="I4839" s="76" t="b">
        <v>0</v>
      </c>
      <c r="J4839" s="76" t="b">
        <v>0</v>
      </c>
      <c r="K4839" s="76" t="b">
        <v>0</v>
      </c>
      <c r="L4839" s="76" t="b">
        <v>0</v>
      </c>
      <c r="M4839" s="76" t="b">
        <v>0</v>
      </c>
      <c r="N4839" s="76" t="b">
        <v>0</v>
      </c>
      <c r="O4839" s="76" t="b">
        <v>0</v>
      </c>
      <c r="P4839" s="76" t="b">
        <v>0</v>
      </c>
      <c r="Q4839" s="76" t="b">
        <v>0</v>
      </c>
      <c r="R4839" s="14"/>
      <c r="S4839" s="14"/>
      <c r="T4839" s="14"/>
      <c r="U4839" s="14"/>
      <c r="V4839" s="14"/>
      <c r="W4839" s="14"/>
    </row>
    <row r="4840" ht="31.5" customHeight="1">
      <c r="A4840" s="158"/>
      <c r="B4840" s="159"/>
      <c r="C4840" s="160"/>
      <c r="D4840" s="130"/>
      <c r="E4840" s="130"/>
      <c r="F4840" s="161"/>
      <c r="G4840" s="164"/>
      <c r="H4840" s="76" t="b">
        <v>0</v>
      </c>
      <c r="I4840" s="76" t="b">
        <v>0</v>
      </c>
      <c r="J4840" s="76" t="b">
        <v>0</v>
      </c>
      <c r="K4840" s="76" t="b">
        <v>0</v>
      </c>
      <c r="L4840" s="76" t="b">
        <v>0</v>
      </c>
      <c r="M4840" s="76" t="b">
        <v>0</v>
      </c>
      <c r="N4840" s="76" t="b">
        <v>0</v>
      </c>
      <c r="O4840" s="76" t="b">
        <v>0</v>
      </c>
      <c r="P4840" s="76" t="b">
        <v>0</v>
      </c>
      <c r="Q4840" s="76" t="b">
        <v>0</v>
      </c>
      <c r="R4840" s="14"/>
      <c r="S4840" s="14"/>
      <c r="T4840" s="14"/>
      <c r="U4840" s="14"/>
      <c r="V4840" s="14"/>
      <c r="W4840" s="14"/>
    </row>
    <row r="4841" ht="31.5" customHeight="1">
      <c r="A4841" s="158"/>
      <c r="B4841" s="159"/>
      <c r="C4841" s="160"/>
      <c r="D4841" s="130"/>
      <c r="E4841" s="130"/>
      <c r="F4841" s="161"/>
      <c r="G4841" s="164"/>
      <c r="H4841" s="76" t="b">
        <v>0</v>
      </c>
      <c r="I4841" s="76" t="b">
        <v>0</v>
      </c>
      <c r="J4841" s="76" t="b">
        <v>0</v>
      </c>
      <c r="K4841" s="76" t="b">
        <v>0</v>
      </c>
      <c r="L4841" s="76" t="b">
        <v>0</v>
      </c>
      <c r="M4841" s="76" t="b">
        <v>0</v>
      </c>
      <c r="N4841" s="76" t="b">
        <v>0</v>
      </c>
      <c r="O4841" s="76" t="b">
        <v>0</v>
      </c>
      <c r="P4841" s="76" t="b">
        <v>0</v>
      </c>
      <c r="Q4841" s="76" t="b">
        <v>0</v>
      </c>
      <c r="R4841" s="14"/>
      <c r="S4841" s="14"/>
      <c r="T4841" s="14"/>
      <c r="U4841" s="14"/>
      <c r="V4841" s="14"/>
      <c r="W4841" s="14"/>
    </row>
    <row r="4842" ht="31.5" customHeight="1">
      <c r="A4842" s="158"/>
      <c r="B4842" s="159"/>
      <c r="C4842" s="160"/>
      <c r="D4842" s="130"/>
      <c r="E4842" s="130"/>
      <c r="F4842" s="161"/>
      <c r="G4842" s="164"/>
      <c r="H4842" s="76" t="b">
        <v>0</v>
      </c>
      <c r="I4842" s="76" t="b">
        <v>0</v>
      </c>
      <c r="J4842" s="76" t="b">
        <v>0</v>
      </c>
      <c r="K4842" s="76" t="b">
        <v>0</v>
      </c>
      <c r="L4842" s="76" t="b">
        <v>0</v>
      </c>
      <c r="M4842" s="76" t="b">
        <v>0</v>
      </c>
      <c r="N4842" s="76" t="b">
        <v>0</v>
      </c>
      <c r="O4842" s="76" t="b">
        <v>0</v>
      </c>
      <c r="P4842" s="76" t="b">
        <v>0</v>
      </c>
      <c r="Q4842" s="76" t="b">
        <v>0</v>
      </c>
      <c r="R4842" s="14"/>
      <c r="S4842" s="14"/>
      <c r="T4842" s="14"/>
      <c r="U4842" s="14"/>
      <c r="V4842" s="14"/>
      <c r="W4842" s="14"/>
    </row>
    <row r="4843" ht="31.5" customHeight="1">
      <c r="A4843" s="158"/>
      <c r="B4843" s="159"/>
      <c r="C4843" s="160"/>
      <c r="D4843" s="130"/>
      <c r="E4843" s="130"/>
      <c r="F4843" s="161"/>
      <c r="G4843" s="164"/>
      <c r="H4843" s="76" t="b">
        <v>0</v>
      </c>
      <c r="I4843" s="76" t="b">
        <v>0</v>
      </c>
      <c r="J4843" s="76" t="b">
        <v>0</v>
      </c>
      <c r="K4843" s="76" t="b">
        <v>0</v>
      </c>
      <c r="L4843" s="76" t="b">
        <v>0</v>
      </c>
      <c r="M4843" s="76" t="b">
        <v>0</v>
      </c>
      <c r="N4843" s="76" t="b">
        <v>0</v>
      </c>
      <c r="O4843" s="76" t="b">
        <v>0</v>
      </c>
      <c r="P4843" s="76" t="b">
        <v>0</v>
      </c>
      <c r="Q4843" s="76" t="b">
        <v>0</v>
      </c>
      <c r="R4843" s="14"/>
      <c r="S4843" s="14"/>
      <c r="T4843" s="14"/>
      <c r="U4843" s="14"/>
      <c r="V4843" s="14"/>
      <c r="W4843" s="14"/>
    </row>
    <row r="4844" ht="31.5" customHeight="1">
      <c r="A4844" s="158"/>
      <c r="B4844" s="159"/>
      <c r="C4844" s="160"/>
      <c r="D4844" s="130"/>
      <c r="E4844" s="130"/>
      <c r="F4844" s="161"/>
      <c r="G4844" s="164"/>
      <c r="H4844" s="76" t="b">
        <v>0</v>
      </c>
      <c r="I4844" s="76" t="b">
        <v>0</v>
      </c>
      <c r="J4844" s="76" t="b">
        <v>0</v>
      </c>
      <c r="K4844" s="76" t="b">
        <v>0</v>
      </c>
      <c r="L4844" s="76" t="b">
        <v>0</v>
      </c>
      <c r="M4844" s="76" t="b">
        <v>0</v>
      </c>
      <c r="N4844" s="76" t="b">
        <v>0</v>
      </c>
      <c r="O4844" s="76" t="b">
        <v>0</v>
      </c>
      <c r="P4844" s="76" t="b">
        <v>0</v>
      </c>
      <c r="Q4844" s="76" t="b">
        <v>0</v>
      </c>
      <c r="R4844" s="14"/>
      <c r="S4844" s="14"/>
      <c r="T4844" s="14"/>
      <c r="U4844" s="14"/>
      <c r="V4844" s="14"/>
      <c r="W4844" s="14"/>
    </row>
    <row r="4845" ht="31.5" customHeight="1">
      <c r="A4845" s="158"/>
      <c r="B4845" s="159"/>
      <c r="C4845" s="160"/>
      <c r="D4845" s="130"/>
      <c r="E4845" s="130"/>
      <c r="F4845" s="161"/>
      <c r="G4845" s="164"/>
      <c r="H4845" s="76" t="b">
        <v>0</v>
      </c>
      <c r="I4845" s="76" t="b">
        <v>0</v>
      </c>
      <c r="J4845" s="76" t="b">
        <v>0</v>
      </c>
      <c r="K4845" s="76" t="b">
        <v>0</v>
      </c>
      <c r="L4845" s="76" t="b">
        <v>0</v>
      </c>
      <c r="M4845" s="76" t="b">
        <v>0</v>
      </c>
      <c r="N4845" s="76" t="b">
        <v>0</v>
      </c>
      <c r="O4845" s="76" t="b">
        <v>0</v>
      </c>
      <c r="P4845" s="76" t="b">
        <v>0</v>
      </c>
      <c r="Q4845" s="76" t="b">
        <v>0</v>
      </c>
      <c r="R4845" s="14"/>
      <c r="S4845" s="14"/>
      <c r="T4845" s="14"/>
      <c r="U4845" s="14"/>
      <c r="V4845" s="14"/>
      <c r="W4845" s="14"/>
    </row>
    <row r="4846" ht="31.5" customHeight="1">
      <c r="A4846" s="158"/>
      <c r="B4846" s="159"/>
      <c r="C4846" s="160"/>
      <c r="D4846" s="130"/>
      <c r="E4846" s="130"/>
      <c r="F4846" s="161"/>
      <c r="G4846" s="164"/>
      <c r="H4846" s="76" t="b">
        <v>0</v>
      </c>
      <c r="I4846" s="76" t="b">
        <v>0</v>
      </c>
      <c r="J4846" s="76" t="b">
        <v>0</v>
      </c>
      <c r="K4846" s="76" t="b">
        <v>0</v>
      </c>
      <c r="L4846" s="76" t="b">
        <v>0</v>
      </c>
      <c r="M4846" s="76" t="b">
        <v>0</v>
      </c>
      <c r="N4846" s="76" t="b">
        <v>0</v>
      </c>
      <c r="O4846" s="76" t="b">
        <v>0</v>
      </c>
      <c r="P4846" s="76" t="b">
        <v>0</v>
      </c>
      <c r="Q4846" s="76" t="b">
        <v>0</v>
      </c>
      <c r="R4846" s="14"/>
      <c r="S4846" s="14"/>
      <c r="T4846" s="14"/>
      <c r="U4846" s="14"/>
      <c r="V4846" s="14"/>
      <c r="W4846" s="14"/>
    </row>
    <row r="4847" ht="31.5" customHeight="1">
      <c r="A4847" s="158"/>
      <c r="B4847" s="159"/>
      <c r="C4847" s="160"/>
      <c r="D4847" s="130"/>
      <c r="E4847" s="130"/>
      <c r="F4847" s="161"/>
      <c r="G4847" s="164"/>
      <c r="H4847" s="76" t="b">
        <v>0</v>
      </c>
      <c r="I4847" s="76" t="b">
        <v>0</v>
      </c>
      <c r="J4847" s="76" t="b">
        <v>0</v>
      </c>
      <c r="K4847" s="76" t="b">
        <v>0</v>
      </c>
      <c r="L4847" s="76" t="b">
        <v>0</v>
      </c>
      <c r="M4847" s="76" t="b">
        <v>0</v>
      </c>
      <c r="N4847" s="76" t="b">
        <v>0</v>
      </c>
      <c r="O4847" s="76" t="b">
        <v>0</v>
      </c>
      <c r="P4847" s="76" t="b">
        <v>0</v>
      </c>
      <c r="Q4847" s="76" t="b">
        <v>0</v>
      </c>
      <c r="R4847" s="14"/>
      <c r="S4847" s="14"/>
      <c r="T4847" s="14"/>
      <c r="U4847" s="14"/>
      <c r="V4847" s="14"/>
      <c r="W4847" s="14"/>
    </row>
    <row r="4848" ht="31.5" customHeight="1">
      <c r="A4848" s="158"/>
      <c r="B4848" s="159"/>
      <c r="C4848" s="160"/>
      <c r="D4848" s="130"/>
      <c r="E4848" s="130"/>
      <c r="F4848" s="161"/>
      <c r="G4848" s="164"/>
      <c r="H4848" s="76" t="b">
        <v>0</v>
      </c>
      <c r="I4848" s="76" t="b">
        <v>0</v>
      </c>
      <c r="J4848" s="76" t="b">
        <v>0</v>
      </c>
      <c r="K4848" s="76" t="b">
        <v>0</v>
      </c>
      <c r="L4848" s="76" t="b">
        <v>0</v>
      </c>
      <c r="M4848" s="76" t="b">
        <v>0</v>
      </c>
      <c r="N4848" s="76" t="b">
        <v>0</v>
      </c>
      <c r="O4848" s="76" t="b">
        <v>0</v>
      </c>
      <c r="P4848" s="76" t="b">
        <v>0</v>
      </c>
      <c r="Q4848" s="76" t="b">
        <v>0</v>
      </c>
      <c r="R4848" s="14"/>
      <c r="S4848" s="14"/>
      <c r="T4848" s="14"/>
      <c r="U4848" s="14"/>
      <c r="V4848" s="14"/>
      <c r="W4848" s="14"/>
    </row>
    <row r="4849" ht="31.5" customHeight="1">
      <c r="A4849" s="158"/>
      <c r="B4849" s="159"/>
      <c r="C4849" s="160"/>
      <c r="D4849" s="130"/>
      <c r="E4849" s="130"/>
      <c r="F4849" s="161"/>
      <c r="G4849" s="164"/>
      <c r="H4849" s="76" t="b">
        <v>0</v>
      </c>
      <c r="I4849" s="76" t="b">
        <v>0</v>
      </c>
      <c r="J4849" s="76" t="b">
        <v>0</v>
      </c>
      <c r="K4849" s="76" t="b">
        <v>0</v>
      </c>
      <c r="L4849" s="76" t="b">
        <v>0</v>
      </c>
      <c r="M4849" s="76" t="b">
        <v>0</v>
      </c>
      <c r="N4849" s="76" t="b">
        <v>0</v>
      </c>
      <c r="O4849" s="76" t="b">
        <v>0</v>
      </c>
      <c r="P4849" s="76" t="b">
        <v>0</v>
      </c>
      <c r="Q4849" s="76" t="b">
        <v>0</v>
      </c>
      <c r="R4849" s="14"/>
      <c r="S4849" s="14"/>
      <c r="T4849" s="14"/>
      <c r="U4849" s="14"/>
      <c r="V4849" s="14"/>
      <c r="W4849" s="14"/>
    </row>
    <row r="4850" ht="31.5" customHeight="1">
      <c r="A4850" s="158"/>
      <c r="B4850" s="159"/>
      <c r="C4850" s="160"/>
      <c r="D4850" s="130"/>
      <c r="E4850" s="130"/>
      <c r="F4850" s="161"/>
      <c r="G4850" s="164"/>
      <c r="H4850" s="76" t="b">
        <v>0</v>
      </c>
      <c r="I4850" s="76" t="b">
        <v>0</v>
      </c>
      <c r="J4850" s="76" t="b">
        <v>0</v>
      </c>
      <c r="K4850" s="76" t="b">
        <v>0</v>
      </c>
      <c r="L4850" s="76" t="b">
        <v>0</v>
      </c>
      <c r="M4850" s="76" t="b">
        <v>0</v>
      </c>
      <c r="N4850" s="76" t="b">
        <v>0</v>
      </c>
      <c r="O4850" s="76" t="b">
        <v>0</v>
      </c>
      <c r="P4850" s="76" t="b">
        <v>0</v>
      </c>
      <c r="Q4850" s="76" t="b">
        <v>0</v>
      </c>
      <c r="R4850" s="14"/>
      <c r="S4850" s="14"/>
      <c r="T4850" s="14"/>
      <c r="U4850" s="14"/>
      <c r="V4850" s="14"/>
      <c r="W4850" s="14"/>
    </row>
    <row r="4851" ht="31.5" customHeight="1">
      <c r="A4851" s="158"/>
      <c r="B4851" s="159"/>
      <c r="C4851" s="160"/>
      <c r="D4851" s="130"/>
      <c r="E4851" s="130"/>
      <c r="F4851" s="161"/>
      <c r="G4851" s="164"/>
      <c r="H4851" s="76" t="b">
        <v>0</v>
      </c>
      <c r="I4851" s="76" t="b">
        <v>0</v>
      </c>
      <c r="J4851" s="76" t="b">
        <v>0</v>
      </c>
      <c r="K4851" s="76" t="b">
        <v>0</v>
      </c>
      <c r="L4851" s="76" t="b">
        <v>0</v>
      </c>
      <c r="M4851" s="76" t="b">
        <v>0</v>
      </c>
      <c r="N4851" s="76" t="b">
        <v>0</v>
      </c>
      <c r="O4851" s="76" t="b">
        <v>0</v>
      </c>
      <c r="P4851" s="76" t="b">
        <v>0</v>
      </c>
      <c r="Q4851" s="76" t="b">
        <v>0</v>
      </c>
      <c r="R4851" s="14"/>
      <c r="S4851" s="14"/>
      <c r="T4851" s="14"/>
      <c r="U4851" s="14"/>
      <c r="V4851" s="14"/>
      <c r="W4851" s="14"/>
    </row>
    <row r="4852" ht="31.5" customHeight="1">
      <c r="A4852" s="158"/>
      <c r="B4852" s="159"/>
      <c r="C4852" s="160"/>
      <c r="D4852" s="130"/>
      <c r="E4852" s="130"/>
      <c r="F4852" s="161"/>
      <c r="G4852" s="164"/>
      <c r="H4852" s="76" t="b">
        <v>0</v>
      </c>
      <c r="I4852" s="76" t="b">
        <v>0</v>
      </c>
      <c r="J4852" s="76" t="b">
        <v>0</v>
      </c>
      <c r="K4852" s="76" t="b">
        <v>0</v>
      </c>
      <c r="L4852" s="76" t="b">
        <v>0</v>
      </c>
      <c r="M4852" s="76" t="b">
        <v>0</v>
      </c>
      <c r="N4852" s="76" t="b">
        <v>0</v>
      </c>
      <c r="O4852" s="76" t="b">
        <v>0</v>
      </c>
      <c r="P4852" s="76" t="b">
        <v>0</v>
      </c>
      <c r="Q4852" s="76" t="b">
        <v>0</v>
      </c>
      <c r="R4852" s="14"/>
      <c r="S4852" s="14"/>
      <c r="T4852" s="14"/>
      <c r="U4852" s="14"/>
      <c r="V4852" s="14"/>
      <c r="W4852" s="14"/>
    </row>
    <row r="4853" ht="31.5" customHeight="1">
      <c r="A4853" s="158"/>
      <c r="B4853" s="159"/>
      <c r="C4853" s="160"/>
      <c r="D4853" s="130"/>
      <c r="E4853" s="130"/>
      <c r="F4853" s="161"/>
      <c r="G4853" s="164"/>
      <c r="H4853" s="76" t="b">
        <v>0</v>
      </c>
      <c r="I4853" s="76" t="b">
        <v>0</v>
      </c>
      <c r="J4853" s="76" t="b">
        <v>0</v>
      </c>
      <c r="K4853" s="76" t="b">
        <v>0</v>
      </c>
      <c r="L4853" s="76" t="b">
        <v>0</v>
      </c>
      <c r="M4853" s="76" t="b">
        <v>0</v>
      </c>
      <c r="N4853" s="76" t="b">
        <v>0</v>
      </c>
      <c r="O4853" s="76" t="b">
        <v>0</v>
      </c>
      <c r="P4853" s="76" t="b">
        <v>0</v>
      </c>
      <c r="Q4853" s="76" t="b">
        <v>0</v>
      </c>
      <c r="R4853" s="14"/>
      <c r="S4853" s="14"/>
      <c r="T4853" s="14"/>
      <c r="U4853" s="14"/>
      <c r="V4853" s="14"/>
      <c r="W4853" s="14"/>
    </row>
    <row r="4854" ht="31.5" customHeight="1">
      <c r="A4854" s="158"/>
      <c r="B4854" s="159"/>
      <c r="C4854" s="160"/>
      <c r="D4854" s="130"/>
      <c r="E4854" s="130"/>
      <c r="F4854" s="161"/>
      <c r="G4854" s="164"/>
      <c r="H4854" s="76" t="b">
        <v>1</v>
      </c>
      <c r="I4854" s="76" t="b">
        <v>0</v>
      </c>
      <c r="J4854" s="76" t="b">
        <v>0</v>
      </c>
      <c r="K4854" s="76" t="b">
        <v>0</v>
      </c>
      <c r="L4854" s="76" t="b">
        <v>0</v>
      </c>
      <c r="M4854" s="76" t="b">
        <v>0</v>
      </c>
      <c r="N4854" s="76" t="b">
        <v>0</v>
      </c>
      <c r="O4854" s="76" t="b">
        <v>0</v>
      </c>
      <c r="P4854" s="76" t="b">
        <v>0</v>
      </c>
      <c r="Q4854" s="76" t="b">
        <v>0</v>
      </c>
      <c r="R4854" s="14"/>
      <c r="S4854" s="14"/>
      <c r="T4854" s="14"/>
      <c r="U4854" s="14"/>
      <c r="V4854" s="14"/>
      <c r="W4854" s="14"/>
    </row>
    <row r="4855" ht="31.5" customHeight="1">
      <c r="A4855" s="158"/>
      <c r="B4855" s="159"/>
      <c r="C4855" s="160"/>
      <c r="D4855" s="130"/>
      <c r="E4855" s="130"/>
      <c r="F4855" s="161"/>
      <c r="G4855" s="164"/>
      <c r="H4855" s="76" t="b">
        <v>1</v>
      </c>
      <c r="I4855" s="76" t="b">
        <v>0</v>
      </c>
      <c r="J4855" s="76" t="b">
        <v>0</v>
      </c>
      <c r="K4855" s="76" t="b">
        <v>0</v>
      </c>
      <c r="L4855" s="76" t="b">
        <v>0</v>
      </c>
      <c r="M4855" s="76" t="b">
        <v>0</v>
      </c>
      <c r="N4855" s="76" t="b">
        <v>0</v>
      </c>
      <c r="O4855" s="76" t="b">
        <v>0</v>
      </c>
      <c r="P4855" s="76" t="b">
        <v>0</v>
      </c>
      <c r="Q4855" s="76" t="b">
        <v>0</v>
      </c>
      <c r="R4855" s="14"/>
      <c r="S4855" s="14"/>
      <c r="T4855" s="14"/>
      <c r="U4855" s="14"/>
      <c r="V4855" s="14"/>
      <c r="W4855" s="14"/>
    </row>
    <row r="4856" ht="31.5" customHeight="1">
      <c r="A4856" s="158"/>
      <c r="B4856" s="159"/>
      <c r="C4856" s="160"/>
      <c r="D4856" s="130"/>
      <c r="E4856" s="130"/>
      <c r="F4856" s="161"/>
      <c r="G4856" s="164"/>
      <c r="H4856" s="76" t="b">
        <v>1</v>
      </c>
      <c r="I4856" s="76" t="b">
        <v>0</v>
      </c>
      <c r="J4856" s="76" t="b">
        <v>0</v>
      </c>
      <c r="K4856" s="76" t="b">
        <v>0</v>
      </c>
      <c r="L4856" s="76" t="b">
        <v>0</v>
      </c>
      <c r="M4856" s="76" t="b">
        <v>0</v>
      </c>
      <c r="N4856" s="76" t="b">
        <v>0</v>
      </c>
      <c r="O4856" s="76" t="b">
        <v>0</v>
      </c>
      <c r="P4856" s="76" t="b">
        <v>0</v>
      </c>
      <c r="Q4856" s="76" t="b">
        <v>0</v>
      </c>
      <c r="R4856" s="14"/>
      <c r="S4856" s="14"/>
      <c r="T4856" s="14"/>
      <c r="U4856" s="14"/>
      <c r="V4856" s="14"/>
      <c r="W4856" s="14"/>
    </row>
    <row r="4857" ht="31.5" customHeight="1">
      <c r="A4857" s="158"/>
      <c r="B4857" s="159"/>
      <c r="C4857" s="160"/>
      <c r="D4857" s="130"/>
      <c r="E4857" s="130"/>
      <c r="F4857" s="161"/>
      <c r="G4857" s="164"/>
      <c r="H4857" s="76" t="b">
        <v>1</v>
      </c>
      <c r="I4857" s="76" t="b">
        <v>0</v>
      </c>
      <c r="J4857" s="76" t="b">
        <v>0</v>
      </c>
      <c r="K4857" s="76" t="b">
        <v>0</v>
      </c>
      <c r="L4857" s="76" t="b">
        <v>0</v>
      </c>
      <c r="M4857" s="76" t="b">
        <v>0</v>
      </c>
      <c r="N4857" s="76" t="b">
        <v>0</v>
      </c>
      <c r="O4857" s="76" t="b">
        <v>0</v>
      </c>
      <c r="P4857" s="76" t="b">
        <v>0</v>
      </c>
      <c r="Q4857" s="76" t="b">
        <v>0</v>
      </c>
      <c r="R4857" s="14"/>
      <c r="S4857" s="14"/>
      <c r="T4857" s="14"/>
      <c r="U4857" s="14"/>
      <c r="V4857" s="14"/>
      <c r="W4857" s="14"/>
    </row>
    <row r="4858" ht="31.5" customHeight="1">
      <c r="A4858" s="158"/>
      <c r="B4858" s="159"/>
      <c r="C4858" s="160"/>
      <c r="D4858" s="130"/>
      <c r="E4858" s="130"/>
      <c r="F4858" s="161"/>
      <c r="G4858" s="164"/>
      <c r="H4858" s="76" t="b">
        <v>1</v>
      </c>
      <c r="I4858" s="76" t="b">
        <v>0</v>
      </c>
      <c r="J4858" s="76" t="b">
        <v>0</v>
      </c>
      <c r="K4858" s="76" t="b">
        <v>0</v>
      </c>
      <c r="L4858" s="76" t="b">
        <v>0</v>
      </c>
      <c r="M4858" s="76" t="b">
        <v>0</v>
      </c>
      <c r="N4858" s="76" t="b">
        <v>0</v>
      </c>
      <c r="O4858" s="76" t="b">
        <v>0</v>
      </c>
      <c r="P4858" s="76" t="b">
        <v>0</v>
      </c>
      <c r="Q4858" s="76" t="b">
        <v>0</v>
      </c>
      <c r="R4858" s="14"/>
      <c r="S4858" s="14"/>
      <c r="T4858" s="14"/>
      <c r="U4858" s="14"/>
      <c r="V4858" s="14"/>
      <c r="W4858" s="14"/>
    </row>
    <row r="4859" ht="31.5" customHeight="1">
      <c r="A4859" s="158"/>
      <c r="B4859" s="159"/>
      <c r="C4859" s="160"/>
      <c r="D4859" s="130"/>
      <c r="E4859" s="130"/>
      <c r="F4859" s="161"/>
      <c r="G4859" s="164"/>
      <c r="H4859" s="76" t="b">
        <v>1</v>
      </c>
      <c r="I4859" s="76" t="b">
        <v>0</v>
      </c>
      <c r="J4859" s="76" t="b">
        <v>0</v>
      </c>
      <c r="K4859" s="76" t="b">
        <v>0</v>
      </c>
      <c r="L4859" s="76" t="b">
        <v>0</v>
      </c>
      <c r="M4859" s="76" t="b">
        <v>0</v>
      </c>
      <c r="N4859" s="76" t="b">
        <v>0</v>
      </c>
      <c r="O4859" s="76" t="b">
        <v>0</v>
      </c>
      <c r="P4859" s="76" t="b">
        <v>0</v>
      </c>
      <c r="Q4859" s="76" t="b">
        <v>0</v>
      </c>
      <c r="R4859" s="14"/>
      <c r="S4859" s="14"/>
      <c r="T4859" s="14"/>
      <c r="U4859" s="14"/>
      <c r="V4859" s="14"/>
      <c r="W4859" s="14"/>
    </row>
    <row r="4860" ht="31.5" customHeight="1">
      <c r="A4860" s="158"/>
      <c r="B4860" s="159"/>
      <c r="C4860" s="160"/>
      <c r="D4860" s="130"/>
      <c r="E4860" s="130"/>
      <c r="F4860" s="161"/>
      <c r="G4860" s="164"/>
      <c r="H4860" s="76" t="b">
        <v>1</v>
      </c>
      <c r="I4860" s="76" t="b">
        <v>0</v>
      </c>
      <c r="J4860" s="76" t="b">
        <v>0</v>
      </c>
      <c r="K4860" s="76" t="b">
        <v>0</v>
      </c>
      <c r="L4860" s="76" t="b">
        <v>0</v>
      </c>
      <c r="M4860" s="76" t="b">
        <v>0</v>
      </c>
      <c r="N4860" s="76" t="b">
        <v>0</v>
      </c>
      <c r="O4860" s="76" t="b">
        <v>0</v>
      </c>
      <c r="P4860" s="76" t="b">
        <v>0</v>
      </c>
      <c r="Q4860" s="76" t="b">
        <v>0</v>
      </c>
      <c r="R4860" s="14"/>
      <c r="S4860" s="14"/>
      <c r="T4860" s="14"/>
      <c r="U4860" s="14"/>
      <c r="V4860" s="14"/>
      <c r="W4860" s="14"/>
    </row>
    <row r="4861" ht="31.5" customHeight="1">
      <c r="A4861" s="158"/>
      <c r="B4861" s="159"/>
      <c r="C4861" s="160"/>
      <c r="D4861" s="130"/>
      <c r="E4861" s="130"/>
      <c r="F4861" s="161"/>
      <c r="G4861" s="164"/>
      <c r="H4861" s="76" t="b">
        <v>1</v>
      </c>
      <c r="I4861" s="76" t="b">
        <v>0</v>
      </c>
      <c r="J4861" s="76" t="b">
        <v>0</v>
      </c>
      <c r="K4861" s="76" t="b">
        <v>0</v>
      </c>
      <c r="L4861" s="76" t="b">
        <v>0</v>
      </c>
      <c r="M4861" s="76" t="b">
        <v>0</v>
      </c>
      <c r="N4861" s="76" t="b">
        <v>0</v>
      </c>
      <c r="O4861" s="76" t="b">
        <v>0</v>
      </c>
      <c r="P4861" s="76" t="b">
        <v>0</v>
      </c>
      <c r="Q4861" s="76" t="b">
        <v>0</v>
      </c>
      <c r="R4861" s="14"/>
      <c r="S4861" s="14"/>
      <c r="T4861" s="14"/>
      <c r="U4861" s="14"/>
      <c r="V4861" s="14"/>
      <c r="W4861" s="14"/>
    </row>
    <row r="4862" ht="31.5" customHeight="1">
      <c r="A4862" s="158"/>
      <c r="B4862" s="159"/>
      <c r="C4862" s="160"/>
      <c r="D4862" s="130"/>
      <c r="E4862" s="130"/>
      <c r="F4862" s="161"/>
      <c r="G4862" s="164"/>
      <c r="H4862" s="76" t="b">
        <v>1</v>
      </c>
      <c r="I4862" s="76" t="b">
        <v>0</v>
      </c>
      <c r="J4862" s="76" t="b">
        <v>0</v>
      </c>
      <c r="K4862" s="76" t="b">
        <v>0</v>
      </c>
      <c r="L4862" s="76" t="b">
        <v>0</v>
      </c>
      <c r="M4862" s="76" t="b">
        <v>0</v>
      </c>
      <c r="N4862" s="76" t="b">
        <v>0</v>
      </c>
      <c r="O4862" s="76" t="b">
        <v>0</v>
      </c>
      <c r="P4862" s="76" t="b">
        <v>0</v>
      </c>
      <c r="Q4862" s="76" t="b">
        <v>0</v>
      </c>
      <c r="R4862" s="14"/>
      <c r="S4862" s="14"/>
      <c r="T4862" s="14"/>
      <c r="U4862" s="14"/>
      <c r="V4862" s="14"/>
      <c r="W4862" s="14"/>
    </row>
    <row r="4863" ht="31.5" customHeight="1">
      <c r="A4863" s="158"/>
      <c r="B4863" s="159"/>
      <c r="C4863" s="160"/>
      <c r="D4863" s="130"/>
      <c r="E4863" s="130"/>
      <c r="F4863" s="161"/>
      <c r="G4863" s="164"/>
      <c r="H4863" s="76" t="b">
        <v>1</v>
      </c>
      <c r="I4863" s="76" t="b">
        <v>0</v>
      </c>
      <c r="J4863" s="76" t="b">
        <v>0</v>
      </c>
      <c r="K4863" s="76" t="b">
        <v>0</v>
      </c>
      <c r="L4863" s="76" t="b">
        <v>0</v>
      </c>
      <c r="M4863" s="76" t="b">
        <v>0</v>
      </c>
      <c r="N4863" s="76" t="b">
        <v>0</v>
      </c>
      <c r="O4863" s="76" t="b">
        <v>0</v>
      </c>
      <c r="P4863" s="76" t="b">
        <v>0</v>
      </c>
      <c r="Q4863" s="76" t="b">
        <v>0</v>
      </c>
      <c r="R4863" s="14"/>
      <c r="S4863" s="14"/>
      <c r="T4863" s="14"/>
      <c r="U4863" s="14"/>
      <c r="V4863" s="14"/>
      <c r="W4863" s="14"/>
    </row>
    <row r="4864" ht="31.5" customHeight="1">
      <c r="A4864" s="158"/>
      <c r="B4864" s="159"/>
      <c r="C4864" s="160"/>
      <c r="D4864" s="130"/>
      <c r="E4864" s="130"/>
      <c r="F4864" s="161"/>
      <c r="G4864" s="164"/>
      <c r="H4864" s="76" t="b">
        <v>1</v>
      </c>
      <c r="I4864" s="76" t="b">
        <v>0</v>
      </c>
      <c r="J4864" s="76" t="b">
        <v>0</v>
      </c>
      <c r="K4864" s="76" t="b">
        <v>0</v>
      </c>
      <c r="L4864" s="76" t="b">
        <v>0</v>
      </c>
      <c r="M4864" s="76" t="b">
        <v>0</v>
      </c>
      <c r="N4864" s="76" t="b">
        <v>0</v>
      </c>
      <c r="O4864" s="76" t="b">
        <v>0</v>
      </c>
      <c r="P4864" s="76" t="b">
        <v>0</v>
      </c>
      <c r="Q4864" s="76" t="b">
        <v>0</v>
      </c>
      <c r="R4864" s="14"/>
      <c r="S4864" s="14"/>
      <c r="T4864" s="14"/>
      <c r="U4864" s="14"/>
      <c r="V4864" s="14"/>
      <c r="W4864" s="14"/>
    </row>
    <row r="4865" ht="31.5" customHeight="1">
      <c r="A4865" s="158"/>
      <c r="B4865" s="159"/>
      <c r="C4865" s="160"/>
      <c r="D4865" s="130"/>
      <c r="E4865" s="130"/>
      <c r="F4865" s="161"/>
      <c r="G4865" s="164"/>
      <c r="H4865" s="76" t="b">
        <v>1</v>
      </c>
      <c r="I4865" s="76" t="b">
        <v>0</v>
      </c>
      <c r="J4865" s="76" t="b">
        <v>0</v>
      </c>
      <c r="K4865" s="76" t="b">
        <v>0</v>
      </c>
      <c r="L4865" s="76" t="b">
        <v>0</v>
      </c>
      <c r="M4865" s="76" t="b">
        <v>0</v>
      </c>
      <c r="N4865" s="76" t="b">
        <v>0</v>
      </c>
      <c r="O4865" s="76" t="b">
        <v>0</v>
      </c>
      <c r="P4865" s="76" t="b">
        <v>0</v>
      </c>
      <c r="Q4865" s="76" t="b">
        <v>0</v>
      </c>
      <c r="R4865" s="14"/>
      <c r="S4865" s="14"/>
      <c r="T4865" s="14"/>
      <c r="U4865" s="14"/>
      <c r="V4865" s="14"/>
      <c r="W4865" s="14"/>
    </row>
    <row r="4866" ht="31.5" customHeight="1">
      <c r="A4866" s="158"/>
      <c r="B4866" s="159"/>
      <c r="C4866" s="160"/>
      <c r="D4866" s="130"/>
      <c r="E4866" s="130"/>
      <c r="F4866" s="161"/>
      <c r="G4866" s="164"/>
      <c r="H4866" s="76" t="b">
        <v>1</v>
      </c>
      <c r="I4866" s="76" t="b">
        <v>0</v>
      </c>
      <c r="J4866" s="76" t="b">
        <v>0</v>
      </c>
      <c r="K4866" s="76" t="b">
        <v>0</v>
      </c>
      <c r="L4866" s="76" t="b">
        <v>0</v>
      </c>
      <c r="M4866" s="76" t="b">
        <v>0</v>
      </c>
      <c r="N4866" s="76" t="b">
        <v>0</v>
      </c>
      <c r="O4866" s="76" t="b">
        <v>0</v>
      </c>
      <c r="P4866" s="76" t="b">
        <v>0</v>
      </c>
      <c r="Q4866" s="76" t="b">
        <v>0</v>
      </c>
      <c r="R4866" s="14"/>
      <c r="S4866" s="14"/>
      <c r="T4866" s="14"/>
      <c r="U4866" s="14"/>
      <c r="V4866" s="14"/>
      <c r="W4866" s="14"/>
    </row>
    <row r="4867" ht="31.5" customHeight="1">
      <c r="A4867" s="158"/>
      <c r="B4867" s="159"/>
      <c r="C4867" s="160"/>
      <c r="D4867" s="130"/>
      <c r="E4867" s="130"/>
      <c r="F4867" s="161"/>
      <c r="G4867" s="164"/>
      <c r="H4867" s="76" t="b">
        <v>1</v>
      </c>
      <c r="I4867" s="76" t="b">
        <v>0</v>
      </c>
      <c r="J4867" s="76" t="b">
        <v>0</v>
      </c>
      <c r="K4867" s="76" t="b">
        <v>0</v>
      </c>
      <c r="L4867" s="76" t="b">
        <v>0</v>
      </c>
      <c r="M4867" s="76" t="b">
        <v>0</v>
      </c>
      <c r="N4867" s="76" t="b">
        <v>0</v>
      </c>
      <c r="O4867" s="76" t="b">
        <v>0</v>
      </c>
      <c r="P4867" s="76" t="b">
        <v>0</v>
      </c>
      <c r="Q4867" s="76" t="b">
        <v>0</v>
      </c>
      <c r="R4867" s="14"/>
      <c r="S4867" s="14"/>
      <c r="T4867" s="14"/>
      <c r="U4867" s="14"/>
      <c r="V4867" s="14"/>
      <c r="W4867" s="14"/>
    </row>
    <row r="4868" ht="31.5" customHeight="1">
      <c r="A4868" s="158"/>
      <c r="B4868" s="159"/>
      <c r="C4868" s="160"/>
      <c r="D4868" s="130"/>
      <c r="E4868" s="130"/>
      <c r="F4868" s="161"/>
      <c r="G4868" s="164"/>
      <c r="H4868" s="76" t="b">
        <v>1</v>
      </c>
      <c r="I4868" s="76" t="b">
        <v>0</v>
      </c>
      <c r="J4868" s="76" t="b">
        <v>0</v>
      </c>
      <c r="K4868" s="76" t="b">
        <v>0</v>
      </c>
      <c r="L4868" s="76" t="b">
        <v>0</v>
      </c>
      <c r="M4868" s="76" t="b">
        <v>0</v>
      </c>
      <c r="N4868" s="76" t="b">
        <v>0</v>
      </c>
      <c r="O4868" s="76" t="b">
        <v>0</v>
      </c>
      <c r="P4868" s="76" t="b">
        <v>0</v>
      </c>
      <c r="Q4868" s="76" t="b">
        <v>0</v>
      </c>
      <c r="R4868" s="14"/>
      <c r="S4868" s="14"/>
      <c r="T4868" s="14"/>
      <c r="U4868" s="14"/>
      <c r="V4868" s="14"/>
      <c r="W4868" s="14"/>
    </row>
    <row r="4869" ht="31.5" customHeight="1">
      <c r="A4869" s="158"/>
      <c r="B4869" s="159"/>
      <c r="C4869" s="160"/>
      <c r="D4869" s="130"/>
      <c r="E4869" s="130"/>
      <c r="F4869" s="161"/>
      <c r="G4869" s="164"/>
      <c r="H4869" s="76" t="b">
        <v>1</v>
      </c>
      <c r="I4869" s="76" t="b">
        <v>0</v>
      </c>
      <c r="J4869" s="76" t="b">
        <v>0</v>
      </c>
      <c r="K4869" s="76" t="b">
        <v>0</v>
      </c>
      <c r="L4869" s="76" t="b">
        <v>0</v>
      </c>
      <c r="M4869" s="76" t="b">
        <v>0</v>
      </c>
      <c r="N4869" s="76" t="b">
        <v>0</v>
      </c>
      <c r="O4869" s="76" t="b">
        <v>0</v>
      </c>
      <c r="P4869" s="76" t="b">
        <v>0</v>
      </c>
      <c r="Q4869" s="76" t="b">
        <v>0</v>
      </c>
      <c r="R4869" s="14"/>
      <c r="S4869" s="14"/>
      <c r="T4869" s="14"/>
      <c r="U4869" s="14"/>
      <c r="V4869" s="14"/>
      <c r="W4869" s="14"/>
    </row>
    <row r="4870" ht="31.5" customHeight="1">
      <c r="A4870" s="158"/>
      <c r="B4870" s="159"/>
      <c r="C4870" s="160"/>
      <c r="D4870" s="130"/>
      <c r="E4870" s="130"/>
      <c r="F4870" s="161"/>
      <c r="G4870" s="164"/>
      <c r="H4870" s="76" t="b">
        <v>1</v>
      </c>
      <c r="I4870" s="76" t="b">
        <v>0</v>
      </c>
      <c r="J4870" s="76" t="b">
        <v>0</v>
      </c>
      <c r="K4870" s="76" t="b">
        <v>0</v>
      </c>
      <c r="L4870" s="76" t="b">
        <v>0</v>
      </c>
      <c r="M4870" s="76" t="b">
        <v>0</v>
      </c>
      <c r="N4870" s="76" t="b">
        <v>0</v>
      </c>
      <c r="O4870" s="76" t="b">
        <v>0</v>
      </c>
      <c r="P4870" s="76" t="b">
        <v>0</v>
      </c>
      <c r="Q4870" s="76" t="b">
        <v>0</v>
      </c>
      <c r="R4870" s="14"/>
      <c r="S4870" s="14"/>
      <c r="T4870" s="14"/>
      <c r="U4870" s="14"/>
      <c r="V4870" s="14"/>
      <c r="W4870" s="14"/>
    </row>
    <row r="4871" ht="31.5" customHeight="1">
      <c r="A4871" s="158"/>
      <c r="B4871" s="159"/>
      <c r="C4871" s="160"/>
      <c r="D4871" s="130"/>
      <c r="E4871" s="130"/>
      <c r="F4871" s="161"/>
      <c r="G4871" s="164"/>
      <c r="H4871" s="76" t="b">
        <v>1</v>
      </c>
      <c r="I4871" s="76" t="b">
        <v>0</v>
      </c>
      <c r="J4871" s="76" t="b">
        <v>0</v>
      </c>
      <c r="K4871" s="76" t="b">
        <v>0</v>
      </c>
      <c r="L4871" s="76" t="b">
        <v>0</v>
      </c>
      <c r="M4871" s="76" t="b">
        <v>0</v>
      </c>
      <c r="N4871" s="76" t="b">
        <v>0</v>
      </c>
      <c r="O4871" s="76" t="b">
        <v>0</v>
      </c>
      <c r="P4871" s="76" t="b">
        <v>0</v>
      </c>
      <c r="Q4871" s="76" t="b">
        <v>0</v>
      </c>
      <c r="R4871" s="14"/>
      <c r="S4871" s="14"/>
      <c r="T4871" s="14"/>
      <c r="U4871" s="14"/>
      <c r="V4871" s="14"/>
      <c r="W4871" s="14"/>
    </row>
    <row r="4872" ht="31.5" customHeight="1">
      <c r="A4872" s="158"/>
      <c r="B4872" s="159"/>
      <c r="C4872" s="160"/>
      <c r="D4872" s="130"/>
      <c r="E4872" s="130"/>
      <c r="F4872" s="161"/>
      <c r="G4872" s="164"/>
      <c r="H4872" s="76" t="b">
        <v>1</v>
      </c>
      <c r="I4872" s="76" t="b">
        <v>0</v>
      </c>
      <c r="J4872" s="76" t="b">
        <v>0</v>
      </c>
      <c r="K4872" s="76" t="b">
        <v>0</v>
      </c>
      <c r="L4872" s="76" t="b">
        <v>0</v>
      </c>
      <c r="M4872" s="76" t="b">
        <v>0</v>
      </c>
      <c r="N4872" s="76" t="b">
        <v>0</v>
      </c>
      <c r="O4872" s="76" t="b">
        <v>0</v>
      </c>
      <c r="P4872" s="76" t="b">
        <v>0</v>
      </c>
      <c r="Q4872" s="76" t="b">
        <v>0</v>
      </c>
      <c r="R4872" s="14"/>
      <c r="S4872" s="14"/>
      <c r="T4872" s="14"/>
      <c r="U4872" s="14"/>
      <c r="V4872" s="14"/>
      <c r="W4872" s="14"/>
    </row>
    <row r="4873" ht="31.5" customHeight="1">
      <c r="A4873" s="158"/>
      <c r="B4873" s="159"/>
      <c r="C4873" s="160"/>
      <c r="D4873" s="130"/>
      <c r="E4873" s="130"/>
      <c r="F4873" s="161"/>
      <c r="G4873" s="164"/>
      <c r="H4873" s="76" t="b">
        <v>1</v>
      </c>
      <c r="I4873" s="76" t="b">
        <v>0</v>
      </c>
      <c r="J4873" s="76" t="b">
        <v>0</v>
      </c>
      <c r="K4873" s="76" t="b">
        <v>0</v>
      </c>
      <c r="L4873" s="76" t="b">
        <v>0</v>
      </c>
      <c r="M4873" s="76" t="b">
        <v>0</v>
      </c>
      <c r="N4873" s="76" t="b">
        <v>0</v>
      </c>
      <c r="O4873" s="76" t="b">
        <v>0</v>
      </c>
      <c r="P4873" s="76" t="b">
        <v>0</v>
      </c>
      <c r="Q4873" s="76" t="b">
        <v>0</v>
      </c>
      <c r="R4873" s="14"/>
      <c r="S4873" s="14"/>
      <c r="T4873" s="14"/>
      <c r="U4873" s="14"/>
      <c r="V4873" s="14"/>
      <c r="W4873" s="14"/>
    </row>
    <row r="4874" ht="31.5" customHeight="1">
      <c r="A4874" s="158"/>
      <c r="B4874" s="159"/>
      <c r="C4874" s="160"/>
      <c r="D4874" s="130"/>
      <c r="E4874" s="130"/>
      <c r="F4874" s="161"/>
      <c r="G4874" s="164"/>
      <c r="H4874" s="76" t="b">
        <v>1</v>
      </c>
      <c r="I4874" s="76" t="b">
        <v>0</v>
      </c>
      <c r="J4874" s="76" t="b">
        <v>0</v>
      </c>
      <c r="K4874" s="76" t="b">
        <v>0</v>
      </c>
      <c r="L4874" s="76" t="b">
        <v>0</v>
      </c>
      <c r="M4874" s="76" t="b">
        <v>0</v>
      </c>
      <c r="N4874" s="76" t="b">
        <v>0</v>
      </c>
      <c r="O4874" s="76" t="b">
        <v>0</v>
      </c>
      <c r="P4874" s="76" t="b">
        <v>0</v>
      </c>
      <c r="Q4874" s="76" t="b">
        <v>0</v>
      </c>
      <c r="R4874" s="14"/>
      <c r="S4874" s="14"/>
      <c r="T4874" s="14"/>
      <c r="U4874" s="14"/>
      <c r="V4874" s="14"/>
      <c r="W4874" s="14"/>
    </row>
    <row r="4875" ht="31.5" customHeight="1">
      <c r="A4875" s="158"/>
      <c r="B4875" s="159"/>
      <c r="C4875" s="160"/>
      <c r="D4875" s="130"/>
      <c r="E4875" s="130"/>
      <c r="F4875" s="161"/>
      <c r="G4875" s="164"/>
      <c r="H4875" s="76" t="b">
        <v>1</v>
      </c>
      <c r="I4875" s="76" t="b">
        <v>0</v>
      </c>
      <c r="J4875" s="76" t="b">
        <v>0</v>
      </c>
      <c r="K4875" s="76" t="b">
        <v>0</v>
      </c>
      <c r="L4875" s="76" t="b">
        <v>0</v>
      </c>
      <c r="M4875" s="76" t="b">
        <v>0</v>
      </c>
      <c r="N4875" s="76" t="b">
        <v>0</v>
      </c>
      <c r="O4875" s="76" t="b">
        <v>0</v>
      </c>
      <c r="P4875" s="76" t="b">
        <v>0</v>
      </c>
      <c r="Q4875" s="76" t="b">
        <v>0</v>
      </c>
      <c r="R4875" s="14"/>
      <c r="S4875" s="14"/>
      <c r="T4875" s="14"/>
      <c r="U4875" s="14"/>
      <c r="V4875" s="14"/>
      <c r="W4875" s="14"/>
    </row>
    <row r="4876" ht="31.5" customHeight="1">
      <c r="A4876" s="158"/>
      <c r="B4876" s="159"/>
      <c r="C4876" s="160"/>
      <c r="D4876" s="130"/>
      <c r="E4876" s="130"/>
      <c r="F4876" s="161"/>
      <c r="G4876" s="164"/>
      <c r="H4876" s="76" t="b">
        <v>1</v>
      </c>
      <c r="I4876" s="76" t="b">
        <v>0</v>
      </c>
      <c r="J4876" s="76" t="b">
        <v>0</v>
      </c>
      <c r="K4876" s="76" t="b">
        <v>0</v>
      </c>
      <c r="L4876" s="76" t="b">
        <v>0</v>
      </c>
      <c r="M4876" s="76" t="b">
        <v>0</v>
      </c>
      <c r="N4876" s="76" t="b">
        <v>0</v>
      </c>
      <c r="O4876" s="76" t="b">
        <v>0</v>
      </c>
      <c r="P4876" s="76" t="b">
        <v>0</v>
      </c>
      <c r="Q4876" s="76" t="b">
        <v>0</v>
      </c>
      <c r="R4876" s="14"/>
      <c r="S4876" s="14"/>
      <c r="T4876" s="14"/>
      <c r="U4876" s="14"/>
      <c r="V4876" s="14"/>
      <c r="W4876" s="14"/>
    </row>
    <row r="4877" ht="31.5" customHeight="1">
      <c r="A4877" s="158"/>
      <c r="B4877" s="159"/>
      <c r="C4877" s="160"/>
      <c r="D4877" s="130"/>
      <c r="E4877" s="130"/>
      <c r="F4877" s="161"/>
      <c r="G4877" s="164"/>
      <c r="H4877" s="76" t="b">
        <v>1</v>
      </c>
      <c r="I4877" s="76" t="b">
        <v>0</v>
      </c>
      <c r="J4877" s="76" t="b">
        <v>0</v>
      </c>
      <c r="K4877" s="76" t="b">
        <v>0</v>
      </c>
      <c r="L4877" s="76" t="b">
        <v>0</v>
      </c>
      <c r="M4877" s="76" t="b">
        <v>0</v>
      </c>
      <c r="N4877" s="76" t="b">
        <v>0</v>
      </c>
      <c r="O4877" s="76" t="b">
        <v>0</v>
      </c>
      <c r="P4877" s="76" t="b">
        <v>0</v>
      </c>
      <c r="Q4877" s="76" t="b">
        <v>0</v>
      </c>
      <c r="R4877" s="14"/>
      <c r="S4877" s="14"/>
      <c r="T4877" s="14"/>
      <c r="U4877" s="14"/>
      <c r="V4877" s="14"/>
      <c r="W4877" s="14"/>
    </row>
    <row r="4878" ht="31.5" customHeight="1">
      <c r="A4878" s="158"/>
      <c r="B4878" s="159"/>
      <c r="C4878" s="160"/>
      <c r="D4878" s="130"/>
      <c r="E4878" s="130"/>
      <c r="F4878" s="161"/>
      <c r="G4878" s="164"/>
      <c r="H4878" s="76" t="b">
        <v>1</v>
      </c>
      <c r="I4878" s="76" t="b">
        <v>0</v>
      </c>
      <c r="J4878" s="76" t="b">
        <v>0</v>
      </c>
      <c r="K4878" s="76" t="b">
        <v>0</v>
      </c>
      <c r="L4878" s="76" t="b">
        <v>0</v>
      </c>
      <c r="M4878" s="76" t="b">
        <v>0</v>
      </c>
      <c r="N4878" s="76" t="b">
        <v>0</v>
      </c>
      <c r="O4878" s="76" t="b">
        <v>0</v>
      </c>
      <c r="P4878" s="76" t="b">
        <v>0</v>
      </c>
      <c r="Q4878" s="76" t="b">
        <v>0</v>
      </c>
      <c r="R4878" s="14"/>
      <c r="S4878" s="14"/>
      <c r="T4878" s="14"/>
      <c r="U4878" s="14"/>
      <c r="V4878" s="14"/>
      <c r="W4878" s="14"/>
    </row>
    <row r="4879" ht="31.5" customHeight="1">
      <c r="A4879" s="158"/>
      <c r="B4879" s="159"/>
      <c r="C4879" s="160"/>
      <c r="D4879" s="130"/>
      <c r="E4879" s="130"/>
      <c r="F4879" s="161"/>
      <c r="G4879" s="164"/>
      <c r="H4879" s="76" t="b">
        <v>1</v>
      </c>
      <c r="I4879" s="76" t="b">
        <v>0</v>
      </c>
      <c r="J4879" s="76" t="b">
        <v>0</v>
      </c>
      <c r="K4879" s="76" t="b">
        <v>0</v>
      </c>
      <c r="L4879" s="76" t="b">
        <v>0</v>
      </c>
      <c r="M4879" s="76" t="b">
        <v>0</v>
      </c>
      <c r="N4879" s="76" t="b">
        <v>0</v>
      </c>
      <c r="O4879" s="76" t="b">
        <v>0</v>
      </c>
      <c r="P4879" s="76" t="b">
        <v>0</v>
      </c>
      <c r="Q4879" s="76" t="b">
        <v>0</v>
      </c>
      <c r="R4879" s="14"/>
      <c r="S4879" s="14"/>
      <c r="T4879" s="14"/>
      <c r="U4879" s="14"/>
      <c r="V4879" s="14"/>
      <c r="W4879" s="14"/>
    </row>
    <row r="4880" ht="31.5" customHeight="1">
      <c r="A4880" s="158"/>
      <c r="B4880" s="159"/>
      <c r="C4880" s="160"/>
      <c r="D4880" s="130"/>
      <c r="E4880" s="130"/>
      <c r="F4880" s="161"/>
      <c r="G4880" s="164"/>
      <c r="H4880" s="76" t="b">
        <v>1</v>
      </c>
      <c r="I4880" s="76" t="b">
        <v>0</v>
      </c>
      <c r="J4880" s="76" t="b">
        <v>0</v>
      </c>
      <c r="K4880" s="76" t="b">
        <v>0</v>
      </c>
      <c r="L4880" s="76" t="b">
        <v>0</v>
      </c>
      <c r="M4880" s="76" t="b">
        <v>0</v>
      </c>
      <c r="N4880" s="76" t="b">
        <v>0</v>
      </c>
      <c r="O4880" s="76" t="b">
        <v>0</v>
      </c>
      <c r="P4880" s="76" t="b">
        <v>0</v>
      </c>
      <c r="Q4880" s="76" t="b">
        <v>0</v>
      </c>
      <c r="R4880" s="14"/>
      <c r="S4880" s="14"/>
      <c r="T4880" s="14"/>
      <c r="U4880" s="14"/>
      <c r="V4880" s="14"/>
      <c r="W4880" s="14"/>
    </row>
    <row r="4881" ht="31.5" customHeight="1">
      <c r="A4881" s="158"/>
      <c r="B4881" s="159"/>
      <c r="C4881" s="160"/>
      <c r="D4881" s="130"/>
      <c r="E4881" s="130"/>
      <c r="F4881" s="161"/>
      <c r="G4881" s="164"/>
      <c r="H4881" s="76" t="b">
        <v>1</v>
      </c>
      <c r="I4881" s="76" t="b">
        <v>0</v>
      </c>
      <c r="J4881" s="76" t="b">
        <v>0</v>
      </c>
      <c r="K4881" s="76" t="b">
        <v>0</v>
      </c>
      <c r="L4881" s="76" t="b">
        <v>0</v>
      </c>
      <c r="M4881" s="76" t="b">
        <v>0</v>
      </c>
      <c r="N4881" s="76" t="b">
        <v>0</v>
      </c>
      <c r="O4881" s="76" t="b">
        <v>0</v>
      </c>
      <c r="P4881" s="76" t="b">
        <v>0</v>
      </c>
      <c r="Q4881" s="76" t="b">
        <v>0</v>
      </c>
      <c r="R4881" s="14"/>
      <c r="S4881" s="14"/>
      <c r="T4881" s="14"/>
      <c r="U4881" s="14"/>
      <c r="V4881" s="14"/>
      <c r="W4881" s="14"/>
    </row>
    <row r="4882" ht="31.5" customHeight="1">
      <c r="A4882" s="158"/>
      <c r="B4882" s="159"/>
      <c r="C4882" s="160"/>
      <c r="D4882" s="130"/>
      <c r="E4882" s="130"/>
      <c r="F4882" s="161"/>
      <c r="G4882" s="164"/>
      <c r="H4882" s="76" t="b">
        <v>1</v>
      </c>
      <c r="I4882" s="76" t="b">
        <v>0</v>
      </c>
      <c r="J4882" s="76" t="b">
        <v>0</v>
      </c>
      <c r="K4882" s="76" t="b">
        <v>0</v>
      </c>
      <c r="L4882" s="76" t="b">
        <v>0</v>
      </c>
      <c r="M4882" s="76" t="b">
        <v>0</v>
      </c>
      <c r="N4882" s="76" t="b">
        <v>0</v>
      </c>
      <c r="O4882" s="76" t="b">
        <v>0</v>
      </c>
      <c r="P4882" s="76" t="b">
        <v>0</v>
      </c>
      <c r="Q4882" s="76" t="b">
        <v>0</v>
      </c>
      <c r="R4882" s="14"/>
      <c r="S4882" s="14"/>
      <c r="T4882" s="14"/>
      <c r="U4882" s="14"/>
      <c r="V4882" s="14"/>
      <c r="W4882" s="14"/>
    </row>
    <row r="4883" ht="31.5" customHeight="1">
      <c r="A4883" s="158"/>
      <c r="B4883" s="159"/>
      <c r="C4883" s="160"/>
      <c r="D4883" s="130"/>
      <c r="E4883" s="130"/>
      <c r="F4883" s="161"/>
      <c r="G4883" s="164"/>
      <c r="H4883" s="76" t="b">
        <v>1</v>
      </c>
      <c r="I4883" s="76" t="b">
        <v>0</v>
      </c>
      <c r="J4883" s="76" t="b">
        <v>0</v>
      </c>
      <c r="K4883" s="76" t="b">
        <v>0</v>
      </c>
      <c r="L4883" s="76" t="b">
        <v>0</v>
      </c>
      <c r="M4883" s="76" t="b">
        <v>0</v>
      </c>
      <c r="N4883" s="76" t="b">
        <v>0</v>
      </c>
      <c r="O4883" s="76" t="b">
        <v>0</v>
      </c>
      <c r="P4883" s="76" t="b">
        <v>0</v>
      </c>
      <c r="Q4883" s="76" t="b">
        <v>0</v>
      </c>
      <c r="R4883" s="14"/>
      <c r="S4883" s="14"/>
      <c r="T4883" s="14"/>
      <c r="U4883" s="14"/>
      <c r="V4883" s="14"/>
      <c r="W4883" s="14"/>
    </row>
    <row r="4884" ht="31.5" customHeight="1">
      <c r="A4884" s="158"/>
      <c r="B4884" s="159"/>
      <c r="C4884" s="160"/>
      <c r="D4884" s="130"/>
      <c r="E4884" s="130"/>
      <c r="F4884" s="161"/>
      <c r="G4884" s="164"/>
      <c r="H4884" s="76" t="b">
        <v>1</v>
      </c>
      <c r="I4884" s="76" t="b">
        <v>0</v>
      </c>
      <c r="J4884" s="76" t="b">
        <v>0</v>
      </c>
      <c r="K4884" s="76" t="b">
        <v>0</v>
      </c>
      <c r="L4884" s="76" t="b">
        <v>0</v>
      </c>
      <c r="M4884" s="76" t="b">
        <v>0</v>
      </c>
      <c r="N4884" s="76" t="b">
        <v>0</v>
      </c>
      <c r="O4884" s="76" t="b">
        <v>0</v>
      </c>
      <c r="P4884" s="76" t="b">
        <v>0</v>
      </c>
      <c r="Q4884" s="76" t="b">
        <v>0</v>
      </c>
      <c r="R4884" s="14"/>
      <c r="S4884" s="14"/>
      <c r="T4884" s="14"/>
      <c r="U4884" s="14"/>
      <c r="V4884" s="14"/>
      <c r="W4884" s="14"/>
    </row>
    <row r="4885" ht="31.5" customHeight="1">
      <c r="A4885" s="158"/>
      <c r="B4885" s="159"/>
      <c r="C4885" s="160"/>
      <c r="D4885" s="130"/>
      <c r="E4885" s="130"/>
      <c r="F4885" s="161"/>
      <c r="G4885" s="164"/>
      <c r="H4885" s="76" t="b">
        <v>1</v>
      </c>
      <c r="I4885" s="76" t="b">
        <v>0</v>
      </c>
      <c r="J4885" s="76" t="b">
        <v>0</v>
      </c>
      <c r="K4885" s="76" t="b">
        <v>0</v>
      </c>
      <c r="L4885" s="76" t="b">
        <v>0</v>
      </c>
      <c r="M4885" s="76" t="b">
        <v>0</v>
      </c>
      <c r="N4885" s="76" t="b">
        <v>0</v>
      </c>
      <c r="O4885" s="76" t="b">
        <v>0</v>
      </c>
      <c r="P4885" s="76" t="b">
        <v>0</v>
      </c>
      <c r="Q4885" s="76" t="b">
        <v>0</v>
      </c>
      <c r="R4885" s="14"/>
      <c r="S4885" s="14"/>
      <c r="T4885" s="14"/>
      <c r="U4885" s="14"/>
      <c r="V4885" s="14"/>
      <c r="W4885" s="14"/>
    </row>
    <row r="4886" ht="31.5" customHeight="1">
      <c r="A4886" s="158"/>
      <c r="B4886" s="159"/>
      <c r="C4886" s="160"/>
      <c r="D4886" s="130"/>
      <c r="E4886" s="130"/>
      <c r="F4886" s="161"/>
      <c r="G4886" s="164"/>
      <c r="H4886" s="76" t="b">
        <v>1</v>
      </c>
      <c r="I4886" s="76" t="b">
        <v>0</v>
      </c>
      <c r="J4886" s="76" t="b">
        <v>0</v>
      </c>
      <c r="K4886" s="76" t="b">
        <v>0</v>
      </c>
      <c r="L4886" s="76" t="b">
        <v>0</v>
      </c>
      <c r="M4886" s="76" t="b">
        <v>0</v>
      </c>
      <c r="N4886" s="76" t="b">
        <v>0</v>
      </c>
      <c r="O4886" s="76" t="b">
        <v>0</v>
      </c>
      <c r="P4886" s="76" t="b">
        <v>0</v>
      </c>
      <c r="Q4886" s="76" t="b">
        <v>0</v>
      </c>
      <c r="R4886" s="14"/>
      <c r="S4886" s="14"/>
      <c r="T4886" s="14"/>
      <c r="U4886" s="14"/>
      <c r="V4886" s="14"/>
      <c r="W4886" s="14"/>
    </row>
    <row r="4887" ht="31.5" customHeight="1">
      <c r="A4887" s="158"/>
      <c r="B4887" s="159"/>
      <c r="C4887" s="160"/>
      <c r="D4887" s="130"/>
      <c r="E4887" s="130"/>
      <c r="F4887" s="161"/>
      <c r="G4887" s="164"/>
      <c r="H4887" s="76" t="b">
        <v>1</v>
      </c>
      <c r="I4887" s="76" t="b">
        <v>0</v>
      </c>
      <c r="J4887" s="76" t="b">
        <v>0</v>
      </c>
      <c r="K4887" s="76" t="b">
        <v>0</v>
      </c>
      <c r="L4887" s="76" t="b">
        <v>0</v>
      </c>
      <c r="M4887" s="76" t="b">
        <v>0</v>
      </c>
      <c r="N4887" s="76" t="b">
        <v>0</v>
      </c>
      <c r="O4887" s="76" t="b">
        <v>0</v>
      </c>
      <c r="P4887" s="76" t="b">
        <v>0</v>
      </c>
      <c r="Q4887" s="76" t="b">
        <v>0</v>
      </c>
      <c r="R4887" s="14"/>
      <c r="S4887" s="14"/>
      <c r="T4887" s="14"/>
      <c r="U4887" s="14"/>
      <c r="V4887" s="14"/>
      <c r="W4887" s="14"/>
    </row>
    <row r="4888" ht="31.5" customHeight="1">
      <c r="A4888" s="158"/>
      <c r="B4888" s="159"/>
      <c r="C4888" s="160"/>
      <c r="D4888" s="130"/>
      <c r="E4888" s="130"/>
      <c r="F4888" s="161"/>
      <c r="G4888" s="164"/>
      <c r="H4888" s="76" t="b">
        <v>1</v>
      </c>
      <c r="I4888" s="76" t="b">
        <v>0</v>
      </c>
      <c r="J4888" s="76" t="b">
        <v>0</v>
      </c>
      <c r="K4888" s="76" t="b">
        <v>0</v>
      </c>
      <c r="L4888" s="76" t="b">
        <v>0</v>
      </c>
      <c r="M4888" s="76" t="b">
        <v>0</v>
      </c>
      <c r="N4888" s="76" t="b">
        <v>0</v>
      </c>
      <c r="O4888" s="76" t="b">
        <v>0</v>
      </c>
      <c r="P4888" s="76" t="b">
        <v>0</v>
      </c>
      <c r="Q4888" s="76" t="b">
        <v>0</v>
      </c>
      <c r="R4888" s="14"/>
      <c r="S4888" s="14"/>
      <c r="T4888" s="14"/>
      <c r="U4888" s="14"/>
      <c r="V4888" s="14"/>
      <c r="W4888" s="14"/>
    </row>
    <row r="4889" ht="31.5" customHeight="1">
      <c r="A4889" s="158"/>
      <c r="B4889" s="159"/>
      <c r="C4889" s="160"/>
      <c r="D4889" s="130"/>
      <c r="E4889" s="130"/>
      <c r="F4889" s="161"/>
      <c r="G4889" s="164"/>
      <c r="H4889" s="76" t="b">
        <v>1</v>
      </c>
      <c r="I4889" s="76" t="b">
        <v>0</v>
      </c>
      <c r="J4889" s="76" t="b">
        <v>0</v>
      </c>
      <c r="K4889" s="76" t="b">
        <v>0</v>
      </c>
      <c r="L4889" s="76" t="b">
        <v>0</v>
      </c>
      <c r="M4889" s="76" t="b">
        <v>0</v>
      </c>
      <c r="N4889" s="76" t="b">
        <v>0</v>
      </c>
      <c r="O4889" s="76" t="b">
        <v>0</v>
      </c>
      <c r="P4889" s="76" t="b">
        <v>0</v>
      </c>
      <c r="Q4889" s="76" t="b">
        <v>0</v>
      </c>
      <c r="R4889" s="14"/>
      <c r="S4889" s="14"/>
      <c r="T4889" s="14"/>
      <c r="U4889" s="14"/>
      <c r="V4889" s="14"/>
      <c r="W4889" s="14"/>
    </row>
    <row r="4890" ht="31.5" customHeight="1">
      <c r="A4890" s="158"/>
      <c r="B4890" s="159"/>
      <c r="C4890" s="160"/>
      <c r="D4890" s="130"/>
      <c r="E4890" s="130"/>
      <c r="F4890" s="161"/>
      <c r="G4890" s="164"/>
      <c r="H4890" s="76" t="b">
        <v>1</v>
      </c>
      <c r="I4890" s="76" t="b">
        <v>0</v>
      </c>
      <c r="J4890" s="76" t="b">
        <v>0</v>
      </c>
      <c r="K4890" s="76" t="b">
        <v>0</v>
      </c>
      <c r="L4890" s="76" t="b">
        <v>0</v>
      </c>
      <c r="M4890" s="76" t="b">
        <v>0</v>
      </c>
      <c r="N4890" s="76" t="b">
        <v>0</v>
      </c>
      <c r="O4890" s="76" t="b">
        <v>0</v>
      </c>
      <c r="P4890" s="76" t="b">
        <v>0</v>
      </c>
      <c r="Q4890" s="76" t="b">
        <v>0</v>
      </c>
      <c r="R4890" s="14"/>
      <c r="S4890" s="14"/>
      <c r="T4890" s="14"/>
      <c r="U4890" s="14"/>
      <c r="V4890" s="14"/>
      <c r="W4890" s="14"/>
    </row>
    <row r="4891" ht="31.5" customHeight="1">
      <c r="A4891" s="158"/>
      <c r="B4891" s="159"/>
      <c r="C4891" s="160"/>
      <c r="D4891" s="130"/>
      <c r="E4891" s="130"/>
      <c r="F4891" s="161"/>
      <c r="G4891" s="164"/>
      <c r="H4891" s="76" t="b">
        <v>1</v>
      </c>
      <c r="I4891" s="76" t="b">
        <v>0</v>
      </c>
      <c r="J4891" s="76" t="b">
        <v>0</v>
      </c>
      <c r="K4891" s="76" t="b">
        <v>0</v>
      </c>
      <c r="L4891" s="76" t="b">
        <v>0</v>
      </c>
      <c r="M4891" s="76" t="b">
        <v>0</v>
      </c>
      <c r="N4891" s="76" t="b">
        <v>0</v>
      </c>
      <c r="O4891" s="76" t="b">
        <v>0</v>
      </c>
      <c r="P4891" s="76" t="b">
        <v>0</v>
      </c>
      <c r="Q4891" s="76" t="b">
        <v>0</v>
      </c>
      <c r="R4891" s="14"/>
      <c r="S4891" s="14"/>
      <c r="T4891" s="14"/>
      <c r="U4891" s="14"/>
      <c r="V4891" s="14"/>
      <c r="W4891" s="14"/>
    </row>
    <row r="4892" ht="31.5" customHeight="1">
      <c r="A4892" s="158"/>
      <c r="B4892" s="159"/>
      <c r="C4892" s="160"/>
      <c r="D4892" s="130"/>
      <c r="E4892" s="130"/>
      <c r="F4892" s="161"/>
      <c r="G4892" s="164"/>
      <c r="H4892" s="76" t="b">
        <v>1</v>
      </c>
      <c r="I4892" s="76" t="b">
        <v>0</v>
      </c>
      <c r="J4892" s="76" t="b">
        <v>0</v>
      </c>
      <c r="K4892" s="76" t="b">
        <v>0</v>
      </c>
      <c r="L4892" s="76" t="b">
        <v>0</v>
      </c>
      <c r="M4892" s="76" t="b">
        <v>0</v>
      </c>
      <c r="N4892" s="76" t="b">
        <v>0</v>
      </c>
      <c r="O4892" s="76" t="b">
        <v>0</v>
      </c>
      <c r="P4892" s="76" t="b">
        <v>0</v>
      </c>
      <c r="Q4892" s="76" t="b">
        <v>0</v>
      </c>
      <c r="R4892" s="14"/>
      <c r="S4892" s="14"/>
      <c r="T4892" s="14"/>
      <c r="U4892" s="14"/>
      <c r="V4892" s="14"/>
      <c r="W4892" s="14"/>
    </row>
    <row r="4893" ht="31.5" customHeight="1">
      <c r="A4893" s="158"/>
      <c r="B4893" s="159"/>
      <c r="C4893" s="160"/>
      <c r="D4893" s="130"/>
      <c r="E4893" s="130"/>
      <c r="F4893" s="161"/>
      <c r="G4893" s="164"/>
      <c r="H4893" s="76" t="b">
        <v>1</v>
      </c>
      <c r="I4893" s="76" t="b">
        <v>0</v>
      </c>
      <c r="J4893" s="76" t="b">
        <v>0</v>
      </c>
      <c r="K4893" s="76" t="b">
        <v>0</v>
      </c>
      <c r="L4893" s="76" t="b">
        <v>0</v>
      </c>
      <c r="M4893" s="76" t="b">
        <v>0</v>
      </c>
      <c r="N4893" s="76" t="b">
        <v>0</v>
      </c>
      <c r="O4893" s="76" t="b">
        <v>0</v>
      </c>
      <c r="P4893" s="76" t="b">
        <v>0</v>
      </c>
      <c r="Q4893" s="76" t="b">
        <v>0</v>
      </c>
      <c r="R4893" s="14"/>
      <c r="S4893" s="14"/>
      <c r="T4893" s="14"/>
      <c r="U4893" s="14"/>
      <c r="V4893" s="14"/>
      <c r="W4893" s="14"/>
    </row>
    <row r="4894" ht="31.5" customHeight="1">
      <c r="A4894" s="158"/>
      <c r="B4894" s="159"/>
      <c r="C4894" s="160"/>
      <c r="D4894" s="130"/>
      <c r="E4894" s="130"/>
      <c r="F4894" s="161"/>
      <c r="G4894" s="164"/>
      <c r="H4894" s="76" t="b">
        <v>1</v>
      </c>
      <c r="I4894" s="76" t="b">
        <v>0</v>
      </c>
      <c r="J4894" s="76" t="b">
        <v>0</v>
      </c>
      <c r="K4894" s="76" t="b">
        <v>0</v>
      </c>
      <c r="L4894" s="76" t="b">
        <v>0</v>
      </c>
      <c r="M4894" s="76" t="b">
        <v>0</v>
      </c>
      <c r="N4894" s="76" t="b">
        <v>0</v>
      </c>
      <c r="O4894" s="76" t="b">
        <v>0</v>
      </c>
      <c r="P4894" s="76" t="b">
        <v>0</v>
      </c>
      <c r="Q4894" s="76" t="b">
        <v>0</v>
      </c>
      <c r="R4894" s="14"/>
      <c r="S4894" s="14"/>
      <c r="T4894" s="14"/>
      <c r="U4894" s="14"/>
      <c r="V4894" s="14"/>
      <c r="W4894" s="14"/>
    </row>
    <row r="4895" ht="31.5" customHeight="1">
      <c r="A4895" s="158"/>
      <c r="B4895" s="159"/>
      <c r="C4895" s="160"/>
      <c r="D4895" s="130"/>
      <c r="E4895" s="130"/>
      <c r="F4895" s="161"/>
      <c r="G4895" s="164"/>
      <c r="H4895" s="76" t="b">
        <v>1</v>
      </c>
      <c r="I4895" s="76" t="b">
        <v>0</v>
      </c>
      <c r="J4895" s="76" t="b">
        <v>0</v>
      </c>
      <c r="K4895" s="76" t="b">
        <v>0</v>
      </c>
      <c r="L4895" s="76" t="b">
        <v>0</v>
      </c>
      <c r="M4895" s="76" t="b">
        <v>0</v>
      </c>
      <c r="N4895" s="76" t="b">
        <v>0</v>
      </c>
      <c r="O4895" s="76" t="b">
        <v>0</v>
      </c>
      <c r="P4895" s="76" t="b">
        <v>0</v>
      </c>
      <c r="Q4895" s="76" t="b">
        <v>0</v>
      </c>
      <c r="R4895" s="14"/>
      <c r="S4895" s="14"/>
      <c r="T4895" s="14"/>
      <c r="U4895" s="14"/>
      <c r="V4895" s="14"/>
      <c r="W4895" s="14"/>
    </row>
    <row r="4896" ht="31.5" customHeight="1">
      <c r="A4896" s="158"/>
      <c r="B4896" s="159"/>
      <c r="C4896" s="160"/>
      <c r="D4896" s="130"/>
      <c r="E4896" s="130"/>
      <c r="F4896" s="161"/>
      <c r="G4896" s="164"/>
      <c r="H4896" s="76" t="b">
        <v>1</v>
      </c>
      <c r="I4896" s="76" t="b">
        <v>0</v>
      </c>
      <c r="J4896" s="76" t="b">
        <v>0</v>
      </c>
      <c r="K4896" s="76" t="b">
        <v>0</v>
      </c>
      <c r="L4896" s="76" t="b">
        <v>0</v>
      </c>
      <c r="M4896" s="76" t="b">
        <v>0</v>
      </c>
      <c r="N4896" s="76" t="b">
        <v>0</v>
      </c>
      <c r="O4896" s="76" t="b">
        <v>0</v>
      </c>
      <c r="P4896" s="76" t="b">
        <v>0</v>
      </c>
      <c r="Q4896" s="76" t="b">
        <v>0</v>
      </c>
      <c r="R4896" s="14"/>
      <c r="S4896" s="14"/>
      <c r="T4896" s="14"/>
      <c r="U4896" s="14"/>
      <c r="V4896" s="14"/>
      <c r="W4896" s="14"/>
    </row>
    <row r="4897" ht="31.5" customHeight="1">
      <c r="A4897" s="158"/>
      <c r="B4897" s="159"/>
      <c r="C4897" s="160"/>
      <c r="D4897" s="130"/>
      <c r="E4897" s="130"/>
      <c r="F4897" s="161"/>
      <c r="G4897" s="164"/>
      <c r="H4897" s="76" t="b">
        <v>1</v>
      </c>
      <c r="I4897" s="76" t="b">
        <v>0</v>
      </c>
      <c r="J4897" s="76" t="b">
        <v>0</v>
      </c>
      <c r="K4897" s="76" t="b">
        <v>0</v>
      </c>
      <c r="L4897" s="76" t="b">
        <v>0</v>
      </c>
      <c r="M4897" s="76" t="b">
        <v>0</v>
      </c>
      <c r="N4897" s="76" t="b">
        <v>0</v>
      </c>
      <c r="O4897" s="76" t="b">
        <v>0</v>
      </c>
      <c r="P4897" s="76" t="b">
        <v>0</v>
      </c>
      <c r="Q4897" s="76" t="b">
        <v>0</v>
      </c>
      <c r="R4897" s="14"/>
      <c r="S4897" s="14"/>
      <c r="T4897" s="14"/>
      <c r="U4897" s="14"/>
      <c r="V4897" s="14"/>
      <c r="W4897" s="14"/>
    </row>
    <row r="4898" ht="31.5" customHeight="1">
      <c r="A4898" s="158"/>
      <c r="B4898" s="159"/>
      <c r="C4898" s="160"/>
      <c r="D4898" s="130"/>
      <c r="E4898" s="130"/>
      <c r="F4898" s="161"/>
      <c r="G4898" s="164"/>
      <c r="H4898" s="76" t="b">
        <v>1</v>
      </c>
      <c r="I4898" s="76" t="b">
        <v>0</v>
      </c>
      <c r="J4898" s="76" t="b">
        <v>0</v>
      </c>
      <c r="K4898" s="76" t="b">
        <v>0</v>
      </c>
      <c r="L4898" s="76" t="b">
        <v>0</v>
      </c>
      <c r="M4898" s="76" t="b">
        <v>0</v>
      </c>
      <c r="N4898" s="76" t="b">
        <v>0</v>
      </c>
      <c r="O4898" s="76" t="b">
        <v>0</v>
      </c>
      <c r="P4898" s="76" t="b">
        <v>0</v>
      </c>
      <c r="Q4898" s="76" t="b">
        <v>0</v>
      </c>
      <c r="R4898" s="14"/>
      <c r="S4898" s="14"/>
      <c r="T4898" s="14"/>
      <c r="U4898" s="14"/>
      <c r="V4898" s="14"/>
      <c r="W4898" s="14"/>
    </row>
    <row r="4899" ht="31.5" customHeight="1">
      <c r="A4899" s="158"/>
      <c r="B4899" s="159"/>
      <c r="C4899" s="160"/>
      <c r="D4899" s="130"/>
      <c r="E4899" s="130"/>
      <c r="F4899" s="161"/>
      <c r="G4899" s="164"/>
      <c r="H4899" s="76" t="b">
        <v>1</v>
      </c>
      <c r="I4899" s="76" t="b">
        <v>0</v>
      </c>
      <c r="J4899" s="76" t="b">
        <v>0</v>
      </c>
      <c r="K4899" s="76" t="b">
        <v>0</v>
      </c>
      <c r="L4899" s="76" t="b">
        <v>0</v>
      </c>
      <c r="M4899" s="76" t="b">
        <v>0</v>
      </c>
      <c r="N4899" s="76" t="b">
        <v>0</v>
      </c>
      <c r="O4899" s="76" t="b">
        <v>0</v>
      </c>
      <c r="P4899" s="76" t="b">
        <v>0</v>
      </c>
      <c r="Q4899" s="76" t="b">
        <v>0</v>
      </c>
      <c r="R4899" s="14"/>
      <c r="S4899" s="14"/>
      <c r="T4899" s="14"/>
      <c r="U4899" s="14"/>
      <c r="V4899" s="14"/>
      <c r="W4899" s="14"/>
    </row>
    <row r="4900" ht="31.5" customHeight="1">
      <c r="A4900" s="158"/>
      <c r="B4900" s="159"/>
      <c r="C4900" s="160"/>
      <c r="D4900" s="130"/>
      <c r="E4900" s="130"/>
      <c r="F4900" s="161"/>
      <c r="G4900" s="164"/>
      <c r="H4900" s="76" t="b">
        <v>1</v>
      </c>
      <c r="I4900" s="76" t="b">
        <v>0</v>
      </c>
      <c r="J4900" s="76" t="b">
        <v>0</v>
      </c>
      <c r="K4900" s="76" t="b">
        <v>0</v>
      </c>
      <c r="L4900" s="76" t="b">
        <v>0</v>
      </c>
      <c r="M4900" s="76" t="b">
        <v>0</v>
      </c>
      <c r="N4900" s="76" t="b">
        <v>0</v>
      </c>
      <c r="O4900" s="76" t="b">
        <v>0</v>
      </c>
      <c r="P4900" s="76" t="b">
        <v>0</v>
      </c>
      <c r="Q4900" s="76" t="b">
        <v>0</v>
      </c>
      <c r="R4900" s="14"/>
      <c r="S4900" s="14"/>
      <c r="T4900" s="14"/>
      <c r="U4900" s="14"/>
      <c r="V4900" s="14"/>
      <c r="W4900" s="14"/>
    </row>
    <row r="4901" ht="31.5" customHeight="1">
      <c r="A4901" s="158"/>
      <c r="B4901" s="159"/>
      <c r="C4901" s="160"/>
      <c r="D4901" s="130"/>
      <c r="E4901" s="130"/>
      <c r="F4901" s="161"/>
      <c r="G4901" s="164"/>
      <c r="H4901" s="76" t="b">
        <v>1</v>
      </c>
      <c r="I4901" s="76" t="b">
        <v>0</v>
      </c>
      <c r="J4901" s="76" t="b">
        <v>0</v>
      </c>
      <c r="K4901" s="76" t="b">
        <v>0</v>
      </c>
      <c r="L4901" s="76" t="b">
        <v>0</v>
      </c>
      <c r="M4901" s="76" t="b">
        <v>0</v>
      </c>
      <c r="N4901" s="76" t="b">
        <v>0</v>
      </c>
      <c r="O4901" s="76" t="b">
        <v>0</v>
      </c>
      <c r="P4901" s="76" t="b">
        <v>0</v>
      </c>
      <c r="Q4901" s="76" t="b">
        <v>0</v>
      </c>
      <c r="R4901" s="14"/>
      <c r="S4901" s="14"/>
      <c r="T4901" s="14"/>
      <c r="U4901" s="14"/>
      <c r="V4901" s="14"/>
      <c r="W4901" s="14"/>
    </row>
    <row r="4902" ht="31.5" customHeight="1">
      <c r="A4902" s="158"/>
      <c r="B4902" s="159"/>
      <c r="C4902" s="160"/>
      <c r="D4902" s="130"/>
      <c r="E4902" s="130"/>
      <c r="F4902" s="161"/>
      <c r="G4902" s="164"/>
      <c r="H4902" s="76" t="b">
        <v>1</v>
      </c>
      <c r="I4902" s="76" t="b">
        <v>0</v>
      </c>
      <c r="J4902" s="76" t="b">
        <v>0</v>
      </c>
      <c r="K4902" s="76" t="b">
        <v>0</v>
      </c>
      <c r="L4902" s="76" t="b">
        <v>0</v>
      </c>
      <c r="M4902" s="76" t="b">
        <v>0</v>
      </c>
      <c r="N4902" s="76" t="b">
        <v>0</v>
      </c>
      <c r="O4902" s="76" t="b">
        <v>0</v>
      </c>
      <c r="P4902" s="76" t="b">
        <v>0</v>
      </c>
      <c r="Q4902" s="76" t="b">
        <v>0</v>
      </c>
      <c r="R4902" s="14"/>
      <c r="S4902" s="14"/>
      <c r="T4902" s="14"/>
      <c r="U4902" s="14"/>
      <c r="V4902" s="14"/>
      <c r="W4902" s="14"/>
    </row>
    <row r="4903" ht="31.5" customHeight="1">
      <c r="A4903" s="158"/>
      <c r="B4903" s="159"/>
      <c r="C4903" s="160"/>
      <c r="D4903" s="130"/>
      <c r="E4903" s="130"/>
      <c r="F4903" s="161"/>
      <c r="G4903" s="164"/>
      <c r="H4903" s="76" t="b">
        <v>1</v>
      </c>
      <c r="I4903" s="76" t="b">
        <v>0</v>
      </c>
      <c r="J4903" s="76" t="b">
        <v>0</v>
      </c>
      <c r="K4903" s="76" t="b">
        <v>0</v>
      </c>
      <c r="L4903" s="76" t="b">
        <v>0</v>
      </c>
      <c r="M4903" s="76" t="b">
        <v>0</v>
      </c>
      <c r="N4903" s="76" t="b">
        <v>0</v>
      </c>
      <c r="O4903" s="76" t="b">
        <v>0</v>
      </c>
      <c r="P4903" s="76" t="b">
        <v>0</v>
      </c>
      <c r="Q4903" s="76" t="b">
        <v>0</v>
      </c>
      <c r="R4903" s="14"/>
      <c r="S4903" s="14"/>
      <c r="T4903" s="14"/>
      <c r="U4903" s="14"/>
      <c r="V4903" s="14"/>
      <c r="W4903" s="14"/>
    </row>
    <row r="4904" ht="31.5" customHeight="1">
      <c r="A4904" s="158"/>
      <c r="B4904" s="159"/>
      <c r="C4904" s="160"/>
      <c r="D4904" s="130"/>
      <c r="E4904" s="130"/>
      <c r="F4904" s="161"/>
      <c r="G4904" s="164"/>
      <c r="H4904" s="76" t="b">
        <v>1</v>
      </c>
      <c r="I4904" s="76" t="b">
        <v>0</v>
      </c>
      <c r="J4904" s="76" t="b">
        <v>0</v>
      </c>
      <c r="K4904" s="76" t="b">
        <v>0</v>
      </c>
      <c r="L4904" s="76" t="b">
        <v>0</v>
      </c>
      <c r="M4904" s="76" t="b">
        <v>0</v>
      </c>
      <c r="N4904" s="76" t="b">
        <v>0</v>
      </c>
      <c r="O4904" s="76" t="b">
        <v>0</v>
      </c>
      <c r="P4904" s="76" t="b">
        <v>0</v>
      </c>
      <c r="Q4904" s="76" t="b">
        <v>0</v>
      </c>
      <c r="R4904" s="14"/>
      <c r="S4904" s="14"/>
      <c r="T4904" s="14"/>
      <c r="U4904" s="14"/>
      <c r="V4904" s="14"/>
      <c r="W4904" s="14"/>
    </row>
    <row r="4905" ht="31.5" customHeight="1">
      <c r="A4905" s="158"/>
      <c r="B4905" s="159"/>
      <c r="C4905" s="160"/>
      <c r="D4905" s="130"/>
      <c r="E4905" s="130"/>
      <c r="F4905" s="161"/>
      <c r="G4905" s="164"/>
      <c r="H4905" s="76" t="b">
        <v>1</v>
      </c>
      <c r="I4905" s="76" t="b">
        <v>0</v>
      </c>
      <c r="J4905" s="76" t="b">
        <v>0</v>
      </c>
      <c r="K4905" s="76" t="b">
        <v>0</v>
      </c>
      <c r="L4905" s="76" t="b">
        <v>0</v>
      </c>
      <c r="M4905" s="76" t="b">
        <v>0</v>
      </c>
      <c r="N4905" s="76" t="b">
        <v>0</v>
      </c>
      <c r="O4905" s="76" t="b">
        <v>0</v>
      </c>
      <c r="P4905" s="76" t="b">
        <v>0</v>
      </c>
      <c r="Q4905" s="76" t="b">
        <v>0</v>
      </c>
      <c r="R4905" s="14"/>
      <c r="S4905" s="14"/>
      <c r="T4905" s="14"/>
      <c r="U4905" s="14"/>
      <c r="V4905" s="14"/>
      <c r="W4905" s="14"/>
    </row>
    <row r="4906" ht="31.5" customHeight="1">
      <c r="A4906" s="158"/>
      <c r="B4906" s="159"/>
      <c r="C4906" s="160"/>
      <c r="D4906" s="130"/>
      <c r="E4906" s="130"/>
      <c r="F4906" s="161"/>
      <c r="G4906" s="164"/>
      <c r="H4906" s="76" t="b">
        <v>1</v>
      </c>
      <c r="I4906" s="76" t="b">
        <v>0</v>
      </c>
      <c r="J4906" s="76" t="b">
        <v>0</v>
      </c>
      <c r="K4906" s="76" t="b">
        <v>0</v>
      </c>
      <c r="L4906" s="76" t="b">
        <v>0</v>
      </c>
      <c r="M4906" s="76" t="b">
        <v>0</v>
      </c>
      <c r="N4906" s="76" t="b">
        <v>0</v>
      </c>
      <c r="O4906" s="76" t="b">
        <v>0</v>
      </c>
      <c r="P4906" s="76" t="b">
        <v>0</v>
      </c>
      <c r="Q4906" s="76" t="b">
        <v>0</v>
      </c>
      <c r="R4906" s="14"/>
      <c r="S4906" s="14"/>
      <c r="T4906" s="14"/>
      <c r="U4906" s="14"/>
      <c r="V4906" s="14"/>
      <c r="W4906" s="14"/>
    </row>
    <row r="4907" ht="31.5" customHeight="1">
      <c r="A4907" s="158"/>
      <c r="B4907" s="159"/>
      <c r="C4907" s="160"/>
      <c r="D4907" s="130"/>
      <c r="E4907" s="130"/>
      <c r="F4907" s="161"/>
      <c r="G4907" s="164"/>
      <c r="H4907" s="76" t="b">
        <v>1</v>
      </c>
      <c r="I4907" s="76" t="b">
        <v>0</v>
      </c>
      <c r="J4907" s="76" t="b">
        <v>0</v>
      </c>
      <c r="K4907" s="76" t="b">
        <v>0</v>
      </c>
      <c r="L4907" s="76" t="b">
        <v>0</v>
      </c>
      <c r="M4907" s="76" t="b">
        <v>0</v>
      </c>
      <c r="N4907" s="76" t="b">
        <v>0</v>
      </c>
      <c r="O4907" s="76" t="b">
        <v>0</v>
      </c>
      <c r="P4907" s="76" t="b">
        <v>0</v>
      </c>
      <c r="Q4907" s="76" t="b">
        <v>0</v>
      </c>
      <c r="R4907" s="14"/>
      <c r="S4907" s="14"/>
      <c r="T4907" s="14"/>
      <c r="U4907" s="14"/>
      <c r="V4907" s="14"/>
      <c r="W4907" s="14"/>
    </row>
    <row r="4908" ht="31.5" customHeight="1">
      <c r="A4908" s="158"/>
      <c r="B4908" s="159"/>
      <c r="C4908" s="160"/>
      <c r="D4908" s="130"/>
      <c r="E4908" s="130"/>
      <c r="F4908" s="161"/>
      <c r="G4908" s="164"/>
      <c r="H4908" s="76" t="b">
        <v>1</v>
      </c>
      <c r="I4908" s="76" t="b">
        <v>0</v>
      </c>
      <c r="J4908" s="76" t="b">
        <v>0</v>
      </c>
      <c r="K4908" s="76" t="b">
        <v>0</v>
      </c>
      <c r="L4908" s="76" t="b">
        <v>0</v>
      </c>
      <c r="M4908" s="76" t="b">
        <v>0</v>
      </c>
      <c r="N4908" s="76" t="b">
        <v>0</v>
      </c>
      <c r="O4908" s="76" t="b">
        <v>0</v>
      </c>
      <c r="P4908" s="76" t="b">
        <v>0</v>
      </c>
      <c r="Q4908" s="76" t="b">
        <v>0</v>
      </c>
      <c r="R4908" s="14"/>
      <c r="S4908" s="14"/>
      <c r="T4908" s="14"/>
      <c r="U4908" s="14"/>
      <c r="V4908" s="14"/>
      <c r="W4908" s="14"/>
    </row>
    <row r="4909" ht="31.5" customHeight="1">
      <c r="A4909" s="158"/>
      <c r="B4909" s="159"/>
      <c r="C4909" s="160"/>
      <c r="D4909" s="130"/>
      <c r="E4909" s="130"/>
      <c r="F4909" s="161"/>
      <c r="G4909" s="164"/>
      <c r="H4909" s="76" t="b">
        <v>1</v>
      </c>
      <c r="I4909" s="76" t="b">
        <v>0</v>
      </c>
      <c r="J4909" s="76" t="b">
        <v>0</v>
      </c>
      <c r="K4909" s="76" t="b">
        <v>0</v>
      </c>
      <c r="L4909" s="76" t="b">
        <v>0</v>
      </c>
      <c r="M4909" s="76" t="b">
        <v>0</v>
      </c>
      <c r="N4909" s="76" t="b">
        <v>0</v>
      </c>
      <c r="O4909" s="76" t="b">
        <v>0</v>
      </c>
      <c r="P4909" s="76" t="b">
        <v>0</v>
      </c>
      <c r="Q4909" s="76" t="b">
        <v>0</v>
      </c>
      <c r="R4909" s="14"/>
      <c r="S4909" s="14"/>
      <c r="T4909" s="14"/>
      <c r="U4909" s="14"/>
      <c r="V4909" s="14"/>
      <c r="W4909" s="14"/>
    </row>
    <row r="4910" ht="31.5" customHeight="1">
      <c r="A4910" s="158"/>
      <c r="B4910" s="159"/>
      <c r="C4910" s="160"/>
      <c r="D4910" s="130"/>
      <c r="E4910" s="130"/>
      <c r="F4910" s="161"/>
      <c r="G4910" s="164"/>
      <c r="H4910" s="76" t="b">
        <v>1</v>
      </c>
      <c r="I4910" s="76" t="b">
        <v>0</v>
      </c>
      <c r="J4910" s="76" t="b">
        <v>0</v>
      </c>
      <c r="K4910" s="76" t="b">
        <v>0</v>
      </c>
      <c r="L4910" s="76" t="b">
        <v>0</v>
      </c>
      <c r="M4910" s="76" t="b">
        <v>0</v>
      </c>
      <c r="N4910" s="76" t="b">
        <v>0</v>
      </c>
      <c r="O4910" s="76" t="b">
        <v>0</v>
      </c>
      <c r="P4910" s="76" t="b">
        <v>0</v>
      </c>
      <c r="Q4910" s="76" t="b">
        <v>0</v>
      </c>
      <c r="R4910" s="14"/>
      <c r="S4910" s="14"/>
      <c r="T4910" s="14"/>
      <c r="U4910" s="14"/>
      <c r="V4910" s="14"/>
      <c r="W4910" s="14"/>
    </row>
    <row r="4911" ht="31.5" customHeight="1">
      <c r="A4911" s="158"/>
      <c r="B4911" s="159"/>
      <c r="C4911" s="160"/>
      <c r="D4911" s="130"/>
      <c r="E4911" s="130"/>
      <c r="F4911" s="161"/>
      <c r="G4911" s="164"/>
      <c r="H4911" s="76" t="b">
        <v>1</v>
      </c>
      <c r="I4911" s="76" t="b">
        <v>0</v>
      </c>
      <c r="J4911" s="76" t="b">
        <v>0</v>
      </c>
      <c r="K4911" s="76" t="b">
        <v>0</v>
      </c>
      <c r="L4911" s="76" t="b">
        <v>0</v>
      </c>
      <c r="M4911" s="76" t="b">
        <v>0</v>
      </c>
      <c r="N4911" s="76" t="b">
        <v>0</v>
      </c>
      <c r="O4911" s="76" t="b">
        <v>0</v>
      </c>
      <c r="P4911" s="76" t="b">
        <v>0</v>
      </c>
      <c r="Q4911" s="76" t="b">
        <v>0</v>
      </c>
      <c r="R4911" s="14"/>
      <c r="S4911" s="14"/>
      <c r="T4911" s="14"/>
      <c r="U4911" s="14"/>
      <c r="V4911" s="14"/>
      <c r="W4911" s="14"/>
    </row>
    <row r="4912" ht="31.5" customHeight="1">
      <c r="A4912" s="158"/>
      <c r="B4912" s="159"/>
      <c r="C4912" s="160"/>
      <c r="D4912" s="130"/>
      <c r="E4912" s="130"/>
      <c r="F4912" s="161"/>
      <c r="G4912" s="164"/>
      <c r="H4912" s="76" t="b">
        <v>1</v>
      </c>
      <c r="I4912" s="76" t="b">
        <v>0</v>
      </c>
      <c r="J4912" s="76" t="b">
        <v>0</v>
      </c>
      <c r="K4912" s="76" t="b">
        <v>0</v>
      </c>
      <c r="L4912" s="76" t="b">
        <v>0</v>
      </c>
      <c r="M4912" s="76" t="b">
        <v>0</v>
      </c>
      <c r="N4912" s="76" t="b">
        <v>0</v>
      </c>
      <c r="O4912" s="76" t="b">
        <v>0</v>
      </c>
      <c r="P4912" s="76" t="b">
        <v>0</v>
      </c>
      <c r="Q4912" s="76" t="b">
        <v>0</v>
      </c>
      <c r="R4912" s="14"/>
      <c r="S4912" s="14"/>
      <c r="T4912" s="14"/>
      <c r="U4912" s="14"/>
      <c r="V4912" s="14"/>
      <c r="W4912" s="14"/>
    </row>
    <row r="4913" ht="31.5" customHeight="1">
      <c r="A4913" s="158"/>
      <c r="B4913" s="159"/>
      <c r="C4913" s="160"/>
      <c r="D4913" s="130"/>
      <c r="E4913" s="130"/>
      <c r="F4913" s="161"/>
      <c r="G4913" s="164"/>
      <c r="H4913" s="76" t="b">
        <v>1</v>
      </c>
      <c r="I4913" s="76" t="b">
        <v>0</v>
      </c>
      <c r="J4913" s="76" t="b">
        <v>0</v>
      </c>
      <c r="K4913" s="76" t="b">
        <v>0</v>
      </c>
      <c r="L4913" s="76" t="b">
        <v>0</v>
      </c>
      <c r="M4913" s="76" t="b">
        <v>0</v>
      </c>
      <c r="N4913" s="76" t="b">
        <v>0</v>
      </c>
      <c r="O4913" s="76" t="b">
        <v>0</v>
      </c>
      <c r="P4913" s="76" t="b">
        <v>0</v>
      </c>
      <c r="Q4913" s="76" t="b">
        <v>0</v>
      </c>
      <c r="R4913" s="14"/>
      <c r="S4913" s="14"/>
      <c r="T4913" s="14"/>
      <c r="U4913" s="14"/>
      <c r="V4913" s="14"/>
      <c r="W4913" s="14"/>
    </row>
    <row r="4914" ht="31.5" customHeight="1">
      <c r="A4914" s="158"/>
      <c r="B4914" s="159"/>
      <c r="C4914" s="160"/>
      <c r="D4914" s="130"/>
      <c r="E4914" s="130"/>
      <c r="F4914" s="161"/>
      <c r="G4914" s="164"/>
      <c r="H4914" s="76" t="b">
        <v>1</v>
      </c>
      <c r="I4914" s="76" t="b">
        <v>0</v>
      </c>
      <c r="J4914" s="76" t="b">
        <v>0</v>
      </c>
      <c r="K4914" s="76" t="b">
        <v>0</v>
      </c>
      <c r="L4914" s="76" t="b">
        <v>0</v>
      </c>
      <c r="M4914" s="76" t="b">
        <v>0</v>
      </c>
      <c r="N4914" s="76" t="b">
        <v>0</v>
      </c>
      <c r="O4914" s="76" t="b">
        <v>0</v>
      </c>
      <c r="P4914" s="76" t="b">
        <v>0</v>
      </c>
      <c r="Q4914" s="76" t="b">
        <v>0</v>
      </c>
      <c r="R4914" s="14"/>
      <c r="S4914" s="14"/>
      <c r="T4914" s="14"/>
      <c r="U4914" s="14"/>
      <c r="V4914" s="14"/>
      <c r="W4914" s="14"/>
    </row>
    <row r="4915" ht="31.5" customHeight="1">
      <c r="A4915" s="158"/>
      <c r="B4915" s="159"/>
      <c r="C4915" s="160"/>
      <c r="D4915" s="130"/>
      <c r="E4915" s="130"/>
      <c r="F4915" s="161"/>
      <c r="G4915" s="164"/>
      <c r="H4915" s="76" t="b">
        <v>1</v>
      </c>
      <c r="I4915" s="76" t="b">
        <v>0</v>
      </c>
      <c r="J4915" s="76" t="b">
        <v>0</v>
      </c>
      <c r="K4915" s="76" t="b">
        <v>0</v>
      </c>
      <c r="L4915" s="76" t="b">
        <v>0</v>
      </c>
      <c r="M4915" s="76" t="b">
        <v>0</v>
      </c>
      <c r="N4915" s="76" t="b">
        <v>0</v>
      </c>
      <c r="O4915" s="76" t="b">
        <v>0</v>
      </c>
      <c r="P4915" s="76" t="b">
        <v>0</v>
      </c>
      <c r="Q4915" s="76" t="b">
        <v>0</v>
      </c>
      <c r="R4915" s="14"/>
      <c r="S4915" s="14"/>
      <c r="T4915" s="14"/>
      <c r="U4915" s="14"/>
      <c r="V4915" s="14"/>
      <c r="W4915" s="14"/>
    </row>
    <row r="4916" ht="31.5" customHeight="1">
      <c r="A4916" s="158"/>
      <c r="B4916" s="159"/>
      <c r="C4916" s="160"/>
      <c r="D4916" s="130"/>
      <c r="E4916" s="130"/>
      <c r="F4916" s="161"/>
      <c r="G4916" s="164"/>
      <c r="H4916" s="76" t="b">
        <v>1</v>
      </c>
      <c r="I4916" s="76" t="b">
        <v>0</v>
      </c>
      <c r="J4916" s="76" t="b">
        <v>0</v>
      </c>
      <c r="K4916" s="76" t="b">
        <v>0</v>
      </c>
      <c r="L4916" s="76" t="b">
        <v>0</v>
      </c>
      <c r="M4916" s="76" t="b">
        <v>0</v>
      </c>
      <c r="N4916" s="76" t="b">
        <v>0</v>
      </c>
      <c r="O4916" s="76" t="b">
        <v>0</v>
      </c>
      <c r="P4916" s="76" t="b">
        <v>0</v>
      </c>
      <c r="Q4916" s="76" t="b">
        <v>0</v>
      </c>
      <c r="R4916" s="14"/>
      <c r="S4916" s="14"/>
      <c r="T4916" s="14"/>
      <c r="U4916" s="14"/>
      <c r="V4916" s="14"/>
      <c r="W4916" s="14"/>
    </row>
    <row r="4917" ht="31.5" customHeight="1">
      <c r="A4917" s="158"/>
      <c r="B4917" s="159"/>
      <c r="C4917" s="160"/>
      <c r="D4917" s="130"/>
      <c r="E4917" s="130"/>
      <c r="F4917" s="161"/>
      <c r="G4917" s="164"/>
      <c r="H4917" s="76" t="b">
        <v>1</v>
      </c>
      <c r="I4917" s="76" t="b">
        <v>0</v>
      </c>
      <c r="J4917" s="76" t="b">
        <v>0</v>
      </c>
      <c r="K4917" s="76" t="b">
        <v>0</v>
      </c>
      <c r="L4917" s="76" t="b">
        <v>0</v>
      </c>
      <c r="M4917" s="76" t="b">
        <v>0</v>
      </c>
      <c r="N4917" s="76" t="b">
        <v>0</v>
      </c>
      <c r="O4917" s="76" t="b">
        <v>0</v>
      </c>
      <c r="P4917" s="76" t="b">
        <v>0</v>
      </c>
      <c r="Q4917" s="76" t="b">
        <v>0</v>
      </c>
      <c r="R4917" s="14"/>
      <c r="S4917" s="14"/>
      <c r="T4917" s="14"/>
      <c r="U4917" s="14"/>
      <c r="V4917" s="14"/>
      <c r="W4917" s="14"/>
    </row>
    <row r="4918" ht="31.5" customHeight="1">
      <c r="A4918" s="158"/>
      <c r="B4918" s="159"/>
      <c r="C4918" s="160"/>
      <c r="D4918" s="130"/>
      <c r="E4918" s="130"/>
      <c r="F4918" s="161"/>
      <c r="G4918" s="164"/>
      <c r="H4918" s="76" t="b">
        <v>1</v>
      </c>
      <c r="I4918" s="76" t="b">
        <v>0</v>
      </c>
      <c r="J4918" s="76" t="b">
        <v>0</v>
      </c>
      <c r="K4918" s="76" t="b">
        <v>0</v>
      </c>
      <c r="L4918" s="76" t="b">
        <v>0</v>
      </c>
      <c r="M4918" s="76" t="b">
        <v>0</v>
      </c>
      <c r="N4918" s="76" t="b">
        <v>0</v>
      </c>
      <c r="O4918" s="76" t="b">
        <v>0</v>
      </c>
      <c r="P4918" s="76" t="b">
        <v>0</v>
      </c>
      <c r="Q4918" s="76" t="b">
        <v>0</v>
      </c>
      <c r="R4918" s="14"/>
      <c r="S4918" s="14"/>
      <c r="T4918" s="14"/>
      <c r="U4918" s="14"/>
      <c r="V4918" s="14"/>
      <c r="W4918" s="14"/>
    </row>
    <row r="4919" ht="31.5" customHeight="1">
      <c r="A4919" s="158"/>
      <c r="B4919" s="159"/>
      <c r="C4919" s="160"/>
      <c r="D4919" s="130"/>
      <c r="E4919" s="130"/>
      <c r="F4919" s="161"/>
      <c r="G4919" s="164"/>
      <c r="H4919" s="76" t="b">
        <v>1</v>
      </c>
      <c r="I4919" s="76" t="b">
        <v>0</v>
      </c>
      <c r="J4919" s="76" t="b">
        <v>0</v>
      </c>
      <c r="K4919" s="76" t="b">
        <v>0</v>
      </c>
      <c r="L4919" s="76" t="b">
        <v>0</v>
      </c>
      <c r="M4919" s="76" t="b">
        <v>0</v>
      </c>
      <c r="N4919" s="76" t="b">
        <v>0</v>
      </c>
      <c r="O4919" s="76" t="b">
        <v>0</v>
      </c>
      <c r="P4919" s="76" t="b">
        <v>0</v>
      </c>
      <c r="Q4919" s="76" t="b">
        <v>0</v>
      </c>
      <c r="R4919" s="14"/>
      <c r="S4919" s="14"/>
      <c r="T4919" s="14"/>
      <c r="U4919" s="14"/>
      <c r="V4919" s="14"/>
      <c r="W4919" s="14"/>
    </row>
    <row r="4920" ht="31.5" customHeight="1">
      <c r="A4920" s="158"/>
      <c r="B4920" s="159"/>
      <c r="C4920" s="160"/>
      <c r="D4920" s="130"/>
      <c r="E4920" s="130"/>
      <c r="F4920" s="161"/>
      <c r="G4920" s="164"/>
      <c r="H4920" s="76" t="b">
        <v>1</v>
      </c>
      <c r="I4920" s="76" t="b">
        <v>0</v>
      </c>
      <c r="J4920" s="76" t="b">
        <v>0</v>
      </c>
      <c r="K4920" s="76" t="b">
        <v>0</v>
      </c>
      <c r="L4920" s="76" t="b">
        <v>0</v>
      </c>
      <c r="M4920" s="76" t="b">
        <v>0</v>
      </c>
      <c r="N4920" s="76" t="b">
        <v>0</v>
      </c>
      <c r="O4920" s="76" t="b">
        <v>0</v>
      </c>
      <c r="P4920" s="76" t="b">
        <v>0</v>
      </c>
      <c r="Q4920" s="76" t="b">
        <v>0</v>
      </c>
      <c r="R4920" s="14"/>
      <c r="S4920" s="14"/>
      <c r="T4920" s="14"/>
      <c r="U4920" s="14"/>
      <c r="V4920" s="14"/>
      <c r="W4920" s="14"/>
    </row>
    <row r="4921" ht="31.5" customHeight="1">
      <c r="A4921" s="158"/>
      <c r="B4921" s="159"/>
      <c r="C4921" s="160"/>
      <c r="D4921" s="130"/>
      <c r="E4921" s="130"/>
      <c r="F4921" s="161"/>
      <c r="G4921" s="164"/>
      <c r="H4921" s="76" t="b">
        <v>1</v>
      </c>
      <c r="I4921" s="76" t="b">
        <v>0</v>
      </c>
      <c r="J4921" s="76" t="b">
        <v>0</v>
      </c>
      <c r="K4921" s="76" t="b">
        <v>0</v>
      </c>
      <c r="L4921" s="76" t="b">
        <v>0</v>
      </c>
      <c r="M4921" s="76" t="b">
        <v>0</v>
      </c>
      <c r="N4921" s="76" t="b">
        <v>0</v>
      </c>
      <c r="O4921" s="76" t="b">
        <v>0</v>
      </c>
      <c r="P4921" s="76" t="b">
        <v>0</v>
      </c>
      <c r="Q4921" s="76" t="b">
        <v>0</v>
      </c>
      <c r="R4921" s="14"/>
      <c r="S4921" s="14"/>
      <c r="T4921" s="14"/>
      <c r="U4921" s="14"/>
      <c r="V4921" s="14"/>
      <c r="W4921" s="14"/>
    </row>
    <row r="4922" ht="31.5" customHeight="1">
      <c r="A4922" s="158"/>
      <c r="B4922" s="159"/>
      <c r="C4922" s="160"/>
      <c r="D4922" s="130"/>
      <c r="E4922" s="130"/>
      <c r="F4922" s="161"/>
      <c r="G4922" s="164"/>
      <c r="H4922" s="76" t="b">
        <v>1</v>
      </c>
      <c r="I4922" s="76" t="b">
        <v>0</v>
      </c>
      <c r="J4922" s="76" t="b">
        <v>0</v>
      </c>
      <c r="K4922" s="76" t="b">
        <v>0</v>
      </c>
      <c r="L4922" s="76" t="b">
        <v>0</v>
      </c>
      <c r="M4922" s="76" t="b">
        <v>0</v>
      </c>
      <c r="N4922" s="76" t="b">
        <v>0</v>
      </c>
      <c r="O4922" s="76" t="b">
        <v>0</v>
      </c>
      <c r="P4922" s="76" t="b">
        <v>0</v>
      </c>
      <c r="Q4922" s="76" t="b">
        <v>0</v>
      </c>
      <c r="R4922" s="14"/>
      <c r="S4922" s="14"/>
      <c r="T4922" s="14"/>
      <c r="U4922" s="14"/>
      <c r="V4922" s="14"/>
      <c r="W4922" s="14"/>
    </row>
    <row r="4923" ht="31.5" customHeight="1">
      <c r="A4923" s="158"/>
      <c r="B4923" s="159"/>
      <c r="C4923" s="160"/>
      <c r="D4923" s="130"/>
      <c r="E4923" s="130"/>
      <c r="F4923" s="161"/>
      <c r="G4923" s="164"/>
      <c r="H4923" s="76" t="b">
        <v>1</v>
      </c>
      <c r="I4923" s="76" t="b">
        <v>0</v>
      </c>
      <c r="J4923" s="76" t="b">
        <v>0</v>
      </c>
      <c r="K4923" s="76" t="b">
        <v>0</v>
      </c>
      <c r="L4923" s="76" t="b">
        <v>0</v>
      </c>
      <c r="M4923" s="76" t="b">
        <v>0</v>
      </c>
      <c r="N4923" s="76" t="b">
        <v>0</v>
      </c>
      <c r="O4923" s="76" t="b">
        <v>0</v>
      </c>
      <c r="P4923" s="76" t="b">
        <v>0</v>
      </c>
      <c r="Q4923" s="76" t="b">
        <v>0</v>
      </c>
      <c r="R4923" s="14"/>
      <c r="S4923" s="14"/>
      <c r="T4923" s="14"/>
      <c r="U4923" s="14"/>
      <c r="V4923" s="14"/>
      <c r="W4923" s="14"/>
    </row>
    <row r="4924" ht="31.5" customHeight="1">
      <c r="A4924" s="158"/>
      <c r="B4924" s="159"/>
      <c r="C4924" s="160"/>
      <c r="D4924" s="130"/>
      <c r="E4924" s="130"/>
      <c r="F4924" s="161"/>
      <c r="G4924" s="164"/>
      <c r="H4924" s="76" t="b">
        <v>1</v>
      </c>
      <c r="I4924" s="76" t="b">
        <v>0</v>
      </c>
      <c r="J4924" s="76" t="b">
        <v>0</v>
      </c>
      <c r="K4924" s="76" t="b">
        <v>0</v>
      </c>
      <c r="L4924" s="76" t="b">
        <v>0</v>
      </c>
      <c r="M4924" s="76" t="b">
        <v>0</v>
      </c>
      <c r="N4924" s="76" t="b">
        <v>0</v>
      </c>
      <c r="O4924" s="76" t="b">
        <v>0</v>
      </c>
      <c r="P4924" s="76" t="b">
        <v>0</v>
      </c>
      <c r="Q4924" s="76" t="b">
        <v>0</v>
      </c>
      <c r="R4924" s="14"/>
      <c r="S4924" s="14"/>
      <c r="T4924" s="14"/>
      <c r="U4924" s="14"/>
      <c r="V4924" s="14"/>
      <c r="W4924" s="14"/>
    </row>
    <row r="4925" ht="31.5" customHeight="1">
      <c r="A4925" s="158"/>
      <c r="B4925" s="159"/>
      <c r="C4925" s="160"/>
      <c r="D4925" s="130"/>
      <c r="E4925" s="130"/>
      <c r="F4925" s="161"/>
      <c r="G4925" s="164"/>
      <c r="H4925" s="76" t="b">
        <v>1</v>
      </c>
      <c r="I4925" s="76" t="b">
        <v>0</v>
      </c>
      <c r="J4925" s="76" t="b">
        <v>0</v>
      </c>
      <c r="K4925" s="76" t="b">
        <v>0</v>
      </c>
      <c r="L4925" s="76" t="b">
        <v>0</v>
      </c>
      <c r="M4925" s="76" t="b">
        <v>0</v>
      </c>
      <c r="N4925" s="76" t="b">
        <v>0</v>
      </c>
      <c r="O4925" s="76" t="b">
        <v>0</v>
      </c>
      <c r="P4925" s="76" t="b">
        <v>0</v>
      </c>
      <c r="Q4925" s="76" t="b">
        <v>0</v>
      </c>
      <c r="R4925" s="14"/>
      <c r="S4925" s="14"/>
      <c r="T4925" s="14"/>
      <c r="U4925" s="14"/>
      <c r="V4925" s="14"/>
      <c r="W4925" s="14"/>
    </row>
    <row r="4926" ht="31.5" customHeight="1">
      <c r="A4926" s="158"/>
      <c r="B4926" s="159"/>
      <c r="C4926" s="160"/>
      <c r="D4926" s="130"/>
      <c r="E4926" s="130"/>
      <c r="F4926" s="161"/>
      <c r="G4926" s="164"/>
      <c r="H4926" s="76" t="b">
        <v>1</v>
      </c>
      <c r="I4926" s="76" t="b">
        <v>0</v>
      </c>
      <c r="J4926" s="76" t="b">
        <v>0</v>
      </c>
      <c r="K4926" s="76" t="b">
        <v>0</v>
      </c>
      <c r="L4926" s="76" t="b">
        <v>0</v>
      </c>
      <c r="M4926" s="76" t="b">
        <v>0</v>
      </c>
      <c r="N4926" s="76" t="b">
        <v>0</v>
      </c>
      <c r="O4926" s="76" t="b">
        <v>0</v>
      </c>
      <c r="P4926" s="76" t="b">
        <v>0</v>
      </c>
      <c r="Q4926" s="76" t="b">
        <v>0</v>
      </c>
      <c r="R4926" s="14"/>
      <c r="S4926" s="14"/>
      <c r="T4926" s="14"/>
      <c r="U4926" s="14"/>
      <c r="V4926" s="14"/>
      <c r="W4926" s="14"/>
    </row>
    <row r="4927" ht="31.5" customHeight="1">
      <c r="A4927" s="158"/>
      <c r="B4927" s="159"/>
      <c r="C4927" s="160"/>
      <c r="D4927" s="130"/>
      <c r="E4927" s="130"/>
      <c r="F4927" s="161"/>
      <c r="G4927" s="164"/>
      <c r="H4927" s="76" t="b">
        <v>1</v>
      </c>
      <c r="I4927" s="76" t="b">
        <v>0</v>
      </c>
      <c r="J4927" s="76" t="b">
        <v>0</v>
      </c>
      <c r="K4927" s="76" t="b">
        <v>0</v>
      </c>
      <c r="L4927" s="76" t="b">
        <v>0</v>
      </c>
      <c r="M4927" s="76" t="b">
        <v>0</v>
      </c>
      <c r="N4927" s="76" t="b">
        <v>0</v>
      </c>
      <c r="O4927" s="76" t="b">
        <v>0</v>
      </c>
      <c r="P4927" s="76" t="b">
        <v>0</v>
      </c>
      <c r="Q4927" s="76" t="b">
        <v>0</v>
      </c>
      <c r="R4927" s="14"/>
      <c r="S4927" s="14"/>
      <c r="T4927" s="14"/>
      <c r="U4927" s="14"/>
      <c r="V4927" s="14"/>
      <c r="W4927" s="14"/>
    </row>
    <row r="4928" ht="31.5" customHeight="1">
      <c r="A4928" s="158"/>
      <c r="B4928" s="159"/>
      <c r="C4928" s="160"/>
      <c r="D4928" s="130"/>
      <c r="E4928" s="130"/>
      <c r="F4928" s="161"/>
      <c r="G4928" s="164"/>
      <c r="H4928" s="76" t="b">
        <v>1</v>
      </c>
      <c r="I4928" s="76" t="b">
        <v>0</v>
      </c>
      <c r="J4928" s="76" t="b">
        <v>0</v>
      </c>
      <c r="K4928" s="76" t="b">
        <v>0</v>
      </c>
      <c r="L4928" s="76" t="b">
        <v>0</v>
      </c>
      <c r="M4928" s="76" t="b">
        <v>0</v>
      </c>
      <c r="N4928" s="76" t="b">
        <v>0</v>
      </c>
      <c r="O4928" s="76" t="b">
        <v>0</v>
      </c>
      <c r="P4928" s="76" t="b">
        <v>0</v>
      </c>
      <c r="Q4928" s="76" t="b">
        <v>0</v>
      </c>
      <c r="R4928" s="14"/>
      <c r="S4928" s="14"/>
      <c r="T4928" s="14"/>
      <c r="U4928" s="14"/>
      <c r="V4928" s="14"/>
      <c r="W4928" s="14"/>
    </row>
    <row r="4929" ht="31.5" customHeight="1">
      <c r="A4929" s="158"/>
      <c r="B4929" s="159"/>
      <c r="C4929" s="160"/>
      <c r="D4929" s="130"/>
      <c r="E4929" s="130"/>
      <c r="F4929" s="161"/>
      <c r="G4929" s="164"/>
      <c r="H4929" s="76" t="b">
        <v>1</v>
      </c>
      <c r="I4929" s="76" t="b">
        <v>0</v>
      </c>
      <c r="J4929" s="76" t="b">
        <v>0</v>
      </c>
      <c r="K4929" s="76" t="b">
        <v>0</v>
      </c>
      <c r="L4929" s="76" t="b">
        <v>0</v>
      </c>
      <c r="M4929" s="76" t="b">
        <v>0</v>
      </c>
      <c r="N4929" s="76" t="b">
        <v>0</v>
      </c>
      <c r="O4929" s="76" t="b">
        <v>0</v>
      </c>
      <c r="P4929" s="76" t="b">
        <v>0</v>
      </c>
      <c r="Q4929" s="76" t="b">
        <v>0</v>
      </c>
      <c r="R4929" s="14"/>
      <c r="S4929" s="14"/>
      <c r="T4929" s="14"/>
      <c r="U4929" s="14"/>
      <c r="V4929" s="14"/>
      <c r="W4929" s="14"/>
    </row>
    <row r="4930" ht="31.5" customHeight="1">
      <c r="A4930" s="158"/>
      <c r="B4930" s="159"/>
      <c r="C4930" s="160"/>
      <c r="D4930" s="130"/>
      <c r="E4930" s="130"/>
      <c r="F4930" s="161"/>
      <c r="G4930" s="164"/>
      <c r="H4930" s="76" t="b">
        <v>1</v>
      </c>
      <c r="I4930" s="76" t="b">
        <v>0</v>
      </c>
      <c r="J4930" s="76" t="b">
        <v>0</v>
      </c>
      <c r="K4930" s="76" t="b">
        <v>0</v>
      </c>
      <c r="L4930" s="76" t="b">
        <v>0</v>
      </c>
      <c r="M4930" s="76" t="b">
        <v>0</v>
      </c>
      <c r="N4930" s="76" t="b">
        <v>0</v>
      </c>
      <c r="O4930" s="76" t="b">
        <v>0</v>
      </c>
      <c r="P4930" s="76" t="b">
        <v>0</v>
      </c>
      <c r="Q4930" s="76" t="b">
        <v>0</v>
      </c>
      <c r="R4930" s="14"/>
      <c r="S4930" s="14"/>
      <c r="T4930" s="14"/>
      <c r="U4930" s="14"/>
      <c r="V4930" s="14"/>
      <c r="W4930" s="14"/>
    </row>
    <row r="4931" ht="31.5" customHeight="1">
      <c r="A4931" s="158"/>
      <c r="B4931" s="159"/>
      <c r="C4931" s="160"/>
      <c r="D4931" s="130"/>
      <c r="E4931" s="130"/>
      <c r="F4931" s="161"/>
      <c r="G4931" s="164"/>
      <c r="H4931" s="76" t="b">
        <v>1</v>
      </c>
      <c r="I4931" s="76" t="b">
        <v>0</v>
      </c>
      <c r="J4931" s="76" t="b">
        <v>0</v>
      </c>
      <c r="K4931" s="76" t="b">
        <v>0</v>
      </c>
      <c r="L4931" s="76" t="b">
        <v>0</v>
      </c>
      <c r="M4931" s="76" t="b">
        <v>0</v>
      </c>
      <c r="N4931" s="76" t="b">
        <v>0</v>
      </c>
      <c r="O4931" s="76" t="b">
        <v>0</v>
      </c>
      <c r="P4931" s="76" t="b">
        <v>0</v>
      </c>
      <c r="Q4931" s="76" t="b">
        <v>0</v>
      </c>
      <c r="R4931" s="14"/>
      <c r="S4931" s="14"/>
      <c r="T4931" s="14"/>
      <c r="U4931" s="14"/>
      <c r="V4931" s="14"/>
      <c r="W4931" s="14"/>
    </row>
    <row r="4932" ht="31.5" customHeight="1">
      <c r="A4932" s="158"/>
      <c r="B4932" s="159"/>
      <c r="C4932" s="160"/>
      <c r="D4932" s="130"/>
      <c r="E4932" s="130"/>
      <c r="F4932" s="161"/>
      <c r="G4932" s="164"/>
      <c r="H4932" s="76" t="b">
        <v>1</v>
      </c>
      <c r="I4932" s="76" t="b">
        <v>0</v>
      </c>
      <c r="J4932" s="76" t="b">
        <v>0</v>
      </c>
      <c r="K4932" s="76" t="b">
        <v>0</v>
      </c>
      <c r="L4932" s="76" t="b">
        <v>0</v>
      </c>
      <c r="M4932" s="76" t="b">
        <v>0</v>
      </c>
      <c r="N4932" s="76" t="b">
        <v>0</v>
      </c>
      <c r="O4932" s="76" t="b">
        <v>0</v>
      </c>
      <c r="P4932" s="76" t="b">
        <v>0</v>
      </c>
      <c r="Q4932" s="76" t="b">
        <v>0</v>
      </c>
      <c r="R4932" s="14"/>
      <c r="S4932" s="14"/>
      <c r="T4932" s="14"/>
      <c r="U4932" s="14"/>
      <c r="V4932" s="14"/>
      <c r="W4932" s="14"/>
    </row>
    <row r="4933" ht="31.5" customHeight="1">
      <c r="A4933" s="158"/>
      <c r="B4933" s="159"/>
      <c r="C4933" s="160"/>
      <c r="D4933" s="130"/>
      <c r="E4933" s="130"/>
      <c r="F4933" s="161"/>
      <c r="G4933" s="164"/>
      <c r="H4933" s="76" t="b">
        <v>1</v>
      </c>
      <c r="I4933" s="76" t="b">
        <v>0</v>
      </c>
      <c r="J4933" s="76" t="b">
        <v>0</v>
      </c>
      <c r="K4933" s="76" t="b">
        <v>0</v>
      </c>
      <c r="L4933" s="76" t="b">
        <v>0</v>
      </c>
      <c r="M4933" s="76" t="b">
        <v>0</v>
      </c>
      <c r="N4933" s="76" t="b">
        <v>0</v>
      </c>
      <c r="O4933" s="76" t="b">
        <v>0</v>
      </c>
      <c r="P4933" s="76" t="b">
        <v>0</v>
      </c>
      <c r="Q4933" s="76" t="b">
        <v>0</v>
      </c>
      <c r="R4933" s="14"/>
      <c r="S4933" s="14"/>
      <c r="T4933" s="14"/>
      <c r="U4933" s="14"/>
      <c r="V4933" s="14"/>
      <c r="W4933" s="14"/>
    </row>
    <row r="4934" ht="31.5" customHeight="1">
      <c r="A4934" s="158"/>
      <c r="B4934" s="159"/>
      <c r="C4934" s="160"/>
      <c r="D4934" s="130"/>
      <c r="E4934" s="130"/>
      <c r="F4934" s="161"/>
      <c r="G4934" s="164"/>
      <c r="H4934" s="76" t="b">
        <v>1</v>
      </c>
      <c r="I4934" s="76" t="b">
        <v>0</v>
      </c>
      <c r="J4934" s="76" t="b">
        <v>0</v>
      </c>
      <c r="K4934" s="76" t="b">
        <v>0</v>
      </c>
      <c r="L4934" s="76" t="b">
        <v>0</v>
      </c>
      <c r="M4934" s="76" t="b">
        <v>0</v>
      </c>
      <c r="N4934" s="76" t="b">
        <v>0</v>
      </c>
      <c r="O4934" s="76" t="b">
        <v>0</v>
      </c>
      <c r="P4934" s="76" t="b">
        <v>0</v>
      </c>
      <c r="Q4934" s="76" t="b">
        <v>0</v>
      </c>
      <c r="R4934" s="14"/>
      <c r="S4934" s="14"/>
      <c r="T4934" s="14"/>
      <c r="U4934" s="14"/>
      <c r="V4934" s="14"/>
      <c r="W4934" s="14"/>
    </row>
    <row r="4935" ht="31.5" customHeight="1">
      <c r="A4935" s="158"/>
      <c r="B4935" s="159"/>
      <c r="C4935" s="160"/>
      <c r="D4935" s="130"/>
      <c r="E4935" s="130"/>
      <c r="F4935" s="161"/>
      <c r="G4935" s="164"/>
      <c r="H4935" s="76" t="b">
        <v>1</v>
      </c>
      <c r="I4935" s="76" t="b">
        <v>0</v>
      </c>
      <c r="J4935" s="76" t="b">
        <v>0</v>
      </c>
      <c r="K4935" s="76" t="b">
        <v>0</v>
      </c>
      <c r="L4935" s="76" t="b">
        <v>0</v>
      </c>
      <c r="M4935" s="76" t="b">
        <v>0</v>
      </c>
      <c r="N4935" s="76" t="b">
        <v>0</v>
      </c>
      <c r="O4935" s="76" t="b">
        <v>0</v>
      </c>
      <c r="P4935" s="76" t="b">
        <v>0</v>
      </c>
      <c r="Q4935" s="76" t="b">
        <v>0</v>
      </c>
      <c r="R4935" s="14"/>
      <c r="S4935" s="14"/>
      <c r="T4935" s="14"/>
      <c r="U4935" s="14"/>
      <c r="V4935" s="14"/>
      <c r="W4935" s="14"/>
    </row>
    <row r="4936" ht="31.5" customHeight="1">
      <c r="A4936" s="158"/>
      <c r="B4936" s="159"/>
      <c r="C4936" s="160"/>
      <c r="D4936" s="130"/>
      <c r="E4936" s="130"/>
      <c r="F4936" s="161"/>
      <c r="G4936" s="164"/>
      <c r="H4936" s="76" t="b">
        <v>1</v>
      </c>
      <c r="I4936" s="76" t="b">
        <v>0</v>
      </c>
      <c r="J4936" s="76" t="b">
        <v>0</v>
      </c>
      <c r="K4936" s="76" t="b">
        <v>0</v>
      </c>
      <c r="L4936" s="76" t="b">
        <v>0</v>
      </c>
      <c r="M4936" s="76" t="b">
        <v>0</v>
      </c>
      <c r="N4936" s="76" t="b">
        <v>0</v>
      </c>
      <c r="O4936" s="76" t="b">
        <v>0</v>
      </c>
      <c r="P4936" s="76" t="b">
        <v>0</v>
      </c>
      <c r="Q4936" s="76" t="b">
        <v>0</v>
      </c>
      <c r="R4936" s="14"/>
      <c r="S4936" s="14"/>
      <c r="T4936" s="14"/>
      <c r="U4936" s="14"/>
      <c r="V4936" s="14"/>
      <c r="W4936" s="14"/>
    </row>
    <row r="4937" ht="31.5" customHeight="1">
      <c r="A4937" s="158"/>
      <c r="B4937" s="159"/>
      <c r="C4937" s="160"/>
      <c r="D4937" s="130"/>
      <c r="E4937" s="130"/>
      <c r="F4937" s="161"/>
      <c r="G4937" s="164"/>
      <c r="H4937" s="76" t="b">
        <v>1</v>
      </c>
      <c r="I4937" s="76" t="b">
        <v>0</v>
      </c>
      <c r="J4937" s="76" t="b">
        <v>0</v>
      </c>
      <c r="K4937" s="76" t="b">
        <v>0</v>
      </c>
      <c r="L4937" s="76" t="b">
        <v>0</v>
      </c>
      <c r="M4937" s="76" t="b">
        <v>0</v>
      </c>
      <c r="N4937" s="76" t="b">
        <v>0</v>
      </c>
      <c r="O4937" s="76" t="b">
        <v>0</v>
      </c>
      <c r="P4937" s="76" t="b">
        <v>0</v>
      </c>
      <c r="Q4937" s="76" t="b">
        <v>0</v>
      </c>
      <c r="R4937" s="14"/>
      <c r="S4937" s="14"/>
      <c r="T4937" s="14"/>
      <c r="U4937" s="14"/>
      <c r="V4937" s="14"/>
      <c r="W4937" s="14"/>
    </row>
    <row r="4938" ht="31.5" customHeight="1">
      <c r="A4938" s="158"/>
      <c r="B4938" s="159"/>
      <c r="C4938" s="160"/>
      <c r="D4938" s="130"/>
      <c r="E4938" s="130"/>
      <c r="F4938" s="161"/>
      <c r="G4938" s="164"/>
      <c r="H4938" s="76" t="b">
        <v>1</v>
      </c>
      <c r="I4938" s="76" t="b">
        <v>0</v>
      </c>
      <c r="J4938" s="76" t="b">
        <v>0</v>
      </c>
      <c r="K4938" s="76" t="b">
        <v>0</v>
      </c>
      <c r="L4938" s="76" t="b">
        <v>0</v>
      </c>
      <c r="M4938" s="76" t="b">
        <v>0</v>
      </c>
      <c r="N4938" s="76" t="b">
        <v>0</v>
      </c>
      <c r="O4938" s="76" t="b">
        <v>0</v>
      </c>
      <c r="P4938" s="76" t="b">
        <v>0</v>
      </c>
      <c r="Q4938" s="76" t="b">
        <v>0</v>
      </c>
      <c r="R4938" s="14"/>
      <c r="S4938" s="14"/>
      <c r="T4938" s="14"/>
      <c r="U4938" s="14"/>
      <c r="V4938" s="14"/>
      <c r="W4938" s="14"/>
    </row>
    <row r="4939" ht="31.5" customHeight="1">
      <c r="A4939" s="158"/>
      <c r="B4939" s="159"/>
      <c r="C4939" s="160"/>
      <c r="D4939" s="130"/>
      <c r="E4939" s="130"/>
      <c r="F4939" s="161"/>
      <c r="G4939" s="164"/>
      <c r="H4939" s="76" t="b">
        <v>1</v>
      </c>
      <c r="I4939" s="76" t="b">
        <v>0</v>
      </c>
      <c r="J4939" s="76" t="b">
        <v>0</v>
      </c>
      <c r="K4939" s="76" t="b">
        <v>0</v>
      </c>
      <c r="L4939" s="76" t="b">
        <v>0</v>
      </c>
      <c r="M4939" s="76" t="b">
        <v>0</v>
      </c>
      <c r="N4939" s="76" t="b">
        <v>0</v>
      </c>
      <c r="O4939" s="76" t="b">
        <v>0</v>
      </c>
      <c r="P4939" s="76" t="b">
        <v>0</v>
      </c>
      <c r="Q4939" s="76" t="b">
        <v>0</v>
      </c>
      <c r="R4939" s="14"/>
      <c r="S4939" s="14"/>
      <c r="T4939" s="14"/>
      <c r="U4939" s="14"/>
      <c r="V4939" s="14"/>
      <c r="W4939" s="14"/>
    </row>
    <row r="4940" ht="31.5" customHeight="1">
      <c r="A4940" s="158"/>
      <c r="B4940" s="159"/>
      <c r="C4940" s="160"/>
      <c r="D4940" s="130"/>
      <c r="E4940" s="130"/>
      <c r="F4940" s="161"/>
      <c r="G4940" s="164"/>
      <c r="H4940" s="76" t="b">
        <v>1</v>
      </c>
      <c r="I4940" s="76" t="b">
        <v>0</v>
      </c>
      <c r="J4940" s="76" t="b">
        <v>0</v>
      </c>
      <c r="K4940" s="76" t="b">
        <v>0</v>
      </c>
      <c r="L4940" s="76" t="b">
        <v>0</v>
      </c>
      <c r="M4940" s="76" t="b">
        <v>0</v>
      </c>
      <c r="N4940" s="76" t="b">
        <v>0</v>
      </c>
      <c r="O4940" s="76" t="b">
        <v>0</v>
      </c>
      <c r="P4940" s="76" t="b">
        <v>0</v>
      </c>
      <c r="Q4940" s="76" t="b">
        <v>0</v>
      </c>
      <c r="R4940" s="14"/>
      <c r="S4940" s="14"/>
      <c r="T4940" s="14"/>
      <c r="U4940" s="14"/>
      <c r="V4940" s="14"/>
      <c r="W4940" s="14"/>
    </row>
    <row r="4941" ht="31.5" customHeight="1">
      <c r="A4941" s="158"/>
      <c r="B4941" s="159"/>
      <c r="C4941" s="160"/>
      <c r="D4941" s="130"/>
      <c r="E4941" s="130"/>
      <c r="F4941" s="161"/>
      <c r="G4941" s="164"/>
      <c r="H4941" s="76" t="b">
        <v>1</v>
      </c>
      <c r="I4941" s="76" t="b">
        <v>0</v>
      </c>
      <c r="J4941" s="76" t="b">
        <v>0</v>
      </c>
      <c r="K4941" s="76" t="b">
        <v>0</v>
      </c>
      <c r="L4941" s="76" t="b">
        <v>0</v>
      </c>
      <c r="M4941" s="76" t="b">
        <v>0</v>
      </c>
      <c r="N4941" s="76" t="b">
        <v>0</v>
      </c>
      <c r="O4941" s="76" t="b">
        <v>0</v>
      </c>
      <c r="P4941" s="76" t="b">
        <v>0</v>
      </c>
      <c r="Q4941" s="76" t="b">
        <v>0</v>
      </c>
      <c r="R4941" s="14"/>
      <c r="S4941" s="14"/>
      <c r="T4941" s="14"/>
      <c r="U4941" s="14"/>
      <c r="V4941" s="14"/>
      <c r="W4941" s="14"/>
    </row>
    <row r="4942" ht="31.5" customHeight="1">
      <c r="A4942" s="158"/>
      <c r="B4942" s="159"/>
      <c r="C4942" s="160"/>
      <c r="D4942" s="130"/>
      <c r="E4942" s="130"/>
      <c r="F4942" s="161"/>
      <c r="G4942" s="164"/>
      <c r="H4942" s="76" t="b">
        <v>1</v>
      </c>
      <c r="I4942" s="76" t="b">
        <v>0</v>
      </c>
      <c r="J4942" s="76" t="b">
        <v>0</v>
      </c>
      <c r="K4942" s="76" t="b">
        <v>0</v>
      </c>
      <c r="L4942" s="76" t="b">
        <v>0</v>
      </c>
      <c r="M4942" s="76" t="b">
        <v>0</v>
      </c>
      <c r="N4942" s="76" t="b">
        <v>0</v>
      </c>
      <c r="O4942" s="76" t="b">
        <v>0</v>
      </c>
      <c r="P4942" s="76" t="b">
        <v>0</v>
      </c>
      <c r="Q4942" s="76" t="b">
        <v>0</v>
      </c>
      <c r="R4942" s="14"/>
      <c r="S4942" s="14"/>
      <c r="T4942" s="14"/>
      <c r="U4942" s="14"/>
      <c r="V4942" s="14"/>
      <c r="W4942" s="14"/>
    </row>
    <row r="4943" ht="31.5" customHeight="1">
      <c r="A4943" s="158"/>
      <c r="B4943" s="159"/>
      <c r="C4943" s="160"/>
      <c r="D4943" s="130"/>
      <c r="E4943" s="130"/>
      <c r="F4943" s="161"/>
      <c r="G4943" s="164"/>
      <c r="H4943" s="76" t="b">
        <v>1</v>
      </c>
      <c r="I4943" s="76" t="b">
        <v>0</v>
      </c>
      <c r="J4943" s="76" t="b">
        <v>0</v>
      </c>
      <c r="K4943" s="76" t="b">
        <v>0</v>
      </c>
      <c r="L4943" s="76" t="b">
        <v>0</v>
      </c>
      <c r="M4943" s="76" t="b">
        <v>0</v>
      </c>
      <c r="N4943" s="76" t="b">
        <v>0</v>
      </c>
      <c r="O4943" s="76" t="b">
        <v>0</v>
      </c>
      <c r="P4943" s="76" t="b">
        <v>0</v>
      </c>
      <c r="Q4943" s="76" t="b">
        <v>0</v>
      </c>
      <c r="R4943" s="14"/>
      <c r="S4943" s="14"/>
      <c r="T4943" s="14"/>
      <c r="U4943" s="14"/>
      <c r="V4943" s="14"/>
      <c r="W4943" s="14"/>
    </row>
    <row r="4944" ht="31.5" customHeight="1">
      <c r="A4944" s="158"/>
      <c r="B4944" s="159"/>
      <c r="C4944" s="160"/>
      <c r="D4944" s="130"/>
      <c r="E4944" s="130"/>
      <c r="F4944" s="161"/>
      <c r="G4944" s="164"/>
      <c r="H4944" s="76" t="b">
        <v>1</v>
      </c>
      <c r="I4944" s="76" t="b">
        <v>0</v>
      </c>
      <c r="J4944" s="76" t="b">
        <v>0</v>
      </c>
      <c r="K4944" s="76" t="b">
        <v>0</v>
      </c>
      <c r="L4944" s="76" t="b">
        <v>0</v>
      </c>
      <c r="M4944" s="76" t="b">
        <v>0</v>
      </c>
      <c r="N4944" s="76" t="b">
        <v>0</v>
      </c>
      <c r="O4944" s="76" t="b">
        <v>0</v>
      </c>
      <c r="P4944" s="76" t="b">
        <v>0</v>
      </c>
      <c r="Q4944" s="76" t="b">
        <v>0</v>
      </c>
      <c r="R4944" s="14"/>
      <c r="S4944" s="14"/>
      <c r="T4944" s="14"/>
      <c r="U4944" s="14"/>
      <c r="V4944" s="14"/>
      <c r="W4944" s="14"/>
    </row>
    <row r="4945" ht="31.5" customHeight="1">
      <c r="A4945" s="158"/>
      <c r="B4945" s="159"/>
      <c r="C4945" s="160"/>
      <c r="D4945" s="130"/>
      <c r="E4945" s="130"/>
      <c r="F4945" s="161"/>
      <c r="G4945" s="164"/>
      <c r="H4945" s="76" t="b">
        <v>1</v>
      </c>
      <c r="I4945" s="76" t="b">
        <v>0</v>
      </c>
      <c r="J4945" s="76" t="b">
        <v>0</v>
      </c>
      <c r="K4945" s="76" t="b">
        <v>0</v>
      </c>
      <c r="L4945" s="76" t="b">
        <v>0</v>
      </c>
      <c r="M4945" s="76" t="b">
        <v>0</v>
      </c>
      <c r="N4945" s="76" t="b">
        <v>0</v>
      </c>
      <c r="O4945" s="76" t="b">
        <v>0</v>
      </c>
      <c r="P4945" s="76" t="b">
        <v>0</v>
      </c>
      <c r="Q4945" s="76" t="b">
        <v>0</v>
      </c>
      <c r="R4945" s="14"/>
      <c r="S4945" s="14"/>
      <c r="T4945" s="14"/>
      <c r="U4945" s="14"/>
      <c r="V4945" s="14"/>
      <c r="W4945" s="14"/>
    </row>
    <row r="4946" ht="31.5" customHeight="1">
      <c r="A4946" s="158"/>
      <c r="B4946" s="159"/>
      <c r="C4946" s="160"/>
      <c r="D4946" s="130"/>
      <c r="E4946" s="130"/>
      <c r="F4946" s="161"/>
      <c r="G4946" s="164"/>
      <c r="H4946" s="76" t="b">
        <v>1</v>
      </c>
      <c r="I4946" s="76" t="b">
        <v>0</v>
      </c>
      <c r="J4946" s="76" t="b">
        <v>0</v>
      </c>
      <c r="K4946" s="76" t="b">
        <v>0</v>
      </c>
      <c r="L4946" s="76" t="b">
        <v>0</v>
      </c>
      <c r="M4946" s="76" t="b">
        <v>0</v>
      </c>
      <c r="N4946" s="76" t="b">
        <v>0</v>
      </c>
      <c r="O4946" s="76" t="b">
        <v>0</v>
      </c>
      <c r="P4946" s="76" t="b">
        <v>0</v>
      </c>
      <c r="Q4946" s="76" t="b">
        <v>0</v>
      </c>
      <c r="R4946" s="14"/>
      <c r="S4946" s="14"/>
      <c r="T4946" s="14"/>
      <c r="U4946" s="14"/>
      <c r="V4946" s="14"/>
      <c r="W4946" s="14"/>
    </row>
    <row r="4947" ht="31.5" customHeight="1">
      <c r="A4947" s="158"/>
      <c r="B4947" s="159"/>
      <c r="C4947" s="160"/>
      <c r="D4947" s="130"/>
      <c r="E4947" s="130"/>
      <c r="F4947" s="161"/>
      <c r="G4947" s="164"/>
      <c r="H4947" s="76" t="b">
        <v>1</v>
      </c>
      <c r="I4947" s="76" t="b">
        <v>0</v>
      </c>
      <c r="J4947" s="76" t="b">
        <v>0</v>
      </c>
      <c r="K4947" s="76" t="b">
        <v>0</v>
      </c>
      <c r="L4947" s="76" t="b">
        <v>0</v>
      </c>
      <c r="M4947" s="76" t="b">
        <v>0</v>
      </c>
      <c r="N4947" s="76" t="b">
        <v>0</v>
      </c>
      <c r="O4947" s="76" t="b">
        <v>0</v>
      </c>
      <c r="P4947" s="76" t="b">
        <v>0</v>
      </c>
      <c r="Q4947" s="76" t="b">
        <v>0</v>
      </c>
      <c r="R4947" s="14"/>
      <c r="S4947" s="14"/>
      <c r="T4947" s="14"/>
      <c r="U4947" s="14"/>
      <c r="V4947" s="14"/>
      <c r="W4947" s="14"/>
    </row>
    <row r="4948" ht="31.5" customHeight="1">
      <c r="A4948" s="158"/>
      <c r="B4948" s="159"/>
      <c r="C4948" s="160"/>
      <c r="D4948" s="130"/>
      <c r="E4948" s="130"/>
      <c r="F4948" s="161"/>
      <c r="G4948" s="164"/>
      <c r="H4948" s="76" t="b">
        <v>1</v>
      </c>
      <c r="I4948" s="76" t="b">
        <v>0</v>
      </c>
      <c r="J4948" s="76" t="b">
        <v>0</v>
      </c>
      <c r="K4948" s="76" t="b">
        <v>0</v>
      </c>
      <c r="L4948" s="76" t="b">
        <v>0</v>
      </c>
      <c r="M4948" s="76" t="b">
        <v>0</v>
      </c>
      <c r="N4948" s="76" t="b">
        <v>0</v>
      </c>
      <c r="O4948" s="76" t="b">
        <v>0</v>
      </c>
      <c r="P4948" s="76" t="b">
        <v>0</v>
      </c>
      <c r="Q4948" s="76" t="b">
        <v>0</v>
      </c>
      <c r="R4948" s="14"/>
      <c r="S4948" s="14"/>
      <c r="T4948" s="14"/>
      <c r="U4948" s="14"/>
      <c r="V4948" s="14"/>
      <c r="W4948" s="14"/>
    </row>
    <row r="4949" ht="31.5" customHeight="1">
      <c r="A4949" s="158"/>
      <c r="B4949" s="159"/>
      <c r="C4949" s="160"/>
      <c r="D4949" s="130"/>
      <c r="E4949" s="130"/>
      <c r="F4949" s="161"/>
      <c r="G4949" s="164"/>
      <c r="H4949" s="76" t="b">
        <v>1</v>
      </c>
      <c r="I4949" s="76" t="b">
        <v>0</v>
      </c>
      <c r="J4949" s="76" t="b">
        <v>0</v>
      </c>
      <c r="K4949" s="76" t="b">
        <v>0</v>
      </c>
      <c r="L4949" s="76" t="b">
        <v>0</v>
      </c>
      <c r="M4949" s="76" t="b">
        <v>0</v>
      </c>
      <c r="N4949" s="76" t="b">
        <v>0</v>
      </c>
      <c r="O4949" s="76" t="b">
        <v>0</v>
      </c>
      <c r="P4949" s="76" t="b">
        <v>0</v>
      </c>
      <c r="Q4949" s="76" t="b">
        <v>0</v>
      </c>
      <c r="R4949" s="14"/>
      <c r="S4949" s="14"/>
      <c r="T4949" s="14"/>
      <c r="U4949" s="14"/>
      <c r="V4949" s="14"/>
      <c r="W4949" s="14"/>
    </row>
    <row r="4950" ht="31.5" customHeight="1">
      <c r="A4950" s="158"/>
      <c r="B4950" s="159"/>
      <c r="C4950" s="160"/>
      <c r="D4950" s="130"/>
      <c r="E4950" s="130"/>
      <c r="F4950" s="161"/>
      <c r="G4950" s="164"/>
      <c r="H4950" s="76" t="b">
        <v>1</v>
      </c>
      <c r="I4950" s="76" t="b">
        <v>0</v>
      </c>
      <c r="J4950" s="76" t="b">
        <v>0</v>
      </c>
      <c r="K4950" s="76" t="b">
        <v>0</v>
      </c>
      <c r="L4950" s="76" t="b">
        <v>0</v>
      </c>
      <c r="M4950" s="76" t="b">
        <v>0</v>
      </c>
      <c r="N4950" s="76" t="b">
        <v>0</v>
      </c>
      <c r="O4950" s="76" t="b">
        <v>0</v>
      </c>
      <c r="P4950" s="76" t="b">
        <v>0</v>
      </c>
      <c r="Q4950" s="76" t="b">
        <v>0</v>
      </c>
      <c r="R4950" s="14"/>
      <c r="S4950" s="14"/>
      <c r="T4950" s="14"/>
      <c r="U4950" s="14"/>
      <c r="V4950" s="14"/>
      <c r="W4950" s="14"/>
    </row>
    <row r="4951" ht="31.5" customHeight="1">
      <c r="A4951" s="158"/>
      <c r="B4951" s="159"/>
      <c r="C4951" s="160"/>
      <c r="D4951" s="130"/>
      <c r="E4951" s="130"/>
      <c r="F4951" s="161"/>
      <c r="G4951" s="164"/>
      <c r="H4951" s="76" t="b">
        <v>1</v>
      </c>
      <c r="I4951" s="76" t="b">
        <v>0</v>
      </c>
      <c r="J4951" s="76" t="b">
        <v>0</v>
      </c>
      <c r="K4951" s="76" t="b">
        <v>0</v>
      </c>
      <c r="L4951" s="76" t="b">
        <v>0</v>
      </c>
      <c r="M4951" s="76" t="b">
        <v>0</v>
      </c>
      <c r="N4951" s="76" t="b">
        <v>0</v>
      </c>
      <c r="O4951" s="76" t="b">
        <v>0</v>
      </c>
      <c r="P4951" s="76" t="b">
        <v>0</v>
      </c>
      <c r="Q4951" s="76" t="b">
        <v>0</v>
      </c>
      <c r="R4951" s="14"/>
      <c r="S4951" s="14"/>
      <c r="T4951" s="14"/>
      <c r="U4951" s="14"/>
      <c r="V4951" s="14"/>
      <c r="W4951" s="14"/>
    </row>
    <row r="4952" ht="31.5" customHeight="1">
      <c r="A4952" s="158"/>
      <c r="B4952" s="159"/>
      <c r="C4952" s="160"/>
      <c r="D4952" s="130"/>
      <c r="E4952" s="130"/>
      <c r="F4952" s="161"/>
      <c r="G4952" s="164"/>
      <c r="H4952" s="76" t="b">
        <v>1</v>
      </c>
      <c r="I4952" s="76" t="b">
        <v>0</v>
      </c>
      <c r="J4952" s="76" t="b">
        <v>0</v>
      </c>
      <c r="K4952" s="76" t="b">
        <v>0</v>
      </c>
      <c r="L4952" s="76" t="b">
        <v>0</v>
      </c>
      <c r="M4952" s="76" t="b">
        <v>0</v>
      </c>
      <c r="N4952" s="76" t="b">
        <v>0</v>
      </c>
      <c r="O4952" s="76" t="b">
        <v>0</v>
      </c>
      <c r="P4952" s="76" t="b">
        <v>0</v>
      </c>
      <c r="Q4952" s="76" t="b">
        <v>0</v>
      </c>
      <c r="R4952" s="14"/>
      <c r="S4952" s="14"/>
      <c r="T4952" s="14"/>
      <c r="U4952" s="14"/>
      <c r="V4952" s="14"/>
      <c r="W4952" s="14"/>
    </row>
    <row r="4953" ht="31.5" customHeight="1">
      <c r="A4953" s="158"/>
      <c r="B4953" s="159"/>
      <c r="C4953" s="160"/>
      <c r="D4953" s="130"/>
      <c r="E4953" s="130"/>
      <c r="F4953" s="161"/>
      <c r="G4953" s="164"/>
      <c r="H4953" s="76" t="b">
        <v>1</v>
      </c>
      <c r="I4953" s="76" t="b">
        <v>0</v>
      </c>
      <c r="J4953" s="76" t="b">
        <v>0</v>
      </c>
      <c r="K4953" s="76" t="b">
        <v>0</v>
      </c>
      <c r="L4953" s="76" t="b">
        <v>0</v>
      </c>
      <c r="M4953" s="76" t="b">
        <v>0</v>
      </c>
      <c r="N4953" s="76" t="b">
        <v>0</v>
      </c>
      <c r="O4953" s="76" t="b">
        <v>0</v>
      </c>
      <c r="P4953" s="76" t="b">
        <v>0</v>
      </c>
      <c r="Q4953" s="76" t="b">
        <v>0</v>
      </c>
      <c r="R4953" s="14"/>
      <c r="S4953" s="14"/>
      <c r="T4953" s="14"/>
      <c r="U4953" s="14"/>
      <c r="V4953" s="14"/>
      <c r="W4953" s="14"/>
    </row>
    <row r="4954" ht="31.5" customHeight="1">
      <c r="A4954" s="158"/>
      <c r="B4954" s="159"/>
      <c r="C4954" s="160"/>
      <c r="D4954" s="130"/>
      <c r="E4954" s="130"/>
      <c r="F4954" s="161"/>
      <c r="G4954" s="164"/>
      <c r="H4954" s="76" t="b">
        <v>1</v>
      </c>
      <c r="I4954" s="76" t="b">
        <v>0</v>
      </c>
      <c r="J4954" s="76" t="b">
        <v>0</v>
      </c>
      <c r="K4954" s="76" t="b">
        <v>0</v>
      </c>
      <c r="L4954" s="76" t="b">
        <v>0</v>
      </c>
      <c r="M4954" s="76" t="b">
        <v>0</v>
      </c>
      <c r="N4954" s="76" t="b">
        <v>0</v>
      </c>
      <c r="O4954" s="76" t="b">
        <v>0</v>
      </c>
      <c r="P4954" s="76" t="b">
        <v>0</v>
      </c>
      <c r="Q4954" s="76" t="b">
        <v>0</v>
      </c>
      <c r="R4954" s="14"/>
      <c r="S4954" s="14"/>
      <c r="T4954" s="14"/>
      <c r="U4954" s="14"/>
      <c r="V4954" s="14"/>
      <c r="W4954" s="14"/>
    </row>
    <row r="4955" ht="31.5" customHeight="1">
      <c r="A4955" s="158"/>
      <c r="B4955" s="159"/>
      <c r="C4955" s="160"/>
      <c r="D4955" s="130"/>
      <c r="E4955" s="130"/>
      <c r="F4955" s="161"/>
      <c r="G4955" s="164"/>
      <c r="H4955" s="76" t="b">
        <v>1</v>
      </c>
      <c r="I4955" s="76" t="b">
        <v>0</v>
      </c>
      <c r="J4955" s="76" t="b">
        <v>0</v>
      </c>
      <c r="K4955" s="76" t="b">
        <v>0</v>
      </c>
      <c r="L4955" s="76" t="b">
        <v>0</v>
      </c>
      <c r="M4955" s="76" t="b">
        <v>0</v>
      </c>
      <c r="N4955" s="76" t="b">
        <v>0</v>
      </c>
      <c r="O4955" s="76" t="b">
        <v>0</v>
      </c>
      <c r="P4955" s="76" t="b">
        <v>0</v>
      </c>
      <c r="Q4955" s="76" t="b">
        <v>0</v>
      </c>
      <c r="R4955" s="14"/>
      <c r="S4955" s="14"/>
      <c r="T4955" s="14"/>
      <c r="U4955" s="14"/>
      <c r="V4955" s="14"/>
      <c r="W4955" s="14"/>
    </row>
    <row r="4956" ht="31.5" customHeight="1">
      <c r="A4956" s="158"/>
      <c r="B4956" s="159"/>
      <c r="C4956" s="160"/>
      <c r="D4956" s="130"/>
      <c r="E4956" s="130"/>
      <c r="F4956" s="161"/>
      <c r="G4956" s="164"/>
      <c r="H4956" s="76" t="b">
        <v>1</v>
      </c>
      <c r="I4956" s="76" t="b">
        <v>0</v>
      </c>
      <c r="J4956" s="76" t="b">
        <v>0</v>
      </c>
      <c r="K4956" s="76" t="b">
        <v>0</v>
      </c>
      <c r="L4956" s="76" t="b">
        <v>0</v>
      </c>
      <c r="M4956" s="76" t="b">
        <v>0</v>
      </c>
      <c r="N4956" s="76" t="b">
        <v>0</v>
      </c>
      <c r="O4956" s="76" t="b">
        <v>0</v>
      </c>
      <c r="P4956" s="76" t="b">
        <v>0</v>
      </c>
      <c r="Q4956" s="76" t="b">
        <v>0</v>
      </c>
      <c r="R4956" s="14"/>
      <c r="S4956" s="14"/>
      <c r="T4956" s="14"/>
      <c r="U4956" s="14"/>
      <c r="V4956" s="14"/>
      <c r="W4956" s="14"/>
    </row>
    <row r="4957" ht="31.5" customHeight="1">
      <c r="A4957" s="158"/>
      <c r="B4957" s="159"/>
      <c r="C4957" s="160"/>
      <c r="D4957" s="130"/>
      <c r="E4957" s="130"/>
      <c r="F4957" s="161"/>
      <c r="G4957" s="164"/>
      <c r="H4957" s="76" t="b">
        <v>1</v>
      </c>
      <c r="I4957" s="76" t="b">
        <v>0</v>
      </c>
      <c r="J4957" s="76" t="b">
        <v>0</v>
      </c>
      <c r="K4957" s="76" t="b">
        <v>0</v>
      </c>
      <c r="L4957" s="76" t="b">
        <v>0</v>
      </c>
      <c r="M4957" s="76" t="b">
        <v>0</v>
      </c>
      <c r="N4957" s="76" t="b">
        <v>0</v>
      </c>
      <c r="O4957" s="76" t="b">
        <v>0</v>
      </c>
      <c r="P4957" s="76" t="b">
        <v>0</v>
      </c>
      <c r="Q4957" s="76" t="b">
        <v>0</v>
      </c>
      <c r="R4957" s="14"/>
      <c r="S4957" s="14"/>
      <c r="T4957" s="14"/>
      <c r="U4957" s="14"/>
      <c r="V4957" s="14"/>
      <c r="W4957" s="14"/>
    </row>
    <row r="4958" ht="31.5" customHeight="1">
      <c r="A4958" s="158"/>
      <c r="B4958" s="159"/>
      <c r="C4958" s="160"/>
      <c r="D4958" s="130"/>
      <c r="E4958" s="130"/>
      <c r="F4958" s="161"/>
      <c r="G4958" s="164"/>
      <c r="H4958" s="76" t="b">
        <v>1</v>
      </c>
      <c r="I4958" s="76" t="b">
        <v>0</v>
      </c>
      <c r="J4958" s="76" t="b">
        <v>0</v>
      </c>
      <c r="K4958" s="76" t="b">
        <v>0</v>
      </c>
      <c r="L4958" s="76" t="b">
        <v>0</v>
      </c>
      <c r="M4958" s="76" t="b">
        <v>0</v>
      </c>
      <c r="N4958" s="76" t="b">
        <v>0</v>
      </c>
      <c r="O4958" s="76" t="b">
        <v>0</v>
      </c>
      <c r="P4958" s="76" t="b">
        <v>0</v>
      </c>
      <c r="Q4958" s="76" t="b">
        <v>0</v>
      </c>
      <c r="R4958" s="14"/>
      <c r="S4958" s="14"/>
      <c r="T4958" s="14"/>
      <c r="U4958" s="14"/>
      <c r="V4958" s="14"/>
      <c r="W4958" s="14"/>
    </row>
    <row r="4959" ht="31.5" customHeight="1">
      <c r="A4959" s="158"/>
      <c r="B4959" s="159"/>
      <c r="C4959" s="160"/>
      <c r="D4959" s="130"/>
      <c r="E4959" s="130"/>
      <c r="F4959" s="161"/>
      <c r="G4959" s="164"/>
      <c r="H4959" s="76" t="b">
        <v>0</v>
      </c>
      <c r="I4959" s="76" t="b">
        <v>0</v>
      </c>
      <c r="J4959" s="76" t="b">
        <v>0</v>
      </c>
      <c r="K4959" s="76" t="b">
        <v>0</v>
      </c>
      <c r="L4959" s="76" t="b">
        <v>0</v>
      </c>
      <c r="M4959" s="76" t="b">
        <v>0</v>
      </c>
      <c r="N4959" s="76" t="b">
        <v>0</v>
      </c>
      <c r="O4959" s="76" t="b">
        <v>0</v>
      </c>
      <c r="P4959" s="76" t="b">
        <v>0</v>
      </c>
      <c r="Q4959" s="76" t="b">
        <v>0</v>
      </c>
      <c r="R4959" s="14"/>
      <c r="S4959" s="14"/>
      <c r="T4959" s="14"/>
      <c r="U4959" s="14"/>
      <c r="V4959" s="14"/>
      <c r="W4959" s="14"/>
    </row>
    <row r="4960" ht="31.5" customHeight="1">
      <c r="A4960" s="158"/>
      <c r="B4960" s="159"/>
      <c r="C4960" s="160"/>
      <c r="D4960" s="130"/>
      <c r="E4960" s="130"/>
      <c r="F4960" s="161"/>
      <c r="G4960" s="164"/>
      <c r="H4960" s="76" t="b">
        <v>0</v>
      </c>
      <c r="I4960" s="76" t="b">
        <v>0</v>
      </c>
      <c r="J4960" s="76" t="b">
        <v>0</v>
      </c>
      <c r="K4960" s="76" t="b">
        <v>0</v>
      </c>
      <c r="L4960" s="76" t="b">
        <v>0</v>
      </c>
      <c r="M4960" s="76" t="b">
        <v>0</v>
      </c>
      <c r="N4960" s="76" t="b">
        <v>0</v>
      </c>
      <c r="O4960" s="76" t="b">
        <v>0</v>
      </c>
      <c r="P4960" s="76" t="b">
        <v>0</v>
      </c>
      <c r="Q4960" s="76" t="b">
        <v>0</v>
      </c>
      <c r="R4960" s="14"/>
      <c r="S4960" s="14"/>
      <c r="T4960" s="14"/>
      <c r="U4960" s="14"/>
      <c r="V4960" s="14"/>
      <c r="W4960" s="14"/>
    </row>
    <row r="4961" ht="31.5" customHeight="1">
      <c r="A4961" s="158"/>
      <c r="B4961" s="159"/>
      <c r="C4961" s="160"/>
      <c r="D4961" s="130"/>
      <c r="E4961" s="130"/>
      <c r="F4961" s="161"/>
      <c r="G4961" s="164"/>
      <c r="H4961" s="76" t="b">
        <v>0</v>
      </c>
      <c r="I4961" s="76" t="b">
        <v>0</v>
      </c>
      <c r="J4961" s="76" t="b">
        <v>0</v>
      </c>
      <c r="K4961" s="76" t="b">
        <v>0</v>
      </c>
      <c r="L4961" s="76" t="b">
        <v>0</v>
      </c>
      <c r="M4961" s="76" t="b">
        <v>0</v>
      </c>
      <c r="N4961" s="76" t="b">
        <v>0</v>
      </c>
      <c r="O4961" s="76" t="b">
        <v>0</v>
      </c>
      <c r="P4961" s="76" t="b">
        <v>0</v>
      </c>
      <c r="Q4961" s="76" t="b">
        <v>0</v>
      </c>
      <c r="R4961" s="14"/>
      <c r="S4961" s="14"/>
      <c r="T4961" s="14"/>
      <c r="U4961" s="14"/>
      <c r="V4961" s="14"/>
      <c r="W4961" s="14"/>
    </row>
    <row r="4962" ht="31.5" customHeight="1">
      <c r="A4962" s="158"/>
      <c r="B4962" s="159"/>
      <c r="C4962" s="160"/>
      <c r="D4962" s="130"/>
      <c r="E4962" s="130"/>
      <c r="F4962" s="161"/>
      <c r="G4962" s="164"/>
      <c r="H4962" s="76" t="b">
        <v>0</v>
      </c>
      <c r="I4962" s="76" t="b">
        <v>0</v>
      </c>
      <c r="J4962" s="76" t="b">
        <v>0</v>
      </c>
      <c r="K4962" s="76" t="b">
        <v>0</v>
      </c>
      <c r="L4962" s="76" t="b">
        <v>0</v>
      </c>
      <c r="M4962" s="76" t="b">
        <v>0</v>
      </c>
      <c r="N4962" s="76" t="b">
        <v>0</v>
      </c>
      <c r="O4962" s="76" t="b">
        <v>0</v>
      </c>
      <c r="P4962" s="76" t="b">
        <v>0</v>
      </c>
      <c r="Q4962" s="76" t="b">
        <v>0</v>
      </c>
      <c r="R4962" s="14"/>
      <c r="S4962" s="14"/>
      <c r="T4962" s="14"/>
      <c r="U4962" s="14"/>
      <c r="V4962" s="14"/>
      <c r="W4962" s="14"/>
    </row>
    <row r="4963" ht="31.5" customHeight="1">
      <c r="A4963" s="158"/>
      <c r="B4963" s="159"/>
      <c r="C4963" s="160"/>
      <c r="D4963" s="130"/>
      <c r="E4963" s="130"/>
      <c r="F4963" s="161"/>
      <c r="G4963" s="164"/>
      <c r="H4963" s="76" t="b">
        <v>0</v>
      </c>
      <c r="I4963" s="76" t="b">
        <v>0</v>
      </c>
      <c r="J4963" s="76" t="b">
        <v>0</v>
      </c>
      <c r="K4963" s="76" t="b">
        <v>0</v>
      </c>
      <c r="L4963" s="76" t="b">
        <v>0</v>
      </c>
      <c r="M4963" s="76" t="b">
        <v>0</v>
      </c>
      <c r="N4963" s="76" t="b">
        <v>0</v>
      </c>
      <c r="O4963" s="76" t="b">
        <v>0</v>
      </c>
      <c r="P4963" s="76" t="b">
        <v>0</v>
      </c>
      <c r="Q4963" s="76" t="b">
        <v>0</v>
      </c>
      <c r="R4963" s="14"/>
      <c r="S4963" s="14"/>
      <c r="T4963" s="14"/>
      <c r="U4963" s="14"/>
      <c r="V4963" s="14"/>
      <c r="W4963" s="14"/>
    </row>
    <row r="4964" ht="31.5" customHeight="1">
      <c r="A4964" s="158"/>
      <c r="B4964" s="159"/>
      <c r="C4964" s="160"/>
      <c r="D4964" s="130"/>
      <c r="E4964" s="130"/>
      <c r="F4964" s="161"/>
      <c r="G4964" s="164"/>
      <c r="H4964" s="76" t="b">
        <v>0</v>
      </c>
      <c r="I4964" s="76" t="b">
        <v>0</v>
      </c>
      <c r="J4964" s="76" t="b">
        <v>0</v>
      </c>
      <c r="K4964" s="76" t="b">
        <v>0</v>
      </c>
      <c r="L4964" s="76" t="b">
        <v>0</v>
      </c>
      <c r="M4964" s="76" t="b">
        <v>0</v>
      </c>
      <c r="N4964" s="76" t="b">
        <v>0</v>
      </c>
      <c r="O4964" s="76" t="b">
        <v>0</v>
      </c>
      <c r="P4964" s="76" t="b">
        <v>0</v>
      </c>
      <c r="Q4964" s="76" t="b">
        <v>0</v>
      </c>
      <c r="R4964" s="14"/>
      <c r="S4964" s="14"/>
      <c r="T4964" s="14"/>
      <c r="U4964" s="14"/>
      <c r="V4964" s="14"/>
      <c r="W4964" s="14"/>
    </row>
    <row r="4965" ht="31.5" customHeight="1">
      <c r="A4965" s="158"/>
      <c r="B4965" s="159"/>
      <c r="C4965" s="160"/>
      <c r="D4965" s="130"/>
      <c r="E4965" s="130"/>
      <c r="F4965" s="161"/>
      <c r="G4965" s="164"/>
      <c r="H4965" s="76" t="b">
        <v>0</v>
      </c>
      <c r="I4965" s="76" t="b">
        <v>0</v>
      </c>
      <c r="J4965" s="76" t="b">
        <v>0</v>
      </c>
      <c r="K4965" s="76" t="b">
        <v>0</v>
      </c>
      <c r="L4965" s="76" t="b">
        <v>0</v>
      </c>
      <c r="M4965" s="76" t="b">
        <v>0</v>
      </c>
      <c r="N4965" s="76" t="b">
        <v>0</v>
      </c>
      <c r="O4965" s="76" t="b">
        <v>0</v>
      </c>
      <c r="P4965" s="76" t="b">
        <v>0</v>
      </c>
      <c r="Q4965" s="76" t="b">
        <v>0</v>
      </c>
      <c r="R4965" s="14"/>
      <c r="S4965" s="14"/>
      <c r="T4965" s="14"/>
      <c r="U4965" s="14"/>
      <c r="V4965" s="14"/>
      <c r="W4965" s="14"/>
    </row>
    <row r="4966" ht="31.5" customHeight="1">
      <c r="A4966" s="158"/>
      <c r="B4966" s="159"/>
      <c r="C4966" s="160"/>
      <c r="D4966" s="130"/>
      <c r="E4966" s="130"/>
      <c r="F4966" s="161"/>
      <c r="G4966" s="164"/>
      <c r="H4966" s="76" t="b">
        <v>0</v>
      </c>
      <c r="I4966" s="76" t="b">
        <v>0</v>
      </c>
      <c r="J4966" s="76" t="b">
        <v>0</v>
      </c>
      <c r="K4966" s="76" t="b">
        <v>0</v>
      </c>
      <c r="L4966" s="76" t="b">
        <v>0</v>
      </c>
      <c r="M4966" s="76" t="b">
        <v>0</v>
      </c>
      <c r="N4966" s="76" t="b">
        <v>0</v>
      </c>
      <c r="O4966" s="76" t="b">
        <v>0</v>
      </c>
      <c r="P4966" s="76" t="b">
        <v>0</v>
      </c>
      <c r="Q4966" s="76" t="b">
        <v>0</v>
      </c>
      <c r="R4966" s="14"/>
      <c r="S4966" s="14"/>
      <c r="T4966" s="14"/>
      <c r="U4966" s="14"/>
      <c r="V4966" s="14"/>
      <c r="W4966" s="14"/>
    </row>
    <row r="4967" ht="31.5" customHeight="1">
      <c r="A4967" s="158"/>
      <c r="B4967" s="159"/>
      <c r="C4967" s="160"/>
      <c r="D4967" s="130"/>
      <c r="E4967" s="130"/>
      <c r="F4967" s="161"/>
      <c r="G4967" s="164"/>
      <c r="H4967" s="76" t="b">
        <v>0</v>
      </c>
      <c r="I4967" s="76" t="b">
        <v>0</v>
      </c>
      <c r="J4967" s="76" t="b">
        <v>0</v>
      </c>
      <c r="K4967" s="76" t="b">
        <v>0</v>
      </c>
      <c r="L4967" s="76" t="b">
        <v>0</v>
      </c>
      <c r="M4967" s="76" t="b">
        <v>0</v>
      </c>
      <c r="N4967" s="76" t="b">
        <v>0</v>
      </c>
      <c r="O4967" s="76" t="b">
        <v>0</v>
      </c>
      <c r="P4967" s="76" t="b">
        <v>0</v>
      </c>
      <c r="Q4967" s="76" t="b">
        <v>0</v>
      </c>
      <c r="R4967" s="14"/>
      <c r="S4967" s="14"/>
      <c r="T4967" s="14"/>
      <c r="U4967" s="14"/>
      <c r="V4967" s="14"/>
      <c r="W4967" s="14"/>
    </row>
    <row r="4968" ht="31.5" customHeight="1">
      <c r="A4968" s="158"/>
      <c r="B4968" s="159"/>
      <c r="C4968" s="160"/>
      <c r="D4968" s="130"/>
      <c r="E4968" s="130"/>
      <c r="F4968" s="161"/>
      <c r="G4968" s="164"/>
      <c r="H4968" s="76" t="b">
        <v>0</v>
      </c>
      <c r="I4968" s="76" t="b">
        <v>0</v>
      </c>
      <c r="J4968" s="76" t="b">
        <v>0</v>
      </c>
      <c r="K4968" s="76" t="b">
        <v>0</v>
      </c>
      <c r="L4968" s="76" t="b">
        <v>0</v>
      </c>
      <c r="M4968" s="76" t="b">
        <v>0</v>
      </c>
      <c r="N4968" s="76" t="b">
        <v>0</v>
      </c>
      <c r="O4968" s="76" t="b">
        <v>0</v>
      </c>
      <c r="P4968" s="76" t="b">
        <v>0</v>
      </c>
      <c r="Q4968" s="76" t="b">
        <v>0</v>
      </c>
      <c r="R4968" s="14"/>
      <c r="S4968" s="14"/>
      <c r="T4968" s="14"/>
      <c r="U4968" s="14"/>
      <c r="V4968" s="14"/>
      <c r="W4968" s="14"/>
    </row>
    <row r="4969" ht="31.5" customHeight="1">
      <c r="A4969" s="158"/>
      <c r="B4969" s="159"/>
      <c r="C4969" s="160"/>
      <c r="D4969" s="130"/>
      <c r="E4969" s="130"/>
      <c r="F4969" s="161"/>
      <c r="G4969" s="164"/>
      <c r="H4969" s="76" t="b">
        <v>0</v>
      </c>
      <c r="I4969" s="76" t="b">
        <v>0</v>
      </c>
      <c r="J4969" s="76" t="b">
        <v>0</v>
      </c>
      <c r="K4969" s="76" t="b">
        <v>0</v>
      </c>
      <c r="L4969" s="76" t="b">
        <v>0</v>
      </c>
      <c r="M4969" s="76" t="b">
        <v>0</v>
      </c>
      <c r="N4969" s="76" t="b">
        <v>0</v>
      </c>
      <c r="O4969" s="76" t="b">
        <v>0</v>
      </c>
      <c r="P4969" s="76" t="b">
        <v>0</v>
      </c>
      <c r="Q4969" s="76" t="b">
        <v>0</v>
      </c>
      <c r="R4969" s="14"/>
      <c r="S4969" s="14"/>
      <c r="T4969" s="14"/>
      <c r="U4969" s="14"/>
      <c r="V4969" s="14"/>
      <c r="W4969" s="14"/>
    </row>
    <row r="4970" ht="31.5" customHeight="1">
      <c r="A4970" s="158"/>
      <c r="B4970" s="159"/>
      <c r="C4970" s="160"/>
      <c r="D4970" s="130"/>
      <c r="E4970" s="130"/>
      <c r="F4970" s="161"/>
      <c r="G4970" s="164"/>
      <c r="H4970" s="76" t="b">
        <v>0</v>
      </c>
      <c r="I4970" s="76" t="b">
        <v>0</v>
      </c>
      <c r="J4970" s="76" t="b">
        <v>0</v>
      </c>
      <c r="K4970" s="76" t="b">
        <v>0</v>
      </c>
      <c r="L4970" s="76" t="b">
        <v>0</v>
      </c>
      <c r="M4970" s="76" t="b">
        <v>0</v>
      </c>
      <c r="N4970" s="76" t="b">
        <v>0</v>
      </c>
      <c r="O4970" s="76" t="b">
        <v>0</v>
      </c>
      <c r="P4970" s="76" t="b">
        <v>0</v>
      </c>
      <c r="Q4970" s="76" t="b">
        <v>0</v>
      </c>
      <c r="R4970" s="14"/>
      <c r="S4970" s="14"/>
      <c r="T4970" s="14"/>
      <c r="U4970" s="14"/>
      <c r="V4970" s="14"/>
      <c r="W4970" s="14"/>
    </row>
    <row r="4971" ht="31.5" customHeight="1">
      <c r="A4971" s="158"/>
      <c r="B4971" s="159"/>
      <c r="C4971" s="160"/>
      <c r="D4971" s="130"/>
      <c r="E4971" s="130"/>
      <c r="F4971" s="161"/>
      <c r="G4971" s="164"/>
      <c r="H4971" s="76" t="b">
        <v>0</v>
      </c>
      <c r="I4971" s="76" t="b">
        <v>0</v>
      </c>
      <c r="J4971" s="76" t="b">
        <v>0</v>
      </c>
      <c r="K4971" s="76" t="b">
        <v>0</v>
      </c>
      <c r="L4971" s="76" t="b">
        <v>0</v>
      </c>
      <c r="M4971" s="76" t="b">
        <v>0</v>
      </c>
      <c r="N4971" s="76" t="b">
        <v>0</v>
      </c>
      <c r="O4971" s="76" t="b">
        <v>0</v>
      </c>
      <c r="P4971" s="76" t="b">
        <v>0</v>
      </c>
      <c r="Q4971" s="76" t="b">
        <v>0</v>
      </c>
      <c r="R4971" s="14"/>
      <c r="S4971" s="14"/>
      <c r="T4971" s="14"/>
      <c r="U4971" s="14"/>
      <c r="V4971" s="14"/>
      <c r="W4971" s="14"/>
    </row>
    <row r="4972" ht="31.5" customHeight="1">
      <c r="A4972" s="158"/>
      <c r="B4972" s="159"/>
      <c r="C4972" s="160"/>
      <c r="D4972" s="130"/>
      <c r="E4972" s="130"/>
      <c r="F4972" s="161"/>
      <c r="G4972" s="164"/>
      <c r="H4972" s="76" t="b">
        <v>0</v>
      </c>
      <c r="I4972" s="76" t="b">
        <v>0</v>
      </c>
      <c r="J4972" s="76" t="b">
        <v>0</v>
      </c>
      <c r="K4972" s="76" t="b">
        <v>0</v>
      </c>
      <c r="L4972" s="76" t="b">
        <v>0</v>
      </c>
      <c r="M4972" s="76" t="b">
        <v>0</v>
      </c>
      <c r="N4972" s="76" t="b">
        <v>0</v>
      </c>
      <c r="O4972" s="76" t="b">
        <v>0</v>
      </c>
      <c r="P4972" s="76" t="b">
        <v>0</v>
      </c>
      <c r="Q4972" s="76" t="b">
        <v>0</v>
      </c>
      <c r="R4972" s="14"/>
      <c r="S4972" s="14"/>
      <c r="T4972" s="14"/>
      <c r="U4972" s="14"/>
      <c r="V4972" s="14"/>
      <c r="W4972" s="14"/>
    </row>
    <row r="4973" ht="31.5" customHeight="1">
      <c r="A4973" s="158"/>
      <c r="B4973" s="159"/>
      <c r="C4973" s="160"/>
      <c r="D4973" s="130"/>
      <c r="E4973" s="130"/>
      <c r="F4973" s="161"/>
      <c r="G4973" s="164"/>
      <c r="H4973" s="76" t="b">
        <v>0</v>
      </c>
      <c r="I4973" s="76" t="b">
        <v>0</v>
      </c>
      <c r="J4973" s="76" t="b">
        <v>0</v>
      </c>
      <c r="K4973" s="76" t="b">
        <v>0</v>
      </c>
      <c r="L4973" s="76" t="b">
        <v>0</v>
      </c>
      <c r="M4973" s="76" t="b">
        <v>0</v>
      </c>
      <c r="N4973" s="76" t="b">
        <v>0</v>
      </c>
      <c r="O4973" s="76" t="b">
        <v>0</v>
      </c>
      <c r="P4973" s="76" t="b">
        <v>0</v>
      </c>
      <c r="Q4973" s="76" t="b">
        <v>0</v>
      </c>
      <c r="R4973" s="14"/>
      <c r="S4973" s="14"/>
      <c r="T4973" s="14"/>
      <c r="U4973" s="14"/>
      <c r="V4973" s="14"/>
      <c r="W4973" s="14"/>
    </row>
    <row r="4974" ht="31.5" customHeight="1">
      <c r="A4974" s="158"/>
      <c r="B4974" s="159"/>
      <c r="C4974" s="160"/>
      <c r="D4974" s="130"/>
      <c r="E4974" s="130"/>
      <c r="F4974" s="161"/>
      <c r="G4974" s="164"/>
      <c r="H4974" s="76" t="b">
        <v>0</v>
      </c>
      <c r="I4974" s="76" t="b">
        <v>0</v>
      </c>
      <c r="J4974" s="76" t="b">
        <v>0</v>
      </c>
      <c r="K4974" s="76" t="b">
        <v>0</v>
      </c>
      <c r="L4974" s="76" t="b">
        <v>0</v>
      </c>
      <c r="M4974" s="76" t="b">
        <v>0</v>
      </c>
      <c r="N4974" s="76" t="b">
        <v>0</v>
      </c>
      <c r="O4974" s="76" t="b">
        <v>0</v>
      </c>
      <c r="P4974" s="76" t="b">
        <v>0</v>
      </c>
      <c r="Q4974" s="76" t="b">
        <v>0</v>
      </c>
      <c r="R4974" s="14"/>
      <c r="S4974" s="14"/>
      <c r="T4974" s="14"/>
      <c r="U4974" s="14"/>
      <c r="V4974" s="14"/>
      <c r="W4974" s="14"/>
    </row>
    <row r="4975" ht="31.5" customHeight="1">
      <c r="A4975" s="158"/>
      <c r="B4975" s="159"/>
      <c r="C4975" s="160"/>
      <c r="D4975" s="130"/>
      <c r="E4975" s="130"/>
      <c r="F4975" s="161"/>
      <c r="G4975" s="164"/>
      <c r="H4975" s="76" t="b">
        <v>0</v>
      </c>
      <c r="I4975" s="76" t="b">
        <v>0</v>
      </c>
      <c r="J4975" s="76" t="b">
        <v>0</v>
      </c>
      <c r="K4975" s="76" t="b">
        <v>0</v>
      </c>
      <c r="L4975" s="76" t="b">
        <v>0</v>
      </c>
      <c r="M4975" s="76" t="b">
        <v>0</v>
      </c>
      <c r="N4975" s="76" t="b">
        <v>0</v>
      </c>
      <c r="O4975" s="76" t="b">
        <v>0</v>
      </c>
      <c r="P4975" s="76" t="b">
        <v>0</v>
      </c>
      <c r="Q4975" s="76" t="b">
        <v>0</v>
      </c>
      <c r="R4975" s="14"/>
      <c r="S4975" s="14"/>
      <c r="T4975" s="14"/>
      <c r="U4975" s="14"/>
      <c r="V4975" s="14"/>
      <c r="W4975" s="14"/>
    </row>
    <row r="4976" ht="31.5" customHeight="1">
      <c r="A4976" s="158"/>
      <c r="B4976" s="159"/>
      <c r="C4976" s="160"/>
      <c r="D4976" s="130"/>
      <c r="E4976" s="130"/>
      <c r="F4976" s="161"/>
      <c r="G4976" s="164"/>
      <c r="H4976" s="76" t="b">
        <v>0</v>
      </c>
      <c r="I4976" s="76" t="b">
        <v>0</v>
      </c>
      <c r="J4976" s="76" t="b">
        <v>0</v>
      </c>
      <c r="K4976" s="76" t="b">
        <v>0</v>
      </c>
      <c r="L4976" s="76" t="b">
        <v>0</v>
      </c>
      <c r="M4976" s="76" t="b">
        <v>0</v>
      </c>
      <c r="N4976" s="76" t="b">
        <v>0</v>
      </c>
      <c r="O4976" s="76" t="b">
        <v>0</v>
      </c>
      <c r="P4976" s="76" t="b">
        <v>0</v>
      </c>
      <c r="Q4976" s="76" t="b">
        <v>0</v>
      </c>
      <c r="R4976" s="14"/>
      <c r="S4976" s="14"/>
      <c r="T4976" s="14"/>
      <c r="U4976" s="14"/>
      <c r="V4976" s="14"/>
      <c r="W4976" s="14"/>
    </row>
    <row r="4977" ht="31.5" customHeight="1">
      <c r="A4977" s="158"/>
      <c r="B4977" s="159"/>
      <c r="C4977" s="160"/>
      <c r="D4977" s="130"/>
      <c r="E4977" s="130"/>
      <c r="F4977" s="161"/>
      <c r="G4977" s="164"/>
      <c r="H4977" s="76" t="b">
        <v>0</v>
      </c>
      <c r="I4977" s="76" t="b">
        <v>0</v>
      </c>
      <c r="J4977" s="76" t="b">
        <v>0</v>
      </c>
      <c r="K4977" s="76" t="b">
        <v>0</v>
      </c>
      <c r="L4977" s="76" t="b">
        <v>0</v>
      </c>
      <c r="M4977" s="76" t="b">
        <v>0</v>
      </c>
      <c r="N4977" s="76" t="b">
        <v>0</v>
      </c>
      <c r="O4977" s="76" t="b">
        <v>0</v>
      </c>
      <c r="P4977" s="76" t="b">
        <v>0</v>
      </c>
      <c r="Q4977" s="76" t="b">
        <v>0</v>
      </c>
      <c r="R4977" s="14"/>
      <c r="S4977" s="14"/>
      <c r="T4977" s="14"/>
      <c r="U4977" s="14"/>
      <c r="V4977" s="14"/>
      <c r="W4977" s="14"/>
    </row>
    <row r="4978" ht="31.5" customHeight="1">
      <c r="A4978" s="158"/>
      <c r="B4978" s="159"/>
      <c r="C4978" s="160"/>
      <c r="D4978" s="130"/>
      <c r="E4978" s="130"/>
      <c r="F4978" s="161"/>
      <c r="G4978" s="164"/>
      <c r="H4978" s="76" t="b">
        <v>0</v>
      </c>
      <c r="I4978" s="76" t="b">
        <v>0</v>
      </c>
      <c r="J4978" s="76" t="b">
        <v>0</v>
      </c>
      <c r="K4978" s="76" t="b">
        <v>0</v>
      </c>
      <c r="L4978" s="76" t="b">
        <v>0</v>
      </c>
      <c r="M4978" s="76" t="b">
        <v>0</v>
      </c>
      <c r="N4978" s="76" t="b">
        <v>0</v>
      </c>
      <c r="O4978" s="76" t="b">
        <v>0</v>
      </c>
      <c r="P4978" s="76" t="b">
        <v>0</v>
      </c>
      <c r="Q4978" s="76" t="b">
        <v>0</v>
      </c>
      <c r="R4978" s="14"/>
      <c r="S4978" s="14"/>
      <c r="T4978" s="14"/>
      <c r="U4978" s="14"/>
      <c r="V4978" s="14"/>
      <c r="W4978" s="14"/>
    </row>
    <row r="4979" ht="31.5" customHeight="1">
      <c r="A4979" s="158"/>
      <c r="B4979" s="159"/>
      <c r="C4979" s="160"/>
      <c r="D4979" s="130"/>
      <c r="E4979" s="130"/>
      <c r="F4979" s="161"/>
      <c r="G4979" s="164"/>
      <c r="H4979" s="76" t="b">
        <v>0</v>
      </c>
      <c r="I4979" s="76" t="b">
        <v>0</v>
      </c>
      <c r="J4979" s="76" t="b">
        <v>0</v>
      </c>
      <c r="K4979" s="76" t="b">
        <v>0</v>
      </c>
      <c r="L4979" s="76" t="b">
        <v>0</v>
      </c>
      <c r="M4979" s="76" t="b">
        <v>0</v>
      </c>
      <c r="N4979" s="76" t="b">
        <v>0</v>
      </c>
      <c r="O4979" s="76" t="b">
        <v>0</v>
      </c>
      <c r="P4979" s="76" t="b">
        <v>0</v>
      </c>
      <c r="Q4979" s="76" t="b">
        <v>0</v>
      </c>
      <c r="R4979" s="14"/>
      <c r="S4979" s="14"/>
      <c r="T4979" s="14"/>
      <c r="U4979" s="14"/>
      <c r="V4979" s="14"/>
      <c r="W4979" s="14"/>
    </row>
    <row r="4980" ht="31.5" customHeight="1">
      <c r="A4980" s="158"/>
      <c r="B4980" s="159"/>
      <c r="C4980" s="160"/>
      <c r="D4980" s="130"/>
      <c r="E4980" s="130"/>
      <c r="F4980" s="161"/>
      <c r="G4980" s="164"/>
      <c r="H4980" s="76" t="b">
        <v>0</v>
      </c>
      <c r="I4980" s="76" t="b">
        <v>0</v>
      </c>
      <c r="J4980" s="76" t="b">
        <v>0</v>
      </c>
      <c r="K4980" s="76" t="b">
        <v>0</v>
      </c>
      <c r="L4980" s="76" t="b">
        <v>0</v>
      </c>
      <c r="M4980" s="76" t="b">
        <v>0</v>
      </c>
      <c r="N4980" s="76" t="b">
        <v>0</v>
      </c>
      <c r="O4980" s="76" t="b">
        <v>0</v>
      </c>
      <c r="P4980" s="76" t="b">
        <v>0</v>
      </c>
      <c r="Q4980" s="76" t="b">
        <v>0</v>
      </c>
      <c r="R4980" s="14"/>
      <c r="S4980" s="14"/>
      <c r="T4980" s="14"/>
      <c r="U4980" s="14"/>
      <c r="V4980" s="14"/>
      <c r="W4980" s="14"/>
    </row>
    <row r="4981" ht="31.5" customHeight="1">
      <c r="A4981" s="158"/>
      <c r="B4981" s="159"/>
      <c r="C4981" s="160"/>
      <c r="D4981" s="130"/>
      <c r="E4981" s="130"/>
      <c r="F4981" s="161"/>
      <c r="G4981" s="164"/>
      <c r="H4981" s="76" t="b">
        <v>0</v>
      </c>
      <c r="I4981" s="76" t="b">
        <v>0</v>
      </c>
      <c r="J4981" s="76" t="b">
        <v>0</v>
      </c>
      <c r="K4981" s="76" t="b">
        <v>0</v>
      </c>
      <c r="L4981" s="76" t="b">
        <v>0</v>
      </c>
      <c r="M4981" s="76" t="b">
        <v>0</v>
      </c>
      <c r="N4981" s="76" t="b">
        <v>0</v>
      </c>
      <c r="O4981" s="76" t="b">
        <v>0</v>
      </c>
      <c r="P4981" s="76" t="b">
        <v>0</v>
      </c>
      <c r="Q4981" s="76" t="b">
        <v>0</v>
      </c>
      <c r="R4981" s="14"/>
      <c r="S4981" s="14"/>
      <c r="T4981" s="14"/>
      <c r="U4981" s="14"/>
      <c r="V4981" s="14"/>
      <c r="W4981" s="14"/>
    </row>
    <row r="4982" ht="31.5" customHeight="1">
      <c r="A4982" s="158"/>
      <c r="B4982" s="159"/>
      <c r="C4982" s="160"/>
      <c r="D4982" s="130"/>
      <c r="E4982" s="130"/>
      <c r="F4982" s="161"/>
      <c r="G4982" s="164"/>
      <c r="H4982" s="76" t="b">
        <v>0</v>
      </c>
      <c r="I4982" s="76" t="b">
        <v>0</v>
      </c>
      <c r="J4982" s="76" t="b">
        <v>0</v>
      </c>
      <c r="K4982" s="76" t="b">
        <v>0</v>
      </c>
      <c r="L4982" s="76" t="b">
        <v>0</v>
      </c>
      <c r="M4982" s="76" t="b">
        <v>0</v>
      </c>
      <c r="N4982" s="76" t="b">
        <v>0</v>
      </c>
      <c r="O4982" s="76" t="b">
        <v>0</v>
      </c>
      <c r="P4982" s="76" t="b">
        <v>0</v>
      </c>
      <c r="Q4982" s="76" t="b">
        <v>0</v>
      </c>
      <c r="R4982" s="14"/>
      <c r="S4982" s="14"/>
      <c r="T4982" s="14"/>
      <c r="U4982" s="14"/>
      <c r="V4982" s="14"/>
      <c r="W4982" s="14"/>
    </row>
    <row r="4983" ht="31.5" customHeight="1">
      <c r="A4983" s="158"/>
      <c r="B4983" s="159"/>
      <c r="C4983" s="160"/>
      <c r="D4983" s="130"/>
      <c r="E4983" s="130"/>
      <c r="F4983" s="161"/>
      <c r="G4983" s="164"/>
      <c r="H4983" s="76" t="b">
        <v>0</v>
      </c>
      <c r="I4983" s="76" t="b">
        <v>0</v>
      </c>
      <c r="J4983" s="76" t="b">
        <v>0</v>
      </c>
      <c r="K4983" s="76" t="b">
        <v>0</v>
      </c>
      <c r="L4983" s="76" t="b">
        <v>0</v>
      </c>
      <c r="M4983" s="76" t="b">
        <v>0</v>
      </c>
      <c r="N4983" s="76" t="b">
        <v>0</v>
      </c>
      <c r="O4983" s="76" t="b">
        <v>0</v>
      </c>
      <c r="P4983" s="76" t="b">
        <v>0</v>
      </c>
      <c r="Q4983" s="76" t="b">
        <v>0</v>
      </c>
      <c r="R4983" s="14"/>
      <c r="S4983" s="14"/>
      <c r="T4983" s="14"/>
      <c r="U4983" s="14"/>
      <c r="V4983" s="14"/>
      <c r="W4983" s="14"/>
    </row>
    <row r="4984" ht="31.5" customHeight="1">
      <c r="A4984" s="158"/>
      <c r="B4984" s="159"/>
      <c r="C4984" s="160"/>
      <c r="D4984" s="130"/>
      <c r="E4984" s="130"/>
      <c r="F4984" s="161"/>
      <c r="G4984" s="164"/>
      <c r="H4984" s="76" t="b">
        <v>0</v>
      </c>
      <c r="I4984" s="76" t="b">
        <v>0</v>
      </c>
      <c r="J4984" s="76" t="b">
        <v>0</v>
      </c>
      <c r="K4984" s="76" t="b">
        <v>0</v>
      </c>
      <c r="L4984" s="76" t="b">
        <v>0</v>
      </c>
      <c r="M4984" s="76" t="b">
        <v>0</v>
      </c>
      <c r="N4984" s="76" t="b">
        <v>0</v>
      </c>
      <c r="O4984" s="76" t="b">
        <v>0</v>
      </c>
      <c r="P4984" s="76" t="b">
        <v>0</v>
      </c>
      <c r="Q4984" s="76" t="b">
        <v>0</v>
      </c>
      <c r="R4984" s="14"/>
      <c r="S4984" s="14"/>
      <c r="T4984" s="14"/>
      <c r="U4984" s="14"/>
      <c r="V4984" s="14"/>
      <c r="W4984" s="14"/>
    </row>
    <row r="4985" ht="31.5" customHeight="1">
      <c r="A4985" s="158"/>
      <c r="B4985" s="159"/>
      <c r="C4985" s="160"/>
      <c r="D4985" s="130"/>
      <c r="E4985" s="130"/>
      <c r="F4985" s="161"/>
      <c r="G4985" s="164"/>
      <c r="H4985" s="76" t="b">
        <v>0</v>
      </c>
      <c r="I4985" s="76" t="b">
        <v>0</v>
      </c>
      <c r="J4985" s="76" t="b">
        <v>0</v>
      </c>
      <c r="K4985" s="76" t="b">
        <v>0</v>
      </c>
      <c r="L4985" s="76" t="b">
        <v>0</v>
      </c>
      <c r="M4985" s="76" t="b">
        <v>0</v>
      </c>
      <c r="N4985" s="76" t="b">
        <v>0</v>
      </c>
      <c r="O4985" s="76" t="b">
        <v>0</v>
      </c>
      <c r="P4985" s="76" t="b">
        <v>0</v>
      </c>
      <c r="Q4985" s="76" t="b">
        <v>0</v>
      </c>
      <c r="R4985" s="14"/>
      <c r="S4985" s="14"/>
      <c r="T4985" s="14"/>
      <c r="U4985" s="14"/>
      <c r="V4985" s="14"/>
      <c r="W4985" s="14"/>
    </row>
    <row r="4986" ht="31.5" customHeight="1">
      <c r="A4986" s="158"/>
      <c r="B4986" s="159"/>
      <c r="C4986" s="160"/>
      <c r="D4986" s="130"/>
      <c r="E4986" s="130"/>
      <c r="F4986" s="161"/>
      <c r="G4986" s="164"/>
      <c r="H4986" s="76" t="b">
        <v>0</v>
      </c>
      <c r="I4986" s="76" t="b">
        <v>0</v>
      </c>
      <c r="J4986" s="76" t="b">
        <v>0</v>
      </c>
      <c r="K4986" s="76" t="b">
        <v>0</v>
      </c>
      <c r="L4986" s="76" t="b">
        <v>0</v>
      </c>
      <c r="M4986" s="76" t="b">
        <v>0</v>
      </c>
      <c r="N4986" s="76" t="b">
        <v>0</v>
      </c>
      <c r="O4986" s="76" t="b">
        <v>0</v>
      </c>
      <c r="P4986" s="76" t="b">
        <v>0</v>
      </c>
      <c r="Q4986" s="76" t="b">
        <v>0</v>
      </c>
      <c r="R4986" s="14"/>
      <c r="S4986" s="14"/>
      <c r="T4986" s="14"/>
      <c r="U4986" s="14"/>
      <c r="V4986" s="14"/>
      <c r="W4986" s="14"/>
    </row>
    <row r="4987" ht="31.5" customHeight="1">
      <c r="A4987" s="158"/>
      <c r="B4987" s="159"/>
      <c r="C4987" s="160"/>
      <c r="D4987" s="130"/>
      <c r="E4987" s="130"/>
      <c r="F4987" s="161"/>
      <c r="G4987" s="164"/>
      <c r="H4987" s="76" t="b">
        <v>0</v>
      </c>
      <c r="I4987" s="76" t="b">
        <v>0</v>
      </c>
      <c r="J4987" s="76" t="b">
        <v>0</v>
      </c>
      <c r="K4987" s="76" t="b">
        <v>0</v>
      </c>
      <c r="L4987" s="76" t="b">
        <v>0</v>
      </c>
      <c r="M4987" s="76" t="b">
        <v>0</v>
      </c>
      <c r="N4987" s="76" t="b">
        <v>0</v>
      </c>
      <c r="O4987" s="76" t="b">
        <v>0</v>
      </c>
      <c r="P4987" s="76" t="b">
        <v>0</v>
      </c>
      <c r="Q4987" s="76" t="b">
        <v>0</v>
      </c>
      <c r="R4987" s="14"/>
      <c r="S4987" s="14"/>
      <c r="T4987" s="14"/>
      <c r="U4987" s="14"/>
      <c r="V4987" s="14"/>
      <c r="W4987" s="14"/>
    </row>
    <row r="4988" ht="31.5" customHeight="1">
      <c r="A4988" s="158"/>
      <c r="B4988" s="159"/>
      <c r="C4988" s="160"/>
      <c r="D4988" s="130"/>
      <c r="E4988" s="130"/>
      <c r="F4988" s="161"/>
      <c r="G4988" s="164"/>
      <c r="H4988" s="76" t="b">
        <v>0</v>
      </c>
      <c r="I4988" s="76" t="b">
        <v>0</v>
      </c>
      <c r="J4988" s="76" t="b">
        <v>0</v>
      </c>
      <c r="K4988" s="76" t="b">
        <v>0</v>
      </c>
      <c r="L4988" s="76" t="b">
        <v>0</v>
      </c>
      <c r="M4988" s="76" t="b">
        <v>0</v>
      </c>
      <c r="N4988" s="76" t="b">
        <v>0</v>
      </c>
      <c r="O4988" s="76" t="b">
        <v>0</v>
      </c>
      <c r="P4988" s="76" t="b">
        <v>0</v>
      </c>
      <c r="Q4988" s="76" t="b">
        <v>0</v>
      </c>
      <c r="R4988" s="14"/>
      <c r="S4988" s="14"/>
      <c r="T4988" s="14"/>
      <c r="U4988" s="14"/>
      <c r="V4988" s="14"/>
      <c r="W4988" s="14"/>
    </row>
    <row r="4989" ht="31.5" customHeight="1">
      <c r="A4989" s="158"/>
      <c r="B4989" s="159"/>
      <c r="C4989" s="160"/>
      <c r="D4989" s="130"/>
      <c r="E4989" s="130"/>
      <c r="F4989" s="161"/>
      <c r="G4989" s="164"/>
      <c r="H4989" s="76" t="b">
        <v>0</v>
      </c>
      <c r="I4989" s="76" t="b">
        <v>0</v>
      </c>
      <c r="J4989" s="76" t="b">
        <v>0</v>
      </c>
      <c r="K4989" s="76" t="b">
        <v>0</v>
      </c>
      <c r="L4989" s="76" t="b">
        <v>0</v>
      </c>
      <c r="M4989" s="76" t="b">
        <v>0</v>
      </c>
      <c r="N4989" s="76" t="b">
        <v>0</v>
      </c>
      <c r="O4989" s="76" t="b">
        <v>0</v>
      </c>
      <c r="P4989" s="76" t="b">
        <v>0</v>
      </c>
      <c r="Q4989" s="76" t="b">
        <v>0</v>
      </c>
      <c r="R4989" s="14"/>
      <c r="S4989" s="14"/>
      <c r="T4989" s="14"/>
      <c r="U4989" s="14"/>
      <c r="V4989" s="14"/>
      <c r="W4989" s="14"/>
    </row>
    <row r="4990" ht="31.5" customHeight="1">
      <c r="A4990" s="158"/>
      <c r="B4990" s="159"/>
      <c r="C4990" s="160"/>
      <c r="D4990" s="130"/>
      <c r="E4990" s="130"/>
      <c r="F4990" s="161"/>
      <c r="G4990" s="164"/>
      <c r="H4990" s="76" t="b">
        <v>0</v>
      </c>
      <c r="I4990" s="76" t="b">
        <v>0</v>
      </c>
      <c r="J4990" s="76" t="b">
        <v>0</v>
      </c>
      <c r="K4990" s="76" t="b">
        <v>0</v>
      </c>
      <c r="L4990" s="76" t="b">
        <v>0</v>
      </c>
      <c r="M4990" s="76" t="b">
        <v>0</v>
      </c>
      <c r="N4990" s="76" t="b">
        <v>0</v>
      </c>
      <c r="O4990" s="76" t="b">
        <v>0</v>
      </c>
      <c r="P4990" s="76" t="b">
        <v>0</v>
      </c>
      <c r="Q4990" s="76" t="b">
        <v>0</v>
      </c>
      <c r="R4990" s="14"/>
      <c r="S4990" s="14"/>
      <c r="T4990" s="14"/>
      <c r="U4990" s="14"/>
      <c r="V4990" s="14"/>
      <c r="W4990" s="14"/>
    </row>
    <row r="4991" ht="31.5" customHeight="1">
      <c r="A4991" s="158"/>
      <c r="B4991" s="159"/>
      <c r="C4991" s="160"/>
      <c r="D4991" s="130"/>
      <c r="E4991" s="130"/>
      <c r="F4991" s="161"/>
      <c r="G4991" s="164"/>
      <c r="H4991" s="76" t="b">
        <v>0</v>
      </c>
      <c r="I4991" s="76" t="b">
        <v>0</v>
      </c>
      <c r="J4991" s="76" t="b">
        <v>0</v>
      </c>
      <c r="K4991" s="76" t="b">
        <v>0</v>
      </c>
      <c r="L4991" s="76" t="b">
        <v>0</v>
      </c>
      <c r="M4991" s="76" t="b">
        <v>0</v>
      </c>
      <c r="N4991" s="76" t="b">
        <v>0</v>
      </c>
      <c r="O4991" s="76" t="b">
        <v>0</v>
      </c>
      <c r="P4991" s="76" t="b">
        <v>0</v>
      </c>
      <c r="Q4991" s="76" t="b">
        <v>0</v>
      </c>
      <c r="R4991" s="14"/>
      <c r="S4991" s="14"/>
      <c r="T4991" s="14"/>
      <c r="U4991" s="14"/>
      <c r="V4991" s="14"/>
      <c r="W4991" s="14"/>
    </row>
    <row r="4992" ht="31.5" customHeight="1">
      <c r="A4992" s="158"/>
      <c r="B4992" s="159"/>
      <c r="C4992" s="160"/>
      <c r="D4992" s="130"/>
      <c r="E4992" s="130"/>
      <c r="F4992" s="161"/>
      <c r="G4992" s="164"/>
      <c r="H4992" s="76" t="b">
        <v>0</v>
      </c>
      <c r="I4992" s="76" t="b">
        <v>0</v>
      </c>
      <c r="J4992" s="76" t="b">
        <v>0</v>
      </c>
      <c r="K4992" s="76" t="b">
        <v>0</v>
      </c>
      <c r="L4992" s="76" t="b">
        <v>0</v>
      </c>
      <c r="M4992" s="76" t="b">
        <v>0</v>
      </c>
      <c r="N4992" s="76" t="b">
        <v>0</v>
      </c>
      <c r="O4992" s="76" t="b">
        <v>0</v>
      </c>
      <c r="P4992" s="76" t="b">
        <v>0</v>
      </c>
      <c r="Q4992" s="76" t="b">
        <v>0</v>
      </c>
      <c r="R4992" s="14"/>
      <c r="S4992" s="14"/>
      <c r="T4992" s="14"/>
      <c r="U4992" s="14"/>
      <c r="V4992" s="14"/>
      <c r="W4992" s="14"/>
    </row>
    <row r="4993" ht="31.5" customHeight="1">
      <c r="A4993" s="158"/>
      <c r="B4993" s="159"/>
      <c r="C4993" s="160"/>
      <c r="D4993" s="130"/>
      <c r="E4993" s="130"/>
      <c r="F4993" s="161"/>
      <c r="G4993" s="164"/>
      <c r="H4993" s="76" t="b">
        <v>0</v>
      </c>
      <c r="I4993" s="76" t="b">
        <v>0</v>
      </c>
      <c r="J4993" s="76" t="b">
        <v>0</v>
      </c>
      <c r="K4993" s="76" t="b">
        <v>0</v>
      </c>
      <c r="L4993" s="76" t="b">
        <v>0</v>
      </c>
      <c r="M4993" s="76" t="b">
        <v>0</v>
      </c>
      <c r="N4993" s="76" t="b">
        <v>0</v>
      </c>
      <c r="O4993" s="76" t="b">
        <v>0</v>
      </c>
      <c r="P4993" s="76" t="b">
        <v>0</v>
      </c>
      <c r="Q4993" s="76" t="b">
        <v>0</v>
      </c>
      <c r="R4993" s="14"/>
      <c r="S4993" s="14"/>
      <c r="T4993" s="14"/>
      <c r="U4993" s="14"/>
      <c r="V4993" s="14"/>
      <c r="W4993" s="14"/>
    </row>
    <row r="4994" ht="31.5" customHeight="1">
      <c r="A4994" s="158"/>
      <c r="B4994" s="159"/>
      <c r="C4994" s="160"/>
      <c r="D4994" s="130"/>
      <c r="E4994" s="130"/>
      <c r="F4994" s="161"/>
      <c r="G4994" s="164"/>
      <c r="H4994" s="76" t="b">
        <v>0</v>
      </c>
      <c r="I4994" s="76" t="b">
        <v>0</v>
      </c>
      <c r="J4994" s="76" t="b">
        <v>0</v>
      </c>
      <c r="K4994" s="76" t="b">
        <v>0</v>
      </c>
      <c r="L4994" s="76" t="b">
        <v>0</v>
      </c>
      <c r="M4994" s="76" t="b">
        <v>0</v>
      </c>
      <c r="N4994" s="76" t="b">
        <v>0</v>
      </c>
      <c r="O4994" s="76" t="b">
        <v>0</v>
      </c>
      <c r="P4994" s="76" t="b">
        <v>0</v>
      </c>
      <c r="Q4994" s="76" t="b">
        <v>0</v>
      </c>
      <c r="R4994" s="14"/>
      <c r="S4994" s="14"/>
      <c r="T4994" s="14"/>
      <c r="U4994" s="14"/>
      <c r="V4994" s="14"/>
      <c r="W4994" s="14"/>
    </row>
    <row r="4995" ht="31.5" customHeight="1">
      <c r="A4995" s="158"/>
      <c r="B4995" s="159"/>
      <c r="C4995" s="160"/>
      <c r="D4995" s="130"/>
      <c r="E4995" s="130"/>
      <c r="F4995" s="161"/>
      <c r="G4995" s="164"/>
      <c r="H4995" s="76" t="b">
        <v>0</v>
      </c>
      <c r="I4995" s="76" t="b">
        <v>0</v>
      </c>
      <c r="J4995" s="76" t="b">
        <v>0</v>
      </c>
      <c r="K4995" s="76" t="b">
        <v>0</v>
      </c>
      <c r="L4995" s="76" t="b">
        <v>0</v>
      </c>
      <c r="M4995" s="76" t="b">
        <v>0</v>
      </c>
      <c r="N4995" s="76" t="b">
        <v>0</v>
      </c>
      <c r="O4995" s="76" t="b">
        <v>0</v>
      </c>
      <c r="P4995" s="76" t="b">
        <v>0</v>
      </c>
      <c r="Q4995" s="76" t="b">
        <v>0</v>
      </c>
      <c r="R4995" s="14"/>
      <c r="S4995" s="14"/>
      <c r="T4995" s="14"/>
      <c r="U4995" s="14"/>
      <c r="V4995" s="14"/>
      <c r="W4995" s="14"/>
    </row>
    <row r="4996" ht="31.5" customHeight="1">
      <c r="A4996" s="158"/>
      <c r="B4996" s="159"/>
      <c r="C4996" s="160"/>
      <c r="D4996" s="130"/>
      <c r="E4996" s="130"/>
      <c r="F4996" s="161"/>
      <c r="G4996" s="164"/>
      <c r="H4996" s="76" t="b">
        <v>0</v>
      </c>
      <c r="I4996" s="76" t="b">
        <v>0</v>
      </c>
      <c r="J4996" s="76" t="b">
        <v>0</v>
      </c>
      <c r="K4996" s="76" t="b">
        <v>0</v>
      </c>
      <c r="L4996" s="76" t="b">
        <v>0</v>
      </c>
      <c r="M4996" s="76" t="b">
        <v>0</v>
      </c>
      <c r="N4996" s="76" t="b">
        <v>0</v>
      </c>
      <c r="O4996" s="76" t="b">
        <v>0</v>
      </c>
      <c r="P4996" s="76" t="b">
        <v>0</v>
      </c>
      <c r="Q4996" s="76" t="b">
        <v>0</v>
      </c>
      <c r="R4996" s="14"/>
      <c r="S4996" s="14"/>
      <c r="T4996" s="14"/>
      <c r="U4996" s="14"/>
      <c r="V4996" s="14"/>
      <c r="W4996" s="14"/>
    </row>
    <row r="4997" ht="31.5" customHeight="1">
      <c r="A4997" s="158"/>
      <c r="B4997" s="159"/>
      <c r="C4997" s="160"/>
      <c r="D4997" s="130"/>
      <c r="E4997" s="130"/>
      <c r="F4997" s="161"/>
      <c r="G4997" s="164"/>
      <c r="H4997" s="76" t="b">
        <v>0</v>
      </c>
      <c r="I4997" s="76" t="b">
        <v>0</v>
      </c>
      <c r="J4997" s="76" t="b">
        <v>0</v>
      </c>
      <c r="K4997" s="76" t="b">
        <v>0</v>
      </c>
      <c r="L4997" s="76" t="b">
        <v>0</v>
      </c>
      <c r="M4997" s="76" t="b">
        <v>0</v>
      </c>
      <c r="N4997" s="76" t="b">
        <v>0</v>
      </c>
      <c r="O4997" s="76" t="b">
        <v>0</v>
      </c>
      <c r="P4997" s="76" t="b">
        <v>0</v>
      </c>
      <c r="Q4997" s="76" t="b">
        <v>0</v>
      </c>
      <c r="R4997" s="14"/>
      <c r="S4997" s="14"/>
      <c r="T4997" s="14"/>
      <c r="U4997" s="14"/>
      <c r="V4997" s="14"/>
      <c r="W4997" s="14"/>
    </row>
    <row r="4998" ht="31.5" customHeight="1">
      <c r="A4998" s="158"/>
      <c r="B4998" s="159"/>
      <c r="C4998" s="160"/>
      <c r="D4998" s="130"/>
      <c r="E4998" s="130"/>
      <c r="F4998" s="161"/>
      <c r="G4998" s="164"/>
      <c r="H4998" s="76" t="b">
        <v>0</v>
      </c>
      <c r="I4998" s="76" t="b">
        <v>0</v>
      </c>
      <c r="J4998" s="76" t="b">
        <v>0</v>
      </c>
      <c r="K4998" s="76" t="b">
        <v>0</v>
      </c>
      <c r="L4998" s="76" t="b">
        <v>0</v>
      </c>
      <c r="M4998" s="76" t="b">
        <v>0</v>
      </c>
      <c r="N4998" s="76" t="b">
        <v>0</v>
      </c>
      <c r="O4998" s="76" t="b">
        <v>0</v>
      </c>
      <c r="P4998" s="76" t="b">
        <v>0</v>
      </c>
      <c r="Q4998" s="76" t="b">
        <v>0</v>
      </c>
      <c r="R4998" s="14"/>
      <c r="S4998" s="14"/>
      <c r="T4998" s="14"/>
      <c r="U4998" s="14"/>
      <c r="V4998" s="14"/>
      <c r="W4998" s="14"/>
    </row>
    <row r="4999" ht="31.5" customHeight="1">
      <c r="A4999" s="158"/>
      <c r="B4999" s="159"/>
      <c r="C4999" s="160"/>
      <c r="D4999" s="130"/>
      <c r="E4999" s="130"/>
      <c r="F4999" s="161"/>
      <c r="G4999" s="164"/>
      <c r="H4999" s="76" t="b">
        <v>0</v>
      </c>
      <c r="I4999" s="76" t="b">
        <v>0</v>
      </c>
      <c r="J4999" s="76" t="b">
        <v>0</v>
      </c>
      <c r="K4999" s="76" t="b">
        <v>0</v>
      </c>
      <c r="L4999" s="76" t="b">
        <v>0</v>
      </c>
      <c r="M4999" s="76" t="b">
        <v>0</v>
      </c>
      <c r="N4999" s="76" t="b">
        <v>0</v>
      </c>
      <c r="O4999" s="76" t="b">
        <v>0</v>
      </c>
      <c r="P4999" s="76" t="b">
        <v>0</v>
      </c>
      <c r="Q4999" s="76" t="b">
        <v>0</v>
      </c>
      <c r="R4999" s="14"/>
      <c r="S4999" s="14"/>
      <c r="T4999" s="14"/>
      <c r="U4999" s="14"/>
      <c r="V4999" s="14"/>
      <c r="W4999" s="14"/>
    </row>
    <row r="5000" ht="31.5" customHeight="1">
      <c r="A5000" s="158"/>
      <c r="B5000" s="159"/>
      <c r="C5000" s="160"/>
      <c r="D5000" s="130"/>
      <c r="E5000" s="130"/>
      <c r="F5000" s="161"/>
      <c r="G5000" s="164"/>
      <c r="H5000" s="76" t="b">
        <v>0</v>
      </c>
      <c r="I5000" s="76" t="b">
        <v>0</v>
      </c>
      <c r="J5000" s="76" t="b">
        <v>0</v>
      </c>
      <c r="K5000" s="76" t="b">
        <v>0</v>
      </c>
      <c r="L5000" s="76" t="b">
        <v>0</v>
      </c>
      <c r="M5000" s="76" t="b">
        <v>0</v>
      </c>
      <c r="N5000" s="76" t="b">
        <v>0</v>
      </c>
      <c r="O5000" s="76" t="b">
        <v>0</v>
      </c>
      <c r="P5000" s="76" t="b">
        <v>0</v>
      </c>
      <c r="Q5000" s="76" t="b">
        <v>0</v>
      </c>
      <c r="R5000" s="14"/>
      <c r="S5000" s="14"/>
      <c r="T5000" s="14"/>
      <c r="U5000" s="14"/>
      <c r="V5000" s="14"/>
      <c r="W5000" s="14"/>
    </row>
    <row r="5001" ht="31.5" customHeight="1">
      <c r="A5001" s="158"/>
      <c r="B5001" s="159"/>
      <c r="C5001" s="160"/>
      <c r="D5001" s="130"/>
      <c r="E5001" s="130"/>
      <c r="F5001" s="161"/>
      <c r="G5001" s="164"/>
      <c r="H5001" s="76" t="b">
        <v>0</v>
      </c>
      <c r="I5001" s="76" t="b">
        <v>0</v>
      </c>
      <c r="J5001" s="76" t="b">
        <v>0</v>
      </c>
      <c r="K5001" s="76" t="b">
        <v>0</v>
      </c>
      <c r="L5001" s="76" t="b">
        <v>0</v>
      </c>
      <c r="M5001" s="76" t="b">
        <v>0</v>
      </c>
      <c r="N5001" s="76" t="b">
        <v>0</v>
      </c>
      <c r="O5001" s="76" t="b">
        <v>0</v>
      </c>
      <c r="P5001" s="76" t="b">
        <v>0</v>
      </c>
      <c r="Q5001" s="76" t="b">
        <v>0</v>
      </c>
      <c r="R5001" s="14"/>
      <c r="S5001" s="14"/>
      <c r="T5001" s="14"/>
      <c r="U5001" s="14"/>
      <c r="V5001" s="14"/>
      <c r="W5001" s="14"/>
    </row>
    <row r="5002" ht="31.5" customHeight="1">
      <c r="A5002" s="158"/>
      <c r="B5002" s="159"/>
      <c r="C5002" s="160"/>
      <c r="D5002" s="130"/>
      <c r="E5002" s="130"/>
      <c r="F5002" s="161"/>
      <c r="G5002" s="164"/>
      <c r="H5002" s="76" t="b">
        <v>0</v>
      </c>
      <c r="I5002" s="76" t="b">
        <v>0</v>
      </c>
      <c r="J5002" s="76" t="b">
        <v>0</v>
      </c>
      <c r="K5002" s="76" t="b">
        <v>0</v>
      </c>
      <c r="L5002" s="76" t="b">
        <v>0</v>
      </c>
      <c r="M5002" s="76" t="b">
        <v>0</v>
      </c>
      <c r="N5002" s="76" t="b">
        <v>0</v>
      </c>
      <c r="O5002" s="76" t="b">
        <v>0</v>
      </c>
      <c r="P5002" s="76" t="b">
        <v>0</v>
      </c>
      <c r="Q5002" s="76" t="b">
        <v>0</v>
      </c>
      <c r="R5002" s="14"/>
      <c r="S5002" s="14"/>
      <c r="T5002" s="14"/>
      <c r="U5002" s="14"/>
      <c r="V5002" s="14"/>
      <c r="W5002" s="14"/>
    </row>
    <row r="5003" ht="31.5" customHeight="1">
      <c r="A5003" s="158"/>
      <c r="B5003" s="159"/>
      <c r="C5003" s="160"/>
      <c r="D5003" s="130"/>
      <c r="E5003" s="130"/>
      <c r="F5003" s="161"/>
      <c r="G5003" s="164"/>
      <c r="H5003" s="76" t="b">
        <v>1</v>
      </c>
      <c r="I5003" s="76" t="b">
        <v>0</v>
      </c>
      <c r="J5003" s="76" t="b">
        <v>0</v>
      </c>
      <c r="K5003" s="76" t="b">
        <v>0</v>
      </c>
      <c r="L5003" s="76" t="b">
        <v>0</v>
      </c>
      <c r="M5003" s="76" t="b">
        <v>0</v>
      </c>
      <c r="N5003" s="76" t="b">
        <v>0</v>
      </c>
      <c r="O5003" s="76" t="b">
        <v>0</v>
      </c>
      <c r="P5003" s="76" t="b">
        <v>0</v>
      </c>
      <c r="Q5003" s="76" t="b">
        <v>0</v>
      </c>
      <c r="R5003" s="14"/>
      <c r="S5003" s="14"/>
      <c r="T5003" s="14"/>
      <c r="U5003" s="14"/>
      <c r="V5003" s="14"/>
      <c r="W5003" s="14"/>
    </row>
    <row r="5004" ht="31.5" customHeight="1">
      <c r="A5004" s="158"/>
      <c r="B5004" s="159"/>
      <c r="C5004" s="160"/>
      <c r="D5004" s="130"/>
      <c r="E5004" s="130"/>
      <c r="F5004" s="161"/>
      <c r="G5004" s="164"/>
      <c r="H5004" s="76" t="b">
        <v>1</v>
      </c>
      <c r="I5004" s="76" t="b">
        <v>0</v>
      </c>
      <c r="J5004" s="76" t="b">
        <v>0</v>
      </c>
      <c r="K5004" s="76" t="b">
        <v>0</v>
      </c>
      <c r="L5004" s="76" t="b">
        <v>0</v>
      </c>
      <c r="M5004" s="76" t="b">
        <v>0</v>
      </c>
      <c r="N5004" s="76" t="b">
        <v>0</v>
      </c>
      <c r="O5004" s="76" t="b">
        <v>0</v>
      </c>
      <c r="P5004" s="76" t="b">
        <v>0</v>
      </c>
      <c r="Q5004" s="76" t="b">
        <v>0</v>
      </c>
      <c r="R5004" s="14"/>
      <c r="S5004" s="14"/>
      <c r="T5004" s="14"/>
      <c r="U5004" s="14"/>
      <c r="V5004" s="14"/>
      <c r="W5004" s="14"/>
    </row>
    <row r="5005" ht="31.5" customHeight="1">
      <c r="A5005" s="158"/>
      <c r="B5005" s="159"/>
      <c r="C5005" s="160"/>
      <c r="D5005" s="130"/>
      <c r="E5005" s="130"/>
      <c r="F5005" s="161"/>
      <c r="G5005" s="164"/>
      <c r="H5005" s="76" t="b">
        <v>1</v>
      </c>
      <c r="I5005" s="76" t="b">
        <v>0</v>
      </c>
      <c r="J5005" s="76" t="b">
        <v>0</v>
      </c>
      <c r="K5005" s="76" t="b">
        <v>0</v>
      </c>
      <c r="L5005" s="76" t="b">
        <v>0</v>
      </c>
      <c r="M5005" s="76" t="b">
        <v>0</v>
      </c>
      <c r="N5005" s="76" t="b">
        <v>0</v>
      </c>
      <c r="O5005" s="76" t="b">
        <v>0</v>
      </c>
      <c r="P5005" s="76" t="b">
        <v>0</v>
      </c>
      <c r="Q5005" s="76" t="b">
        <v>0</v>
      </c>
      <c r="R5005" s="14"/>
      <c r="S5005" s="14"/>
      <c r="T5005" s="14"/>
      <c r="U5005" s="14"/>
      <c r="V5005" s="14"/>
      <c r="W5005" s="14"/>
    </row>
    <row r="5006" ht="31.5" customHeight="1">
      <c r="A5006" s="158"/>
      <c r="B5006" s="159"/>
      <c r="C5006" s="160"/>
      <c r="D5006" s="130"/>
      <c r="E5006" s="130"/>
      <c r="F5006" s="161"/>
      <c r="G5006" s="164"/>
      <c r="H5006" s="76" t="b">
        <v>1</v>
      </c>
      <c r="I5006" s="76" t="b">
        <v>0</v>
      </c>
      <c r="J5006" s="76" t="b">
        <v>0</v>
      </c>
      <c r="K5006" s="76" t="b">
        <v>0</v>
      </c>
      <c r="L5006" s="76" t="b">
        <v>0</v>
      </c>
      <c r="M5006" s="76" t="b">
        <v>0</v>
      </c>
      <c r="N5006" s="76" t="b">
        <v>0</v>
      </c>
      <c r="O5006" s="76" t="b">
        <v>0</v>
      </c>
      <c r="P5006" s="76" t="b">
        <v>0</v>
      </c>
      <c r="Q5006" s="76" t="b">
        <v>0</v>
      </c>
      <c r="R5006" s="14"/>
      <c r="S5006" s="14"/>
      <c r="T5006" s="14"/>
      <c r="U5006" s="14"/>
      <c r="V5006" s="14"/>
      <c r="W5006" s="14"/>
    </row>
    <row r="5007" ht="31.5" customHeight="1">
      <c r="A5007" s="158"/>
      <c r="B5007" s="159"/>
      <c r="C5007" s="160"/>
      <c r="D5007" s="130"/>
      <c r="E5007" s="130"/>
      <c r="F5007" s="161"/>
      <c r="G5007" s="164"/>
      <c r="H5007" s="76" t="b">
        <v>1</v>
      </c>
      <c r="I5007" s="76" t="b">
        <v>0</v>
      </c>
      <c r="J5007" s="76" t="b">
        <v>0</v>
      </c>
      <c r="K5007" s="76" t="b">
        <v>0</v>
      </c>
      <c r="L5007" s="76" t="b">
        <v>0</v>
      </c>
      <c r="M5007" s="76" t="b">
        <v>0</v>
      </c>
      <c r="N5007" s="76" t="b">
        <v>0</v>
      </c>
      <c r="O5007" s="76" t="b">
        <v>0</v>
      </c>
      <c r="P5007" s="76" t="b">
        <v>0</v>
      </c>
      <c r="Q5007" s="76" t="b">
        <v>0</v>
      </c>
      <c r="R5007" s="14"/>
      <c r="S5007" s="14"/>
      <c r="T5007" s="14"/>
      <c r="U5007" s="14"/>
      <c r="V5007" s="14"/>
      <c r="W5007" s="14"/>
    </row>
    <row r="5008" ht="31.5" customHeight="1">
      <c r="A5008" s="158"/>
      <c r="B5008" s="159"/>
      <c r="C5008" s="160"/>
      <c r="D5008" s="130"/>
      <c r="E5008" s="130"/>
      <c r="F5008" s="161"/>
      <c r="G5008" s="164"/>
      <c r="H5008" s="76" t="b">
        <v>1</v>
      </c>
      <c r="I5008" s="76" t="b">
        <v>0</v>
      </c>
      <c r="J5008" s="76" t="b">
        <v>0</v>
      </c>
      <c r="K5008" s="76" t="b">
        <v>0</v>
      </c>
      <c r="L5008" s="76" t="b">
        <v>0</v>
      </c>
      <c r="M5008" s="76" t="b">
        <v>0</v>
      </c>
      <c r="N5008" s="76" t="b">
        <v>0</v>
      </c>
      <c r="O5008" s="76" t="b">
        <v>0</v>
      </c>
      <c r="P5008" s="76" t="b">
        <v>0</v>
      </c>
      <c r="Q5008" s="76" t="b">
        <v>0</v>
      </c>
      <c r="R5008" s="14"/>
      <c r="S5008" s="14"/>
      <c r="T5008" s="14"/>
      <c r="U5008" s="14"/>
      <c r="V5008" s="14"/>
      <c r="W5008" s="14"/>
    </row>
    <row r="5009" ht="31.5" customHeight="1">
      <c r="A5009" s="158"/>
      <c r="B5009" s="159"/>
      <c r="C5009" s="160"/>
      <c r="D5009" s="130"/>
      <c r="E5009" s="130"/>
      <c r="F5009" s="161"/>
      <c r="G5009" s="164"/>
      <c r="H5009" s="76" t="b">
        <v>1</v>
      </c>
      <c r="I5009" s="76" t="b">
        <v>0</v>
      </c>
      <c r="J5009" s="76" t="b">
        <v>0</v>
      </c>
      <c r="K5009" s="76" t="b">
        <v>0</v>
      </c>
      <c r="L5009" s="76" t="b">
        <v>0</v>
      </c>
      <c r="M5009" s="76" t="b">
        <v>0</v>
      </c>
      <c r="N5009" s="76" t="b">
        <v>0</v>
      </c>
      <c r="O5009" s="76" t="b">
        <v>0</v>
      </c>
      <c r="P5009" s="76" t="b">
        <v>0</v>
      </c>
      <c r="Q5009" s="76" t="b">
        <v>0</v>
      </c>
      <c r="R5009" s="14"/>
      <c r="S5009" s="14"/>
      <c r="T5009" s="14"/>
      <c r="U5009" s="14"/>
      <c r="V5009" s="14"/>
      <c r="W5009" s="14"/>
    </row>
    <row r="5010" ht="31.5" customHeight="1">
      <c r="A5010" s="158"/>
      <c r="B5010" s="159"/>
      <c r="C5010" s="160"/>
      <c r="D5010" s="130"/>
      <c r="E5010" s="130"/>
      <c r="F5010" s="161"/>
      <c r="G5010" s="164"/>
      <c r="H5010" s="76" t="b">
        <v>1</v>
      </c>
      <c r="I5010" s="76" t="b">
        <v>0</v>
      </c>
      <c r="J5010" s="76" t="b">
        <v>0</v>
      </c>
      <c r="K5010" s="76" t="b">
        <v>0</v>
      </c>
      <c r="L5010" s="76" t="b">
        <v>0</v>
      </c>
      <c r="M5010" s="76" t="b">
        <v>0</v>
      </c>
      <c r="N5010" s="76" t="b">
        <v>0</v>
      </c>
      <c r="O5010" s="76" t="b">
        <v>0</v>
      </c>
      <c r="P5010" s="76" t="b">
        <v>0</v>
      </c>
      <c r="Q5010" s="76" t="b">
        <v>0</v>
      </c>
      <c r="R5010" s="14"/>
      <c r="S5010" s="14"/>
      <c r="T5010" s="14"/>
      <c r="U5010" s="14"/>
      <c r="V5010" s="14"/>
      <c r="W5010" s="14"/>
    </row>
    <row r="5011" ht="31.5" customHeight="1">
      <c r="A5011" s="158"/>
      <c r="B5011" s="159"/>
      <c r="C5011" s="160"/>
      <c r="D5011" s="130"/>
      <c r="E5011" s="130"/>
      <c r="F5011" s="161"/>
      <c r="G5011" s="164"/>
      <c r="H5011" s="76" t="b">
        <v>1</v>
      </c>
      <c r="I5011" s="76" t="b">
        <v>0</v>
      </c>
      <c r="J5011" s="76" t="b">
        <v>0</v>
      </c>
      <c r="K5011" s="76" t="b">
        <v>0</v>
      </c>
      <c r="L5011" s="76" t="b">
        <v>0</v>
      </c>
      <c r="M5011" s="76" t="b">
        <v>0</v>
      </c>
      <c r="N5011" s="76" t="b">
        <v>0</v>
      </c>
      <c r="O5011" s="76" t="b">
        <v>0</v>
      </c>
      <c r="P5011" s="76" t="b">
        <v>0</v>
      </c>
      <c r="Q5011" s="76" t="b">
        <v>0</v>
      </c>
      <c r="R5011" s="14"/>
      <c r="S5011" s="14"/>
      <c r="T5011" s="14"/>
      <c r="U5011" s="14"/>
      <c r="V5011" s="14"/>
      <c r="W5011" s="14"/>
    </row>
    <row r="5012" ht="31.5" customHeight="1">
      <c r="A5012" s="158"/>
      <c r="B5012" s="159"/>
      <c r="C5012" s="160"/>
      <c r="D5012" s="130"/>
      <c r="E5012" s="130"/>
      <c r="F5012" s="161"/>
      <c r="G5012" s="164"/>
      <c r="H5012" s="76" t="b">
        <v>1</v>
      </c>
      <c r="I5012" s="76" t="b">
        <v>0</v>
      </c>
      <c r="J5012" s="76" t="b">
        <v>0</v>
      </c>
      <c r="K5012" s="76" t="b">
        <v>0</v>
      </c>
      <c r="L5012" s="76" t="b">
        <v>0</v>
      </c>
      <c r="M5012" s="76" t="b">
        <v>0</v>
      </c>
      <c r="N5012" s="76" t="b">
        <v>0</v>
      </c>
      <c r="O5012" s="76" t="b">
        <v>0</v>
      </c>
      <c r="P5012" s="76" t="b">
        <v>0</v>
      </c>
      <c r="Q5012" s="76" t="b">
        <v>0</v>
      </c>
      <c r="R5012" s="14"/>
      <c r="S5012" s="14"/>
      <c r="T5012" s="14"/>
      <c r="U5012" s="14"/>
      <c r="V5012" s="14"/>
      <c r="W5012" s="14"/>
    </row>
    <row r="5013" ht="31.5" customHeight="1">
      <c r="A5013" s="158"/>
      <c r="B5013" s="159"/>
      <c r="C5013" s="160"/>
      <c r="D5013" s="130"/>
      <c r="E5013" s="130"/>
      <c r="F5013" s="161"/>
      <c r="G5013" s="164"/>
      <c r="H5013" s="76" t="b">
        <v>1</v>
      </c>
      <c r="I5013" s="76" t="b">
        <v>0</v>
      </c>
      <c r="J5013" s="76" t="b">
        <v>0</v>
      </c>
      <c r="K5013" s="76" t="b">
        <v>0</v>
      </c>
      <c r="L5013" s="76" t="b">
        <v>0</v>
      </c>
      <c r="M5013" s="76" t="b">
        <v>0</v>
      </c>
      <c r="N5013" s="76" t="b">
        <v>0</v>
      </c>
      <c r="O5013" s="76" t="b">
        <v>0</v>
      </c>
      <c r="P5013" s="76" t="b">
        <v>0</v>
      </c>
      <c r="Q5013" s="76" t="b">
        <v>0</v>
      </c>
      <c r="R5013" s="14"/>
      <c r="S5013" s="14"/>
      <c r="T5013" s="14"/>
      <c r="U5013" s="14"/>
      <c r="V5013" s="14"/>
      <c r="W5013" s="14"/>
    </row>
    <row r="5014" ht="31.5" customHeight="1">
      <c r="A5014" s="158"/>
      <c r="B5014" s="159"/>
      <c r="C5014" s="160"/>
      <c r="D5014" s="130"/>
      <c r="E5014" s="130"/>
      <c r="F5014" s="161"/>
      <c r="G5014" s="164"/>
      <c r="H5014" s="76" t="b">
        <v>1</v>
      </c>
      <c r="I5014" s="76" t="b">
        <v>0</v>
      </c>
      <c r="J5014" s="76" t="b">
        <v>0</v>
      </c>
      <c r="K5014" s="76" t="b">
        <v>0</v>
      </c>
      <c r="L5014" s="76" t="b">
        <v>0</v>
      </c>
      <c r="M5014" s="76" t="b">
        <v>0</v>
      </c>
      <c r="N5014" s="76" t="b">
        <v>0</v>
      </c>
      <c r="O5014" s="76" t="b">
        <v>0</v>
      </c>
      <c r="P5014" s="76" t="b">
        <v>0</v>
      </c>
      <c r="Q5014" s="76" t="b">
        <v>0</v>
      </c>
      <c r="R5014" s="14"/>
      <c r="S5014" s="14"/>
      <c r="T5014" s="14"/>
      <c r="U5014" s="14"/>
      <c r="V5014" s="14"/>
      <c r="W5014" s="14"/>
    </row>
    <row r="5015" ht="31.5" customHeight="1">
      <c r="A5015" s="158"/>
      <c r="B5015" s="159"/>
      <c r="C5015" s="160"/>
      <c r="D5015" s="130"/>
      <c r="E5015" s="130"/>
      <c r="F5015" s="161"/>
      <c r="G5015" s="164"/>
      <c r="H5015" s="76" t="b">
        <v>1</v>
      </c>
      <c r="I5015" s="76" t="b">
        <v>0</v>
      </c>
      <c r="J5015" s="76" t="b">
        <v>0</v>
      </c>
      <c r="K5015" s="76" t="b">
        <v>0</v>
      </c>
      <c r="L5015" s="76" t="b">
        <v>0</v>
      </c>
      <c r="M5015" s="76" t="b">
        <v>0</v>
      </c>
      <c r="N5015" s="76" t="b">
        <v>0</v>
      </c>
      <c r="O5015" s="76" t="b">
        <v>0</v>
      </c>
      <c r="P5015" s="76" t="b">
        <v>0</v>
      </c>
      <c r="Q5015" s="76" t="b">
        <v>0</v>
      </c>
      <c r="R5015" s="14"/>
      <c r="S5015" s="14"/>
      <c r="T5015" s="14"/>
      <c r="U5015" s="14"/>
      <c r="V5015" s="14"/>
      <c r="W5015" s="14"/>
    </row>
    <row r="5016" ht="31.5" customHeight="1">
      <c r="A5016" s="158"/>
      <c r="B5016" s="159"/>
      <c r="C5016" s="160"/>
      <c r="D5016" s="130"/>
      <c r="E5016" s="130"/>
      <c r="F5016" s="161"/>
      <c r="G5016" s="164"/>
      <c r="H5016" s="76" t="b">
        <v>1</v>
      </c>
      <c r="I5016" s="76" t="b">
        <v>0</v>
      </c>
      <c r="J5016" s="76" t="b">
        <v>0</v>
      </c>
      <c r="K5016" s="76" t="b">
        <v>0</v>
      </c>
      <c r="L5016" s="76" t="b">
        <v>0</v>
      </c>
      <c r="M5016" s="76" t="b">
        <v>0</v>
      </c>
      <c r="N5016" s="76" t="b">
        <v>0</v>
      </c>
      <c r="O5016" s="76" t="b">
        <v>0</v>
      </c>
      <c r="P5016" s="76" t="b">
        <v>0</v>
      </c>
      <c r="Q5016" s="76" t="b">
        <v>0</v>
      </c>
      <c r="R5016" s="14"/>
      <c r="S5016" s="14"/>
      <c r="T5016" s="14"/>
      <c r="U5016" s="14"/>
      <c r="V5016" s="14"/>
      <c r="W5016" s="14"/>
    </row>
    <row r="5017" ht="31.5" customHeight="1">
      <c r="A5017" s="158"/>
      <c r="B5017" s="159"/>
      <c r="C5017" s="160"/>
      <c r="D5017" s="130"/>
      <c r="E5017" s="130"/>
      <c r="F5017" s="161"/>
      <c r="G5017" s="164"/>
      <c r="H5017" s="76" t="b">
        <v>1</v>
      </c>
      <c r="I5017" s="76" t="b">
        <v>0</v>
      </c>
      <c r="J5017" s="76" t="b">
        <v>0</v>
      </c>
      <c r="K5017" s="76" t="b">
        <v>0</v>
      </c>
      <c r="L5017" s="76" t="b">
        <v>0</v>
      </c>
      <c r="M5017" s="76" t="b">
        <v>0</v>
      </c>
      <c r="N5017" s="76" t="b">
        <v>0</v>
      </c>
      <c r="O5017" s="76" t="b">
        <v>0</v>
      </c>
      <c r="P5017" s="76" t="b">
        <v>0</v>
      </c>
      <c r="Q5017" s="76" t="b">
        <v>0</v>
      </c>
      <c r="R5017" s="14"/>
      <c r="S5017" s="14"/>
      <c r="T5017" s="14"/>
      <c r="U5017" s="14"/>
      <c r="V5017" s="14"/>
      <c r="W5017" s="14"/>
    </row>
    <row r="5018" ht="31.5" customHeight="1">
      <c r="A5018" s="158"/>
      <c r="B5018" s="159"/>
      <c r="C5018" s="160"/>
      <c r="D5018" s="130"/>
      <c r="E5018" s="130"/>
      <c r="F5018" s="161"/>
      <c r="G5018" s="164"/>
      <c r="H5018" s="76" t="b">
        <v>1</v>
      </c>
      <c r="I5018" s="76" t="b">
        <v>0</v>
      </c>
      <c r="J5018" s="76" t="b">
        <v>0</v>
      </c>
      <c r="K5018" s="76" t="b">
        <v>0</v>
      </c>
      <c r="L5018" s="76" t="b">
        <v>0</v>
      </c>
      <c r="M5018" s="76" t="b">
        <v>0</v>
      </c>
      <c r="N5018" s="76" t="b">
        <v>0</v>
      </c>
      <c r="O5018" s="76" t="b">
        <v>0</v>
      </c>
      <c r="P5018" s="76" t="b">
        <v>0</v>
      </c>
      <c r="Q5018" s="76" t="b">
        <v>0</v>
      </c>
      <c r="R5018" s="14"/>
      <c r="S5018" s="14"/>
      <c r="T5018" s="14"/>
      <c r="U5018" s="14"/>
      <c r="V5018" s="14"/>
      <c r="W5018" s="14"/>
    </row>
    <row r="5019" ht="31.5" customHeight="1">
      <c r="A5019" s="158"/>
      <c r="B5019" s="159"/>
      <c r="C5019" s="160"/>
      <c r="D5019" s="130"/>
      <c r="E5019" s="130"/>
      <c r="F5019" s="161"/>
      <c r="G5019" s="164"/>
      <c r="H5019" s="76" t="b">
        <v>1</v>
      </c>
      <c r="I5019" s="76" t="b">
        <v>0</v>
      </c>
      <c r="J5019" s="76" t="b">
        <v>0</v>
      </c>
      <c r="K5019" s="76" t="b">
        <v>0</v>
      </c>
      <c r="L5019" s="76" t="b">
        <v>0</v>
      </c>
      <c r="M5019" s="76" t="b">
        <v>0</v>
      </c>
      <c r="N5019" s="76" t="b">
        <v>0</v>
      </c>
      <c r="O5019" s="76" t="b">
        <v>0</v>
      </c>
      <c r="P5019" s="76" t="b">
        <v>0</v>
      </c>
      <c r="Q5019" s="76" t="b">
        <v>0</v>
      </c>
      <c r="R5019" s="14"/>
      <c r="S5019" s="14"/>
      <c r="T5019" s="14"/>
      <c r="U5019" s="14"/>
      <c r="V5019" s="14"/>
      <c r="W5019" s="14"/>
    </row>
    <row r="5020" ht="31.5" customHeight="1">
      <c r="A5020" s="158"/>
      <c r="B5020" s="159"/>
      <c r="C5020" s="160"/>
      <c r="D5020" s="130"/>
      <c r="E5020" s="130"/>
      <c r="F5020" s="161"/>
      <c r="G5020" s="164"/>
      <c r="H5020" s="76" t="b">
        <v>1</v>
      </c>
      <c r="I5020" s="76" t="b">
        <v>0</v>
      </c>
      <c r="J5020" s="76" t="b">
        <v>0</v>
      </c>
      <c r="K5020" s="76" t="b">
        <v>0</v>
      </c>
      <c r="L5020" s="76" t="b">
        <v>0</v>
      </c>
      <c r="M5020" s="76" t="b">
        <v>0</v>
      </c>
      <c r="N5020" s="76" t="b">
        <v>0</v>
      </c>
      <c r="O5020" s="76" t="b">
        <v>0</v>
      </c>
      <c r="P5020" s="76" t="b">
        <v>0</v>
      </c>
      <c r="Q5020" s="76" t="b">
        <v>0</v>
      </c>
      <c r="R5020" s="14"/>
      <c r="S5020" s="14"/>
      <c r="T5020" s="14"/>
      <c r="U5020" s="14"/>
      <c r="V5020" s="14"/>
      <c r="W5020" s="14"/>
    </row>
    <row r="5021" ht="31.5" customHeight="1">
      <c r="A5021" s="158"/>
      <c r="B5021" s="159"/>
      <c r="C5021" s="160"/>
      <c r="D5021" s="130"/>
      <c r="E5021" s="130"/>
      <c r="F5021" s="161"/>
      <c r="G5021" s="164"/>
      <c r="H5021" s="76" t="b">
        <v>1</v>
      </c>
      <c r="I5021" s="76" t="b">
        <v>0</v>
      </c>
      <c r="J5021" s="76" t="b">
        <v>0</v>
      </c>
      <c r="K5021" s="76" t="b">
        <v>0</v>
      </c>
      <c r="L5021" s="76" t="b">
        <v>0</v>
      </c>
      <c r="M5021" s="76" t="b">
        <v>0</v>
      </c>
      <c r="N5021" s="76" t="b">
        <v>0</v>
      </c>
      <c r="O5021" s="76" t="b">
        <v>0</v>
      </c>
      <c r="P5021" s="76" t="b">
        <v>0</v>
      </c>
      <c r="Q5021" s="76" t="b">
        <v>0</v>
      </c>
      <c r="R5021" s="14"/>
      <c r="S5021" s="14"/>
      <c r="T5021" s="14"/>
      <c r="U5021" s="14"/>
      <c r="V5021" s="14"/>
      <c r="W5021" s="14"/>
    </row>
    <row r="5022" ht="31.5" customHeight="1">
      <c r="A5022" s="158"/>
      <c r="B5022" s="159"/>
      <c r="C5022" s="160"/>
      <c r="D5022" s="130"/>
      <c r="E5022" s="130"/>
      <c r="F5022" s="161"/>
      <c r="G5022" s="164"/>
      <c r="H5022" s="76" t="b">
        <v>1</v>
      </c>
      <c r="I5022" s="76" t="b">
        <v>0</v>
      </c>
      <c r="J5022" s="76" t="b">
        <v>0</v>
      </c>
      <c r="K5022" s="76" t="b">
        <v>0</v>
      </c>
      <c r="L5022" s="76" t="b">
        <v>0</v>
      </c>
      <c r="M5022" s="76" t="b">
        <v>0</v>
      </c>
      <c r="N5022" s="76" t="b">
        <v>0</v>
      </c>
      <c r="O5022" s="76" t="b">
        <v>0</v>
      </c>
      <c r="P5022" s="76" t="b">
        <v>0</v>
      </c>
      <c r="Q5022" s="76" t="b">
        <v>0</v>
      </c>
      <c r="R5022" s="14"/>
      <c r="S5022" s="14"/>
      <c r="T5022" s="14"/>
      <c r="U5022" s="14"/>
      <c r="V5022" s="14"/>
      <c r="W5022" s="14"/>
    </row>
    <row r="5023" ht="31.5" customHeight="1">
      <c r="A5023" s="158"/>
      <c r="B5023" s="159"/>
      <c r="C5023" s="160"/>
      <c r="D5023" s="130"/>
      <c r="E5023" s="130"/>
      <c r="F5023" s="161"/>
      <c r="G5023" s="164"/>
      <c r="H5023" s="76" t="b">
        <v>1</v>
      </c>
      <c r="I5023" s="76" t="b">
        <v>0</v>
      </c>
      <c r="J5023" s="76" t="b">
        <v>0</v>
      </c>
      <c r="K5023" s="76" t="b">
        <v>0</v>
      </c>
      <c r="L5023" s="76" t="b">
        <v>0</v>
      </c>
      <c r="M5023" s="76" t="b">
        <v>0</v>
      </c>
      <c r="N5023" s="76" t="b">
        <v>0</v>
      </c>
      <c r="O5023" s="76" t="b">
        <v>0</v>
      </c>
      <c r="P5023" s="76" t="b">
        <v>0</v>
      </c>
      <c r="Q5023" s="76" t="b">
        <v>0</v>
      </c>
      <c r="R5023" s="14"/>
      <c r="S5023" s="14"/>
      <c r="T5023" s="14"/>
      <c r="U5023" s="14"/>
      <c r="V5023" s="14"/>
      <c r="W5023" s="14"/>
    </row>
    <row r="5024" ht="31.5" customHeight="1">
      <c r="A5024" s="158"/>
      <c r="B5024" s="159"/>
      <c r="C5024" s="160"/>
      <c r="D5024" s="130"/>
      <c r="E5024" s="130"/>
      <c r="F5024" s="161"/>
      <c r="G5024" s="164"/>
      <c r="H5024" s="76" t="b">
        <v>1</v>
      </c>
      <c r="I5024" s="76" t="b">
        <v>0</v>
      </c>
      <c r="J5024" s="76" t="b">
        <v>0</v>
      </c>
      <c r="K5024" s="76" t="b">
        <v>0</v>
      </c>
      <c r="L5024" s="76" t="b">
        <v>0</v>
      </c>
      <c r="M5024" s="76" t="b">
        <v>0</v>
      </c>
      <c r="N5024" s="76" t="b">
        <v>0</v>
      </c>
      <c r="O5024" s="76" t="b">
        <v>0</v>
      </c>
      <c r="P5024" s="76" t="b">
        <v>0</v>
      </c>
      <c r="Q5024" s="76" t="b">
        <v>0</v>
      </c>
      <c r="R5024" s="14"/>
      <c r="S5024" s="14"/>
      <c r="T5024" s="14"/>
      <c r="U5024" s="14"/>
      <c r="V5024" s="14"/>
      <c r="W5024" s="14"/>
    </row>
    <row r="5025" ht="31.5" customHeight="1">
      <c r="A5025" s="158"/>
      <c r="B5025" s="159"/>
      <c r="C5025" s="160"/>
      <c r="D5025" s="130"/>
      <c r="E5025" s="130"/>
      <c r="F5025" s="161"/>
      <c r="G5025" s="164"/>
      <c r="H5025" s="76" t="b">
        <v>1</v>
      </c>
      <c r="I5025" s="76" t="b">
        <v>0</v>
      </c>
      <c r="J5025" s="76" t="b">
        <v>0</v>
      </c>
      <c r="K5025" s="76" t="b">
        <v>0</v>
      </c>
      <c r="L5025" s="76" t="b">
        <v>0</v>
      </c>
      <c r="M5025" s="76" t="b">
        <v>0</v>
      </c>
      <c r="N5025" s="76" t="b">
        <v>0</v>
      </c>
      <c r="O5025" s="76" t="b">
        <v>0</v>
      </c>
      <c r="P5025" s="76" t="b">
        <v>0</v>
      </c>
      <c r="Q5025" s="76" t="b">
        <v>0</v>
      </c>
      <c r="R5025" s="14"/>
      <c r="S5025" s="14"/>
      <c r="T5025" s="14"/>
      <c r="U5025" s="14"/>
      <c r="V5025" s="14"/>
      <c r="W5025" s="14"/>
    </row>
    <row r="5026" ht="31.5" customHeight="1">
      <c r="A5026" s="158"/>
      <c r="B5026" s="159"/>
      <c r="C5026" s="160"/>
      <c r="D5026" s="130"/>
      <c r="E5026" s="130"/>
      <c r="F5026" s="161"/>
      <c r="G5026" s="164"/>
      <c r="H5026" s="76" t="b">
        <v>1</v>
      </c>
      <c r="I5026" s="76" t="b">
        <v>0</v>
      </c>
      <c r="J5026" s="76" t="b">
        <v>0</v>
      </c>
      <c r="K5026" s="76" t="b">
        <v>0</v>
      </c>
      <c r="L5026" s="76" t="b">
        <v>0</v>
      </c>
      <c r="M5026" s="76" t="b">
        <v>0</v>
      </c>
      <c r="N5026" s="76" t="b">
        <v>0</v>
      </c>
      <c r="O5026" s="76" t="b">
        <v>0</v>
      </c>
      <c r="P5026" s="76" t="b">
        <v>0</v>
      </c>
      <c r="Q5026" s="76" t="b">
        <v>0</v>
      </c>
      <c r="R5026" s="14"/>
      <c r="S5026" s="14"/>
      <c r="T5026" s="14"/>
      <c r="U5026" s="14"/>
      <c r="V5026" s="14"/>
      <c r="W5026" s="14"/>
    </row>
    <row r="5027" ht="31.5" customHeight="1">
      <c r="A5027" s="158"/>
      <c r="B5027" s="159"/>
      <c r="C5027" s="160"/>
      <c r="D5027" s="130"/>
      <c r="E5027" s="130"/>
      <c r="F5027" s="161"/>
      <c r="G5027" s="164"/>
      <c r="H5027" s="76" t="b">
        <v>1</v>
      </c>
      <c r="I5027" s="76" t="b">
        <v>0</v>
      </c>
      <c r="J5027" s="76" t="b">
        <v>0</v>
      </c>
      <c r="K5027" s="76" t="b">
        <v>0</v>
      </c>
      <c r="L5027" s="76" t="b">
        <v>0</v>
      </c>
      <c r="M5027" s="76" t="b">
        <v>0</v>
      </c>
      <c r="N5027" s="76" t="b">
        <v>0</v>
      </c>
      <c r="O5027" s="76" t="b">
        <v>0</v>
      </c>
      <c r="P5027" s="76" t="b">
        <v>0</v>
      </c>
      <c r="Q5027" s="76" t="b">
        <v>0</v>
      </c>
      <c r="R5027" s="14"/>
      <c r="S5027" s="14"/>
      <c r="T5027" s="14"/>
      <c r="U5027" s="14"/>
      <c r="V5027" s="14"/>
      <c r="W5027" s="14"/>
    </row>
    <row r="5028" ht="31.5" customHeight="1">
      <c r="A5028" s="158"/>
      <c r="B5028" s="159"/>
      <c r="C5028" s="160"/>
      <c r="D5028" s="130"/>
      <c r="E5028" s="130"/>
      <c r="F5028" s="161"/>
      <c r="G5028" s="164"/>
      <c r="H5028" s="76" t="b">
        <v>1</v>
      </c>
      <c r="I5028" s="76" t="b">
        <v>0</v>
      </c>
      <c r="J5028" s="76" t="b">
        <v>0</v>
      </c>
      <c r="K5028" s="76" t="b">
        <v>0</v>
      </c>
      <c r="L5028" s="76" t="b">
        <v>0</v>
      </c>
      <c r="M5028" s="76" t="b">
        <v>0</v>
      </c>
      <c r="N5028" s="76" t="b">
        <v>0</v>
      </c>
      <c r="O5028" s="76" t="b">
        <v>0</v>
      </c>
      <c r="P5028" s="76" t="b">
        <v>0</v>
      </c>
      <c r="Q5028" s="76" t="b">
        <v>0</v>
      </c>
      <c r="R5028" s="14"/>
      <c r="S5028" s="14"/>
      <c r="T5028" s="14"/>
      <c r="U5028" s="14"/>
      <c r="V5028" s="14"/>
      <c r="W5028" s="14"/>
    </row>
    <row r="5029" ht="31.5" customHeight="1">
      <c r="A5029" s="158"/>
      <c r="B5029" s="159"/>
      <c r="C5029" s="160"/>
      <c r="D5029" s="130"/>
      <c r="E5029" s="130"/>
      <c r="F5029" s="161"/>
      <c r="G5029" s="164"/>
      <c r="H5029" s="76" t="b">
        <v>1</v>
      </c>
      <c r="I5029" s="76" t="b">
        <v>0</v>
      </c>
      <c r="J5029" s="76" t="b">
        <v>0</v>
      </c>
      <c r="K5029" s="76" t="b">
        <v>0</v>
      </c>
      <c r="L5029" s="76" t="b">
        <v>0</v>
      </c>
      <c r="M5029" s="76" t="b">
        <v>0</v>
      </c>
      <c r="N5029" s="76" t="b">
        <v>0</v>
      </c>
      <c r="O5029" s="76" t="b">
        <v>0</v>
      </c>
      <c r="P5029" s="76" t="b">
        <v>0</v>
      </c>
      <c r="Q5029" s="76" t="b">
        <v>0</v>
      </c>
      <c r="R5029" s="14"/>
      <c r="S5029" s="14"/>
      <c r="T5029" s="14"/>
      <c r="U5029" s="14"/>
      <c r="V5029" s="14"/>
      <c r="W5029" s="14"/>
    </row>
    <row r="5030" ht="31.5" customHeight="1">
      <c r="A5030" s="158"/>
      <c r="B5030" s="159"/>
      <c r="C5030" s="160"/>
      <c r="D5030" s="130"/>
      <c r="E5030" s="130"/>
      <c r="F5030" s="161"/>
      <c r="G5030" s="164"/>
      <c r="H5030" s="76" t="b">
        <v>1</v>
      </c>
      <c r="I5030" s="76" t="b">
        <v>0</v>
      </c>
      <c r="J5030" s="76" t="b">
        <v>0</v>
      </c>
      <c r="K5030" s="76" t="b">
        <v>0</v>
      </c>
      <c r="L5030" s="76" t="b">
        <v>0</v>
      </c>
      <c r="M5030" s="76" t="b">
        <v>0</v>
      </c>
      <c r="N5030" s="76" t="b">
        <v>0</v>
      </c>
      <c r="O5030" s="76" t="b">
        <v>0</v>
      </c>
      <c r="P5030" s="76" t="b">
        <v>0</v>
      </c>
      <c r="Q5030" s="76" t="b">
        <v>0</v>
      </c>
      <c r="R5030" s="14"/>
      <c r="S5030" s="14"/>
      <c r="T5030" s="14"/>
      <c r="U5030" s="14"/>
      <c r="V5030" s="14"/>
      <c r="W5030" s="14"/>
    </row>
    <row r="5031" ht="31.5" customHeight="1">
      <c r="A5031" s="158"/>
      <c r="B5031" s="159"/>
      <c r="C5031" s="160"/>
      <c r="D5031" s="130"/>
      <c r="E5031" s="130"/>
      <c r="F5031" s="161"/>
      <c r="G5031" s="164"/>
      <c r="H5031" s="76" t="b">
        <v>1</v>
      </c>
      <c r="I5031" s="76" t="b">
        <v>0</v>
      </c>
      <c r="J5031" s="76" t="b">
        <v>0</v>
      </c>
      <c r="K5031" s="76" t="b">
        <v>0</v>
      </c>
      <c r="L5031" s="76" t="b">
        <v>0</v>
      </c>
      <c r="M5031" s="76" t="b">
        <v>0</v>
      </c>
      <c r="N5031" s="76" t="b">
        <v>0</v>
      </c>
      <c r="O5031" s="76" t="b">
        <v>0</v>
      </c>
      <c r="P5031" s="76" t="b">
        <v>0</v>
      </c>
      <c r="Q5031" s="76" t="b">
        <v>0</v>
      </c>
      <c r="R5031" s="14"/>
      <c r="S5031" s="14"/>
      <c r="T5031" s="14"/>
      <c r="U5031" s="14"/>
      <c r="V5031" s="14"/>
      <c r="W5031" s="14"/>
    </row>
    <row r="5032" ht="31.5" customHeight="1">
      <c r="A5032" s="158"/>
      <c r="B5032" s="159"/>
      <c r="C5032" s="160"/>
      <c r="D5032" s="130"/>
      <c r="E5032" s="130"/>
      <c r="F5032" s="161"/>
      <c r="G5032" s="164"/>
      <c r="H5032" s="76" t="b">
        <v>1</v>
      </c>
      <c r="I5032" s="76" t="b">
        <v>0</v>
      </c>
      <c r="J5032" s="76" t="b">
        <v>0</v>
      </c>
      <c r="K5032" s="76" t="b">
        <v>0</v>
      </c>
      <c r="L5032" s="76" t="b">
        <v>0</v>
      </c>
      <c r="M5032" s="76" t="b">
        <v>0</v>
      </c>
      <c r="N5032" s="76" t="b">
        <v>0</v>
      </c>
      <c r="O5032" s="76" t="b">
        <v>0</v>
      </c>
      <c r="P5032" s="76" t="b">
        <v>0</v>
      </c>
      <c r="Q5032" s="76" t="b">
        <v>0</v>
      </c>
      <c r="R5032" s="14"/>
      <c r="S5032" s="14"/>
      <c r="T5032" s="14"/>
      <c r="U5032" s="14"/>
      <c r="V5032" s="14"/>
      <c r="W5032" s="14"/>
    </row>
    <row r="5033" ht="31.5" customHeight="1">
      <c r="A5033" s="158"/>
      <c r="B5033" s="159"/>
      <c r="C5033" s="160"/>
      <c r="D5033" s="130"/>
      <c r="E5033" s="130"/>
      <c r="F5033" s="161"/>
      <c r="G5033" s="164"/>
      <c r="H5033" s="76" t="b">
        <v>1</v>
      </c>
      <c r="I5033" s="76" t="b">
        <v>0</v>
      </c>
      <c r="J5033" s="76" t="b">
        <v>0</v>
      </c>
      <c r="K5033" s="76" t="b">
        <v>0</v>
      </c>
      <c r="L5033" s="76" t="b">
        <v>0</v>
      </c>
      <c r="M5033" s="76" t="b">
        <v>0</v>
      </c>
      <c r="N5033" s="76" t="b">
        <v>0</v>
      </c>
      <c r="O5033" s="76" t="b">
        <v>0</v>
      </c>
      <c r="P5033" s="76" t="b">
        <v>0</v>
      </c>
      <c r="Q5033" s="76" t="b">
        <v>0</v>
      </c>
      <c r="R5033" s="14"/>
      <c r="S5033" s="14"/>
      <c r="T5033" s="14"/>
      <c r="U5033" s="14"/>
      <c r="V5033" s="14"/>
      <c r="W5033" s="14"/>
    </row>
    <row r="5034" ht="31.5" customHeight="1">
      <c r="A5034" s="158"/>
      <c r="B5034" s="159"/>
      <c r="C5034" s="160"/>
      <c r="D5034" s="130"/>
      <c r="E5034" s="130"/>
      <c r="F5034" s="161"/>
      <c r="G5034" s="164"/>
      <c r="H5034" s="76" t="b">
        <v>1</v>
      </c>
      <c r="I5034" s="76" t="b">
        <v>0</v>
      </c>
      <c r="J5034" s="76" t="b">
        <v>0</v>
      </c>
      <c r="K5034" s="76" t="b">
        <v>0</v>
      </c>
      <c r="L5034" s="76" t="b">
        <v>0</v>
      </c>
      <c r="M5034" s="76" t="b">
        <v>0</v>
      </c>
      <c r="N5034" s="76" t="b">
        <v>0</v>
      </c>
      <c r="O5034" s="76" t="b">
        <v>0</v>
      </c>
      <c r="P5034" s="76" t="b">
        <v>0</v>
      </c>
      <c r="Q5034" s="76" t="b">
        <v>0</v>
      </c>
      <c r="R5034" s="14"/>
      <c r="S5034" s="14"/>
      <c r="T5034" s="14"/>
      <c r="U5034" s="14"/>
      <c r="V5034" s="14"/>
      <c r="W5034" s="14"/>
    </row>
    <row r="5035" ht="31.5" customHeight="1">
      <c r="A5035" s="158"/>
      <c r="B5035" s="159"/>
      <c r="C5035" s="160"/>
      <c r="D5035" s="130"/>
      <c r="E5035" s="130"/>
      <c r="F5035" s="161"/>
      <c r="G5035" s="164"/>
      <c r="H5035" s="76" t="b">
        <v>1</v>
      </c>
      <c r="I5035" s="76" t="b">
        <v>0</v>
      </c>
      <c r="J5035" s="76" t="b">
        <v>0</v>
      </c>
      <c r="K5035" s="76" t="b">
        <v>0</v>
      </c>
      <c r="L5035" s="76" t="b">
        <v>0</v>
      </c>
      <c r="M5035" s="76" t="b">
        <v>0</v>
      </c>
      <c r="N5035" s="76" t="b">
        <v>0</v>
      </c>
      <c r="O5035" s="76" t="b">
        <v>0</v>
      </c>
      <c r="P5035" s="76" t="b">
        <v>0</v>
      </c>
      <c r="Q5035" s="76" t="b">
        <v>0</v>
      </c>
      <c r="R5035" s="14"/>
      <c r="S5035" s="14"/>
      <c r="T5035" s="14"/>
      <c r="U5035" s="14"/>
      <c r="V5035" s="14"/>
      <c r="W5035" s="14"/>
    </row>
    <row r="5036" ht="31.5" customHeight="1">
      <c r="A5036" s="158"/>
      <c r="B5036" s="159"/>
      <c r="C5036" s="160"/>
      <c r="D5036" s="130"/>
      <c r="E5036" s="130"/>
      <c r="F5036" s="161"/>
      <c r="G5036" s="164"/>
      <c r="H5036" s="76" t="b">
        <v>1</v>
      </c>
      <c r="I5036" s="76" t="b">
        <v>0</v>
      </c>
      <c r="J5036" s="76" t="b">
        <v>0</v>
      </c>
      <c r="K5036" s="76" t="b">
        <v>0</v>
      </c>
      <c r="L5036" s="76" t="b">
        <v>0</v>
      </c>
      <c r="M5036" s="76" t="b">
        <v>0</v>
      </c>
      <c r="N5036" s="76" t="b">
        <v>0</v>
      </c>
      <c r="O5036" s="76" t="b">
        <v>0</v>
      </c>
      <c r="P5036" s="76" t="b">
        <v>0</v>
      </c>
      <c r="Q5036" s="76" t="b">
        <v>0</v>
      </c>
      <c r="R5036" s="14"/>
      <c r="S5036" s="14"/>
      <c r="T5036" s="14"/>
      <c r="U5036" s="14"/>
      <c r="V5036" s="14"/>
      <c r="W5036" s="14"/>
    </row>
    <row r="5037" ht="31.5" customHeight="1">
      <c r="A5037" s="158"/>
      <c r="B5037" s="159"/>
      <c r="C5037" s="160"/>
      <c r="D5037" s="130"/>
      <c r="E5037" s="130"/>
      <c r="F5037" s="161"/>
      <c r="G5037" s="164"/>
      <c r="H5037" s="76" t="b">
        <v>1</v>
      </c>
      <c r="I5037" s="76" t="b">
        <v>0</v>
      </c>
      <c r="J5037" s="76" t="b">
        <v>0</v>
      </c>
      <c r="K5037" s="76" t="b">
        <v>0</v>
      </c>
      <c r="L5037" s="76" t="b">
        <v>0</v>
      </c>
      <c r="M5037" s="76" t="b">
        <v>0</v>
      </c>
      <c r="N5037" s="76" t="b">
        <v>0</v>
      </c>
      <c r="O5037" s="76" t="b">
        <v>0</v>
      </c>
      <c r="P5037" s="76" t="b">
        <v>0</v>
      </c>
      <c r="Q5037" s="76" t="b">
        <v>0</v>
      </c>
      <c r="R5037" s="14"/>
      <c r="S5037" s="14"/>
      <c r="T5037" s="14"/>
      <c r="U5037" s="14"/>
      <c r="V5037" s="14"/>
      <c r="W5037" s="14"/>
    </row>
    <row r="5038" ht="31.5" customHeight="1">
      <c r="A5038" s="158"/>
      <c r="B5038" s="159"/>
      <c r="C5038" s="160"/>
      <c r="D5038" s="130"/>
      <c r="E5038" s="130"/>
      <c r="F5038" s="161"/>
      <c r="G5038" s="164"/>
      <c r="H5038" s="76" t="b">
        <v>1</v>
      </c>
      <c r="I5038" s="76" t="b">
        <v>0</v>
      </c>
      <c r="J5038" s="76" t="b">
        <v>0</v>
      </c>
      <c r="K5038" s="76" t="b">
        <v>0</v>
      </c>
      <c r="L5038" s="76" t="b">
        <v>0</v>
      </c>
      <c r="M5038" s="76" t="b">
        <v>0</v>
      </c>
      <c r="N5038" s="76" t="b">
        <v>0</v>
      </c>
      <c r="O5038" s="76" t="b">
        <v>0</v>
      </c>
      <c r="P5038" s="76" t="b">
        <v>0</v>
      </c>
      <c r="Q5038" s="76" t="b">
        <v>0</v>
      </c>
      <c r="R5038" s="14"/>
      <c r="S5038" s="14"/>
      <c r="T5038" s="14"/>
      <c r="U5038" s="14"/>
      <c r="V5038" s="14"/>
      <c r="W5038" s="14"/>
    </row>
    <row r="5039" ht="31.5" customHeight="1">
      <c r="A5039" s="158"/>
      <c r="B5039" s="159"/>
      <c r="C5039" s="160"/>
      <c r="D5039" s="130"/>
      <c r="E5039" s="130"/>
      <c r="F5039" s="161"/>
      <c r="G5039" s="164"/>
      <c r="H5039" s="76" t="b">
        <v>1</v>
      </c>
      <c r="I5039" s="76" t="b">
        <v>0</v>
      </c>
      <c r="J5039" s="76" t="b">
        <v>0</v>
      </c>
      <c r="K5039" s="76" t="b">
        <v>0</v>
      </c>
      <c r="L5039" s="76" t="b">
        <v>0</v>
      </c>
      <c r="M5039" s="76" t="b">
        <v>0</v>
      </c>
      <c r="N5039" s="76" t="b">
        <v>0</v>
      </c>
      <c r="O5039" s="76" t="b">
        <v>0</v>
      </c>
      <c r="P5039" s="76" t="b">
        <v>0</v>
      </c>
      <c r="Q5039" s="76" t="b">
        <v>0</v>
      </c>
      <c r="R5039" s="14"/>
      <c r="S5039" s="14"/>
      <c r="T5039" s="14"/>
      <c r="U5039" s="14"/>
      <c r="V5039" s="14"/>
      <c r="W5039" s="14"/>
    </row>
    <row r="5040" ht="31.5" customHeight="1">
      <c r="A5040" s="158"/>
      <c r="B5040" s="159"/>
      <c r="C5040" s="160"/>
      <c r="D5040" s="130"/>
      <c r="E5040" s="130"/>
      <c r="F5040" s="161"/>
      <c r="G5040" s="164"/>
      <c r="H5040" s="76" t="b">
        <v>1</v>
      </c>
      <c r="I5040" s="76" t="b">
        <v>0</v>
      </c>
      <c r="J5040" s="76" t="b">
        <v>0</v>
      </c>
      <c r="K5040" s="76" t="b">
        <v>0</v>
      </c>
      <c r="L5040" s="76" t="b">
        <v>0</v>
      </c>
      <c r="M5040" s="76" t="b">
        <v>0</v>
      </c>
      <c r="N5040" s="76" t="b">
        <v>0</v>
      </c>
      <c r="O5040" s="76" t="b">
        <v>0</v>
      </c>
      <c r="P5040" s="76" t="b">
        <v>0</v>
      </c>
      <c r="Q5040" s="76" t="b">
        <v>0</v>
      </c>
      <c r="R5040" s="14"/>
      <c r="S5040" s="14"/>
      <c r="T5040" s="14"/>
      <c r="U5040" s="14"/>
      <c r="V5040" s="14"/>
      <c r="W5040" s="14"/>
    </row>
    <row r="5041" ht="31.5" customHeight="1">
      <c r="A5041" s="158"/>
      <c r="B5041" s="159"/>
      <c r="C5041" s="160"/>
      <c r="D5041" s="130"/>
      <c r="E5041" s="130"/>
      <c r="F5041" s="161"/>
      <c r="G5041" s="164"/>
      <c r="H5041" s="76" t="b">
        <v>1</v>
      </c>
      <c r="I5041" s="76" t="b">
        <v>0</v>
      </c>
      <c r="J5041" s="76" t="b">
        <v>0</v>
      </c>
      <c r="K5041" s="76" t="b">
        <v>0</v>
      </c>
      <c r="L5041" s="76" t="b">
        <v>0</v>
      </c>
      <c r="M5041" s="76" t="b">
        <v>0</v>
      </c>
      <c r="N5041" s="76" t="b">
        <v>0</v>
      </c>
      <c r="O5041" s="76" t="b">
        <v>0</v>
      </c>
      <c r="P5041" s="76" t="b">
        <v>0</v>
      </c>
      <c r="Q5041" s="76" t="b">
        <v>0</v>
      </c>
      <c r="R5041" s="14"/>
      <c r="S5041" s="14"/>
      <c r="T5041" s="14"/>
      <c r="U5041" s="14"/>
      <c r="V5041" s="14"/>
      <c r="W5041" s="14"/>
    </row>
    <row r="5042" ht="31.5" customHeight="1">
      <c r="A5042" s="158"/>
      <c r="B5042" s="159"/>
      <c r="C5042" s="160"/>
      <c r="D5042" s="130"/>
      <c r="E5042" s="130"/>
      <c r="F5042" s="161"/>
      <c r="G5042" s="164"/>
      <c r="H5042" s="76" t="b">
        <v>1</v>
      </c>
      <c r="I5042" s="76" t="b">
        <v>0</v>
      </c>
      <c r="J5042" s="76" t="b">
        <v>0</v>
      </c>
      <c r="K5042" s="76" t="b">
        <v>0</v>
      </c>
      <c r="L5042" s="76" t="b">
        <v>0</v>
      </c>
      <c r="M5042" s="76" t="b">
        <v>0</v>
      </c>
      <c r="N5042" s="76" t="b">
        <v>0</v>
      </c>
      <c r="O5042" s="76" t="b">
        <v>0</v>
      </c>
      <c r="P5042" s="76" t="b">
        <v>0</v>
      </c>
      <c r="Q5042" s="76" t="b">
        <v>0</v>
      </c>
      <c r="R5042" s="14"/>
      <c r="S5042" s="14"/>
      <c r="T5042" s="14"/>
      <c r="U5042" s="14"/>
      <c r="V5042" s="14"/>
      <c r="W5042" s="14"/>
    </row>
    <row r="5043" ht="31.5" customHeight="1">
      <c r="A5043" s="158"/>
      <c r="B5043" s="159"/>
      <c r="C5043" s="160"/>
      <c r="D5043" s="130"/>
      <c r="E5043" s="130"/>
      <c r="F5043" s="161"/>
      <c r="G5043" s="164"/>
      <c r="H5043" s="76" t="b">
        <v>1</v>
      </c>
      <c r="I5043" s="76" t="b">
        <v>0</v>
      </c>
      <c r="J5043" s="76" t="b">
        <v>0</v>
      </c>
      <c r="K5043" s="76" t="b">
        <v>0</v>
      </c>
      <c r="L5043" s="76" t="b">
        <v>0</v>
      </c>
      <c r="M5043" s="76" t="b">
        <v>0</v>
      </c>
      <c r="N5043" s="76" t="b">
        <v>0</v>
      </c>
      <c r="O5043" s="76" t="b">
        <v>0</v>
      </c>
      <c r="P5043" s="76" t="b">
        <v>0</v>
      </c>
      <c r="Q5043" s="76" t="b">
        <v>0</v>
      </c>
      <c r="R5043" s="14"/>
      <c r="S5043" s="14"/>
      <c r="T5043" s="14"/>
      <c r="U5043" s="14"/>
      <c r="V5043" s="14"/>
      <c r="W5043" s="14"/>
    </row>
    <row r="5044" ht="31.5" customHeight="1">
      <c r="A5044" s="158"/>
      <c r="B5044" s="159"/>
      <c r="C5044" s="160"/>
      <c r="D5044" s="130"/>
      <c r="E5044" s="130"/>
      <c r="F5044" s="161"/>
      <c r="G5044" s="164"/>
      <c r="H5044" s="76" t="b">
        <v>1</v>
      </c>
      <c r="I5044" s="76" t="b">
        <v>0</v>
      </c>
      <c r="J5044" s="76" t="b">
        <v>0</v>
      </c>
      <c r="K5044" s="76" t="b">
        <v>0</v>
      </c>
      <c r="L5044" s="76" t="b">
        <v>0</v>
      </c>
      <c r="M5044" s="76" t="b">
        <v>0</v>
      </c>
      <c r="N5044" s="76" t="b">
        <v>0</v>
      </c>
      <c r="O5044" s="76" t="b">
        <v>0</v>
      </c>
      <c r="P5044" s="76" t="b">
        <v>0</v>
      </c>
      <c r="Q5044" s="76" t="b">
        <v>0</v>
      </c>
      <c r="R5044" s="14"/>
      <c r="S5044" s="14"/>
      <c r="T5044" s="14"/>
      <c r="U5044" s="14"/>
      <c r="V5044" s="14"/>
      <c r="W5044" s="14"/>
    </row>
    <row r="5045" ht="31.5" customHeight="1">
      <c r="A5045" s="158"/>
      <c r="B5045" s="159"/>
      <c r="C5045" s="160"/>
      <c r="D5045" s="130"/>
      <c r="E5045" s="130"/>
      <c r="F5045" s="161"/>
      <c r="G5045" s="164"/>
      <c r="H5045" s="76" t="b">
        <v>1</v>
      </c>
      <c r="I5045" s="76" t="b">
        <v>0</v>
      </c>
      <c r="J5045" s="76" t="b">
        <v>0</v>
      </c>
      <c r="K5045" s="76" t="b">
        <v>0</v>
      </c>
      <c r="L5045" s="76" t="b">
        <v>0</v>
      </c>
      <c r="M5045" s="76" t="b">
        <v>0</v>
      </c>
      <c r="N5045" s="76" t="b">
        <v>0</v>
      </c>
      <c r="O5045" s="76" t="b">
        <v>0</v>
      </c>
      <c r="P5045" s="76" t="b">
        <v>0</v>
      </c>
      <c r="Q5045" s="76" t="b">
        <v>0</v>
      </c>
      <c r="R5045" s="14"/>
      <c r="S5045" s="14"/>
      <c r="T5045" s="14"/>
      <c r="U5045" s="14"/>
      <c r="V5045" s="14"/>
      <c r="W5045" s="14"/>
    </row>
    <row r="5046" ht="31.5" customHeight="1">
      <c r="A5046" s="158"/>
      <c r="B5046" s="159"/>
      <c r="C5046" s="160"/>
      <c r="D5046" s="130"/>
      <c r="E5046" s="130"/>
      <c r="F5046" s="161"/>
      <c r="G5046" s="164"/>
      <c r="H5046" s="76" t="b">
        <v>1</v>
      </c>
      <c r="I5046" s="76" t="b">
        <v>0</v>
      </c>
      <c r="J5046" s="76" t="b">
        <v>0</v>
      </c>
      <c r="K5046" s="76" t="b">
        <v>0</v>
      </c>
      <c r="L5046" s="76" t="b">
        <v>0</v>
      </c>
      <c r="M5046" s="76" t="b">
        <v>0</v>
      </c>
      <c r="N5046" s="76" t="b">
        <v>0</v>
      </c>
      <c r="O5046" s="76" t="b">
        <v>0</v>
      </c>
      <c r="P5046" s="76" t="b">
        <v>0</v>
      </c>
      <c r="Q5046" s="76" t="b">
        <v>0</v>
      </c>
      <c r="R5046" s="14"/>
      <c r="S5046" s="14"/>
      <c r="T5046" s="14"/>
      <c r="U5046" s="14"/>
      <c r="V5046" s="14"/>
      <c r="W5046" s="14"/>
    </row>
    <row r="5047" ht="31.5" customHeight="1">
      <c r="A5047" s="158"/>
      <c r="B5047" s="159"/>
      <c r="C5047" s="160"/>
      <c r="D5047" s="130"/>
      <c r="E5047" s="130"/>
      <c r="F5047" s="161"/>
      <c r="G5047" s="164"/>
      <c r="H5047" s="76" t="b">
        <v>1</v>
      </c>
      <c r="I5047" s="76" t="b">
        <v>0</v>
      </c>
      <c r="J5047" s="76" t="b">
        <v>0</v>
      </c>
      <c r="K5047" s="76" t="b">
        <v>0</v>
      </c>
      <c r="L5047" s="76" t="b">
        <v>0</v>
      </c>
      <c r="M5047" s="76" t="b">
        <v>0</v>
      </c>
      <c r="N5047" s="76" t="b">
        <v>0</v>
      </c>
      <c r="O5047" s="76" t="b">
        <v>0</v>
      </c>
      <c r="P5047" s="76" t="b">
        <v>0</v>
      </c>
      <c r="Q5047" s="76" t="b">
        <v>0</v>
      </c>
      <c r="R5047" s="14"/>
      <c r="S5047" s="14"/>
      <c r="T5047" s="14"/>
      <c r="U5047" s="14"/>
      <c r="V5047" s="14"/>
      <c r="W5047" s="14"/>
    </row>
    <row r="5048" ht="31.5" customHeight="1">
      <c r="A5048" s="158"/>
      <c r="B5048" s="159"/>
      <c r="C5048" s="160"/>
      <c r="D5048" s="130"/>
      <c r="E5048" s="130"/>
      <c r="F5048" s="161"/>
      <c r="G5048" s="164"/>
      <c r="H5048" s="76" t="b">
        <v>1</v>
      </c>
      <c r="I5048" s="76" t="b">
        <v>0</v>
      </c>
      <c r="J5048" s="76" t="b">
        <v>0</v>
      </c>
      <c r="K5048" s="76" t="b">
        <v>0</v>
      </c>
      <c r="L5048" s="76" t="b">
        <v>0</v>
      </c>
      <c r="M5048" s="76" t="b">
        <v>0</v>
      </c>
      <c r="N5048" s="76" t="b">
        <v>0</v>
      </c>
      <c r="O5048" s="76" t="b">
        <v>0</v>
      </c>
      <c r="P5048" s="76" t="b">
        <v>0</v>
      </c>
      <c r="Q5048" s="76" t="b">
        <v>0</v>
      </c>
      <c r="R5048" s="14"/>
      <c r="S5048" s="14"/>
      <c r="T5048" s="14"/>
      <c r="U5048" s="14"/>
      <c r="V5048" s="14"/>
      <c r="W5048" s="14"/>
    </row>
    <row r="5049" ht="31.5" customHeight="1">
      <c r="A5049" s="158"/>
      <c r="B5049" s="159"/>
      <c r="C5049" s="160"/>
      <c r="D5049" s="130"/>
      <c r="E5049" s="130"/>
      <c r="F5049" s="161"/>
      <c r="G5049" s="164"/>
      <c r="H5049" s="76" t="b">
        <v>1</v>
      </c>
      <c r="I5049" s="76" t="b">
        <v>0</v>
      </c>
      <c r="J5049" s="76" t="b">
        <v>0</v>
      </c>
      <c r="K5049" s="76" t="b">
        <v>0</v>
      </c>
      <c r="L5049" s="76" t="b">
        <v>0</v>
      </c>
      <c r="M5049" s="76" t="b">
        <v>0</v>
      </c>
      <c r="N5049" s="76" t="b">
        <v>0</v>
      </c>
      <c r="O5049" s="76" t="b">
        <v>0</v>
      </c>
      <c r="P5049" s="76" t="b">
        <v>0</v>
      </c>
      <c r="Q5049" s="76" t="b">
        <v>0</v>
      </c>
      <c r="R5049" s="14"/>
      <c r="S5049" s="14"/>
      <c r="T5049" s="14"/>
      <c r="U5049" s="14"/>
      <c r="V5049" s="14"/>
      <c r="W5049" s="14"/>
    </row>
    <row r="5050" ht="31.5" customHeight="1">
      <c r="A5050" s="158"/>
      <c r="B5050" s="159"/>
      <c r="C5050" s="160"/>
      <c r="D5050" s="130"/>
      <c r="E5050" s="130"/>
      <c r="F5050" s="161"/>
      <c r="G5050" s="164"/>
      <c r="H5050" s="76" t="b">
        <v>1</v>
      </c>
      <c r="I5050" s="76" t="b">
        <v>0</v>
      </c>
      <c r="J5050" s="76" t="b">
        <v>0</v>
      </c>
      <c r="K5050" s="76" t="b">
        <v>0</v>
      </c>
      <c r="L5050" s="76" t="b">
        <v>0</v>
      </c>
      <c r="M5050" s="76" t="b">
        <v>0</v>
      </c>
      <c r="N5050" s="76" t="b">
        <v>0</v>
      </c>
      <c r="O5050" s="76" t="b">
        <v>0</v>
      </c>
      <c r="P5050" s="76" t="b">
        <v>0</v>
      </c>
      <c r="Q5050" s="76" t="b">
        <v>0</v>
      </c>
      <c r="R5050" s="14"/>
      <c r="S5050" s="14"/>
      <c r="T5050" s="14"/>
      <c r="U5050" s="14"/>
      <c r="V5050" s="14"/>
      <c r="W5050" s="14"/>
    </row>
    <row r="5051" ht="31.5" customHeight="1">
      <c r="A5051" s="158"/>
      <c r="B5051" s="159"/>
      <c r="C5051" s="160"/>
      <c r="D5051" s="130"/>
      <c r="E5051" s="130"/>
      <c r="F5051" s="161"/>
      <c r="G5051" s="164"/>
      <c r="H5051" s="76" t="b">
        <v>1</v>
      </c>
      <c r="I5051" s="76" t="b">
        <v>0</v>
      </c>
      <c r="J5051" s="76" t="b">
        <v>0</v>
      </c>
      <c r="K5051" s="76" t="b">
        <v>0</v>
      </c>
      <c r="L5051" s="76" t="b">
        <v>0</v>
      </c>
      <c r="M5051" s="76" t="b">
        <v>0</v>
      </c>
      <c r="N5051" s="76" t="b">
        <v>0</v>
      </c>
      <c r="O5051" s="76" t="b">
        <v>0</v>
      </c>
      <c r="P5051" s="76" t="b">
        <v>0</v>
      </c>
      <c r="Q5051" s="76" t="b">
        <v>0</v>
      </c>
      <c r="R5051" s="14"/>
      <c r="S5051" s="14"/>
      <c r="T5051" s="14"/>
      <c r="U5051" s="14"/>
      <c r="V5051" s="14"/>
      <c r="W5051" s="14"/>
    </row>
    <row r="5052" ht="31.5" customHeight="1">
      <c r="A5052" s="158"/>
      <c r="B5052" s="159"/>
      <c r="C5052" s="160"/>
      <c r="D5052" s="130"/>
      <c r="E5052" s="130"/>
      <c r="F5052" s="161"/>
      <c r="G5052" s="164"/>
      <c r="H5052" s="76" t="b">
        <v>1</v>
      </c>
      <c r="I5052" s="76" t="b">
        <v>0</v>
      </c>
      <c r="J5052" s="76" t="b">
        <v>0</v>
      </c>
      <c r="K5052" s="76" t="b">
        <v>0</v>
      </c>
      <c r="L5052" s="76" t="b">
        <v>0</v>
      </c>
      <c r="M5052" s="76" t="b">
        <v>0</v>
      </c>
      <c r="N5052" s="76" t="b">
        <v>0</v>
      </c>
      <c r="O5052" s="76" t="b">
        <v>0</v>
      </c>
      <c r="P5052" s="76" t="b">
        <v>0</v>
      </c>
      <c r="Q5052" s="76" t="b">
        <v>0</v>
      </c>
      <c r="R5052" s="14"/>
      <c r="S5052" s="14"/>
      <c r="T5052" s="14"/>
      <c r="U5052" s="14"/>
      <c r="V5052" s="14"/>
      <c r="W5052" s="14"/>
    </row>
    <row r="5053" ht="31.5" customHeight="1">
      <c r="A5053" s="158"/>
      <c r="B5053" s="159"/>
      <c r="C5053" s="160"/>
      <c r="D5053" s="130"/>
      <c r="E5053" s="130"/>
      <c r="F5053" s="161"/>
      <c r="G5053" s="164"/>
      <c r="H5053" s="76" t="b">
        <v>1</v>
      </c>
      <c r="I5053" s="76" t="b">
        <v>0</v>
      </c>
      <c r="J5053" s="76" t="b">
        <v>0</v>
      </c>
      <c r="K5053" s="76" t="b">
        <v>0</v>
      </c>
      <c r="L5053" s="76" t="b">
        <v>0</v>
      </c>
      <c r="M5053" s="76" t="b">
        <v>0</v>
      </c>
      <c r="N5053" s="76" t="b">
        <v>0</v>
      </c>
      <c r="O5053" s="76" t="b">
        <v>0</v>
      </c>
      <c r="P5053" s="76" t="b">
        <v>0</v>
      </c>
      <c r="Q5053" s="76" t="b">
        <v>0</v>
      </c>
      <c r="R5053" s="14"/>
      <c r="S5053" s="14"/>
      <c r="T5053" s="14"/>
      <c r="U5053" s="14"/>
      <c r="V5053" s="14"/>
      <c r="W5053" s="14"/>
    </row>
    <row r="5054" ht="31.5" customHeight="1">
      <c r="A5054" s="158"/>
      <c r="B5054" s="159"/>
      <c r="C5054" s="160"/>
      <c r="D5054" s="130"/>
      <c r="E5054" s="130"/>
      <c r="F5054" s="161"/>
      <c r="G5054" s="164"/>
      <c r="H5054" s="76" t="b">
        <v>1</v>
      </c>
      <c r="I5054" s="76" t="b">
        <v>0</v>
      </c>
      <c r="J5054" s="76" t="b">
        <v>0</v>
      </c>
      <c r="K5054" s="76" t="b">
        <v>0</v>
      </c>
      <c r="L5054" s="76" t="b">
        <v>0</v>
      </c>
      <c r="M5054" s="76" t="b">
        <v>0</v>
      </c>
      <c r="N5054" s="76" t="b">
        <v>0</v>
      </c>
      <c r="O5054" s="76" t="b">
        <v>0</v>
      </c>
      <c r="P5054" s="76" t="b">
        <v>0</v>
      </c>
      <c r="Q5054" s="76" t="b">
        <v>0</v>
      </c>
      <c r="R5054" s="14"/>
      <c r="S5054" s="14"/>
      <c r="T5054" s="14"/>
      <c r="U5054" s="14"/>
      <c r="V5054" s="14"/>
      <c r="W5054" s="14"/>
    </row>
    <row r="5055" ht="31.5" customHeight="1">
      <c r="A5055" s="158"/>
      <c r="B5055" s="159"/>
      <c r="C5055" s="160"/>
      <c r="D5055" s="130"/>
      <c r="E5055" s="130"/>
      <c r="F5055" s="161"/>
      <c r="G5055" s="164"/>
      <c r="H5055" s="76" t="b">
        <v>1</v>
      </c>
      <c r="I5055" s="76" t="b">
        <v>0</v>
      </c>
      <c r="J5055" s="76" t="b">
        <v>0</v>
      </c>
      <c r="K5055" s="76" t="b">
        <v>0</v>
      </c>
      <c r="L5055" s="76" t="b">
        <v>0</v>
      </c>
      <c r="M5055" s="76" t="b">
        <v>0</v>
      </c>
      <c r="N5055" s="76" t="b">
        <v>0</v>
      </c>
      <c r="O5055" s="76" t="b">
        <v>0</v>
      </c>
      <c r="P5055" s="76" t="b">
        <v>0</v>
      </c>
      <c r="Q5055" s="76" t="b">
        <v>0</v>
      </c>
      <c r="R5055" s="14"/>
      <c r="S5055" s="14"/>
      <c r="T5055" s="14"/>
      <c r="U5055" s="14"/>
      <c r="V5055" s="14"/>
      <c r="W5055" s="14"/>
    </row>
    <row r="5056" ht="31.5" customHeight="1">
      <c r="A5056" s="158"/>
      <c r="B5056" s="159"/>
      <c r="C5056" s="160"/>
      <c r="D5056" s="130"/>
      <c r="E5056" s="130"/>
      <c r="F5056" s="161"/>
      <c r="G5056" s="164"/>
      <c r="H5056" s="76" t="b">
        <v>1</v>
      </c>
      <c r="I5056" s="76" t="b">
        <v>0</v>
      </c>
      <c r="J5056" s="76" t="b">
        <v>0</v>
      </c>
      <c r="K5056" s="76" t="b">
        <v>0</v>
      </c>
      <c r="L5056" s="76" t="b">
        <v>0</v>
      </c>
      <c r="M5056" s="76" t="b">
        <v>0</v>
      </c>
      <c r="N5056" s="76" t="b">
        <v>0</v>
      </c>
      <c r="O5056" s="76" t="b">
        <v>0</v>
      </c>
      <c r="P5056" s="76" t="b">
        <v>0</v>
      </c>
      <c r="Q5056" s="76" t="b">
        <v>0</v>
      </c>
      <c r="R5056" s="14"/>
      <c r="S5056" s="14"/>
      <c r="T5056" s="14"/>
      <c r="U5056" s="14"/>
      <c r="V5056" s="14"/>
      <c r="W5056" s="14"/>
    </row>
    <row r="5057" ht="31.5" customHeight="1">
      <c r="A5057" s="158"/>
      <c r="B5057" s="159"/>
      <c r="C5057" s="160"/>
      <c r="D5057" s="130"/>
      <c r="E5057" s="130"/>
      <c r="F5057" s="161"/>
      <c r="G5057" s="164"/>
      <c r="H5057" s="76" t="b">
        <v>1</v>
      </c>
      <c r="I5057" s="76" t="b">
        <v>0</v>
      </c>
      <c r="J5057" s="76" t="b">
        <v>0</v>
      </c>
      <c r="K5057" s="76" t="b">
        <v>0</v>
      </c>
      <c r="L5057" s="76" t="b">
        <v>0</v>
      </c>
      <c r="M5057" s="76" t="b">
        <v>0</v>
      </c>
      <c r="N5057" s="76" t="b">
        <v>0</v>
      </c>
      <c r="O5057" s="76" t="b">
        <v>0</v>
      </c>
      <c r="P5057" s="76" t="b">
        <v>0</v>
      </c>
      <c r="Q5057" s="76" t="b">
        <v>0</v>
      </c>
      <c r="R5057" s="14"/>
      <c r="S5057" s="14"/>
      <c r="T5057" s="14"/>
      <c r="U5057" s="14"/>
      <c r="V5057" s="14"/>
      <c r="W5057" s="14"/>
    </row>
    <row r="5058" ht="31.5" customHeight="1">
      <c r="A5058" s="158"/>
      <c r="B5058" s="159"/>
      <c r="C5058" s="160"/>
      <c r="D5058" s="130"/>
      <c r="E5058" s="130"/>
      <c r="F5058" s="161"/>
      <c r="G5058" s="164"/>
      <c r="H5058" s="76" t="b">
        <v>1</v>
      </c>
      <c r="I5058" s="76" t="b">
        <v>0</v>
      </c>
      <c r="J5058" s="76" t="b">
        <v>0</v>
      </c>
      <c r="K5058" s="76" t="b">
        <v>0</v>
      </c>
      <c r="L5058" s="76" t="b">
        <v>0</v>
      </c>
      <c r="M5058" s="76" t="b">
        <v>0</v>
      </c>
      <c r="N5058" s="76" t="b">
        <v>0</v>
      </c>
      <c r="O5058" s="76" t="b">
        <v>0</v>
      </c>
      <c r="P5058" s="76" t="b">
        <v>0</v>
      </c>
      <c r="Q5058" s="76" t="b">
        <v>0</v>
      </c>
      <c r="R5058" s="14"/>
      <c r="S5058" s="14"/>
      <c r="T5058" s="14"/>
      <c r="U5058" s="14"/>
      <c r="V5058" s="14"/>
      <c r="W5058" s="14"/>
    </row>
    <row r="5059" ht="31.5" customHeight="1">
      <c r="A5059" s="158"/>
      <c r="B5059" s="159"/>
      <c r="C5059" s="160"/>
      <c r="D5059" s="130"/>
      <c r="E5059" s="130"/>
      <c r="F5059" s="161"/>
      <c r="G5059" s="164"/>
      <c r="H5059" s="76" t="b">
        <v>1</v>
      </c>
      <c r="I5059" s="76" t="b">
        <v>0</v>
      </c>
      <c r="J5059" s="76" t="b">
        <v>0</v>
      </c>
      <c r="K5059" s="76" t="b">
        <v>0</v>
      </c>
      <c r="L5059" s="76" t="b">
        <v>0</v>
      </c>
      <c r="M5059" s="76" t="b">
        <v>0</v>
      </c>
      <c r="N5059" s="76" t="b">
        <v>0</v>
      </c>
      <c r="O5059" s="76" t="b">
        <v>0</v>
      </c>
      <c r="P5059" s="76" t="b">
        <v>0</v>
      </c>
      <c r="Q5059" s="76" t="b">
        <v>0</v>
      </c>
      <c r="R5059" s="14"/>
      <c r="S5059" s="14"/>
      <c r="T5059" s="14"/>
      <c r="U5059" s="14"/>
      <c r="V5059" s="14"/>
      <c r="W5059" s="14"/>
    </row>
    <row r="5060" ht="31.5" customHeight="1">
      <c r="A5060" s="158"/>
      <c r="B5060" s="159"/>
      <c r="C5060" s="160"/>
      <c r="D5060" s="130"/>
      <c r="E5060" s="130"/>
      <c r="F5060" s="161"/>
      <c r="G5060" s="164"/>
      <c r="H5060" s="76" t="b">
        <v>1</v>
      </c>
      <c r="I5060" s="76" t="b">
        <v>0</v>
      </c>
      <c r="J5060" s="76" t="b">
        <v>0</v>
      </c>
      <c r="K5060" s="76" t="b">
        <v>0</v>
      </c>
      <c r="L5060" s="76" t="b">
        <v>0</v>
      </c>
      <c r="M5060" s="76" t="b">
        <v>0</v>
      </c>
      <c r="N5060" s="76" t="b">
        <v>0</v>
      </c>
      <c r="O5060" s="76" t="b">
        <v>0</v>
      </c>
      <c r="P5060" s="76" t="b">
        <v>0</v>
      </c>
      <c r="Q5060" s="76" t="b">
        <v>0</v>
      </c>
      <c r="R5060" s="14"/>
      <c r="S5060" s="14"/>
      <c r="T5060" s="14"/>
      <c r="U5060" s="14"/>
      <c r="V5060" s="14"/>
      <c r="W5060" s="14"/>
    </row>
    <row r="5061" ht="31.5" customHeight="1">
      <c r="A5061" s="158"/>
      <c r="B5061" s="159"/>
      <c r="C5061" s="160"/>
      <c r="D5061" s="130"/>
      <c r="E5061" s="130"/>
      <c r="F5061" s="161"/>
      <c r="G5061" s="164"/>
      <c r="H5061" s="76" t="b">
        <v>1</v>
      </c>
      <c r="I5061" s="76" t="b">
        <v>0</v>
      </c>
      <c r="J5061" s="76" t="b">
        <v>0</v>
      </c>
      <c r="K5061" s="76" t="b">
        <v>0</v>
      </c>
      <c r="L5061" s="76" t="b">
        <v>0</v>
      </c>
      <c r="M5061" s="76" t="b">
        <v>0</v>
      </c>
      <c r="N5061" s="76" t="b">
        <v>0</v>
      </c>
      <c r="O5061" s="76" t="b">
        <v>0</v>
      </c>
      <c r="P5061" s="76" t="b">
        <v>0</v>
      </c>
      <c r="Q5061" s="76" t="b">
        <v>0</v>
      </c>
      <c r="R5061" s="14"/>
      <c r="S5061" s="14"/>
      <c r="T5061" s="14"/>
      <c r="U5061" s="14"/>
      <c r="V5061" s="14"/>
      <c r="W5061" s="14"/>
    </row>
    <row r="5062" ht="31.5" customHeight="1">
      <c r="A5062" s="158"/>
      <c r="B5062" s="159"/>
      <c r="C5062" s="160"/>
      <c r="D5062" s="130"/>
      <c r="E5062" s="130"/>
      <c r="F5062" s="161"/>
      <c r="G5062" s="164"/>
      <c r="H5062" s="76" t="b">
        <v>1</v>
      </c>
      <c r="I5062" s="76" t="b">
        <v>0</v>
      </c>
      <c r="J5062" s="76" t="b">
        <v>0</v>
      </c>
      <c r="K5062" s="76" t="b">
        <v>0</v>
      </c>
      <c r="L5062" s="76" t="b">
        <v>0</v>
      </c>
      <c r="M5062" s="76" t="b">
        <v>0</v>
      </c>
      <c r="N5062" s="76" t="b">
        <v>0</v>
      </c>
      <c r="O5062" s="76" t="b">
        <v>0</v>
      </c>
      <c r="P5062" s="76" t="b">
        <v>0</v>
      </c>
      <c r="Q5062" s="76" t="b">
        <v>0</v>
      </c>
      <c r="R5062" s="14"/>
      <c r="S5062" s="14"/>
      <c r="T5062" s="14"/>
      <c r="U5062" s="14"/>
      <c r="V5062" s="14"/>
      <c r="W5062" s="14"/>
    </row>
    <row r="5063" ht="31.5" customHeight="1">
      <c r="A5063" s="158"/>
      <c r="B5063" s="159"/>
      <c r="C5063" s="160"/>
      <c r="D5063" s="130"/>
      <c r="E5063" s="130"/>
      <c r="F5063" s="161"/>
      <c r="G5063" s="164"/>
      <c r="H5063" s="76" t="b">
        <v>1</v>
      </c>
      <c r="I5063" s="76" t="b">
        <v>0</v>
      </c>
      <c r="J5063" s="76" t="b">
        <v>0</v>
      </c>
      <c r="K5063" s="76" t="b">
        <v>0</v>
      </c>
      <c r="L5063" s="76" t="b">
        <v>0</v>
      </c>
      <c r="M5063" s="76" t="b">
        <v>0</v>
      </c>
      <c r="N5063" s="76" t="b">
        <v>0</v>
      </c>
      <c r="O5063" s="76" t="b">
        <v>0</v>
      </c>
      <c r="P5063" s="76" t="b">
        <v>0</v>
      </c>
      <c r="Q5063" s="76" t="b">
        <v>0</v>
      </c>
      <c r="R5063" s="14"/>
      <c r="S5063" s="14"/>
      <c r="T5063" s="14"/>
      <c r="U5063" s="14"/>
      <c r="V5063" s="14"/>
      <c r="W5063" s="14"/>
    </row>
    <row r="5064" ht="31.5" customHeight="1">
      <c r="A5064" s="158"/>
      <c r="B5064" s="159"/>
      <c r="C5064" s="160"/>
      <c r="D5064" s="130"/>
      <c r="E5064" s="130"/>
      <c r="F5064" s="161"/>
      <c r="G5064" s="164"/>
      <c r="H5064" s="76" t="b">
        <v>1</v>
      </c>
      <c r="I5064" s="76" t="b">
        <v>0</v>
      </c>
      <c r="J5064" s="76" t="b">
        <v>0</v>
      </c>
      <c r="K5064" s="76" t="b">
        <v>0</v>
      </c>
      <c r="L5064" s="76" t="b">
        <v>0</v>
      </c>
      <c r="M5064" s="76" t="b">
        <v>0</v>
      </c>
      <c r="N5064" s="76" t="b">
        <v>0</v>
      </c>
      <c r="O5064" s="76" t="b">
        <v>0</v>
      </c>
      <c r="P5064" s="76" t="b">
        <v>0</v>
      </c>
      <c r="Q5064" s="76" t="b">
        <v>0</v>
      </c>
      <c r="R5064" s="14"/>
      <c r="S5064" s="14"/>
      <c r="T5064" s="14"/>
      <c r="U5064" s="14"/>
      <c r="V5064" s="14"/>
      <c r="W5064" s="14"/>
    </row>
    <row r="5065" ht="31.5" customHeight="1">
      <c r="A5065" s="158"/>
      <c r="B5065" s="159"/>
      <c r="C5065" s="160"/>
      <c r="D5065" s="130"/>
      <c r="E5065" s="130"/>
      <c r="F5065" s="161"/>
      <c r="G5065" s="164"/>
      <c r="H5065" s="76" t="b">
        <v>1</v>
      </c>
      <c r="I5065" s="76" t="b">
        <v>0</v>
      </c>
      <c r="J5065" s="76" t="b">
        <v>0</v>
      </c>
      <c r="K5065" s="76" t="b">
        <v>0</v>
      </c>
      <c r="L5065" s="76" t="b">
        <v>0</v>
      </c>
      <c r="M5065" s="76" t="b">
        <v>0</v>
      </c>
      <c r="N5065" s="76" t="b">
        <v>0</v>
      </c>
      <c r="O5065" s="76" t="b">
        <v>0</v>
      </c>
      <c r="P5065" s="76" t="b">
        <v>0</v>
      </c>
      <c r="Q5065" s="76" t="b">
        <v>0</v>
      </c>
      <c r="R5065" s="14"/>
      <c r="S5065" s="14"/>
      <c r="T5065" s="14"/>
      <c r="U5065" s="14"/>
      <c r="V5065" s="14"/>
      <c r="W5065" s="14"/>
    </row>
    <row r="5066" ht="31.5" customHeight="1">
      <c r="A5066" s="158"/>
      <c r="B5066" s="159"/>
      <c r="C5066" s="160"/>
      <c r="D5066" s="130"/>
      <c r="E5066" s="130"/>
      <c r="F5066" s="161"/>
      <c r="G5066" s="164"/>
      <c r="H5066" s="76" t="b">
        <v>1</v>
      </c>
      <c r="I5066" s="76" t="b">
        <v>0</v>
      </c>
      <c r="J5066" s="76" t="b">
        <v>0</v>
      </c>
      <c r="K5066" s="76" t="b">
        <v>0</v>
      </c>
      <c r="L5066" s="76" t="b">
        <v>0</v>
      </c>
      <c r="M5066" s="76" t="b">
        <v>0</v>
      </c>
      <c r="N5066" s="76" t="b">
        <v>0</v>
      </c>
      <c r="O5066" s="76" t="b">
        <v>0</v>
      </c>
      <c r="P5066" s="76" t="b">
        <v>0</v>
      </c>
      <c r="Q5066" s="76" t="b">
        <v>0</v>
      </c>
      <c r="R5066" s="14"/>
      <c r="S5066" s="14"/>
      <c r="T5066" s="14"/>
      <c r="U5066" s="14"/>
      <c r="V5066" s="14"/>
      <c r="W5066" s="14"/>
    </row>
    <row r="5067" ht="31.5" customHeight="1">
      <c r="A5067" s="158"/>
      <c r="B5067" s="159"/>
      <c r="C5067" s="160"/>
      <c r="D5067" s="130"/>
      <c r="E5067" s="130"/>
      <c r="F5067" s="161"/>
      <c r="G5067" s="164"/>
      <c r="H5067" s="76" t="b">
        <v>1</v>
      </c>
      <c r="I5067" s="76" t="b">
        <v>0</v>
      </c>
      <c r="J5067" s="76" t="b">
        <v>0</v>
      </c>
      <c r="K5067" s="76" t="b">
        <v>0</v>
      </c>
      <c r="L5067" s="76" t="b">
        <v>0</v>
      </c>
      <c r="M5067" s="76" t="b">
        <v>0</v>
      </c>
      <c r="N5067" s="76" t="b">
        <v>0</v>
      </c>
      <c r="O5067" s="76" t="b">
        <v>0</v>
      </c>
      <c r="P5067" s="76" t="b">
        <v>0</v>
      </c>
      <c r="Q5067" s="76" t="b">
        <v>0</v>
      </c>
      <c r="R5067" s="14"/>
      <c r="S5067" s="14"/>
      <c r="T5067" s="14"/>
      <c r="U5067" s="14"/>
      <c r="V5067" s="14"/>
      <c r="W5067" s="14"/>
    </row>
    <row r="5068" ht="31.5" customHeight="1">
      <c r="A5068" s="158"/>
      <c r="B5068" s="159"/>
      <c r="C5068" s="160"/>
      <c r="D5068" s="130"/>
      <c r="E5068" s="130"/>
      <c r="F5068" s="161"/>
      <c r="G5068" s="164"/>
      <c r="H5068" s="76" t="b">
        <v>1</v>
      </c>
      <c r="I5068" s="76" t="b">
        <v>0</v>
      </c>
      <c r="J5068" s="76" t="b">
        <v>0</v>
      </c>
      <c r="K5068" s="76" t="b">
        <v>0</v>
      </c>
      <c r="L5068" s="76" t="b">
        <v>0</v>
      </c>
      <c r="M5068" s="76" t="b">
        <v>0</v>
      </c>
      <c r="N5068" s="76" t="b">
        <v>0</v>
      </c>
      <c r="O5068" s="76" t="b">
        <v>0</v>
      </c>
      <c r="P5068" s="76" t="b">
        <v>0</v>
      </c>
      <c r="Q5068" s="76" t="b">
        <v>0</v>
      </c>
      <c r="R5068" s="14"/>
      <c r="S5068" s="14"/>
      <c r="T5068" s="14"/>
      <c r="U5068" s="14"/>
      <c r="V5068" s="14"/>
      <c r="W5068" s="14"/>
    </row>
    <row r="5069" ht="31.5" customHeight="1">
      <c r="A5069" s="158"/>
      <c r="B5069" s="159"/>
      <c r="C5069" s="160"/>
      <c r="D5069" s="130"/>
      <c r="E5069" s="130"/>
      <c r="F5069" s="161"/>
      <c r="G5069" s="164"/>
      <c r="H5069" s="76" t="b">
        <v>1</v>
      </c>
      <c r="I5069" s="76" t="b">
        <v>0</v>
      </c>
      <c r="J5069" s="76" t="b">
        <v>0</v>
      </c>
      <c r="K5069" s="76" t="b">
        <v>0</v>
      </c>
      <c r="L5069" s="76" t="b">
        <v>0</v>
      </c>
      <c r="M5069" s="76" t="b">
        <v>0</v>
      </c>
      <c r="N5069" s="76" t="b">
        <v>0</v>
      </c>
      <c r="O5069" s="76" t="b">
        <v>0</v>
      </c>
      <c r="P5069" s="76" t="b">
        <v>0</v>
      </c>
      <c r="Q5069" s="76" t="b">
        <v>0</v>
      </c>
      <c r="R5069" s="14"/>
      <c r="S5069" s="14"/>
      <c r="T5069" s="14"/>
      <c r="U5069" s="14"/>
      <c r="V5069" s="14"/>
      <c r="W5069" s="14"/>
    </row>
    <row r="5070" ht="31.5" customHeight="1">
      <c r="A5070" s="158"/>
      <c r="B5070" s="159"/>
      <c r="C5070" s="160"/>
      <c r="D5070" s="130"/>
      <c r="E5070" s="130"/>
      <c r="F5070" s="161"/>
      <c r="G5070" s="164"/>
      <c r="H5070" s="76" t="b">
        <v>1</v>
      </c>
      <c r="I5070" s="76" t="b">
        <v>0</v>
      </c>
      <c r="J5070" s="76" t="b">
        <v>0</v>
      </c>
      <c r="K5070" s="76" t="b">
        <v>0</v>
      </c>
      <c r="L5070" s="76" t="b">
        <v>0</v>
      </c>
      <c r="M5070" s="76" t="b">
        <v>0</v>
      </c>
      <c r="N5070" s="76" t="b">
        <v>0</v>
      </c>
      <c r="O5070" s="76" t="b">
        <v>0</v>
      </c>
      <c r="P5070" s="76" t="b">
        <v>0</v>
      </c>
      <c r="Q5070" s="76" t="b">
        <v>0</v>
      </c>
      <c r="R5070" s="14"/>
      <c r="S5070" s="14"/>
      <c r="T5070" s="14"/>
      <c r="U5070" s="14"/>
      <c r="V5070" s="14"/>
      <c r="W5070" s="14"/>
    </row>
    <row r="5071" ht="31.5" customHeight="1">
      <c r="A5071" s="158"/>
      <c r="B5071" s="159"/>
      <c r="C5071" s="160"/>
      <c r="D5071" s="130"/>
      <c r="E5071" s="130"/>
      <c r="F5071" s="161"/>
      <c r="G5071" s="164"/>
      <c r="H5071" s="76" t="b">
        <v>1</v>
      </c>
      <c r="I5071" s="76" t="b">
        <v>0</v>
      </c>
      <c r="J5071" s="76" t="b">
        <v>0</v>
      </c>
      <c r="K5071" s="76" t="b">
        <v>0</v>
      </c>
      <c r="L5071" s="76" t="b">
        <v>0</v>
      </c>
      <c r="M5071" s="76" t="b">
        <v>0</v>
      </c>
      <c r="N5071" s="76" t="b">
        <v>0</v>
      </c>
      <c r="O5071" s="76" t="b">
        <v>0</v>
      </c>
      <c r="P5071" s="76" t="b">
        <v>0</v>
      </c>
      <c r="Q5071" s="76" t="b">
        <v>0</v>
      </c>
      <c r="R5071" s="14"/>
      <c r="S5071" s="14"/>
      <c r="T5071" s="14"/>
      <c r="U5071" s="14"/>
      <c r="V5071" s="14"/>
      <c r="W5071" s="14"/>
    </row>
    <row r="5072" ht="31.5" customHeight="1">
      <c r="A5072" s="158"/>
      <c r="B5072" s="159"/>
      <c r="C5072" s="160"/>
      <c r="D5072" s="130"/>
      <c r="E5072" s="130"/>
      <c r="F5072" s="161"/>
      <c r="G5072" s="164"/>
      <c r="H5072" s="76" t="b">
        <v>1</v>
      </c>
      <c r="I5072" s="76" t="b">
        <v>0</v>
      </c>
      <c r="J5072" s="76" t="b">
        <v>0</v>
      </c>
      <c r="K5072" s="76" t="b">
        <v>0</v>
      </c>
      <c r="L5072" s="76" t="b">
        <v>0</v>
      </c>
      <c r="M5072" s="76" t="b">
        <v>0</v>
      </c>
      <c r="N5072" s="76" t="b">
        <v>0</v>
      </c>
      <c r="O5072" s="76" t="b">
        <v>0</v>
      </c>
      <c r="P5072" s="76" t="b">
        <v>0</v>
      </c>
      <c r="Q5072" s="76" t="b">
        <v>0</v>
      </c>
      <c r="R5072" s="14"/>
      <c r="S5072" s="14"/>
      <c r="T5072" s="14"/>
      <c r="U5072" s="14"/>
      <c r="V5072" s="14"/>
      <c r="W5072" s="14"/>
    </row>
    <row r="5073" ht="31.5" customHeight="1">
      <c r="A5073" s="158"/>
      <c r="B5073" s="159"/>
      <c r="C5073" s="160"/>
      <c r="D5073" s="130"/>
      <c r="E5073" s="130"/>
      <c r="F5073" s="161"/>
      <c r="G5073" s="164"/>
      <c r="H5073" s="76" t="b">
        <v>1</v>
      </c>
      <c r="I5073" s="76" t="b">
        <v>0</v>
      </c>
      <c r="J5073" s="76" t="b">
        <v>0</v>
      </c>
      <c r="K5073" s="76" t="b">
        <v>0</v>
      </c>
      <c r="L5073" s="76" t="b">
        <v>0</v>
      </c>
      <c r="M5073" s="76" t="b">
        <v>0</v>
      </c>
      <c r="N5073" s="76" t="b">
        <v>0</v>
      </c>
      <c r="O5073" s="76" t="b">
        <v>0</v>
      </c>
      <c r="P5073" s="76" t="b">
        <v>0</v>
      </c>
      <c r="Q5073" s="76" t="b">
        <v>0</v>
      </c>
      <c r="R5073" s="14"/>
      <c r="S5073" s="14"/>
      <c r="T5073" s="14"/>
      <c r="U5073" s="14"/>
      <c r="V5073" s="14"/>
      <c r="W5073" s="14"/>
    </row>
    <row r="5074" ht="31.5" customHeight="1">
      <c r="A5074" s="158"/>
      <c r="B5074" s="159"/>
      <c r="C5074" s="160"/>
      <c r="D5074" s="130"/>
      <c r="E5074" s="130"/>
      <c r="F5074" s="161"/>
      <c r="G5074" s="164"/>
      <c r="H5074" s="76" t="b">
        <v>1</v>
      </c>
      <c r="I5074" s="76" t="b">
        <v>0</v>
      </c>
      <c r="J5074" s="76" t="b">
        <v>0</v>
      </c>
      <c r="K5074" s="76" t="b">
        <v>0</v>
      </c>
      <c r="L5074" s="76" t="b">
        <v>0</v>
      </c>
      <c r="M5074" s="76" t="b">
        <v>0</v>
      </c>
      <c r="N5074" s="76" t="b">
        <v>0</v>
      </c>
      <c r="O5074" s="76" t="b">
        <v>0</v>
      </c>
      <c r="P5074" s="76" t="b">
        <v>0</v>
      </c>
      <c r="Q5074" s="76" t="b">
        <v>0</v>
      </c>
      <c r="R5074" s="14"/>
      <c r="S5074" s="14"/>
      <c r="T5074" s="14"/>
      <c r="U5074" s="14"/>
      <c r="V5074" s="14"/>
      <c r="W5074" s="14"/>
    </row>
    <row r="5075" ht="31.5" customHeight="1">
      <c r="A5075" s="158"/>
      <c r="B5075" s="159"/>
      <c r="C5075" s="160"/>
      <c r="D5075" s="130"/>
      <c r="E5075" s="130"/>
      <c r="F5075" s="161"/>
      <c r="G5075" s="164"/>
      <c r="H5075" s="76" t="b">
        <v>1</v>
      </c>
      <c r="I5075" s="76" t="b">
        <v>0</v>
      </c>
      <c r="J5075" s="76" t="b">
        <v>0</v>
      </c>
      <c r="K5075" s="76" t="b">
        <v>0</v>
      </c>
      <c r="L5075" s="76" t="b">
        <v>0</v>
      </c>
      <c r="M5075" s="76" t="b">
        <v>0</v>
      </c>
      <c r="N5075" s="76" t="b">
        <v>0</v>
      </c>
      <c r="O5075" s="76" t="b">
        <v>0</v>
      </c>
      <c r="P5075" s="76" t="b">
        <v>0</v>
      </c>
      <c r="Q5075" s="76" t="b">
        <v>0</v>
      </c>
      <c r="R5075" s="14"/>
      <c r="S5075" s="14"/>
      <c r="T5075" s="14"/>
      <c r="U5075" s="14"/>
      <c r="V5075" s="14"/>
      <c r="W5075" s="14"/>
    </row>
    <row r="5076" ht="31.5" customHeight="1">
      <c r="A5076" s="158"/>
      <c r="B5076" s="159"/>
      <c r="C5076" s="160"/>
      <c r="D5076" s="130"/>
      <c r="E5076" s="130"/>
      <c r="F5076" s="161"/>
      <c r="G5076" s="164"/>
      <c r="H5076" s="76" t="b">
        <v>1</v>
      </c>
      <c r="I5076" s="76" t="b">
        <v>0</v>
      </c>
      <c r="J5076" s="76" t="b">
        <v>0</v>
      </c>
      <c r="K5076" s="76" t="b">
        <v>0</v>
      </c>
      <c r="L5076" s="76" t="b">
        <v>0</v>
      </c>
      <c r="M5076" s="76" t="b">
        <v>0</v>
      </c>
      <c r="N5076" s="76" t="b">
        <v>0</v>
      </c>
      <c r="O5076" s="76" t="b">
        <v>0</v>
      </c>
      <c r="P5076" s="76" t="b">
        <v>0</v>
      </c>
      <c r="Q5076" s="76" t="b">
        <v>0</v>
      </c>
      <c r="R5076" s="14"/>
      <c r="S5076" s="14"/>
      <c r="T5076" s="14"/>
      <c r="U5076" s="14"/>
      <c r="V5076" s="14"/>
      <c r="W5076" s="14"/>
    </row>
    <row r="5077" ht="31.5" customHeight="1">
      <c r="A5077" s="158"/>
      <c r="B5077" s="159"/>
      <c r="C5077" s="160"/>
      <c r="D5077" s="130"/>
      <c r="E5077" s="130"/>
      <c r="F5077" s="161"/>
      <c r="G5077" s="164"/>
      <c r="H5077" s="76" t="b">
        <v>1</v>
      </c>
      <c r="I5077" s="76" t="b">
        <v>0</v>
      </c>
      <c r="J5077" s="76" t="b">
        <v>0</v>
      </c>
      <c r="K5077" s="76" t="b">
        <v>0</v>
      </c>
      <c r="L5077" s="76" t="b">
        <v>0</v>
      </c>
      <c r="M5077" s="76" t="b">
        <v>0</v>
      </c>
      <c r="N5077" s="76" t="b">
        <v>0</v>
      </c>
      <c r="O5077" s="76" t="b">
        <v>0</v>
      </c>
      <c r="P5077" s="76" t="b">
        <v>0</v>
      </c>
      <c r="Q5077" s="76" t="b">
        <v>0</v>
      </c>
      <c r="R5077" s="14"/>
      <c r="S5077" s="14"/>
      <c r="T5077" s="14"/>
      <c r="U5077" s="14"/>
      <c r="V5077" s="14"/>
      <c r="W5077" s="14"/>
    </row>
    <row r="5078" ht="31.5" customHeight="1">
      <c r="A5078" s="158"/>
      <c r="B5078" s="159"/>
      <c r="C5078" s="160"/>
      <c r="D5078" s="130"/>
      <c r="E5078" s="130"/>
      <c r="F5078" s="161"/>
      <c r="G5078" s="164"/>
      <c r="H5078" s="76" t="b">
        <v>1</v>
      </c>
      <c r="I5078" s="76" t="b">
        <v>0</v>
      </c>
      <c r="J5078" s="76" t="b">
        <v>0</v>
      </c>
      <c r="K5078" s="76" t="b">
        <v>0</v>
      </c>
      <c r="L5078" s="76" t="b">
        <v>0</v>
      </c>
      <c r="M5078" s="76" t="b">
        <v>0</v>
      </c>
      <c r="N5078" s="76" t="b">
        <v>0</v>
      </c>
      <c r="O5078" s="76" t="b">
        <v>0</v>
      </c>
      <c r="P5078" s="76" t="b">
        <v>0</v>
      </c>
      <c r="Q5078" s="76" t="b">
        <v>0</v>
      </c>
      <c r="R5078" s="14"/>
      <c r="S5078" s="14"/>
      <c r="T5078" s="14"/>
      <c r="U5078" s="14"/>
      <c r="V5078" s="14"/>
      <c r="W5078" s="14"/>
    </row>
    <row r="5079" ht="31.5" customHeight="1">
      <c r="A5079" s="158"/>
      <c r="B5079" s="159"/>
      <c r="C5079" s="160"/>
      <c r="D5079" s="130"/>
      <c r="E5079" s="130"/>
      <c r="F5079" s="161"/>
      <c r="G5079" s="164"/>
      <c r="H5079" s="76" t="b">
        <v>1</v>
      </c>
      <c r="I5079" s="76" t="b">
        <v>0</v>
      </c>
      <c r="J5079" s="76" t="b">
        <v>0</v>
      </c>
      <c r="K5079" s="76" t="b">
        <v>0</v>
      </c>
      <c r="L5079" s="76" t="b">
        <v>0</v>
      </c>
      <c r="M5079" s="76" t="b">
        <v>0</v>
      </c>
      <c r="N5079" s="76" t="b">
        <v>0</v>
      </c>
      <c r="O5079" s="76" t="b">
        <v>0</v>
      </c>
      <c r="P5079" s="76" t="b">
        <v>0</v>
      </c>
      <c r="Q5079" s="76" t="b">
        <v>0</v>
      </c>
      <c r="R5079" s="14"/>
      <c r="S5079" s="14"/>
      <c r="T5079" s="14"/>
      <c r="U5079" s="14"/>
      <c r="V5079" s="14"/>
      <c r="W5079" s="14"/>
    </row>
    <row r="5080" ht="31.5" customHeight="1">
      <c r="A5080" s="158"/>
      <c r="B5080" s="159"/>
      <c r="C5080" s="160"/>
      <c r="D5080" s="130"/>
      <c r="E5080" s="130"/>
      <c r="F5080" s="161"/>
      <c r="G5080" s="164"/>
      <c r="H5080" s="76" t="b">
        <v>1</v>
      </c>
      <c r="I5080" s="76" t="b">
        <v>0</v>
      </c>
      <c r="J5080" s="76" t="b">
        <v>0</v>
      </c>
      <c r="K5080" s="76" t="b">
        <v>0</v>
      </c>
      <c r="L5080" s="76" t="b">
        <v>0</v>
      </c>
      <c r="M5080" s="76" t="b">
        <v>0</v>
      </c>
      <c r="N5080" s="76" t="b">
        <v>0</v>
      </c>
      <c r="O5080" s="76" t="b">
        <v>0</v>
      </c>
      <c r="P5080" s="76" t="b">
        <v>0</v>
      </c>
      <c r="Q5080" s="76" t="b">
        <v>0</v>
      </c>
      <c r="R5080" s="14"/>
      <c r="S5080" s="14"/>
      <c r="T5080" s="14"/>
      <c r="U5080" s="14"/>
      <c r="V5080" s="14"/>
      <c r="W5080" s="14"/>
    </row>
    <row r="5081" ht="31.5" customHeight="1">
      <c r="A5081" s="158"/>
      <c r="B5081" s="159"/>
      <c r="C5081" s="160"/>
      <c r="D5081" s="130"/>
      <c r="E5081" s="130"/>
      <c r="F5081" s="161"/>
      <c r="G5081" s="164"/>
      <c r="H5081" s="76" t="b">
        <v>1</v>
      </c>
      <c r="I5081" s="76" t="b">
        <v>0</v>
      </c>
      <c r="J5081" s="76" t="b">
        <v>0</v>
      </c>
      <c r="K5081" s="76" t="b">
        <v>0</v>
      </c>
      <c r="L5081" s="76" t="b">
        <v>0</v>
      </c>
      <c r="M5081" s="76" t="b">
        <v>0</v>
      </c>
      <c r="N5081" s="76" t="b">
        <v>0</v>
      </c>
      <c r="O5081" s="76" t="b">
        <v>0</v>
      </c>
      <c r="P5081" s="76" t="b">
        <v>0</v>
      </c>
      <c r="Q5081" s="76" t="b">
        <v>0</v>
      </c>
      <c r="R5081" s="14"/>
      <c r="S5081" s="14"/>
      <c r="T5081" s="14"/>
      <c r="U5081" s="14"/>
      <c r="V5081" s="14"/>
      <c r="W5081" s="14"/>
    </row>
    <row r="5082" ht="31.5" customHeight="1">
      <c r="A5082" s="158"/>
      <c r="B5082" s="159"/>
      <c r="C5082" s="160"/>
      <c r="D5082" s="130"/>
      <c r="E5082" s="130"/>
      <c r="F5082" s="161"/>
      <c r="G5082" s="164"/>
      <c r="H5082" s="76" t="b">
        <v>1</v>
      </c>
      <c r="I5082" s="76" t="b">
        <v>0</v>
      </c>
      <c r="J5082" s="76" t="b">
        <v>0</v>
      </c>
      <c r="K5082" s="76" t="b">
        <v>0</v>
      </c>
      <c r="L5082" s="76" t="b">
        <v>0</v>
      </c>
      <c r="M5082" s="76" t="b">
        <v>0</v>
      </c>
      <c r="N5082" s="76" t="b">
        <v>0</v>
      </c>
      <c r="O5082" s="76" t="b">
        <v>0</v>
      </c>
      <c r="P5082" s="76" t="b">
        <v>0</v>
      </c>
      <c r="Q5082" s="76" t="b">
        <v>0</v>
      </c>
      <c r="R5082" s="14"/>
      <c r="S5082" s="14"/>
      <c r="T5082" s="14"/>
      <c r="U5082" s="14"/>
      <c r="V5082" s="14"/>
      <c r="W5082" s="14"/>
    </row>
    <row r="5083" ht="31.5" customHeight="1">
      <c r="A5083" s="158"/>
      <c r="B5083" s="159"/>
      <c r="C5083" s="160"/>
      <c r="D5083" s="130"/>
      <c r="E5083" s="130"/>
      <c r="F5083" s="161"/>
      <c r="G5083" s="164"/>
      <c r="H5083" s="76" t="b">
        <v>1</v>
      </c>
      <c r="I5083" s="76" t="b">
        <v>0</v>
      </c>
      <c r="J5083" s="76" t="b">
        <v>0</v>
      </c>
      <c r="K5083" s="76" t="b">
        <v>0</v>
      </c>
      <c r="L5083" s="76" t="b">
        <v>0</v>
      </c>
      <c r="M5083" s="76" t="b">
        <v>0</v>
      </c>
      <c r="N5083" s="76" t="b">
        <v>0</v>
      </c>
      <c r="O5083" s="76" t="b">
        <v>0</v>
      </c>
      <c r="P5083" s="76" t="b">
        <v>0</v>
      </c>
      <c r="Q5083" s="76" t="b">
        <v>0</v>
      </c>
      <c r="R5083" s="14"/>
      <c r="S5083" s="14"/>
      <c r="T5083" s="14"/>
      <c r="U5083" s="14"/>
      <c r="V5083" s="14"/>
      <c r="W5083" s="14"/>
    </row>
    <row r="5084" ht="31.5" customHeight="1">
      <c r="A5084" s="158"/>
      <c r="B5084" s="159"/>
      <c r="C5084" s="160"/>
      <c r="D5084" s="130"/>
      <c r="E5084" s="130"/>
      <c r="F5084" s="161"/>
      <c r="G5084" s="164"/>
      <c r="H5084" s="76" t="b">
        <v>1</v>
      </c>
      <c r="I5084" s="76" t="b">
        <v>0</v>
      </c>
      <c r="J5084" s="76" t="b">
        <v>0</v>
      </c>
      <c r="K5084" s="76" t="b">
        <v>0</v>
      </c>
      <c r="L5084" s="76" t="b">
        <v>0</v>
      </c>
      <c r="M5084" s="76" t="b">
        <v>0</v>
      </c>
      <c r="N5084" s="76" t="b">
        <v>0</v>
      </c>
      <c r="O5084" s="76" t="b">
        <v>0</v>
      </c>
      <c r="P5084" s="76" t="b">
        <v>0</v>
      </c>
      <c r="Q5084" s="76" t="b">
        <v>0</v>
      </c>
      <c r="R5084" s="14"/>
      <c r="S5084" s="14"/>
      <c r="T5084" s="14"/>
      <c r="U5084" s="14"/>
      <c r="V5084" s="14"/>
      <c r="W5084" s="14"/>
    </row>
    <row r="5085" ht="31.5" customHeight="1">
      <c r="A5085" s="158"/>
      <c r="B5085" s="159"/>
      <c r="C5085" s="160"/>
      <c r="D5085" s="130"/>
      <c r="E5085" s="130"/>
      <c r="F5085" s="161"/>
      <c r="G5085" s="164"/>
      <c r="H5085" s="76" t="b">
        <v>1</v>
      </c>
      <c r="I5085" s="76" t="b">
        <v>0</v>
      </c>
      <c r="J5085" s="76" t="b">
        <v>0</v>
      </c>
      <c r="K5085" s="76" t="b">
        <v>0</v>
      </c>
      <c r="L5085" s="76" t="b">
        <v>0</v>
      </c>
      <c r="M5085" s="76" t="b">
        <v>0</v>
      </c>
      <c r="N5085" s="76" t="b">
        <v>0</v>
      </c>
      <c r="O5085" s="76" t="b">
        <v>0</v>
      </c>
      <c r="P5085" s="76" t="b">
        <v>0</v>
      </c>
      <c r="Q5085" s="76" t="b">
        <v>0</v>
      </c>
      <c r="R5085" s="14"/>
      <c r="S5085" s="14"/>
      <c r="T5085" s="14"/>
      <c r="U5085" s="14"/>
      <c r="V5085" s="14"/>
      <c r="W5085" s="14"/>
    </row>
    <row r="5086" ht="31.5" customHeight="1">
      <c r="A5086" s="158"/>
      <c r="B5086" s="159"/>
      <c r="C5086" s="160"/>
      <c r="D5086" s="130"/>
      <c r="E5086" s="130"/>
      <c r="F5086" s="161"/>
      <c r="G5086" s="164"/>
      <c r="H5086" s="76" t="b">
        <v>1</v>
      </c>
      <c r="I5086" s="76" t="b">
        <v>0</v>
      </c>
      <c r="J5086" s="76" t="b">
        <v>0</v>
      </c>
      <c r="K5086" s="76" t="b">
        <v>0</v>
      </c>
      <c r="L5086" s="76" t="b">
        <v>0</v>
      </c>
      <c r="M5086" s="76" t="b">
        <v>0</v>
      </c>
      <c r="N5086" s="76" t="b">
        <v>0</v>
      </c>
      <c r="O5086" s="76" t="b">
        <v>0</v>
      </c>
      <c r="P5086" s="76" t="b">
        <v>0</v>
      </c>
      <c r="Q5086" s="76" t="b">
        <v>0</v>
      </c>
      <c r="R5086" s="14"/>
      <c r="S5086" s="14"/>
      <c r="T5086" s="14"/>
      <c r="U5086" s="14"/>
      <c r="V5086" s="14"/>
      <c r="W5086" s="14"/>
    </row>
    <row r="5087" ht="31.5" customHeight="1">
      <c r="A5087" s="158"/>
      <c r="B5087" s="159"/>
      <c r="C5087" s="160"/>
      <c r="D5087" s="130"/>
      <c r="E5087" s="130"/>
      <c r="F5087" s="161"/>
      <c r="G5087" s="164"/>
      <c r="H5087" s="76" t="b">
        <v>1</v>
      </c>
      <c r="I5087" s="76" t="b">
        <v>0</v>
      </c>
      <c r="J5087" s="76" t="b">
        <v>0</v>
      </c>
      <c r="K5087" s="76" t="b">
        <v>0</v>
      </c>
      <c r="L5087" s="76" t="b">
        <v>0</v>
      </c>
      <c r="M5087" s="76" t="b">
        <v>0</v>
      </c>
      <c r="N5087" s="76" t="b">
        <v>0</v>
      </c>
      <c r="O5087" s="76" t="b">
        <v>0</v>
      </c>
      <c r="P5087" s="76" t="b">
        <v>0</v>
      </c>
      <c r="Q5087" s="76" t="b">
        <v>0</v>
      </c>
      <c r="R5087" s="14"/>
      <c r="S5087" s="14"/>
      <c r="T5087" s="14"/>
      <c r="U5087" s="14"/>
      <c r="V5087" s="14"/>
      <c r="W5087" s="14"/>
    </row>
    <row r="5088" ht="31.5" customHeight="1">
      <c r="A5088" s="158"/>
      <c r="B5088" s="159"/>
      <c r="C5088" s="160"/>
      <c r="D5088" s="130"/>
      <c r="E5088" s="130"/>
      <c r="F5088" s="161"/>
      <c r="G5088" s="164"/>
      <c r="H5088" s="76" t="b">
        <v>1</v>
      </c>
      <c r="I5088" s="76" t="b">
        <v>0</v>
      </c>
      <c r="J5088" s="76" t="b">
        <v>0</v>
      </c>
      <c r="K5088" s="76" t="b">
        <v>0</v>
      </c>
      <c r="L5088" s="76" t="b">
        <v>0</v>
      </c>
      <c r="M5088" s="76" t="b">
        <v>0</v>
      </c>
      <c r="N5088" s="76" t="b">
        <v>0</v>
      </c>
      <c r="O5088" s="76" t="b">
        <v>0</v>
      </c>
      <c r="P5088" s="76" t="b">
        <v>0</v>
      </c>
      <c r="Q5088" s="76" t="b">
        <v>0</v>
      </c>
      <c r="R5088" s="14"/>
      <c r="S5088" s="14"/>
      <c r="T5088" s="14"/>
      <c r="U5088" s="14"/>
      <c r="V5088" s="14"/>
      <c r="W5088" s="14"/>
    </row>
    <row r="5089" ht="31.5" customHeight="1">
      <c r="A5089" s="158"/>
      <c r="B5089" s="159"/>
      <c r="C5089" s="160"/>
      <c r="D5089" s="130"/>
      <c r="E5089" s="130"/>
      <c r="F5089" s="161"/>
      <c r="G5089" s="164"/>
      <c r="H5089" s="76" t="b">
        <v>1</v>
      </c>
      <c r="I5089" s="76" t="b">
        <v>0</v>
      </c>
      <c r="J5089" s="76" t="b">
        <v>0</v>
      </c>
      <c r="K5089" s="76" t="b">
        <v>0</v>
      </c>
      <c r="L5089" s="76" t="b">
        <v>0</v>
      </c>
      <c r="M5089" s="76" t="b">
        <v>0</v>
      </c>
      <c r="N5089" s="76" t="b">
        <v>0</v>
      </c>
      <c r="O5089" s="76" t="b">
        <v>0</v>
      </c>
      <c r="P5089" s="76" t="b">
        <v>0</v>
      </c>
      <c r="Q5089" s="76" t="b">
        <v>0</v>
      </c>
      <c r="R5089" s="14"/>
      <c r="S5089" s="14"/>
      <c r="T5089" s="14"/>
      <c r="U5089" s="14"/>
      <c r="V5089" s="14"/>
      <c r="W5089" s="14"/>
    </row>
    <row r="5090" ht="31.5" customHeight="1">
      <c r="A5090" s="158"/>
      <c r="B5090" s="159"/>
      <c r="C5090" s="160"/>
      <c r="D5090" s="130"/>
      <c r="E5090" s="130"/>
      <c r="F5090" s="161"/>
      <c r="G5090" s="164"/>
      <c r="H5090" s="76" t="b">
        <v>1</v>
      </c>
      <c r="I5090" s="76" t="b">
        <v>0</v>
      </c>
      <c r="J5090" s="76" t="b">
        <v>0</v>
      </c>
      <c r="K5090" s="76" t="b">
        <v>0</v>
      </c>
      <c r="L5090" s="76" t="b">
        <v>0</v>
      </c>
      <c r="M5090" s="76" t="b">
        <v>0</v>
      </c>
      <c r="N5090" s="76" t="b">
        <v>0</v>
      </c>
      <c r="O5090" s="76" t="b">
        <v>0</v>
      </c>
      <c r="P5090" s="76" t="b">
        <v>0</v>
      </c>
      <c r="Q5090" s="76" t="b">
        <v>0</v>
      </c>
      <c r="R5090" s="14"/>
      <c r="S5090" s="14"/>
      <c r="T5090" s="14"/>
      <c r="U5090" s="14"/>
      <c r="V5090" s="14"/>
      <c r="W5090" s="14"/>
    </row>
    <row r="5091" ht="31.5" customHeight="1">
      <c r="A5091" s="158"/>
      <c r="B5091" s="159"/>
      <c r="C5091" s="160"/>
      <c r="D5091" s="130"/>
      <c r="E5091" s="130"/>
      <c r="F5091" s="161"/>
      <c r="G5091" s="164"/>
      <c r="H5091" s="76" t="b">
        <v>1</v>
      </c>
      <c r="I5091" s="76" t="b">
        <v>0</v>
      </c>
      <c r="J5091" s="76" t="b">
        <v>0</v>
      </c>
      <c r="K5091" s="76" t="b">
        <v>0</v>
      </c>
      <c r="L5091" s="76" t="b">
        <v>0</v>
      </c>
      <c r="M5091" s="76" t="b">
        <v>0</v>
      </c>
      <c r="N5091" s="76" t="b">
        <v>0</v>
      </c>
      <c r="O5091" s="76" t="b">
        <v>0</v>
      </c>
      <c r="P5091" s="76" t="b">
        <v>0</v>
      </c>
      <c r="Q5091" s="76" t="b">
        <v>0</v>
      </c>
      <c r="R5091" s="14"/>
      <c r="S5091" s="14"/>
      <c r="T5091" s="14"/>
      <c r="U5091" s="14"/>
      <c r="V5091" s="14"/>
      <c r="W5091" s="14"/>
    </row>
    <row r="5092" ht="31.5" customHeight="1">
      <c r="A5092" s="158"/>
      <c r="B5092" s="159"/>
      <c r="C5092" s="160"/>
      <c r="D5092" s="130"/>
      <c r="E5092" s="130"/>
      <c r="F5092" s="161"/>
      <c r="G5092" s="164"/>
      <c r="H5092" s="76" t="b">
        <v>1</v>
      </c>
      <c r="I5092" s="76" t="b">
        <v>0</v>
      </c>
      <c r="J5092" s="76" t="b">
        <v>0</v>
      </c>
      <c r="K5092" s="76" t="b">
        <v>0</v>
      </c>
      <c r="L5092" s="76" t="b">
        <v>0</v>
      </c>
      <c r="M5092" s="76" t="b">
        <v>0</v>
      </c>
      <c r="N5092" s="76" t="b">
        <v>0</v>
      </c>
      <c r="O5092" s="76" t="b">
        <v>0</v>
      </c>
      <c r="P5092" s="76" t="b">
        <v>0</v>
      </c>
      <c r="Q5092" s="76" t="b">
        <v>0</v>
      </c>
      <c r="R5092" s="14"/>
      <c r="S5092" s="14"/>
      <c r="T5092" s="14"/>
      <c r="U5092" s="14"/>
      <c r="V5092" s="14"/>
      <c r="W5092" s="14"/>
    </row>
    <row r="5093" ht="31.5" customHeight="1">
      <c r="A5093" s="158"/>
      <c r="B5093" s="159"/>
      <c r="C5093" s="160"/>
      <c r="D5093" s="130"/>
      <c r="E5093" s="130"/>
      <c r="F5093" s="161"/>
      <c r="G5093" s="164"/>
      <c r="H5093" s="76" t="b">
        <v>1</v>
      </c>
      <c r="I5093" s="76" t="b">
        <v>0</v>
      </c>
      <c r="J5093" s="76" t="b">
        <v>0</v>
      </c>
      <c r="K5093" s="76" t="b">
        <v>0</v>
      </c>
      <c r="L5093" s="76" t="b">
        <v>0</v>
      </c>
      <c r="M5093" s="76" t="b">
        <v>0</v>
      </c>
      <c r="N5093" s="76" t="b">
        <v>0</v>
      </c>
      <c r="O5093" s="76" t="b">
        <v>0</v>
      </c>
      <c r="P5093" s="76" t="b">
        <v>0</v>
      </c>
      <c r="Q5093" s="76" t="b">
        <v>0</v>
      </c>
      <c r="R5093" s="14"/>
      <c r="S5093" s="14"/>
      <c r="T5093" s="14"/>
      <c r="U5093" s="14"/>
      <c r="V5093" s="14"/>
      <c r="W5093" s="14"/>
    </row>
    <row r="5094" ht="31.5" customHeight="1">
      <c r="A5094" s="158"/>
      <c r="B5094" s="159"/>
      <c r="C5094" s="160"/>
      <c r="D5094" s="130"/>
      <c r="E5094" s="130"/>
      <c r="F5094" s="161"/>
      <c r="G5094" s="164"/>
      <c r="H5094" s="76" t="b">
        <v>1</v>
      </c>
      <c r="I5094" s="76" t="b">
        <v>0</v>
      </c>
      <c r="J5094" s="76" t="b">
        <v>0</v>
      </c>
      <c r="K5094" s="76" t="b">
        <v>0</v>
      </c>
      <c r="L5094" s="76" t="b">
        <v>0</v>
      </c>
      <c r="M5094" s="76" t="b">
        <v>0</v>
      </c>
      <c r="N5094" s="76" t="b">
        <v>0</v>
      </c>
      <c r="O5094" s="76" t="b">
        <v>0</v>
      </c>
      <c r="P5094" s="76" t="b">
        <v>0</v>
      </c>
      <c r="Q5094" s="76" t="b">
        <v>0</v>
      </c>
      <c r="R5094" s="14"/>
      <c r="S5094" s="14"/>
      <c r="T5094" s="14"/>
      <c r="U5094" s="14"/>
      <c r="V5094" s="14"/>
      <c r="W5094" s="14"/>
    </row>
    <row r="5095" ht="31.5" customHeight="1">
      <c r="A5095" s="158"/>
      <c r="B5095" s="159"/>
      <c r="C5095" s="160"/>
      <c r="D5095" s="130"/>
      <c r="E5095" s="130"/>
      <c r="F5095" s="161"/>
      <c r="G5095" s="164"/>
      <c r="H5095" s="76" t="b">
        <v>1</v>
      </c>
      <c r="I5095" s="76" t="b">
        <v>0</v>
      </c>
      <c r="J5095" s="76" t="b">
        <v>0</v>
      </c>
      <c r="K5095" s="76" t="b">
        <v>0</v>
      </c>
      <c r="L5095" s="76" t="b">
        <v>0</v>
      </c>
      <c r="M5095" s="76" t="b">
        <v>0</v>
      </c>
      <c r="N5095" s="76" t="b">
        <v>0</v>
      </c>
      <c r="O5095" s="76" t="b">
        <v>0</v>
      </c>
      <c r="P5095" s="76" t="b">
        <v>0</v>
      </c>
      <c r="Q5095" s="76" t="b">
        <v>0</v>
      </c>
      <c r="R5095" s="14"/>
      <c r="S5095" s="14"/>
      <c r="T5095" s="14"/>
      <c r="U5095" s="14"/>
      <c r="V5095" s="14"/>
      <c r="W5095" s="14"/>
    </row>
    <row r="5096" ht="31.5" customHeight="1">
      <c r="A5096" s="158"/>
      <c r="B5096" s="159"/>
      <c r="C5096" s="160"/>
      <c r="D5096" s="130"/>
      <c r="E5096" s="130"/>
      <c r="F5096" s="161"/>
      <c r="G5096" s="164"/>
      <c r="H5096" s="76" t="b">
        <v>1</v>
      </c>
      <c r="I5096" s="76" t="b">
        <v>0</v>
      </c>
      <c r="J5096" s="76" t="b">
        <v>0</v>
      </c>
      <c r="K5096" s="76" t="b">
        <v>0</v>
      </c>
      <c r="L5096" s="76" t="b">
        <v>0</v>
      </c>
      <c r="M5096" s="76" t="b">
        <v>0</v>
      </c>
      <c r="N5096" s="76" t="b">
        <v>0</v>
      </c>
      <c r="O5096" s="76" t="b">
        <v>0</v>
      </c>
      <c r="P5096" s="76" t="b">
        <v>0</v>
      </c>
      <c r="Q5096" s="76" t="b">
        <v>0</v>
      </c>
      <c r="R5096" s="14"/>
      <c r="S5096" s="14"/>
      <c r="T5096" s="14"/>
      <c r="U5096" s="14"/>
      <c r="V5096" s="14"/>
      <c r="W5096" s="14"/>
    </row>
    <row r="5097" ht="31.5" customHeight="1">
      <c r="A5097" s="158"/>
      <c r="B5097" s="159"/>
      <c r="C5097" s="160"/>
      <c r="D5097" s="130"/>
      <c r="E5097" s="130"/>
      <c r="F5097" s="161"/>
      <c r="G5097" s="164"/>
      <c r="H5097" s="76" t="b">
        <v>1</v>
      </c>
      <c r="I5097" s="76" t="b">
        <v>0</v>
      </c>
      <c r="J5097" s="76" t="b">
        <v>0</v>
      </c>
      <c r="K5097" s="76" t="b">
        <v>0</v>
      </c>
      <c r="L5097" s="76" t="b">
        <v>0</v>
      </c>
      <c r="M5097" s="76" t="b">
        <v>0</v>
      </c>
      <c r="N5097" s="76" t="b">
        <v>0</v>
      </c>
      <c r="O5097" s="76" t="b">
        <v>0</v>
      </c>
      <c r="P5097" s="76" t="b">
        <v>0</v>
      </c>
      <c r="Q5097" s="76" t="b">
        <v>0</v>
      </c>
      <c r="R5097" s="14"/>
      <c r="S5097" s="14"/>
      <c r="T5097" s="14"/>
      <c r="U5097" s="14"/>
      <c r="V5097" s="14"/>
      <c r="W5097" s="14"/>
    </row>
    <row r="5098" ht="31.5" customHeight="1">
      <c r="A5098" s="158"/>
      <c r="B5098" s="159"/>
      <c r="C5098" s="160"/>
      <c r="D5098" s="130"/>
      <c r="E5098" s="130"/>
      <c r="F5098" s="161"/>
      <c r="G5098" s="164"/>
      <c r="H5098" s="76" t="b">
        <v>1</v>
      </c>
      <c r="I5098" s="76" t="b">
        <v>0</v>
      </c>
      <c r="J5098" s="76" t="b">
        <v>0</v>
      </c>
      <c r="K5098" s="76" t="b">
        <v>0</v>
      </c>
      <c r="L5098" s="76" t="b">
        <v>0</v>
      </c>
      <c r="M5098" s="76" t="b">
        <v>0</v>
      </c>
      <c r="N5098" s="76" t="b">
        <v>0</v>
      </c>
      <c r="O5098" s="76" t="b">
        <v>0</v>
      </c>
      <c r="P5098" s="76" t="b">
        <v>0</v>
      </c>
      <c r="Q5098" s="76" t="b">
        <v>0</v>
      </c>
      <c r="R5098" s="14"/>
      <c r="S5098" s="14"/>
      <c r="T5098" s="14"/>
      <c r="U5098" s="14"/>
      <c r="V5098" s="14"/>
      <c r="W5098" s="14"/>
    </row>
    <row r="5099" ht="31.5" customHeight="1">
      <c r="A5099" s="158"/>
      <c r="B5099" s="159"/>
      <c r="C5099" s="160"/>
      <c r="D5099" s="130"/>
      <c r="E5099" s="130"/>
      <c r="F5099" s="161"/>
      <c r="G5099" s="164"/>
      <c r="H5099" s="76" t="b">
        <v>1</v>
      </c>
      <c r="I5099" s="76" t="b">
        <v>0</v>
      </c>
      <c r="J5099" s="76" t="b">
        <v>0</v>
      </c>
      <c r="K5099" s="76" t="b">
        <v>0</v>
      </c>
      <c r="L5099" s="76" t="b">
        <v>0</v>
      </c>
      <c r="M5099" s="76" t="b">
        <v>0</v>
      </c>
      <c r="N5099" s="76" t="b">
        <v>0</v>
      </c>
      <c r="O5099" s="76" t="b">
        <v>0</v>
      </c>
      <c r="P5099" s="76" t="b">
        <v>0</v>
      </c>
      <c r="Q5099" s="76" t="b">
        <v>0</v>
      </c>
      <c r="R5099" s="14"/>
      <c r="S5099" s="14"/>
      <c r="T5099" s="14"/>
      <c r="U5099" s="14"/>
      <c r="V5099" s="14"/>
      <c r="W5099" s="14"/>
    </row>
    <row r="5100" ht="31.5" customHeight="1">
      <c r="A5100" s="158"/>
      <c r="B5100" s="159"/>
      <c r="C5100" s="160"/>
      <c r="D5100" s="130"/>
      <c r="E5100" s="130"/>
      <c r="F5100" s="161"/>
      <c r="G5100" s="164"/>
      <c r="H5100" s="76" t="b">
        <v>1</v>
      </c>
      <c r="I5100" s="76" t="b">
        <v>0</v>
      </c>
      <c r="J5100" s="76" t="b">
        <v>0</v>
      </c>
      <c r="K5100" s="76" t="b">
        <v>0</v>
      </c>
      <c r="L5100" s="76" t="b">
        <v>0</v>
      </c>
      <c r="M5100" s="76" t="b">
        <v>0</v>
      </c>
      <c r="N5100" s="76" t="b">
        <v>0</v>
      </c>
      <c r="O5100" s="76" t="b">
        <v>0</v>
      </c>
      <c r="P5100" s="76" t="b">
        <v>0</v>
      </c>
      <c r="Q5100" s="76" t="b">
        <v>0</v>
      </c>
      <c r="R5100" s="14"/>
      <c r="S5100" s="14"/>
      <c r="T5100" s="14"/>
      <c r="U5100" s="14"/>
      <c r="V5100" s="14"/>
      <c r="W5100" s="14"/>
    </row>
    <row r="5101" ht="31.5" customHeight="1">
      <c r="A5101" s="158"/>
      <c r="B5101" s="159"/>
      <c r="C5101" s="160"/>
      <c r="D5101" s="130"/>
      <c r="E5101" s="130"/>
      <c r="F5101" s="161"/>
      <c r="G5101" s="164"/>
      <c r="H5101" s="76" t="b">
        <v>1</v>
      </c>
      <c r="I5101" s="76" t="b">
        <v>0</v>
      </c>
      <c r="J5101" s="76" t="b">
        <v>0</v>
      </c>
      <c r="K5101" s="76" t="b">
        <v>0</v>
      </c>
      <c r="L5101" s="76" t="b">
        <v>0</v>
      </c>
      <c r="M5101" s="76" t="b">
        <v>0</v>
      </c>
      <c r="N5101" s="76" t="b">
        <v>0</v>
      </c>
      <c r="O5101" s="76" t="b">
        <v>0</v>
      </c>
      <c r="P5101" s="76" t="b">
        <v>0</v>
      </c>
      <c r="Q5101" s="76" t="b">
        <v>0</v>
      </c>
      <c r="R5101" s="14"/>
      <c r="S5101" s="14"/>
      <c r="T5101" s="14"/>
      <c r="U5101" s="14"/>
      <c r="V5101" s="14"/>
      <c r="W5101" s="14"/>
    </row>
    <row r="5102" ht="31.5" customHeight="1">
      <c r="A5102" s="158"/>
      <c r="B5102" s="159"/>
      <c r="C5102" s="160"/>
      <c r="D5102" s="130"/>
      <c r="E5102" s="130"/>
      <c r="F5102" s="161"/>
      <c r="G5102" s="164"/>
      <c r="H5102" s="76" t="b">
        <v>1</v>
      </c>
      <c r="I5102" s="76" t="b">
        <v>0</v>
      </c>
      <c r="J5102" s="76" t="b">
        <v>0</v>
      </c>
      <c r="K5102" s="76" t="b">
        <v>0</v>
      </c>
      <c r="L5102" s="76" t="b">
        <v>0</v>
      </c>
      <c r="M5102" s="76" t="b">
        <v>0</v>
      </c>
      <c r="N5102" s="76" t="b">
        <v>0</v>
      </c>
      <c r="O5102" s="76" t="b">
        <v>0</v>
      </c>
      <c r="P5102" s="76" t="b">
        <v>0</v>
      </c>
      <c r="Q5102" s="76" t="b">
        <v>0</v>
      </c>
      <c r="R5102" s="14"/>
      <c r="S5102" s="14"/>
      <c r="T5102" s="14"/>
      <c r="U5102" s="14"/>
      <c r="V5102" s="14"/>
      <c r="W5102" s="14"/>
    </row>
    <row r="5103" ht="31.5" customHeight="1">
      <c r="A5103" s="158"/>
      <c r="B5103" s="159"/>
      <c r="C5103" s="160"/>
      <c r="D5103" s="130"/>
      <c r="E5103" s="130"/>
      <c r="F5103" s="161"/>
      <c r="G5103" s="164"/>
      <c r="H5103" s="76" t="b">
        <v>1</v>
      </c>
      <c r="I5103" s="76" t="b">
        <v>0</v>
      </c>
      <c r="J5103" s="76" t="b">
        <v>0</v>
      </c>
      <c r="K5103" s="76" t="b">
        <v>0</v>
      </c>
      <c r="L5103" s="76" t="b">
        <v>0</v>
      </c>
      <c r="M5103" s="76" t="b">
        <v>0</v>
      </c>
      <c r="N5103" s="76" t="b">
        <v>0</v>
      </c>
      <c r="O5103" s="76" t="b">
        <v>0</v>
      </c>
      <c r="P5103" s="76" t="b">
        <v>0</v>
      </c>
      <c r="Q5103" s="76" t="b">
        <v>0</v>
      </c>
      <c r="R5103" s="14"/>
      <c r="S5103" s="14"/>
      <c r="T5103" s="14"/>
      <c r="U5103" s="14"/>
      <c r="V5103" s="14"/>
      <c r="W5103" s="14"/>
    </row>
    <row r="5104" ht="31.5" customHeight="1">
      <c r="A5104" s="158"/>
      <c r="B5104" s="159"/>
      <c r="C5104" s="160"/>
      <c r="D5104" s="130"/>
      <c r="E5104" s="130"/>
      <c r="F5104" s="161"/>
      <c r="G5104" s="164"/>
      <c r="H5104" s="76" t="b">
        <v>1</v>
      </c>
      <c r="I5104" s="76" t="b">
        <v>0</v>
      </c>
      <c r="J5104" s="76" t="b">
        <v>0</v>
      </c>
      <c r="K5104" s="76" t="b">
        <v>0</v>
      </c>
      <c r="L5104" s="76" t="b">
        <v>0</v>
      </c>
      <c r="M5104" s="76" t="b">
        <v>0</v>
      </c>
      <c r="N5104" s="76" t="b">
        <v>0</v>
      </c>
      <c r="O5104" s="76" t="b">
        <v>0</v>
      </c>
      <c r="P5104" s="76" t="b">
        <v>0</v>
      </c>
      <c r="Q5104" s="76" t="b">
        <v>0</v>
      </c>
      <c r="R5104" s="14"/>
      <c r="S5104" s="14"/>
      <c r="T5104" s="14"/>
      <c r="U5104" s="14"/>
      <c r="V5104" s="14"/>
      <c r="W5104" s="14"/>
    </row>
    <row r="5105" ht="31.5" customHeight="1">
      <c r="A5105" s="158"/>
      <c r="B5105" s="159"/>
      <c r="C5105" s="160"/>
      <c r="D5105" s="130"/>
      <c r="E5105" s="130"/>
      <c r="F5105" s="161"/>
      <c r="G5105" s="164"/>
      <c r="H5105" s="76" t="b">
        <v>1</v>
      </c>
      <c r="I5105" s="76" t="b">
        <v>0</v>
      </c>
      <c r="J5105" s="76" t="b">
        <v>0</v>
      </c>
      <c r="K5105" s="76" t="b">
        <v>0</v>
      </c>
      <c r="L5105" s="76" t="b">
        <v>0</v>
      </c>
      <c r="M5105" s="76" t="b">
        <v>0</v>
      </c>
      <c r="N5105" s="76" t="b">
        <v>0</v>
      </c>
      <c r="O5105" s="76" t="b">
        <v>0</v>
      </c>
      <c r="P5105" s="76" t="b">
        <v>0</v>
      </c>
      <c r="Q5105" s="76" t="b">
        <v>0</v>
      </c>
      <c r="R5105" s="14"/>
      <c r="S5105" s="14"/>
      <c r="T5105" s="14"/>
      <c r="U5105" s="14"/>
      <c r="V5105" s="14"/>
      <c r="W5105" s="14"/>
    </row>
    <row r="5106" ht="31.5" customHeight="1">
      <c r="A5106" s="158"/>
      <c r="B5106" s="159"/>
      <c r="C5106" s="160"/>
      <c r="D5106" s="130"/>
      <c r="E5106" s="130"/>
      <c r="F5106" s="161"/>
      <c r="G5106" s="164"/>
      <c r="H5106" s="76" t="b">
        <v>1</v>
      </c>
      <c r="I5106" s="76" t="b">
        <v>0</v>
      </c>
      <c r="J5106" s="76" t="b">
        <v>0</v>
      </c>
      <c r="K5106" s="76" t="b">
        <v>0</v>
      </c>
      <c r="L5106" s="76" t="b">
        <v>0</v>
      </c>
      <c r="M5106" s="76" t="b">
        <v>0</v>
      </c>
      <c r="N5106" s="76" t="b">
        <v>0</v>
      </c>
      <c r="O5106" s="76" t="b">
        <v>0</v>
      </c>
      <c r="P5106" s="76" t="b">
        <v>0</v>
      </c>
      <c r="Q5106" s="76" t="b">
        <v>0</v>
      </c>
      <c r="R5106" s="14"/>
      <c r="S5106" s="14"/>
      <c r="T5106" s="14"/>
      <c r="U5106" s="14"/>
      <c r="V5106" s="14"/>
      <c r="W5106" s="14"/>
    </row>
    <row r="5107" ht="31.5" customHeight="1">
      <c r="A5107" s="158"/>
      <c r="B5107" s="159"/>
      <c r="C5107" s="160"/>
      <c r="D5107" s="130"/>
      <c r="E5107" s="130"/>
      <c r="F5107" s="161"/>
      <c r="G5107" s="164"/>
      <c r="H5107" s="76" t="b">
        <v>1</v>
      </c>
      <c r="I5107" s="76" t="b">
        <v>0</v>
      </c>
      <c r="J5107" s="76" t="b">
        <v>0</v>
      </c>
      <c r="K5107" s="76" t="b">
        <v>0</v>
      </c>
      <c r="L5107" s="76" t="b">
        <v>0</v>
      </c>
      <c r="M5107" s="76" t="b">
        <v>0</v>
      </c>
      <c r="N5107" s="76" t="b">
        <v>0</v>
      </c>
      <c r="O5107" s="76" t="b">
        <v>0</v>
      </c>
      <c r="P5107" s="76" t="b">
        <v>0</v>
      </c>
      <c r="Q5107" s="76" t="b">
        <v>0</v>
      </c>
      <c r="R5107" s="14"/>
      <c r="S5107" s="14"/>
      <c r="T5107" s="14"/>
      <c r="U5107" s="14"/>
      <c r="V5107" s="14"/>
      <c r="W5107" s="14"/>
    </row>
    <row r="5108" ht="31.5" customHeight="1">
      <c r="A5108" s="158"/>
      <c r="B5108" s="159"/>
      <c r="C5108" s="160"/>
      <c r="D5108" s="130"/>
      <c r="E5108" s="130"/>
      <c r="F5108" s="161"/>
      <c r="G5108" s="164"/>
      <c r="H5108" s="76" t="b">
        <v>1</v>
      </c>
      <c r="I5108" s="76" t="b">
        <v>0</v>
      </c>
      <c r="J5108" s="76" t="b">
        <v>0</v>
      </c>
      <c r="K5108" s="76" t="b">
        <v>0</v>
      </c>
      <c r="L5108" s="76" t="b">
        <v>0</v>
      </c>
      <c r="M5108" s="76" t="b">
        <v>0</v>
      </c>
      <c r="N5108" s="76" t="b">
        <v>0</v>
      </c>
      <c r="O5108" s="76" t="b">
        <v>0</v>
      </c>
      <c r="P5108" s="76" t="b">
        <v>0</v>
      </c>
      <c r="Q5108" s="76" t="b">
        <v>0</v>
      </c>
      <c r="R5108" s="14"/>
      <c r="S5108" s="14"/>
      <c r="T5108" s="14"/>
      <c r="U5108" s="14"/>
      <c r="V5108" s="14"/>
      <c r="W5108" s="14"/>
    </row>
    <row r="5109" ht="31.5" customHeight="1">
      <c r="A5109" s="158"/>
      <c r="B5109" s="159"/>
      <c r="C5109" s="160"/>
      <c r="D5109" s="130"/>
      <c r="E5109" s="130"/>
      <c r="F5109" s="161"/>
      <c r="G5109" s="164"/>
      <c r="H5109" s="76" t="b">
        <v>0</v>
      </c>
      <c r="I5109" s="76" t="b">
        <v>0</v>
      </c>
      <c r="J5109" s="76" t="b">
        <v>0</v>
      </c>
      <c r="K5109" s="76" t="b">
        <v>0</v>
      </c>
      <c r="L5109" s="76" t="b">
        <v>0</v>
      </c>
      <c r="M5109" s="76" t="b">
        <v>0</v>
      </c>
      <c r="N5109" s="76" t="b">
        <v>0</v>
      </c>
      <c r="O5109" s="76" t="b">
        <v>0</v>
      </c>
      <c r="P5109" s="76" t="b">
        <v>0</v>
      </c>
      <c r="Q5109" s="76" t="b">
        <v>0</v>
      </c>
      <c r="R5109" s="14"/>
      <c r="S5109" s="14"/>
      <c r="T5109" s="14"/>
      <c r="U5109" s="14"/>
      <c r="V5109" s="14"/>
      <c r="W5109" s="14"/>
    </row>
    <row r="5110" ht="31.5" customHeight="1">
      <c r="A5110" s="158"/>
      <c r="B5110" s="159"/>
      <c r="C5110" s="160"/>
      <c r="D5110" s="130"/>
      <c r="E5110" s="130"/>
      <c r="F5110" s="161"/>
      <c r="G5110" s="164"/>
      <c r="H5110" s="76" t="b">
        <v>0</v>
      </c>
      <c r="I5110" s="76" t="b">
        <v>0</v>
      </c>
      <c r="J5110" s="76" t="b">
        <v>0</v>
      </c>
      <c r="K5110" s="76" t="b">
        <v>0</v>
      </c>
      <c r="L5110" s="76" t="b">
        <v>0</v>
      </c>
      <c r="M5110" s="76" t="b">
        <v>0</v>
      </c>
      <c r="N5110" s="76" t="b">
        <v>0</v>
      </c>
      <c r="O5110" s="76" t="b">
        <v>0</v>
      </c>
      <c r="P5110" s="76" t="b">
        <v>0</v>
      </c>
      <c r="Q5110" s="76" t="b">
        <v>0</v>
      </c>
      <c r="R5110" s="14"/>
      <c r="S5110" s="14"/>
      <c r="T5110" s="14"/>
      <c r="U5110" s="14"/>
      <c r="V5110" s="14"/>
      <c r="W5110" s="14"/>
    </row>
    <row r="5111" ht="31.5" customHeight="1">
      <c r="A5111" s="158"/>
      <c r="B5111" s="159"/>
      <c r="C5111" s="160"/>
      <c r="D5111" s="130"/>
      <c r="E5111" s="130"/>
      <c r="F5111" s="161"/>
      <c r="G5111" s="164"/>
      <c r="H5111" s="76" t="b">
        <v>0</v>
      </c>
      <c r="I5111" s="76" t="b">
        <v>0</v>
      </c>
      <c r="J5111" s="76" t="b">
        <v>0</v>
      </c>
      <c r="K5111" s="76" t="b">
        <v>0</v>
      </c>
      <c r="L5111" s="76" t="b">
        <v>0</v>
      </c>
      <c r="M5111" s="76" t="b">
        <v>0</v>
      </c>
      <c r="N5111" s="76" t="b">
        <v>0</v>
      </c>
      <c r="O5111" s="76" t="b">
        <v>0</v>
      </c>
      <c r="P5111" s="76" t="b">
        <v>0</v>
      </c>
      <c r="Q5111" s="76" t="b">
        <v>0</v>
      </c>
      <c r="R5111" s="14"/>
      <c r="S5111" s="14"/>
      <c r="T5111" s="14"/>
      <c r="U5111" s="14"/>
      <c r="V5111" s="14"/>
      <c r="W5111" s="14"/>
    </row>
    <row r="5112" ht="31.5" customHeight="1">
      <c r="A5112" s="158"/>
      <c r="B5112" s="159"/>
      <c r="C5112" s="160"/>
      <c r="D5112" s="130"/>
      <c r="E5112" s="130"/>
      <c r="F5112" s="161"/>
      <c r="G5112" s="164"/>
      <c r="H5112" s="76" t="b">
        <v>0</v>
      </c>
      <c r="I5112" s="76" t="b">
        <v>0</v>
      </c>
      <c r="J5112" s="76" t="b">
        <v>0</v>
      </c>
      <c r="K5112" s="76" t="b">
        <v>0</v>
      </c>
      <c r="L5112" s="76" t="b">
        <v>0</v>
      </c>
      <c r="M5112" s="76" t="b">
        <v>0</v>
      </c>
      <c r="N5112" s="76" t="b">
        <v>0</v>
      </c>
      <c r="O5112" s="76" t="b">
        <v>0</v>
      </c>
      <c r="P5112" s="76" t="b">
        <v>0</v>
      </c>
      <c r="Q5112" s="76" t="b">
        <v>0</v>
      </c>
      <c r="R5112" s="14"/>
      <c r="S5112" s="14"/>
      <c r="T5112" s="14"/>
      <c r="U5112" s="14"/>
      <c r="V5112" s="14"/>
      <c r="W5112" s="14"/>
    </row>
    <row r="5113" ht="31.5" customHeight="1">
      <c r="A5113" s="158"/>
      <c r="B5113" s="159"/>
      <c r="C5113" s="160"/>
      <c r="D5113" s="130"/>
      <c r="E5113" s="130"/>
      <c r="F5113" s="161"/>
      <c r="G5113" s="164"/>
      <c r="H5113" s="76" t="b">
        <v>0</v>
      </c>
      <c r="I5113" s="76" t="b">
        <v>0</v>
      </c>
      <c r="J5113" s="76" t="b">
        <v>0</v>
      </c>
      <c r="K5113" s="76" t="b">
        <v>0</v>
      </c>
      <c r="L5113" s="76" t="b">
        <v>0</v>
      </c>
      <c r="M5113" s="76" t="b">
        <v>0</v>
      </c>
      <c r="N5113" s="76" t="b">
        <v>0</v>
      </c>
      <c r="O5113" s="76" t="b">
        <v>0</v>
      </c>
      <c r="P5113" s="76" t="b">
        <v>0</v>
      </c>
      <c r="Q5113" s="76" t="b">
        <v>0</v>
      </c>
      <c r="R5113" s="14"/>
      <c r="S5113" s="14"/>
      <c r="T5113" s="14"/>
      <c r="U5113" s="14"/>
      <c r="V5113" s="14"/>
      <c r="W5113" s="14"/>
    </row>
    <row r="5114" ht="31.5" customHeight="1">
      <c r="A5114" s="158"/>
      <c r="B5114" s="159"/>
      <c r="C5114" s="160"/>
      <c r="D5114" s="130"/>
      <c r="E5114" s="130"/>
      <c r="F5114" s="161"/>
      <c r="G5114" s="164"/>
      <c r="H5114" s="76" t="b">
        <v>0</v>
      </c>
      <c r="I5114" s="76" t="b">
        <v>0</v>
      </c>
      <c r="J5114" s="76" t="b">
        <v>0</v>
      </c>
      <c r="K5114" s="76" t="b">
        <v>0</v>
      </c>
      <c r="L5114" s="76" t="b">
        <v>0</v>
      </c>
      <c r="M5114" s="76" t="b">
        <v>0</v>
      </c>
      <c r="N5114" s="76" t="b">
        <v>0</v>
      </c>
      <c r="O5114" s="76" t="b">
        <v>0</v>
      </c>
      <c r="P5114" s="76" t="b">
        <v>0</v>
      </c>
      <c r="Q5114" s="76" t="b">
        <v>0</v>
      </c>
      <c r="R5114" s="14"/>
      <c r="S5114" s="14"/>
      <c r="T5114" s="14"/>
      <c r="U5114" s="14"/>
      <c r="V5114" s="14"/>
      <c r="W5114" s="14"/>
    </row>
    <row r="5115" ht="31.5" customHeight="1">
      <c r="A5115" s="158"/>
      <c r="B5115" s="159"/>
      <c r="C5115" s="160"/>
      <c r="D5115" s="130"/>
      <c r="E5115" s="130"/>
      <c r="F5115" s="161"/>
      <c r="G5115" s="164"/>
      <c r="H5115" s="76" t="b">
        <v>0</v>
      </c>
      <c r="I5115" s="76" t="b">
        <v>0</v>
      </c>
      <c r="J5115" s="76" t="b">
        <v>0</v>
      </c>
      <c r="K5115" s="76" t="b">
        <v>0</v>
      </c>
      <c r="L5115" s="76" t="b">
        <v>0</v>
      </c>
      <c r="M5115" s="76" t="b">
        <v>0</v>
      </c>
      <c r="N5115" s="76" t="b">
        <v>0</v>
      </c>
      <c r="O5115" s="76" t="b">
        <v>0</v>
      </c>
      <c r="P5115" s="76" t="b">
        <v>0</v>
      </c>
      <c r="Q5115" s="76" t="b">
        <v>0</v>
      </c>
      <c r="R5115" s="14"/>
      <c r="S5115" s="14"/>
      <c r="T5115" s="14"/>
      <c r="U5115" s="14"/>
      <c r="V5115" s="14"/>
      <c r="W5115" s="14"/>
    </row>
    <row r="5116" ht="31.5" customHeight="1">
      <c r="A5116" s="158"/>
      <c r="B5116" s="159"/>
      <c r="C5116" s="160"/>
      <c r="D5116" s="130"/>
      <c r="E5116" s="130"/>
      <c r="F5116" s="161"/>
      <c r="G5116" s="164"/>
      <c r="H5116" s="76" t="b">
        <v>0</v>
      </c>
      <c r="I5116" s="76" t="b">
        <v>0</v>
      </c>
      <c r="J5116" s="76" t="b">
        <v>0</v>
      </c>
      <c r="K5116" s="76" t="b">
        <v>0</v>
      </c>
      <c r="L5116" s="76" t="b">
        <v>0</v>
      </c>
      <c r="M5116" s="76" t="b">
        <v>0</v>
      </c>
      <c r="N5116" s="76" t="b">
        <v>0</v>
      </c>
      <c r="O5116" s="76" t="b">
        <v>0</v>
      </c>
      <c r="P5116" s="76" t="b">
        <v>0</v>
      </c>
      <c r="Q5116" s="76" t="b">
        <v>0</v>
      </c>
      <c r="R5116" s="14"/>
      <c r="S5116" s="14"/>
      <c r="T5116" s="14"/>
      <c r="U5116" s="14"/>
      <c r="V5116" s="14"/>
      <c r="W5116" s="14"/>
    </row>
    <row r="5117" ht="31.5" customHeight="1">
      <c r="A5117" s="158"/>
      <c r="B5117" s="159"/>
      <c r="C5117" s="160"/>
      <c r="D5117" s="130"/>
      <c r="E5117" s="130"/>
      <c r="F5117" s="161"/>
      <c r="G5117" s="164"/>
      <c r="H5117" s="76" t="b">
        <v>0</v>
      </c>
      <c r="I5117" s="76" t="b">
        <v>0</v>
      </c>
      <c r="J5117" s="76" t="b">
        <v>0</v>
      </c>
      <c r="K5117" s="76" t="b">
        <v>0</v>
      </c>
      <c r="L5117" s="76" t="b">
        <v>0</v>
      </c>
      <c r="M5117" s="76" t="b">
        <v>0</v>
      </c>
      <c r="N5117" s="76" t="b">
        <v>0</v>
      </c>
      <c r="O5117" s="76" t="b">
        <v>0</v>
      </c>
      <c r="P5117" s="76" t="b">
        <v>0</v>
      </c>
      <c r="Q5117" s="76" t="b">
        <v>0</v>
      </c>
      <c r="R5117" s="14"/>
      <c r="S5117" s="14"/>
      <c r="T5117" s="14"/>
      <c r="U5117" s="14"/>
      <c r="V5117" s="14"/>
      <c r="W5117" s="14"/>
    </row>
    <row r="5118" ht="31.5" customHeight="1">
      <c r="A5118" s="158"/>
      <c r="B5118" s="159"/>
      <c r="C5118" s="160"/>
      <c r="D5118" s="130"/>
      <c r="E5118" s="130"/>
      <c r="F5118" s="161"/>
      <c r="G5118" s="164"/>
      <c r="H5118" s="76" t="b">
        <v>0</v>
      </c>
      <c r="I5118" s="76" t="b">
        <v>0</v>
      </c>
      <c r="J5118" s="76" t="b">
        <v>0</v>
      </c>
      <c r="K5118" s="76" t="b">
        <v>0</v>
      </c>
      <c r="L5118" s="76" t="b">
        <v>0</v>
      </c>
      <c r="M5118" s="76" t="b">
        <v>0</v>
      </c>
      <c r="N5118" s="76" t="b">
        <v>0</v>
      </c>
      <c r="O5118" s="76" t="b">
        <v>0</v>
      </c>
      <c r="P5118" s="76" t="b">
        <v>0</v>
      </c>
      <c r="Q5118" s="76" t="b">
        <v>0</v>
      </c>
      <c r="R5118" s="14"/>
      <c r="S5118" s="14"/>
      <c r="T5118" s="14"/>
      <c r="U5118" s="14"/>
      <c r="V5118" s="14"/>
      <c r="W5118" s="14"/>
    </row>
    <row r="5119" ht="31.5" customHeight="1">
      <c r="A5119" s="158"/>
      <c r="B5119" s="159"/>
      <c r="C5119" s="160"/>
      <c r="D5119" s="130"/>
      <c r="E5119" s="130"/>
      <c r="F5119" s="161"/>
      <c r="G5119" s="164"/>
      <c r="H5119" s="76" t="b">
        <v>0</v>
      </c>
      <c r="I5119" s="76" t="b">
        <v>0</v>
      </c>
      <c r="J5119" s="76" t="b">
        <v>0</v>
      </c>
      <c r="K5119" s="76" t="b">
        <v>0</v>
      </c>
      <c r="L5119" s="76" t="b">
        <v>0</v>
      </c>
      <c r="M5119" s="76" t="b">
        <v>0</v>
      </c>
      <c r="N5119" s="76" t="b">
        <v>0</v>
      </c>
      <c r="O5119" s="76" t="b">
        <v>0</v>
      </c>
      <c r="P5119" s="76" t="b">
        <v>0</v>
      </c>
      <c r="Q5119" s="76" t="b">
        <v>0</v>
      </c>
      <c r="R5119" s="14"/>
      <c r="S5119" s="14"/>
      <c r="T5119" s="14"/>
      <c r="U5119" s="14"/>
      <c r="V5119" s="14"/>
      <c r="W5119" s="14"/>
    </row>
    <row r="5120" ht="31.5" customHeight="1">
      <c r="A5120" s="158"/>
      <c r="B5120" s="159"/>
      <c r="C5120" s="160"/>
      <c r="D5120" s="130"/>
      <c r="E5120" s="130"/>
      <c r="F5120" s="161"/>
      <c r="G5120" s="164"/>
      <c r="H5120" s="76" t="b">
        <v>0</v>
      </c>
      <c r="I5120" s="76" t="b">
        <v>0</v>
      </c>
      <c r="J5120" s="76" t="b">
        <v>0</v>
      </c>
      <c r="K5120" s="76" t="b">
        <v>0</v>
      </c>
      <c r="L5120" s="76" t="b">
        <v>0</v>
      </c>
      <c r="M5120" s="76" t="b">
        <v>0</v>
      </c>
      <c r="N5120" s="76" t="b">
        <v>0</v>
      </c>
      <c r="O5120" s="76" t="b">
        <v>0</v>
      </c>
      <c r="P5120" s="76" t="b">
        <v>0</v>
      </c>
      <c r="Q5120" s="76" t="b">
        <v>0</v>
      </c>
      <c r="R5120" s="14"/>
      <c r="S5120" s="14"/>
      <c r="T5120" s="14"/>
      <c r="U5120" s="14"/>
      <c r="V5120" s="14"/>
      <c r="W5120" s="14"/>
    </row>
    <row r="5121" ht="31.5" customHeight="1">
      <c r="A5121" s="158"/>
      <c r="B5121" s="159"/>
      <c r="C5121" s="160"/>
      <c r="D5121" s="130"/>
      <c r="E5121" s="130"/>
      <c r="F5121" s="161"/>
      <c r="G5121" s="164"/>
      <c r="H5121" s="76" t="b">
        <v>0</v>
      </c>
      <c r="I5121" s="76" t="b">
        <v>0</v>
      </c>
      <c r="J5121" s="76" t="b">
        <v>0</v>
      </c>
      <c r="K5121" s="76" t="b">
        <v>0</v>
      </c>
      <c r="L5121" s="76" t="b">
        <v>0</v>
      </c>
      <c r="M5121" s="76" t="b">
        <v>0</v>
      </c>
      <c r="N5121" s="76" t="b">
        <v>0</v>
      </c>
      <c r="O5121" s="76" t="b">
        <v>0</v>
      </c>
      <c r="P5121" s="76" t="b">
        <v>0</v>
      </c>
      <c r="Q5121" s="76" t="b">
        <v>0</v>
      </c>
      <c r="R5121" s="14"/>
      <c r="S5121" s="14"/>
      <c r="T5121" s="14"/>
      <c r="U5121" s="14"/>
      <c r="V5121" s="14"/>
      <c r="W5121" s="14"/>
    </row>
    <row r="5122" ht="31.5" customHeight="1">
      <c r="A5122" s="158"/>
      <c r="B5122" s="159"/>
      <c r="C5122" s="160"/>
      <c r="D5122" s="130"/>
      <c r="E5122" s="130"/>
      <c r="F5122" s="161"/>
      <c r="G5122" s="164"/>
      <c r="H5122" s="76" t="b">
        <v>0</v>
      </c>
      <c r="I5122" s="76" t="b">
        <v>0</v>
      </c>
      <c r="J5122" s="76" t="b">
        <v>0</v>
      </c>
      <c r="K5122" s="76" t="b">
        <v>0</v>
      </c>
      <c r="L5122" s="76" t="b">
        <v>0</v>
      </c>
      <c r="M5122" s="76" t="b">
        <v>0</v>
      </c>
      <c r="N5122" s="76" t="b">
        <v>0</v>
      </c>
      <c r="O5122" s="76" t="b">
        <v>0</v>
      </c>
      <c r="P5122" s="76" t="b">
        <v>0</v>
      </c>
      <c r="Q5122" s="76" t="b">
        <v>0</v>
      </c>
      <c r="R5122" s="14"/>
      <c r="S5122" s="14"/>
      <c r="T5122" s="14"/>
      <c r="U5122" s="14"/>
      <c r="V5122" s="14"/>
      <c r="W5122" s="14"/>
    </row>
    <row r="5123" ht="31.5" customHeight="1">
      <c r="A5123" s="158"/>
      <c r="B5123" s="159"/>
      <c r="C5123" s="160"/>
      <c r="D5123" s="130"/>
      <c r="E5123" s="130"/>
      <c r="F5123" s="161"/>
      <c r="G5123" s="164"/>
      <c r="H5123" s="76" t="b">
        <v>0</v>
      </c>
      <c r="I5123" s="76" t="b">
        <v>0</v>
      </c>
      <c r="J5123" s="76" t="b">
        <v>0</v>
      </c>
      <c r="K5123" s="76" t="b">
        <v>0</v>
      </c>
      <c r="L5123" s="76" t="b">
        <v>0</v>
      </c>
      <c r="M5123" s="76" t="b">
        <v>0</v>
      </c>
      <c r="N5123" s="76" t="b">
        <v>0</v>
      </c>
      <c r="O5123" s="76" t="b">
        <v>0</v>
      </c>
      <c r="P5123" s="76" t="b">
        <v>0</v>
      </c>
      <c r="Q5123" s="76" t="b">
        <v>0</v>
      </c>
      <c r="R5123" s="14"/>
      <c r="S5123" s="14"/>
      <c r="T5123" s="14"/>
      <c r="U5123" s="14"/>
      <c r="V5123" s="14"/>
      <c r="W5123" s="14"/>
    </row>
    <row r="5124" ht="31.5" customHeight="1">
      <c r="A5124" s="158"/>
      <c r="B5124" s="159"/>
      <c r="C5124" s="160"/>
      <c r="D5124" s="130"/>
      <c r="E5124" s="130"/>
      <c r="F5124" s="161"/>
      <c r="G5124" s="164"/>
      <c r="H5124" s="76" t="b">
        <v>0</v>
      </c>
      <c r="I5124" s="76" t="b">
        <v>0</v>
      </c>
      <c r="J5124" s="76" t="b">
        <v>0</v>
      </c>
      <c r="K5124" s="76" t="b">
        <v>0</v>
      </c>
      <c r="L5124" s="76" t="b">
        <v>0</v>
      </c>
      <c r="M5124" s="76" t="b">
        <v>0</v>
      </c>
      <c r="N5124" s="76" t="b">
        <v>0</v>
      </c>
      <c r="O5124" s="76" t="b">
        <v>0</v>
      </c>
      <c r="P5124" s="76" t="b">
        <v>0</v>
      </c>
      <c r="Q5124" s="76" t="b">
        <v>0</v>
      </c>
      <c r="R5124" s="14"/>
      <c r="S5124" s="14"/>
      <c r="T5124" s="14"/>
      <c r="U5124" s="14"/>
      <c r="V5124" s="14"/>
      <c r="W5124" s="14"/>
    </row>
    <row r="5125" ht="31.5" customHeight="1">
      <c r="A5125" s="158"/>
      <c r="B5125" s="159"/>
      <c r="C5125" s="160"/>
      <c r="D5125" s="130"/>
      <c r="E5125" s="130"/>
      <c r="F5125" s="161"/>
      <c r="G5125" s="164"/>
      <c r="H5125" s="76" t="b">
        <v>0</v>
      </c>
      <c r="I5125" s="76" t="b">
        <v>0</v>
      </c>
      <c r="J5125" s="76" t="b">
        <v>0</v>
      </c>
      <c r="K5125" s="76" t="b">
        <v>0</v>
      </c>
      <c r="L5125" s="76" t="b">
        <v>0</v>
      </c>
      <c r="M5125" s="76" t="b">
        <v>0</v>
      </c>
      <c r="N5125" s="76" t="b">
        <v>0</v>
      </c>
      <c r="O5125" s="76" t="b">
        <v>0</v>
      </c>
      <c r="P5125" s="76" t="b">
        <v>0</v>
      </c>
      <c r="Q5125" s="76" t="b">
        <v>0</v>
      </c>
      <c r="R5125" s="14"/>
      <c r="S5125" s="14"/>
      <c r="T5125" s="14"/>
      <c r="U5125" s="14"/>
      <c r="V5125" s="14"/>
      <c r="W5125" s="14"/>
    </row>
    <row r="5126" ht="31.5" customHeight="1">
      <c r="A5126" s="158"/>
      <c r="B5126" s="159"/>
      <c r="C5126" s="160"/>
      <c r="D5126" s="130"/>
      <c r="E5126" s="130"/>
      <c r="F5126" s="161"/>
      <c r="G5126" s="164"/>
      <c r="H5126" s="76" t="b">
        <v>0</v>
      </c>
      <c r="I5126" s="76" t="b">
        <v>0</v>
      </c>
      <c r="J5126" s="76" t="b">
        <v>0</v>
      </c>
      <c r="K5126" s="76" t="b">
        <v>0</v>
      </c>
      <c r="L5126" s="76" t="b">
        <v>0</v>
      </c>
      <c r="M5126" s="76" t="b">
        <v>0</v>
      </c>
      <c r="N5126" s="76" t="b">
        <v>0</v>
      </c>
      <c r="O5126" s="76" t="b">
        <v>0</v>
      </c>
      <c r="P5126" s="76" t="b">
        <v>0</v>
      </c>
      <c r="Q5126" s="76" t="b">
        <v>0</v>
      </c>
      <c r="R5126" s="14"/>
      <c r="S5126" s="14"/>
      <c r="T5126" s="14"/>
      <c r="U5126" s="14"/>
      <c r="V5126" s="14"/>
      <c r="W5126" s="14"/>
    </row>
    <row r="5127" ht="31.5" customHeight="1">
      <c r="A5127" s="158"/>
      <c r="B5127" s="159"/>
      <c r="C5127" s="160"/>
      <c r="D5127" s="130"/>
      <c r="E5127" s="130"/>
      <c r="F5127" s="161"/>
      <c r="G5127" s="164"/>
      <c r="H5127" s="76" t="b">
        <v>0</v>
      </c>
      <c r="I5127" s="76" t="b">
        <v>0</v>
      </c>
      <c r="J5127" s="76" t="b">
        <v>0</v>
      </c>
      <c r="K5127" s="76" t="b">
        <v>0</v>
      </c>
      <c r="L5127" s="76" t="b">
        <v>0</v>
      </c>
      <c r="M5127" s="76" t="b">
        <v>0</v>
      </c>
      <c r="N5127" s="76" t="b">
        <v>0</v>
      </c>
      <c r="O5127" s="76" t="b">
        <v>0</v>
      </c>
      <c r="P5127" s="76" t="b">
        <v>0</v>
      </c>
      <c r="Q5127" s="76" t="b">
        <v>0</v>
      </c>
      <c r="R5127" s="14"/>
      <c r="S5127" s="14"/>
      <c r="T5127" s="14"/>
      <c r="U5127" s="14"/>
      <c r="V5127" s="14"/>
      <c r="W5127" s="14"/>
    </row>
    <row r="5128" ht="31.5" customHeight="1">
      <c r="A5128" s="158"/>
      <c r="B5128" s="159"/>
      <c r="C5128" s="160"/>
      <c r="D5128" s="130"/>
      <c r="E5128" s="130"/>
      <c r="F5128" s="161"/>
      <c r="G5128" s="164"/>
      <c r="H5128" s="76" t="b">
        <v>0</v>
      </c>
      <c r="I5128" s="76" t="b">
        <v>0</v>
      </c>
      <c r="J5128" s="76" t="b">
        <v>0</v>
      </c>
      <c r="K5128" s="76" t="b">
        <v>0</v>
      </c>
      <c r="L5128" s="76" t="b">
        <v>0</v>
      </c>
      <c r="M5128" s="76" t="b">
        <v>0</v>
      </c>
      <c r="N5128" s="76" t="b">
        <v>0</v>
      </c>
      <c r="O5128" s="76" t="b">
        <v>0</v>
      </c>
      <c r="P5128" s="76" t="b">
        <v>0</v>
      </c>
      <c r="Q5128" s="76" t="b">
        <v>0</v>
      </c>
      <c r="R5128" s="14"/>
      <c r="S5128" s="14"/>
      <c r="T5128" s="14"/>
      <c r="U5128" s="14"/>
      <c r="V5128" s="14"/>
      <c r="W5128" s="14"/>
    </row>
    <row r="5129" ht="31.5" customHeight="1">
      <c r="A5129" s="158"/>
      <c r="B5129" s="159"/>
      <c r="C5129" s="160"/>
      <c r="D5129" s="130"/>
      <c r="E5129" s="130"/>
      <c r="F5129" s="161"/>
      <c r="G5129" s="164"/>
      <c r="H5129" s="76" t="b">
        <v>0</v>
      </c>
      <c r="I5129" s="76" t="b">
        <v>0</v>
      </c>
      <c r="J5129" s="76" t="b">
        <v>0</v>
      </c>
      <c r="K5129" s="76" t="b">
        <v>0</v>
      </c>
      <c r="L5129" s="76" t="b">
        <v>0</v>
      </c>
      <c r="M5129" s="76" t="b">
        <v>0</v>
      </c>
      <c r="N5129" s="76" t="b">
        <v>0</v>
      </c>
      <c r="O5129" s="76" t="b">
        <v>0</v>
      </c>
      <c r="P5129" s="76" t="b">
        <v>0</v>
      </c>
      <c r="Q5129" s="76" t="b">
        <v>0</v>
      </c>
      <c r="R5129" s="14"/>
      <c r="S5129" s="14"/>
      <c r="T5129" s="14"/>
      <c r="U5129" s="14"/>
      <c r="V5129" s="14"/>
      <c r="W5129" s="14"/>
    </row>
    <row r="5130" ht="31.5" customHeight="1">
      <c r="A5130" s="158"/>
      <c r="B5130" s="159"/>
      <c r="C5130" s="160"/>
      <c r="D5130" s="130"/>
      <c r="E5130" s="130"/>
      <c r="F5130" s="161"/>
      <c r="G5130" s="164"/>
      <c r="H5130" s="76" t="b">
        <v>0</v>
      </c>
      <c r="I5130" s="76" t="b">
        <v>0</v>
      </c>
      <c r="J5130" s="76" t="b">
        <v>0</v>
      </c>
      <c r="K5130" s="76" t="b">
        <v>0</v>
      </c>
      <c r="L5130" s="76" t="b">
        <v>0</v>
      </c>
      <c r="M5130" s="76" t="b">
        <v>0</v>
      </c>
      <c r="N5130" s="76" t="b">
        <v>0</v>
      </c>
      <c r="O5130" s="76" t="b">
        <v>0</v>
      </c>
      <c r="P5130" s="76" t="b">
        <v>0</v>
      </c>
      <c r="Q5130" s="76" t="b">
        <v>0</v>
      </c>
      <c r="R5130" s="14"/>
      <c r="S5130" s="14"/>
      <c r="T5130" s="14"/>
      <c r="U5130" s="14"/>
      <c r="V5130" s="14"/>
      <c r="W5130" s="14"/>
    </row>
    <row r="5131" ht="31.5" customHeight="1">
      <c r="A5131" s="158"/>
      <c r="B5131" s="159"/>
      <c r="C5131" s="160"/>
      <c r="D5131" s="130"/>
      <c r="E5131" s="130"/>
      <c r="F5131" s="161"/>
      <c r="G5131" s="164"/>
      <c r="H5131" s="76" t="b">
        <v>0</v>
      </c>
      <c r="I5131" s="76" t="b">
        <v>0</v>
      </c>
      <c r="J5131" s="76" t="b">
        <v>0</v>
      </c>
      <c r="K5131" s="76" t="b">
        <v>0</v>
      </c>
      <c r="L5131" s="76" t="b">
        <v>0</v>
      </c>
      <c r="M5131" s="76" t="b">
        <v>0</v>
      </c>
      <c r="N5131" s="76" t="b">
        <v>0</v>
      </c>
      <c r="O5131" s="76" t="b">
        <v>0</v>
      </c>
      <c r="P5131" s="76" t="b">
        <v>0</v>
      </c>
      <c r="Q5131" s="76" t="b">
        <v>0</v>
      </c>
      <c r="R5131" s="14"/>
      <c r="S5131" s="14"/>
      <c r="T5131" s="14"/>
      <c r="U5131" s="14"/>
      <c r="V5131" s="14"/>
      <c r="W5131" s="14"/>
    </row>
    <row r="5132" ht="31.5" customHeight="1">
      <c r="A5132" s="158"/>
      <c r="B5132" s="159"/>
      <c r="C5132" s="160"/>
      <c r="D5132" s="130"/>
      <c r="E5132" s="130"/>
      <c r="F5132" s="161"/>
      <c r="G5132" s="164"/>
      <c r="H5132" s="76" t="b">
        <v>0</v>
      </c>
      <c r="I5132" s="76" t="b">
        <v>0</v>
      </c>
      <c r="J5132" s="76" t="b">
        <v>0</v>
      </c>
      <c r="K5132" s="76" t="b">
        <v>0</v>
      </c>
      <c r="L5132" s="76" t="b">
        <v>0</v>
      </c>
      <c r="M5132" s="76" t="b">
        <v>0</v>
      </c>
      <c r="N5132" s="76" t="b">
        <v>0</v>
      </c>
      <c r="O5132" s="76" t="b">
        <v>0</v>
      </c>
      <c r="P5132" s="76" t="b">
        <v>0</v>
      </c>
      <c r="Q5132" s="76" t="b">
        <v>0</v>
      </c>
      <c r="R5132" s="14"/>
      <c r="S5132" s="14"/>
      <c r="T5132" s="14"/>
      <c r="U5132" s="14"/>
      <c r="V5132" s="14"/>
      <c r="W5132" s="14"/>
    </row>
    <row r="5133" ht="31.5" customHeight="1">
      <c r="A5133" s="158"/>
      <c r="B5133" s="159"/>
      <c r="C5133" s="160"/>
      <c r="D5133" s="130"/>
      <c r="E5133" s="130"/>
      <c r="F5133" s="161"/>
      <c r="G5133" s="164"/>
      <c r="H5133" s="76" t="b">
        <v>0</v>
      </c>
      <c r="I5133" s="76" t="b">
        <v>0</v>
      </c>
      <c r="J5133" s="76" t="b">
        <v>0</v>
      </c>
      <c r="K5133" s="76" t="b">
        <v>0</v>
      </c>
      <c r="L5133" s="76" t="b">
        <v>0</v>
      </c>
      <c r="M5133" s="76" t="b">
        <v>0</v>
      </c>
      <c r="N5133" s="76" t="b">
        <v>0</v>
      </c>
      <c r="O5133" s="76" t="b">
        <v>0</v>
      </c>
      <c r="P5133" s="76" t="b">
        <v>0</v>
      </c>
      <c r="Q5133" s="76" t="b">
        <v>0</v>
      </c>
      <c r="R5133" s="14"/>
      <c r="S5133" s="14"/>
      <c r="T5133" s="14"/>
      <c r="U5133" s="14"/>
      <c r="V5133" s="14"/>
      <c r="W5133" s="14"/>
    </row>
    <row r="5134" ht="31.5" customHeight="1">
      <c r="A5134" s="158"/>
      <c r="B5134" s="159"/>
      <c r="C5134" s="160"/>
      <c r="D5134" s="130"/>
      <c r="E5134" s="130"/>
      <c r="F5134" s="161"/>
      <c r="G5134" s="164"/>
      <c r="H5134" s="76" t="b">
        <v>0</v>
      </c>
      <c r="I5134" s="76" t="b">
        <v>0</v>
      </c>
      <c r="J5134" s="76" t="b">
        <v>0</v>
      </c>
      <c r="K5134" s="76" t="b">
        <v>0</v>
      </c>
      <c r="L5134" s="76" t="b">
        <v>0</v>
      </c>
      <c r="M5134" s="76" t="b">
        <v>0</v>
      </c>
      <c r="N5134" s="76" t="b">
        <v>0</v>
      </c>
      <c r="O5134" s="76" t="b">
        <v>0</v>
      </c>
      <c r="P5134" s="76" t="b">
        <v>0</v>
      </c>
      <c r="Q5134" s="76" t="b">
        <v>0</v>
      </c>
      <c r="R5134" s="14"/>
      <c r="S5134" s="14"/>
      <c r="T5134" s="14"/>
      <c r="U5134" s="14"/>
      <c r="V5134" s="14"/>
      <c r="W5134" s="14"/>
    </row>
    <row r="5135" ht="31.5" customHeight="1">
      <c r="A5135" s="158"/>
      <c r="B5135" s="159"/>
      <c r="C5135" s="160"/>
      <c r="D5135" s="130"/>
      <c r="E5135" s="130"/>
      <c r="F5135" s="161"/>
      <c r="G5135" s="164"/>
      <c r="H5135" s="76" t="b">
        <v>0</v>
      </c>
      <c r="I5135" s="76" t="b">
        <v>0</v>
      </c>
      <c r="J5135" s="76" t="b">
        <v>0</v>
      </c>
      <c r="K5135" s="76" t="b">
        <v>0</v>
      </c>
      <c r="L5135" s="76" t="b">
        <v>0</v>
      </c>
      <c r="M5135" s="76" t="b">
        <v>0</v>
      </c>
      <c r="N5135" s="76" t="b">
        <v>0</v>
      </c>
      <c r="O5135" s="76" t="b">
        <v>0</v>
      </c>
      <c r="P5135" s="76" t="b">
        <v>0</v>
      </c>
      <c r="Q5135" s="76" t="b">
        <v>0</v>
      </c>
      <c r="R5135" s="14"/>
      <c r="S5135" s="14"/>
      <c r="T5135" s="14"/>
      <c r="U5135" s="14"/>
      <c r="V5135" s="14"/>
      <c r="W5135" s="14"/>
    </row>
    <row r="5136" ht="31.5" customHeight="1">
      <c r="A5136" s="158"/>
      <c r="B5136" s="159"/>
      <c r="C5136" s="160"/>
      <c r="D5136" s="130"/>
      <c r="E5136" s="130"/>
      <c r="F5136" s="161"/>
      <c r="G5136" s="164"/>
      <c r="H5136" s="76" t="b">
        <v>0</v>
      </c>
      <c r="I5136" s="76" t="b">
        <v>0</v>
      </c>
      <c r="J5136" s="76" t="b">
        <v>0</v>
      </c>
      <c r="K5136" s="76" t="b">
        <v>0</v>
      </c>
      <c r="L5136" s="76" t="b">
        <v>0</v>
      </c>
      <c r="M5136" s="76" t="b">
        <v>0</v>
      </c>
      <c r="N5136" s="76" t="b">
        <v>0</v>
      </c>
      <c r="O5136" s="76" t="b">
        <v>0</v>
      </c>
      <c r="P5136" s="76" t="b">
        <v>0</v>
      </c>
      <c r="Q5136" s="76" t="b">
        <v>0</v>
      </c>
      <c r="R5136" s="14"/>
      <c r="S5136" s="14"/>
      <c r="T5136" s="14"/>
      <c r="U5136" s="14"/>
      <c r="V5136" s="14"/>
      <c r="W5136" s="14"/>
    </row>
    <row r="5137" ht="31.5" customHeight="1">
      <c r="A5137" s="158"/>
      <c r="B5137" s="159"/>
      <c r="C5137" s="160"/>
      <c r="D5137" s="130"/>
      <c r="E5137" s="130"/>
      <c r="F5137" s="161"/>
      <c r="G5137" s="164"/>
      <c r="H5137" s="76" t="b">
        <v>0</v>
      </c>
      <c r="I5137" s="76" t="b">
        <v>0</v>
      </c>
      <c r="J5137" s="76" t="b">
        <v>0</v>
      </c>
      <c r="K5137" s="76" t="b">
        <v>0</v>
      </c>
      <c r="L5137" s="76" t="b">
        <v>0</v>
      </c>
      <c r="M5137" s="76" t="b">
        <v>0</v>
      </c>
      <c r="N5137" s="76" t="b">
        <v>0</v>
      </c>
      <c r="O5137" s="76" t="b">
        <v>0</v>
      </c>
      <c r="P5137" s="76" t="b">
        <v>0</v>
      </c>
      <c r="Q5137" s="76" t="b">
        <v>0</v>
      </c>
      <c r="R5137" s="14"/>
      <c r="S5137" s="14"/>
      <c r="T5137" s="14"/>
      <c r="U5137" s="14"/>
      <c r="V5137" s="14"/>
      <c r="W5137" s="14"/>
    </row>
    <row r="5138" ht="31.5" customHeight="1">
      <c r="A5138" s="158"/>
      <c r="B5138" s="159"/>
      <c r="C5138" s="160"/>
      <c r="D5138" s="130"/>
      <c r="E5138" s="130"/>
      <c r="F5138" s="161"/>
      <c r="G5138" s="164"/>
      <c r="H5138" s="76" t="b">
        <v>0</v>
      </c>
      <c r="I5138" s="76" t="b">
        <v>0</v>
      </c>
      <c r="J5138" s="76" t="b">
        <v>0</v>
      </c>
      <c r="K5138" s="76" t="b">
        <v>0</v>
      </c>
      <c r="L5138" s="76" t="b">
        <v>0</v>
      </c>
      <c r="M5138" s="76" t="b">
        <v>0</v>
      </c>
      <c r="N5138" s="76" t="b">
        <v>0</v>
      </c>
      <c r="O5138" s="76" t="b">
        <v>0</v>
      </c>
      <c r="P5138" s="76" t="b">
        <v>0</v>
      </c>
      <c r="Q5138" s="76" t="b">
        <v>0</v>
      </c>
      <c r="R5138" s="14"/>
      <c r="S5138" s="14"/>
      <c r="T5138" s="14"/>
      <c r="U5138" s="14"/>
      <c r="V5138" s="14"/>
      <c r="W5138" s="14"/>
    </row>
    <row r="5139" ht="31.5" customHeight="1">
      <c r="A5139" s="158"/>
      <c r="B5139" s="159"/>
      <c r="C5139" s="160"/>
      <c r="D5139" s="130"/>
      <c r="E5139" s="130"/>
      <c r="F5139" s="161"/>
      <c r="G5139" s="164"/>
      <c r="H5139" s="76" t="b">
        <v>0</v>
      </c>
      <c r="I5139" s="76" t="b">
        <v>0</v>
      </c>
      <c r="J5139" s="76" t="b">
        <v>0</v>
      </c>
      <c r="K5139" s="76" t="b">
        <v>0</v>
      </c>
      <c r="L5139" s="76" t="b">
        <v>0</v>
      </c>
      <c r="M5139" s="76" t="b">
        <v>0</v>
      </c>
      <c r="N5139" s="76" t="b">
        <v>0</v>
      </c>
      <c r="O5139" s="76" t="b">
        <v>0</v>
      </c>
      <c r="P5139" s="76" t="b">
        <v>0</v>
      </c>
      <c r="Q5139" s="76" t="b">
        <v>0</v>
      </c>
      <c r="R5139" s="14"/>
      <c r="S5139" s="14"/>
      <c r="T5139" s="14"/>
      <c r="U5139" s="14"/>
      <c r="V5139" s="14"/>
      <c r="W5139" s="14"/>
    </row>
    <row r="5140" ht="31.5" customHeight="1">
      <c r="A5140" s="158"/>
      <c r="B5140" s="159"/>
      <c r="C5140" s="160"/>
      <c r="D5140" s="130"/>
      <c r="E5140" s="130"/>
      <c r="F5140" s="161"/>
      <c r="G5140" s="164"/>
      <c r="H5140" s="76" t="b">
        <v>0</v>
      </c>
      <c r="I5140" s="76" t="b">
        <v>0</v>
      </c>
      <c r="J5140" s="76" t="b">
        <v>0</v>
      </c>
      <c r="K5140" s="76" t="b">
        <v>0</v>
      </c>
      <c r="L5140" s="76" t="b">
        <v>0</v>
      </c>
      <c r="M5140" s="76" t="b">
        <v>0</v>
      </c>
      <c r="N5140" s="76" t="b">
        <v>0</v>
      </c>
      <c r="O5140" s="76" t="b">
        <v>0</v>
      </c>
      <c r="P5140" s="76" t="b">
        <v>0</v>
      </c>
      <c r="Q5140" s="76" t="b">
        <v>0</v>
      </c>
      <c r="R5140" s="14"/>
      <c r="S5140" s="14"/>
      <c r="T5140" s="14"/>
      <c r="U5140" s="14"/>
      <c r="V5140" s="14"/>
      <c r="W5140" s="14"/>
    </row>
    <row r="5141" ht="31.5" customHeight="1">
      <c r="A5141" s="158"/>
      <c r="B5141" s="159"/>
      <c r="C5141" s="160"/>
      <c r="D5141" s="130"/>
      <c r="E5141" s="130"/>
      <c r="F5141" s="161"/>
      <c r="G5141" s="164"/>
      <c r="H5141" s="76" t="b">
        <v>0</v>
      </c>
      <c r="I5141" s="76" t="b">
        <v>0</v>
      </c>
      <c r="J5141" s="76" t="b">
        <v>0</v>
      </c>
      <c r="K5141" s="76" t="b">
        <v>0</v>
      </c>
      <c r="L5141" s="76" t="b">
        <v>0</v>
      </c>
      <c r="M5141" s="76" t="b">
        <v>0</v>
      </c>
      <c r="N5141" s="76" t="b">
        <v>0</v>
      </c>
      <c r="O5141" s="76" t="b">
        <v>0</v>
      </c>
      <c r="P5141" s="76" t="b">
        <v>0</v>
      </c>
      <c r="Q5141" s="76" t="b">
        <v>0</v>
      </c>
      <c r="R5141" s="14"/>
      <c r="S5141" s="14"/>
      <c r="T5141" s="14"/>
      <c r="U5141" s="14"/>
      <c r="V5141" s="14"/>
      <c r="W5141" s="14"/>
    </row>
    <row r="5142" ht="31.5" customHeight="1">
      <c r="A5142" s="158"/>
      <c r="B5142" s="159"/>
      <c r="C5142" s="160"/>
      <c r="D5142" s="130"/>
      <c r="E5142" s="130"/>
      <c r="F5142" s="161"/>
      <c r="G5142" s="164"/>
      <c r="H5142" s="76" t="b">
        <v>0</v>
      </c>
      <c r="I5142" s="76" t="b">
        <v>0</v>
      </c>
      <c r="J5142" s="76" t="b">
        <v>0</v>
      </c>
      <c r="K5142" s="76" t="b">
        <v>0</v>
      </c>
      <c r="L5142" s="76" t="b">
        <v>0</v>
      </c>
      <c r="M5142" s="76" t="b">
        <v>0</v>
      </c>
      <c r="N5142" s="76" t="b">
        <v>0</v>
      </c>
      <c r="O5142" s="76" t="b">
        <v>0</v>
      </c>
      <c r="P5142" s="76" t="b">
        <v>0</v>
      </c>
      <c r="Q5142" s="76" t="b">
        <v>0</v>
      </c>
      <c r="R5142" s="14"/>
      <c r="S5142" s="14"/>
      <c r="T5142" s="14"/>
      <c r="U5142" s="14"/>
      <c r="V5142" s="14"/>
      <c r="W5142" s="14"/>
    </row>
    <row r="5143" ht="31.5" customHeight="1">
      <c r="A5143" s="158"/>
      <c r="B5143" s="159"/>
      <c r="C5143" s="160"/>
      <c r="D5143" s="130"/>
      <c r="E5143" s="130"/>
      <c r="F5143" s="161"/>
      <c r="G5143" s="164"/>
      <c r="H5143" s="76" t="b">
        <v>0</v>
      </c>
      <c r="I5143" s="76" t="b">
        <v>0</v>
      </c>
      <c r="J5143" s="76" t="b">
        <v>0</v>
      </c>
      <c r="K5143" s="76" t="b">
        <v>0</v>
      </c>
      <c r="L5143" s="76" t="b">
        <v>0</v>
      </c>
      <c r="M5143" s="76" t="b">
        <v>0</v>
      </c>
      <c r="N5143" s="76" t="b">
        <v>0</v>
      </c>
      <c r="O5143" s="76" t="b">
        <v>0</v>
      </c>
      <c r="P5143" s="76" t="b">
        <v>0</v>
      </c>
      <c r="Q5143" s="76" t="b">
        <v>0</v>
      </c>
      <c r="R5143" s="14"/>
      <c r="S5143" s="14"/>
      <c r="T5143" s="14"/>
      <c r="U5143" s="14"/>
      <c r="V5143" s="14"/>
      <c r="W5143" s="14"/>
    </row>
    <row r="5144" ht="31.5" customHeight="1">
      <c r="A5144" s="158"/>
      <c r="B5144" s="159"/>
      <c r="C5144" s="160"/>
      <c r="D5144" s="130"/>
      <c r="E5144" s="130"/>
      <c r="F5144" s="161"/>
      <c r="G5144" s="164"/>
      <c r="H5144" s="76" t="b">
        <v>0</v>
      </c>
      <c r="I5144" s="76" t="b">
        <v>0</v>
      </c>
      <c r="J5144" s="76" t="b">
        <v>0</v>
      </c>
      <c r="K5144" s="76" t="b">
        <v>0</v>
      </c>
      <c r="L5144" s="76" t="b">
        <v>0</v>
      </c>
      <c r="M5144" s="76" t="b">
        <v>0</v>
      </c>
      <c r="N5144" s="76" t="b">
        <v>0</v>
      </c>
      <c r="O5144" s="76" t="b">
        <v>0</v>
      </c>
      <c r="P5144" s="76" t="b">
        <v>0</v>
      </c>
      <c r="Q5144" s="76" t="b">
        <v>0</v>
      </c>
      <c r="R5144" s="14"/>
      <c r="S5144" s="14"/>
      <c r="T5144" s="14"/>
      <c r="U5144" s="14"/>
      <c r="V5144" s="14"/>
      <c r="W5144" s="14"/>
    </row>
    <row r="5145" ht="31.5" customHeight="1">
      <c r="A5145" s="158"/>
      <c r="B5145" s="159"/>
      <c r="C5145" s="160"/>
      <c r="D5145" s="130"/>
      <c r="E5145" s="130"/>
      <c r="F5145" s="161"/>
      <c r="G5145" s="164"/>
      <c r="H5145" s="76" t="b">
        <v>0</v>
      </c>
      <c r="I5145" s="76" t="b">
        <v>0</v>
      </c>
      <c r="J5145" s="76" t="b">
        <v>0</v>
      </c>
      <c r="K5145" s="76" t="b">
        <v>0</v>
      </c>
      <c r="L5145" s="76" t="b">
        <v>0</v>
      </c>
      <c r="M5145" s="76" t="b">
        <v>0</v>
      </c>
      <c r="N5145" s="76" t="b">
        <v>0</v>
      </c>
      <c r="O5145" s="76" t="b">
        <v>0</v>
      </c>
      <c r="P5145" s="76" t="b">
        <v>0</v>
      </c>
      <c r="Q5145" s="76" t="b">
        <v>0</v>
      </c>
      <c r="R5145" s="14"/>
      <c r="S5145" s="14"/>
      <c r="T5145" s="14"/>
      <c r="U5145" s="14"/>
      <c r="V5145" s="14"/>
      <c r="W5145" s="14"/>
    </row>
    <row r="5146" ht="31.5" customHeight="1">
      <c r="A5146" s="158"/>
      <c r="B5146" s="159"/>
      <c r="C5146" s="160"/>
      <c r="D5146" s="130"/>
      <c r="E5146" s="130"/>
      <c r="F5146" s="161"/>
      <c r="G5146" s="164"/>
      <c r="H5146" s="76" t="b">
        <v>0</v>
      </c>
      <c r="I5146" s="76" t="b">
        <v>0</v>
      </c>
      <c r="J5146" s="76" t="b">
        <v>0</v>
      </c>
      <c r="K5146" s="76" t="b">
        <v>0</v>
      </c>
      <c r="L5146" s="76" t="b">
        <v>0</v>
      </c>
      <c r="M5146" s="76" t="b">
        <v>0</v>
      </c>
      <c r="N5146" s="76" t="b">
        <v>0</v>
      </c>
      <c r="O5146" s="76" t="b">
        <v>0</v>
      </c>
      <c r="P5146" s="76" t="b">
        <v>0</v>
      </c>
      <c r="Q5146" s="76" t="b">
        <v>0</v>
      </c>
      <c r="R5146" s="14"/>
      <c r="S5146" s="14"/>
      <c r="T5146" s="14"/>
      <c r="U5146" s="14"/>
      <c r="V5146" s="14"/>
      <c r="W5146" s="14"/>
    </row>
    <row r="5147" ht="31.5" customHeight="1">
      <c r="A5147" s="158"/>
      <c r="B5147" s="159"/>
      <c r="C5147" s="160"/>
      <c r="D5147" s="130"/>
      <c r="E5147" s="130"/>
      <c r="F5147" s="161"/>
      <c r="G5147" s="164"/>
      <c r="H5147" s="76" t="b">
        <v>0</v>
      </c>
      <c r="I5147" s="76" t="b">
        <v>0</v>
      </c>
      <c r="J5147" s="76" t="b">
        <v>0</v>
      </c>
      <c r="K5147" s="76" t="b">
        <v>0</v>
      </c>
      <c r="L5147" s="76" t="b">
        <v>0</v>
      </c>
      <c r="M5147" s="76" t="b">
        <v>0</v>
      </c>
      <c r="N5147" s="76" t="b">
        <v>0</v>
      </c>
      <c r="O5147" s="76" t="b">
        <v>0</v>
      </c>
      <c r="P5147" s="76" t="b">
        <v>0</v>
      </c>
      <c r="Q5147" s="76" t="b">
        <v>0</v>
      </c>
      <c r="R5147" s="14"/>
      <c r="S5147" s="14"/>
      <c r="T5147" s="14"/>
      <c r="U5147" s="14"/>
      <c r="V5147" s="14"/>
      <c r="W5147" s="14"/>
    </row>
    <row r="5148" ht="31.5" customHeight="1">
      <c r="A5148" s="158"/>
      <c r="B5148" s="159"/>
      <c r="C5148" s="160"/>
      <c r="D5148" s="130"/>
      <c r="E5148" s="130"/>
      <c r="F5148" s="161"/>
      <c r="G5148" s="164"/>
      <c r="H5148" s="76" t="b">
        <v>0</v>
      </c>
      <c r="I5148" s="76" t="b">
        <v>0</v>
      </c>
      <c r="J5148" s="76" t="b">
        <v>0</v>
      </c>
      <c r="K5148" s="76" t="b">
        <v>0</v>
      </c>
      <c r="L5148" s="76" t="b">
        <v>0</v>
      </c>
      <c r="M5148" s="76" t="b">
        <v>0</v>
      </c>
      <c r="N5148" s="76" t="b">
        <v>0</v>
      </c>
      <c r="O5148" s="76" t="b">
        <v>0</v>
      </c>
      <c r="P5148" s="76" t="b">
        <v>0</v>
      </c>
      <c r="Q5148" s="76" t="b">
        <v>0</v>
      </c>
      <c r="R5148" s="14"/>
      <c r="S5148" s="14"/>
      <c r="T5148" s="14"/>
      <c r="U5148" s="14"/>
      <c r="V5148" s="14"/>
      <c r="W5148" s="14"/>
    </row>
    <row r="5149" ht="31.5" customHeight="1">
      <c r="A5149" s="158"/>
      <c r="B5149" s="159"/>
      <c r="C5149" s="160"/>
      <c r="D5149" s="130"/>
      <c r="E5149" s="130"/>
      <c r="F5149" s="161"/>
      <c r="G5149" s="164"/>
      <c r="H5149" s="76" t="b">
        <v>0</v>
      </c>
      <c r="I5149" s="76" t="b">
        <v>0</v>
      </c>
      <c r="J5149" s="76" t="b">
        <v>0</v>
      </c>
      <c r="K5149" s="76" t="b">
        <v>0</v>
      </c>
      <c r="L5149" s="76" t="b">
        <v>0</v>
      </c>
      <c r="M5149" s="76" t="b">
        <v>0</v>
      </c>
      <c r="N5149" s="76" t="b">
        <v>0</v>
      </c>
      <c r="O5149" s="76" t="b">
        <v>0</v>
      </c>
      <c r="P5149" s="76" t="b">
        <v>0</v>
      </c>
      <c r="Q5149" s="76" t="b">
        <v>0</v>
      </c>
      <c r="R5149" s="14"/>
      <c r="S5149" s="14"/>
      <c r="T5149" s="14"/>
      <c r="U5149" s="14"/>
      <c r="V5149" s="14"/>
      <c r="W5149" s="14"/>
    </row>
    <row r="5150" ht="31.5" customHeight="1">
      <c r="A5150" s="158"/>
      <c r="B5150" s="159"/>
      <c r="C5150" s="160"/>
      <c r="D5150" s="130"/>
      <c r="E5150" s="130"/>
      <c r="F5150" s="161"/>
      <c r="G5150" s="164"/>
      <c r="H5150" s="76" t="b">
        <v>0</v>
      </c>
      <c r="I5150" s="76" t="b">
        <v>0</v>
      </c>
      <c r="J5150" s="76" t="b">
        <v>0</v>
      </c>
      <c r="K5150" s="76" t="b">
        <v>0</v>
      </c>
      <c r="L5150" s="76" t="b">
        <v>0</v>
      </c>
      <c r="M5150" s="76" t="b">
        <v>0</v>
      </c>
      <c r="N5150" s="76" t="b">
        <v>0</v>
      </c>
      <c r="O5150" s="76" t="b">
        <v>0</v>
      </c>
      <c r="P5150" s="76" t="b">
        <v>0</v>
      </c>
      <c r="Q5150" s="76" t="b">
        <v>0</v>
      </c>
      <c r="R5150" s="14"/>
      <c r="S5150" s="14"/>
      <c r="T5150" s="14"/>
      <c r="U5150" s="14"/>
      <c r="V5150" s="14"/>
      <c r="W5150" s="14"/>
    </row>
    <row r="5151" ht="31.5" customHeight="1">
      <c r="A5151" s="158"/>
      <c r="B5151" s="159"/>
      <c r="C5151" s="160"/>
      <c r="D5151" s="130"/>
      <c r="E5151" s="130"/>
      <c r="F5151" s="161"/>
      <c r="G5151" s="164"/>
      <c r="H5151" s="76" t="b">
        <v>0</v>
      </c>
      <c r="I5151" s="76" t="b">
        <v>0</v>
      </c>
      <c r="J5151" s="76" t="b">
        <v>0</v>
      </c>
      <c r="K5151" s="76" t="b">
        <v>0</v>
      </c>
      <c r="L5151" s="76" t="b">
        <v>0</v>
      </c>
      <c r="M5151" s="76" t="b">
        <v>0</v>
      </c>
      <c r="N5151" s="76" t="b">
        <v>0</v>
      </c>
      <c r="O5151" s="76" t="b">
        <v>0</v>
      </c>
      <c r="P5151" s="76" t="b">
        <v>0</v>
      </c>
      <c r="Q5151" s="76" t="b">
        <v>0</v>
      </c>
      <c r="R5151" s="14"/>
      <c r="S5151" s="14"/>
      <c r="T5151" s="14"/>
      <c r="U5151" s="14"/>
      <c r="V5151" s="14"/>
      <c r="W5151" s="14"/>
    </row>
    <row r="5152" ht="31.5" customHeight="1">
      <c r="A5152" s="158"/>
      <c r="B5152" s="159"/>
      <c r="C5152" s="160"/>
      <c r="D5152" s="130"/>
      <c r="E5152" s="130"/>
      <c r="F5152" s="161"/>
      <c r="G5152" s="164"/>
      <c r="H5152" s="76" t="b">
        <v>0</v>
      </c>
      <c r="I5152" s="76" t="b">
        <v>0</v>
      </c>
      <c r="J5152" s="76" t="b">
        <v>0</v>
      </c>
      <c r="K5152" s="76" t="b">
        <v>0</v>
      </c>
      <c r="L5152" s="76" t="b">
        <v>0</v>
      </c>
      <c r="M5152" s="76" t="b">
        <v>0</v>
      </c>
      <c r="N5152" s="76" t="b">
        <v>0</v>
      </c>
      <c r="O5152" s="76" t="b">
        <v>0</v>
      </c>
      <c r="P5152" s="76" t="b">
        <v>0</v>
      </c>
      <c r="Q5152" s="76" t="b">
        <v>0</v>
      </c>
      <c r="R5152" s="14"/>
      <c r="S5152" s="14"/>
      <c r="T5152" s="14"/>
      <c r="U5152" s="14"/>
      <c r="V5152" s="14"/>
      <c r="W5152" s="14"/>
    </row>
    <row r="5153" ht="31.5" customHeight="1">
      <c r="A5153" s="158"/>
      <c r="B5153" s="159"/>
      <c r="C5153" s="160"/>
      <c r="D5153" s="130"/>
      <c r="E5153" s="130"/>
      <c r="F5153" s="161"/>
      <c r="G5153" s="164"/>
      <c r="H5153" s="76" t="b">
        <v>1</v>
      </c>
      <c r="I5153" s="76" t="b">
        <v>0</v>
      </c>
      <c r="J5153" s="76" t="b">
        <v>0</v>
      </c>
      <c r="K5153" s="76" t="b">
        <v>0</v>
      </c>
      <c r="L5153" s="76" t="b">
        <v>0</v>
      </c>
      <c r="M5153" s="76" t="b">
        <v>0</v>
      </c>
      <c r="N5153" s="76" t="b">
        <v>0</v>
      </c>
      <c r="O5153" s="76" t="b">
        <v>0</v>
      </c>
      <c r="P5153" s="76" t="b">
        <v>0</v>
      </c>
      <c r="Q5153" s="76" t="b">
        <v>0</v>
      </c>
      <c r="R5153" s="14"/>
      <c r="S5153" s="14"/>
      <c r="T5153" s="14"/>
      <c r="U5153" s="14"/>
      <c r="V5153" s="14"/>
      <c r="W5153" s="14"/>
    </row>
    <row r="5154" ht="31.5" customHeight="1">
      <c r="A5154" s="158"/>
      <c r="B5154" s="159"/>
      <c r="C5154" s="160"/>
      <c r="D5154" s="130"/>
      <c r="E5154" s="130"/>
      <c r="F5154" s="161"/>
      <c r="G5154" s="164"/>
      <c r="H5154" s="76" t="b">
        <v>1</v>
      </c>
      <c r="I5154" s="76" t="b">
        <v>0</v>
      </c>
      <c r="J5154" s="76" t="b">
        <v>0</v>
      </c>
      <c r="K5154" s="76" t="b">
        <v>0</v>
      </c>
      <c r="L5154" s="76" t="b">
        <v>0</v>
      </c>
      <c r="M5154" s="76" t="b">
        <v>0</v>
      </c>
      <c r="N5154" s="76" t="b">
        <v>0</v>
      </c>
      <c r="O5154" s="76" t="b">
        <v>0</v>
      </c>
      <c r="P5154" s="76" t="b">
        <v>0</v>
      </c>
      <c r="Q5154" s="76" t="b">
        <v>0</v>
      </c>
      <c r="R5154" s="14"/>
      <c r="S5154" s="14"/>
      <c r="T5154" s="14"/>
      <c r="U5154" s="14"/>
      <c r="V5154" s="14"/>
      <c r="W5154" s="14"/>
    </row>
    <row r="5155" ht="31.5" customHeight="1">
      <c r="A5155" s="158"/>
      <c r="B5155" s="159"/>
      <c r="C5155" s="160"/>
      <c r="D5155" s="130"/>
      <c r="E5155" s="130"/>
      <c r="F5155" s="161"/>
      <c r="G5155" s="164"/>
      <c r="H5155" s="76" t="b">
        <v>1</v>
      </c>
      <c r="I5155" s="76" t="b">
        <v>0</v>
      </c>
      <c r="J5155" s="76" t="b">
        <v>0</v>
      </c>
      <c r="K5155" s="76" t="b">
        <v>0</v>
      </c>
      <c r="L5155" s="76" t="b">
        <v>0</v>
      </c>
      <c r="M5155" s="76" t="b">
        <v>0</v>
      </c>
      <c r="N5155" s="76" t="b">
        <v>0</v>
      </c>
      <c r="O5155" s="76" t="b">
        <v>0</v>
      </c>
      <c r="P5155" s="76" t="b">
        <v>0</v>
      </c>
      <c r="Q5155" s="76" t="b">
        <v>0</v>
      </c>
      <c r="R5155" s="14"/>
      <c r="S5155" s="14"/>
      <c r="T5155" s="14"/>
      <c r="U5155" s="14"/>
      <c r="V5155" s="14"/>
      <c r="W5155" s="14"/>
    </row>
    <row r="5156" ht="31.5" customHeight="1">
      <c r="A5156" s="158"/>
      <c r="B5156" s="159"/>
      <c r="C5156" s="160"/>
      <c r="D5156" s="130"/>
      <c r="E5156" s="130"/>
      <c r="F5156" s="161"/>
      <c r="G5156" s="164"/>
      <c r="H5156" s="76" t="b">
        <v>1</v>
      </c>
      <c r="I5156" s="76" t="b">
        <v>0</v>
      </c>
      <c r="J5156" s="76" t="b">
        <v>0</v>
      </c>
      <c r="K5156" s="76" t="b">
        <v>0</v>
      </c>
      <c r="L5156" s="76" t="b">
        <v>0</v>
      </c>
      <c r="M5156" s="76" t="b">
        <v>0</v>
      </c>
      <c r="N5156" s="76" t="b">
        <v>0</v>
      </c>
      <c r="O5156" s="76" t="b">
        <v>0</v>
      </c>
      <c r="P5156" s="76" t="b">
        <v>0</v>
      </c>
      <c r="Q5156" s="76" t="b">
        <v>0</v>
      </c>
      <c r="R5156" s="14"/>
      <c r="S5156" s="14"/>
      <c r="T5156" s="14"/>
      <c r="U5156" s="14"/>
      <c r="V5156" s="14"/>
      <c r="W5156" s="14"/>
    </row>
    <row r="5157" ht="31.5" customHeight="1">
      <c r="A5157" s="158"/>
      <c r="B5157" s="159"/>
      <c r="C5157" s="160"/>
      <c r="D5157" s="130"/>
      <c r="E5157" s="130"/>
      <c r="F5157" s="161"/>
      <c r="G5157" s="164"/>
      <c r="H5157" s="76" t="b">
        <v>1</v>
      </c>
      <c r="I5157" s="76" t="b">
        <v>0</v>
      </c>
      <c r="J5157" s="76" t="b">
        <v>0</v>
      </c>
      <c r="K5157" s="76" t="b">
        <v>0</v>
      </c>
      <c r="L5157" s="76" t="b">
        <v>0</v>
      </c>
      <c r="M5157" s="76" t="b">
        <v>0</v>
      </c>
      <c r="N5157" s="76" t="b">
        <v>0</v>
      </c>
      <c r="O5157" s="76" t="b">
        <v>0</v>
      </c>
      <c r="P5157" s="76" t="b">
        <v>0</v>
      </c>
      <c r="Q5157" s="76" t="b">
        <v>0</v>
      </c>
      <c r="R5157" s="14"/>
      <c r="S5157" s="14"/>
      <c r="T5157" s="14"/>
      <c r="U5157" s="14"/>
      <c r="V5157" s="14"/>
      <c r="W5157" s="14"/>
    </row>
    <row r="5158" ht="31.5" customHeight="1">
      <c r="A5158" s="158"/>
      <c r="B5158" s="159"/>
      <c r="C5158" s="160"/>
      <c r="D5158" s="130"/>
      <c r="E5158" s="130"/>
      <c r="F5158" s="161"/>
      <c r="G5158" s="164"/>
      <c r="H5158" s="76" t="b">
        <v>1</v>
      </c>
      <c r="I5158" s="76" t="b">
        <v>0</v>
      </c>
      <c r="J5158" s="76" t="b">
        <v>0</v>
      </c>
      <c r="K5158" s="76" t="b">
        <v>0</v>
      </c>
      <c r="L5158" s="76" t="b">
        <v>0</v>
      </c>
      <c r="M5158" s="76" t="b">
        <v>0</v>
      </c>
      <c r="N5158" s="76" t="b">
        <v>0</v>
      </c>
      <c r="O5158" s="76" t="b">
        <v>0</v>
      </c>
      <c r="P5158" s="76" t="b">
        <v>0</v>
      </c>
      <c r="Q5158" s="76" t="b">
        <v>0</v>
      </c>
      <c r="R5158" s="14"/>
      <c r="S5158" s="14"/>
      <c r="T5158" s="14"/>
      <c r="U5158" s="14"/>
      <c r="V5158" s="14"/>
      <c r="W5158" s="14"/>
    </row>
    <row r="5159" ht="31.5" customHeight="1">
      <c r="A5159" s="158"/>
      <c r="B5159" s="159"/>
      <c r="C5159" s="160"/>
      <c r="D5159" s="130"/>
      <c r="E5159" s="130"/>
      <c r="F5159" s="161"/>
      <c r="G5159" s="164"/>
      <c r="H5159" s="76" t="b">
        <v>1</v>
      </c>
      <c r="I5159" s="76" t="b">
        <v>0</v>
      </c>
      <c r="J5159" s="76" t="b">
        <v>0</v>
      </c>
      <c r="K5159" s="76" t="b">
        <v>0</v>
      </c>
      <c r="L5159" s="76" t="b">
        <v>0</v>
      </c>
      <c r="M5159" s="76" t="b">
        <v>0</v>
      </c>
      <c r="N5159" s="76" t="b">
        <v>0</v>
      </c>
      <c r="O5159" s="76" t="b">
        <v>0</v>
      </c>
      <c r="P5159" s="76" t="b">
        <v>0</v>
      </c>
      <c r="Q5159" s="76" t="b">
        <v>0</v>
      </c>
      <c r="R5159" s="14"/>
      <c r="S5159" s="14"/>
      <c r="T5159" s="14"/>
      <c r="U5159" s="14"/>
      <c r="V5159" s="14"/>
      <c r="W5159" s="14"/>
    </row>
    <row r="5160" ht="31.5" customHeight="1">
      <c r="A5160" s="158"/>
      <c r="B5160" s="159"/>
      <c r="C5160" s="160"/>
      <c r="D5160" s="130"/>
      <c r="E5160" s="130"/>
      <c r="F5160" s="161"/>
      <c r="G5160" s="164"/>
      <c r="H5160" s="76" t="b">
        <v>1</v>
      </c>
      <c r="I5160" s="76" t="b">
        <v>0</v>
      </c>
      <c r="J5160" s="76" t="b">
        <v>0</v>
      </c>
      <c r="K5160" s="76" t="b">
        <v>0</v>
      </c>
      <c r="L5160" s="76" t="b">
        <v>0</v>
      </c>
      <c r="M5160" s="76" t="b">
        <v>0</v>
      </c>
      <c r="N5160" s="76" t="b">
        <v>0</v>
      </c>
      <c r="O5160" s="76" t="b">
        <v>0</v>
      </c>
      <c r="P5160" s="76" t="b">
        <v>0</v>
      </c>
      <c r="Q5160" s="76" t="b">
        <v>0</v>
      </c>
      <c r="R5160" s="14"/>
      <c r="S5160" s="14"/>
      <c r="T5160" s="14"/>
      <c r="U5160" s="14"/>
      <c r="V5160" s="14"/>
      <c r="W5160" s="14"/>
    </row>
    <row r="5161" ht="31.5" customHeight="1">
      <c r="A5161" s="158"/>
      <c r="B5161" s="159"/>
      <c r="C5161" s="160"/>
      <c r="D5161" s="130"/>
      <c r="E5161" s="130"/>
      <c r="F5161" s="161"/>
      <c r="G5161" s="164"/>
      <c r="H5161" s="76" t="b">
        <v>1</v>
      </c>
      <c r="I5161" s="76" t="b">
        <v>0</v>
      </c>
      <c r="J5161" s="76" t="b">
        <v>0</v>
      </c>
      <c r="K5161" s="76" t="b">
        <v>0</v>
      </c>
      <c r="L5161" s="76" t="b">
        <v>0</v>
      </c>
      <c r="M5161" s="76" t="b">
        <v>0</v>
      </c>
      <c r="N5161" s="76" t="b">
        <v>0</v>
      </c>
      <c r="O5161" s="76" t="b">
        <v>0</v>
      </c>
      <c r="P5161" s="76" t="b">
        <v>0</v>
      </c>
      <c r="Q5161" s="76" t="b">
        <v>0</v>
      </c>
      <c r="R5161" s="14"/>
      <c r="S5161" s="14"/>
      <c r="T5161" s="14"/>
      <c r="U5161" s="14"/>
      <c r="V5161" s="14"/>
      <c r="W5161" s="14"/>
    </row>
    <row r="5162" ht="31.5" customHeight="1">
      <c r="A5162" s="158"/>
      <c r="B5162" s="159"/>
      <c r="C5162" s="160"/>
      <c r="D5162" s="130"/>
      <c r="E5162" s="130"/>
      <c r="F5162" s="161"/>
      <c r="G5162" s="164"/>
      <c r="H5162" s="76" t="b">
        <v>1</v>
      </c>
      <c r="I5162" s="76" t="b">
        <v>0</v>
      </c>
      <c r="J5162" s="76" t="b">
        <v>0</v>
      </c>
      <c r="K5162" s="76" t="b">
        <v>0</v>
      </c>
      <c r="L5162" s="76" t="b">
        <v>0</v>
      </c>
      <c r="M5162" s="76" t="b">
        <v>0</v>
      </c>
      <c r="N5162" s="76" t="b">
        <v>0</v>
      </c>
      <c r="O5162" s="76" t="b">
        <v>0</v>
      </c>
      <c r="P5162" s="76" t="b">
        <v>0</v>
      </c>
      <c r="Q5162" s="76" t="b">
        <v>0</v>
      </c>
      <c r="R5162" s="14"/>
      <c r="S5162" s="14"/>
      <c r="T5162" s="14"/>
      <c r="U5162" s="14"/>
      <c r="V5162" s="14"/>
      <c r="W5162" s="14"/>
    </row>
    <row r="5163" ht="31.5" customHeight="1">
      <c r="A5163" s="158"/>
      <c r="B5163" s="159"/>
      <c r="C5163" s="160"/>
      <c r="D5163" s="130"/>
      <c r="E5163" s="130"/>
      <c r="F5163" s="161"/>
      <c r="G5163" s="164"/>
      <c r="H5163" s="76" t="b">
        <v>1</v>
      </c>
      <c r="I5163" s="76" t="b">
        <v>0</v>
      </c>
      <c r="J5163" s="76" t="b">
        <v>0</v>
      </c>
      <c r="K5163" s="76" t="b">
        <v>0</v>
      </c>
      <c r="L5163" s="76" t="b">
        <v>0</v>
      </c>
      <c r="M5163" s="76" t="b">
        <v>0</v>
      </c>
      <c r="N5163" s="76" t="b">
        <v>0</v>
      </c>
      <c r="O5163" s="76" t="b">
        <v>0</v>
      </c>
      <c r="P5163" s="76" t="b">
        <v>0</v>
      </c>
      <c r="Q5163" s="76" t="b">
        <v>0</v>
      </c>
      <c r="R5163" s="14"/>
      <c r="S5163" s="14"/>
      <c r="T5163" s="14"/>
      <c r="U5163" s="14"/>
      <c r="V5163" s="14"/>
      <c r="W5163" s="14"/>
    </row>
    <row r="5164" ht="31.5" customHeight="1">
      <c r="A5164" s="158"/>
      <c r="B5164" s="159"/>
      <c r="C5164" s="160"/>
      <c r="D5164" s="130"/>
      <c r="E5164" s="130"/>
      <c r="F5164" s="161"/>
      <c r="G5164" s="164"/>
      <c r="H5164" s="76" t="b">
        <v>1</v>
      </c>
      <c r="I5164" s="76" t="b">
        <v>0</v>
      </c>
      <c r="J5164" s="76" t="b">
        <v>0</v>
      </c>
      <c r="K5164" s="76" t="b">
        <v>0</v>
      </c>
      <c r="L5164" s="76" t="b">
        <v>0</v>
      </c>
      <c r="M5164" s="76" t="b">
        <v>0</v>
      </c>
      <c r="N5164" s="76" t="b">
        <v>0</v>
      </c>
      <c r="O5164" s="76" t="b">
        <v>0</v>
      </c>
      <c r="P5164" s="76" t="b">
        <v>0</v>
      </c>
      <c r="Q5164" s="76" t="b">
        <v>0</v>
      </c>
      <c r="R5164" s="14"/>
      <c r="S5164" s="14"/>
      <c r="T5164" s="14"/>
      <c r="U5164" s="14"/>
      <c r="V5164" s="14"/>
      <c r="W5164" s="14"/>
    </row>
    <row r="5165" ht="31.5" customHeight="1">
      <c r="A5165" s="158"/>
      <c r="B5165" s="159"/>
      <c r="C5165" s="160"/>
      <c r="D5165" s="130"/>
      <c r="E5165" s="130"/>
      <c r="F5165" s="161"/>
      <c r="G5165" s="164"/>
      <c r="H5165" s="76" t="b">
        <v>1</v>
      </c>
      <c r="I5165" s="76" t="b">
        <v>0</v>
      </c>
      <c r="J5165" s="76" t="b">
        <v>0</v>
      </c>
      <c r="K5165" s="76" t="b">
        <v>0</v>
      </c>
      <c r="L5165" s="76" t="b">
        <v>0</v>
      </c>
      <c r="M5165" s="76" t="b">
        <v>0</v>
      </c>
      <c r="N5165" s="76" t="b">
        <v>0</v>
      </c>
      <c r="O5165" s="76" t="b">
        <v>0</v>
      </c>
      <c r="P5165" s="76" t="b">
        <v>0</v>
      </c>
      <c r="Q5165" s="76" t="b">
        <v>0</v>
      </c>
      <c r="R5165" s="14"/>
      <c r="S5165" s="14"/>
      <c r="T5165" s="14"/>
      <c r="U5165" s="14"/>
      <c r="V5165" s="14"/>
      <c r="W5165" s="14"/>
    </row>
    <row r="5166" ht="31.5" customHeight="1">
      <c r="A5166" s="158"/>
      <c r="B5166" s="159"/>
      <c r="C5166" s="160"/>
      <c r="D5166" s="130"/>
      <c r="E5166" s="130"/>
      <c r="F5166" s="161"/>
      <c r="G5166" s="164"/>
      <c r="H5166" s="76" t="b">
        <v>1</v>
      </c>
      <c r="I5166" s="76" t="b">
        <v>0</v>
      </c>
      <c r="J5166" s="76" t="b">
        <v>0</v>
      </c>
      <c r="K5166" s="76" t="b">
        <v>0</v>
      </c>
      <c r="L5166" s="76" t="b">
        <v>0</v>
      </c>
      <c r="M5166" s="76" t="b">
        <v>0</v>
      </c>
      <c r="N5166" s="76" t="b">
        <v>0</v>
      </c>
      <c r="O5166" s="76" t="b">
        <v>0</v>
      </c>
      <c r="P5166" s="76" t="b">
        <v>0</v>
      </c>
      <c r="Q5166" s="76" t="b">
        <v>0</v>
      </c>
      <c r="R5166" s="14"/>
      <c r="S5166" s="14"/>
      <c r="T5166" s="14"/>
      <c r="U5166" s="14"/>
      <c r="V5166" s="14"/>
      <c r="W5166" s="14"/>
    </row>
    <row r="5167" ht="31.5" customHeight="1">
      <c r="A5167" s="158"/>
      <c r="B5167" s="159"/>
      <c r="C5167" s="160"/>
      <c r="D5167" s="130"/>
      <c r="E5167" s="130"/>
      <c r="F5167" s="161"/>
      <c r="G5167" s="164"/>
      <c r="H5167" s="76" t="b">
        <v>1</v>
      </c>
      <c r="I5167" s="76" t="b">
        <v>0</v>
      </c>
      <c r="J5167" s="76" t="b">
        <v>0</v>
      </c>
      <c r="K5167" s="76" t="b">
        <v>0</v>
      </c>
      <c r="L5167" s="76" t="b">
        <v>0</v>
      </c>
      <c r="M5167" s="76" t="b">
        <v>0</v>
      </c>
      <c r="N5167" s="76" t="b">
        <v>0</v>
      </c>
      <c r="O5167" s="76" t="b">
        <v>0</v>
      </c>
      <c r="P5167" s="76" t="b">
        <v>0</v>
      </c>
      <c r="Q5167" s="76" t="b">
        <v>0</v>
      </c>
      <c r="R5167" s="14"/>
      <c r="S5167" s="14"/>
      <c r="T5167" s="14"/>
      <c r="U5167" s="14"/>
      <c r="V5167" s="14"/>
      <c r="W5167" s="14"/>
    </row>
    <row r="5168" ht="31.5" customHeight="1">
      <c r="A5168" s="158"/>
      <c r="B5168" s="159"/>
      <c r="C5168" s="160"/>
      <c r="D5168" s="130"/>
      <c r="E5168" s="130"/>
      <c r="F5168" s="161"/>
      <c r="G5168" s="164"/>
      <c r="H5168" s="76" t="b">
        <v>1</v>
      </c>
      <c r="I5168" s="76" t="b">
        <v>0</v>
      </c>
      <c r="J5168" s="76" t="b">
        <v>0</v>
      </c>
      <c r="K5168" s="76" t="b">
        <v>0</v>
      </c>
      <c r="L5168" s="76" t="b">
        <v>0</v>
      </c>
      <c r="M5168" s="76" t="b">
        <v>0</v>
      </c>
      <c r="N5168" s="76" t="b">
        <v>0</v>
      </c>
      <c r="O5168" s="76" t="b">
        <v>0</v>
      </c>
      <c r="P5168" s="76" t="b">
        <v>0</v>
      </c>
      <c r="Q5168" s="76" t="b">
        <v>0</v>
      </c>
      <c r="R5168" s="14"/>
      <c r="S5168" s="14"/>
      <c r="T5168" s="14"/>
      <c r="U5168" s="14"/>
      <c r="V5168" s="14"/>
      <c r="W5168" s="14"/>
    </row>
    <row r="5169" ht="31.5" customHeight="1">
      <c r="A5169" s="158"/>
      <c r="B5169" s="159"/>
      <c r="C5169" s="160"/>
      <c r="D5169" s="130"/>
      <c r="E5169" s="130"/>
      <c r="F5169" s="161"/>
      <c r="G5169" s="164"/>
      <c r="H5169" s="76" t="b">
        <v>1</v>
      </c>
      <c r="I5169" s="76" t="b">
        <v>0</v>
      </c>
      <c r="J5169" s="76" t="b">
        <v>0</v>
      </c>
      <c r="K5169" s="76" t="b">
        <v>0</v>
      </c>
      <c r="L5169" s="76" t="b">
        <v>0</v>
      </c>
      <c r="M5169" s="76" t="b">
        <v>0</v>
      </c>
      <c r="N5169" s="76" t="b">
        <v>0</v>
      </c>
      <c r="O5169" s="76" t="b">
        <v>0</v>
      </c>
      <c r="P5169" s="76" t="b">
        <v>0</v>
      </c>
      <c r="Q5169" s="76" t="b">
        <v>0</v>
      </c>
      <c r="R5169" s="14"/>
      <c r="S5169" s="14"/>
      <c r="T5169" s="14"/>
      <c r="U5169" s="14"/>
      <c r="V5169" s="14"/>
      <c r="W5169" s="14"/>
    </row>
    <row r="5170" ht="31.5" customHeight="1">
      <c r="A5170" s="158"/>
      <c r="B5170" s="159"/>
      <c r="C5170" s="160"/>
      <c r="D5170" s="130"/>
      <c r="E5170" s="130"/>
      <c r="F5170" s="161"/>
      <c r="G5170" s="164"/>
      <c r="H5170" s="76" t="b">
        <v>1</v>
      </c>
      <c r="I5170" s="76" t="b">
        <v>0</v>
      </c>
      <c r="J5170" s="76" t="b">
        <v>0</v>
      </c>
      <c r="K5170" s="76" t="b">
        <v>0</v>
      </c>
      <c r="L5170" s="76" t="b">
        <v>0</v>
      </c>
      <c r="M5170" s="76" t="b">
        <v>0</v>
      </c>
      <c r="N5170" s="76" t="b">
        <v>0</v>
      </c>
      <c r="O5170" s="76" t="b">
        <v>0</v>
      </c>
      <c r="P5170" s="76" t="b">
        <v>0</v>
      </c>
      <c r="Q5170" s="76" t="b">
        <v>0</v>
      </c>
      <c r="R5170" s="14"/>
      <c r="S5170" s="14"/>
      <c r="T5170" s="14"/>
      <c r="U5170" s="14"/>
      <c r="V5170" s="14"/>
      <c r="W5170" s="14"/>
    </row>
    <row r="5171" ht="31.5" customHeight="1">
      <c r="A5171" s="158"/>
      <c r="B5171" s="159"/>
      <c r="C5171" s="160"/>
      <c r="D5171" s="130"/>
      <c r="E5171" s="130"/>
      <c r="F5171" s="161"/>
      <c r="G5171" s="164"/>
      <c r="H5171" s="76" t="b">
        <v>1</v>
      </c>
      <c r="I5171" s="76" t="b">
        <v>0</v>
      </c>
      <c r="J5171" s="76" t="b">
        <v>0</v>
      </c>
      <c r="K5171" s="76" t="b">
        <v>0</v>
      </c>
      <c r="L5171" s="76" t="b">
        <v>0</v>
      </c>
      <c r="M5171" s="76" t="b">
        <v>0</v>
      </c>
      <c r="N5171" s="76" t="b">
        <v>0</v>
      </c>
      <c r="O5171" s="76" t="b">
        <v>0</v>
      </c>
      <c r="P5171" s="76" t="b">
        <v>0</v>
      </c>
      <c r="Q5171" s="76" t="b">
        <v>0</v>
      </c>
      <c r="R5171" s="14"/>
      <c r="S5171" s="14"/>
      <c r="T5171" s="14"/>
      <c r="U5171" s="14"/>
      <c r="V5171" s="14"/>
      <c r="W5171" s="14"/>
    </row>
    <row r="5172" ht="31.5" customHeight="1">
      <c r="A5172" s="158"/>
      <c r="B5172" s="159"/>
      <c r="C5172" s="160"/>
      <c r="D5172" s="130"/>
      <c r="E5172" s="130"/>
      <c r="F5172" s="161"/>
      <c r="G5172" s="164"/>
      <c r="H5172" s="76" t="b">
        <v>1</v>
      </c>
      <c r="I5172" s="76" t="b">
        <v>0</v>
      </c>
      <c r="J5172" s="76" t="b">
        <v>0</v>
      </c>
      <c r="K5172" s="76" t="b">
        <v>0</v>
      </c>
      <c r="L5172" s="76" t="b">
        <v>0</v>
      </c>
      <c r="M5172" s="76" t="b">
        <v>0</v>
      </c>
      <c r="N5172" s="76" t="b">
        <v>0</v>
      </c>
      <c r="O5172" s="76" t="b">
        <v>0</v>
      </c>
      <c r="P5172" s="76" t="b">
        <v>0</v>
      </c>
      <c r="Q5172" s="76" t="b">
        <v>0</v>
      </c>
      <c r="R5172" s="14"/>
      <c r="S5172" s="14"/>
      <c r="T5172" s="14"/>
      <c r="U5172" s="14"/>
      <c r="V5172" s="14"/>
      <c r="W5172" s="14"/>
    </row>
    <row r="5173" ht="31.5" customHeight="1">
      <c r="A5173" s="158"/>
      <c r="B5173" s="159"/>
      <c r="C5173" s="160"/>
      <c r="D5173" s="130"/>
      <c r="E5173" s="130"/>
      <c r="F5173" s="161"/>
      <c r="G5173" s="164"/>
      <c r="H5173" s="76" t="b">
        <v>1</v>
      </c>
      <c r="I5173" s="76" t="b">
        <v>0</v>
      </c>
      <c r="J5173" s="76" t="b">
        <v>0</v>
      </c>
      <c r="K5173" s="76" t="b">
        <v>0</v>
      </c>
      <c r="L5173" s="76" t="b">
        <v>0</v>
      </c>
      <c r="M5173" s="76" t="b">
        <v>0</v>
      </c>
      <c r="N5173" s="76" t="b">
        <v>0</v>
      </c>
      <c r="O5173" s="76" t="b">
        <v>0</v>
      </c>
      <c r="P5173" s="76" t="b">
        <v>0</v>
      </c>
      <c r="Q5173" s="76" t="b">
        <v>0</v>
      </c>
      <c r="R5173" s="14"/>
      <c r="S5173" s="14"/>
      <c r="T5173" s="14"/>
      <c r="U5173" s="14"/>
      <c r="V5173" s="14"/>
      <c r="W5173" s="14"/>
    </row>
    <row r="5174" ht="31.5" customHeight="1">
      <c r="A5174" s="158"/>
      <c r="B5174" s="159"/>
      <c r="C5174" s="160"/>
      <c r="D5174" s="130"/>
      <c r="E5174" s="130"/>
      <c r="F5174" s="161"/>
      <c r="G5174" s="164"/>
      <c r="H5174" s="76" t="b">
        <v>1</v>
      </c>
      <c r="I5174" s="76" t="b">
        <v>0</v>
      </c>
      <c r="J5174" s="76" t="b">
        <v>0</v>
      </c>
      <c r="K5174" s="76" t="b">
        <v>0</v>
      </c>
      <c r="L5174" s="76" t="b">
        <v>0</v>
      </c>
      <c r="M5174" s="76" t="b">
        <v>0</v>
      </c>
      <c r="N5174" s="76" t="b">
        <v>0</v>
      </c>
      <c r="O5174" s="76" t="b">
        <v>0</v>
      </c>
      <c r="P5174" s="76" t="b">
        <v>0</v>
      </c>
      <c r="Q5174" s="76" t="b">
        <v>0</v>
      </c>
      <c r="R5174" s="14"/>
      <c r="S5174" s="14"/>
      <c r="T5174" s="14"/>
      <c r="U5174" s="14"/>
      <c r="V5174" s="14"/>
      <c r="W5174" s="14"/>
    </row>
    <row r="5175" ht="31.5" customHeight="1">
      <c r="A5175" s="158"/>
      <c r="B5175" s="159"/>
      <c r="C5175" s="160"/>
      <c r="D5175" s="130"/>
      <c r="E5175" s="130"/>
      <c r="F5175" s="161"/>
      <c r="G5175" s="164"/>
      <c r="H5175" s="76" t="b">
        <v>1</v>
      </c>
      <c r="I5175" s="76" t="b">
        <v>0</v>
      </c>
      <c r="J5175" s="76" t="b">
        <v>0</v>
      </c>
      <c r="K5175" s="76" t="b">
        <v>0</v>
      </c>
      <c r="L5175" s="76" t="b">
        <v>0</v>
      </c>
      <c r="M5175" s="76" t="b">
        <v>0</v>
      </c>
      <c r="N5175" s="76" t="b">
        <v>0</v>
      </c>
      <c r="O5175" s="76" t="b">
        <v>0</v>
      </c>
      <c r="P5175" s="76" t="b">
        <v>0</v>
      </c>
      <c r="Q5175" s="76" t="b">
        <v>0</v>
      </c>
      <c r="R5175" s="14"/>
      <c r="S5175" s="14"/>
      <c r="T5175" s="14"/>
      <c r="U5175" s="14"/>
      <c r="V5175" s="14"/>
      <c r="W5175" s="14"/>
    </row>
    <row r="5176" ht="31.5" customHeight="1">
      <c r="A5176" s="158"/>
      <c r="B5176" s="159"/>
      <c r="C5176" s="160"/>
      <c r="D5176" s="130"/>
      <c r="E5176" s="130"/>
      <c r="F5176" s="161"/>
      <c r="G5176" s="164"/>
      <c r="H5176" s="76" t="b">
        <v>1</v>
      </c>
      <c r="I5176" s="76" t="b">
        <v>0</v>
      </c>
      <c r="J5176" s="76" t="b">
        <v>0</v>
      </c>
      <c r="K5176" s="76" t="b">
        <v>0</v>
      </c>
      <c r="L5176" s="76" t="b">
        <v>0</v>
      </c>
      <c r="M5176" s="76" t="b">
        <v>0</v>
      </c>
      <c r="N5176" s="76" t="b">
        <v>0</v>
      </c>
      <c r="O5176" s="76" t="b">
        <v>0</v>
      </c>
      <c r="P5176" s="76" t="b">
        <v>0</v>
      </c>
      <c r="Q5176" s="76" t="b">
        <v>0</v>
      </c>
      <c r="R5176" s="14"/>
      <c r="S5176" s="14"/>
      <c r="T5176" s="14"/>
      <c r="U5176" s="14"/>
      <c r="V5176" s="14"/>
      <c r="W5176" s="14"/>
    </row>
    <row r="5177" ht="31.5" customHeight="1">
      <c r="A5177" s="158"/>
      <c r="B5177" s="159"/>
      <c r="C5177" s="160"/>
      <c r="D5177" s="130"/>
      <c r="E5177" s="130"/>
      <c r="F5177" s="161"/>
      <c r="G5177" s="164"/>
      <c r="H5177" s="76" t="b">
        <v>1</v>
      </c>
      <c r="I5177" s="76" t="b">
        <v>0</v>
      </c>
      <c r="J5177" s="76" t="b">
        <v>0</v>
      </c>
      <c r="K5177" s="76" t="b">
        <v>0</v>
      </c>
      <c r="L5177" s="76" t="b">
        <v>0</v>
      </c>
      <c r="M5177" s="76" t="b">
        <v>0</v>
      </c>
      <c r="N5177" s="76" t="b">
        <v>0</v>
      </c>
      <c r="O5177" s="76" t="b">
        <v>0</v>
      </c>
      <c r="P5177" s="76" t="b">
        <v>0</v>
      </c>
      <c r="Q5177" s="76" t="b">
        <v>0</v>
      </c>
      <c r="R5177" s="14"/>
      <c r="S5177" s="14"/>
      <c r="T5177" s="14"/>
      <c r="U5177" s="14"/>
      <c r="V5177" s="14"/>
      <c r="W5177" s="14"/>
    </row>
    <row r="5178" ht="31.5" customHeight="1">
      <c r="A5178" s="158"/>
      <c r="B5178" s="159"/>
      <c r="C5178" s="160"/>
      <c r="D5178" s="130"/>
      <c r="E5178" s="130"/>
      <c r="F5178" s="161"/>
      <c r="G5178" s="164"/>
      <c r="H5178" s="76" t="b">
        <v>1</v>
      </c>
      <c r="I5178" s="76" t="b">
        <v>0</v>
      </c>
      <c r="J5178" s="76" t="b">
        <v>0</v>
      </c>
      <c r="K5178" s="76" t="b">
        <v>0</v>
      </c>
      <c r="L5178" s="76" t="b">
        <v>0</v>
      </c>
      <c r="M5178" s="76" t="b">
        <v>0</v>
      </c>
      <c r="N5178" s="76" t="b">
        <v>0</v>
      </c>
      <c r="O5178" s="76" t="b">
        <v>0</v>
      </c>
      <c r="P5178" s="76" t="b">
        <v>0</v>
      </c>
      <c r="Q5178" s="76" t="b">
        <v>0</v>
      </c>
      <c r="R5178" s="14"/>
      <c r="S5178" s="14"/>
      <c r="T5178" s="14"/>
      <c r="U5178" s="14"/>
      <c r="V5178" s="14"/>
      <c r="W5178" s="14"/>
    </row>
    <row r="5179" ht="31.5" customHeight="1">
      <c r="A5179" s="158"/>
      <c r="B5179" s="159"/>
      <c r="C5179" s="160"/>
      <c r="D5179" s="130"/>
      <c r="E5179" s="130"/>
      <c r="F5179" s="161"/>
      <c r="G5179" s="164"/>
      <c r="H5179" s="76" t="b">
        <v>1</v>
      </c>
      <c r="I5179" s="76" t="b">
        <v>0</v>
      </c>
      <c r="J5179" s="76" t="b">
        <v>0</v>
      </c>
      <c r="K5179" s="76" t="b">
        <v>0</v>
      </c>
      <c r="L5179" s="76" t="b">
        <v>0</v>
      </c>
      <c r="M5179" s="76" t="b">
        <v>0</v>
      </c>
      <c r="N5179" s="76" t="b">
        <v>0</v>
      </c>
      <c r="O5179" s="76" t="b">
        <v>0</v>
      </c>
      <c r="P5179" s="76" t="b">
        <v>0</v>
      </c>
      <c r="Q5179" s="76" t="b">
        <v>0</v>
      </c>
      <c r="R5179" s="14"/>
      <c r="S5179" s="14"/>
      <c r="T5179" s="14"/>
      <c r="U5179" s="14"/>
      <c r="V5179" s="14"/>
      <c r="W5179" s="14"/>
    </row>
    <row r="5180" ht="31.5" customHeight="1">
      <c r="A5180" s="158"/>
      <c r="B5180" s="159"/>
      <c r="C5180" s="160"/>
      <c r="D5180" s="130"/>
      <c r="E5180" s="130"/>
      <c r="F5180" s="161"/>
      <c r="G5180" s="164"/>
      <c r="H5180" s="76" t="b">
        <v>1</v>
      </c>
      <c r="I5180" s="76" t="b">
        <v>0</v>
      </c>
      <c r="J5180" s="76" t="b">
        <v>0</v>
      </c>
      <c r="K5180" s="76" t="b">
        <v>0</v>
      </c>
      <c r="L5180" s="76" t="b">
        <v>0</v>
      </c>
      <c r="M5180" s="76" t="b">
        <v>0</v>
      </c>
      <c r="N5180" s="76" t="b">
        <v>0</v>
      </c>
      <c r="O5180" s="76" t="b">
        <v>0</v>
      </c>
      <c r="P5180" s="76" t="b">
        <v>0</v>
      </c>
      <c r="Q5180" s="76" t="b">
        <v>0</v>
      </c>
      <c r="R5180" s="14"/>
      <c r="S5180" s="14"/>
      <c r="T5180" s="14"/>
      <c r="U5180" s="14"/>
      <c r="V5180" s="14"/>
      <c r="W5180" s="14"/>
    </row>
    <row r="5181" ht="31.5" customHeight="1">
      <c r="A5181" s="158"/>
      <c r="B5181" s="159"/>
      <c r="C5181" s="160"/>
      <c r="D5181" s="130"/>
      <c r="E5181" s="130"/>
      <c r="F5181" s="161"/>
      <c r="G5181" s="164"/>
      <c r="H5181" s="76" t="b">
        <v>1</v>
      </c>
      <c r="I5181" s="76" t="b">
        <v>0</v>
      </c>
      <c r="J5181" s="76" t="b">
        <v>0</v>
      </c>
      <c r="K5181" s="76" t="b">
        <v>0</v>
      </c>
      <c r="L5181" s="76" t="b">
        <v>0</v>
      </c>
      <c r="M5181" s="76" t="b">
        <v>0</v>
      </c>
      <c r="N5181" s="76" t="b">
        <v>0</v>
      </c>
      <c r="O5181" s="76" t="b">
        <v>0</v>
      </c>
      <c r="P5181" s="76" t="b">
        <v>0</v>
      </c>
      <c r="Q5181" s="76" t="b">
        <v>0</v>
      </c>
      <c r="R5181" s="14"/>
      <c r="S5181" s="14"/>
      <c r="T5181" s="14"/>
      <c r="U5181" s="14"/>
      <c r="V5181" s="14"/>
      <c r="W5181" s="14"/>
    </row>
    <row r="5182" ht="31.5" customHeight="1">
      <c r="A5182" s="158"/>
      <c r="B5182" s="159"/>
      <c r="C5182" s="160"/>
      <c r="D5182" s="130"/>
      <c r="E5182" s="130"/>
      <c r="F5182" s="161"/>
      <c r="G5182" s="164"/>
      <c r="H5182" s="76" t="b">
        <v>1</v>
      </c>
      <c r="I5182" s="76" t="b">
        <v>0</v>
      </c>
      <c r="J5182" s="76" t="b">
        <v>0</v>
      </c>
      <c r="K5182" s="76" t="b">
        <v>0</v>
      </c>
      <c r="L5182" s="76" t="b">
        <v>0</v>
      </c>
      <c r="M5182" s="76" t="b">
        <v>0</v>
      </c>
      <c r="N5182" s="76" t="b">
        <v>0</v>
      </c>
      <c r="O5182" s="76" t="b">
        <v>0</v>
      </c>
      <c r="P5182" s="76" t="b">
        <v>0</v>
      </c>
      <c r="Q5182" s="76" t="b">
        <v>0</v>
      </c>
      <c r="R5182" s="14"/>
      <c r="S5182" s="14"/>
      <c r="T5182" s="14"/>
      <c r="U5182" s="14"/>
      <c r="V5182" s="14"/>
      <c r="W5182" s="14"/>
    </row>
    <row r="5183" ht="31.5" customHeight="1">
      <c r="A5183" s="158"/>
      <c r="B5183" s="159"/>
      <c r="C5183" s="160"/>
      <c r="D5183" s="130"/>
      <c r="E5183" s="130"/>
      <c r="F5183" s="161"/>
      <c r="G5183" s="164"/>
      <c r="H5183" s="76" t="b">
        <v>1</v>
      </c>
      <c r="I5183" s="76" t="b">
        <v>0</v>
      </c>
      <c r="J5183" s="76" t="b">
        <v>0</v>
      </c>
      <c r="K5183" s="76" t="b">
        <v>0</v>
      </c>
      <c r="L5183" s="76" t="b">
        <v>0</v>
      </c>
      <c r="M5183" s="76" t="b">
        <v>0</v>
      </c>
      <c r="N5183" s="76" t="b">
        <v>0</v>
      </c>
      <c r="O5183" s="76" t="b">
        <v>0</v>
      </c>
      <c r="P5183" s="76" t="b">
        <v>0</v>
      </c>
      <c r="Q5183" s="76" t="b">
        <v>0</v>
      </c>
      <c r="R5183" s="14"/>
      <c r="S5183" s="14"/>
      <c r="T5183" s="14"/>
      <c r="U5183" s="14"/>
      <c r="V5183" s="14"/>
      <c r="W5183" s="14"/>
    </row>
    <row r="5184" ht="31.5" customHeight="1">
      <c r="A5184" s="158"/>
      <c r="B5184" s="159"/>
      <c r="C5184" s="160"/>
      <c r="D5184" s="130"/>
      <c r="E5184" s="130"/>
      <c r="F5184" s="161"/>
      <c r="G5184" s="164"/>
      <c r="H5184" s="76" t="b">
        <v>1</v>
      </c>
      <c r="I5184" s="76" t="b">
        <v>0</v>
      </c>
      <c r="J5184" s="76" t="b">
        <v>0</v>
      </c>
      <c r="K5184" s="76" t="b">
        <v>0</v>
      </c>
      <c r="L5184" s="76" t="b">
        <v>0</v>
      </c>
      <c r="M5184" s="76" t="b">
        <v>0</v>
      </c>
      <c r="N5184" s="76" t="b">
        <v>0</v>
      </c>
      <c r="O5184" s="76" t="b">
        <v>0</v>
      </c>
      <c r="P5184" s="76" t="b">
        <v>0</v>
      </c>
      <c r="Q5184" s="76" t="b">
        <v>0</v>
      </c>
      <c r="R5184" s="14"/>
      <c r="S5184" s="14"/>
      <c r="T5184" s="14"/>
      <c r="U5184" s="14"/>
      <c r="V5184" s="14"/>
      <c r="W5184" s="14"/>
    </row>
    <row r="5185" ht="31.5" customHeight="1">
      <c r="A5185" s="158"/>
      <c r="B5185" s="159"/>
      <c r="C5185" s="160"/>
      <c r="D5185" s="130"/>
      <c r="E5185" s="130"/>
      <c r="F5185" s="161"/>
      <c r="G5185" s="164"/>
      <c r="H5185" s="76" t="b">
        <v>1</v>
      </c>
      <c r="I5185" s="76" t="b">
        <v>0</v>
      </c>
      <c r="J5185" s="76" t="b">
        <v>0</v>
      </c>
      <c r="K5185" s="76" t="b">
        <v>0</v>
      </c>
      <c r="L5185" s="76" t="b">
        <v>0</v>
      </c>
      <c r="M5185" s="76" t="b">
        <v>0</v>
      </c>
      <c r="N5185" s="76" t="b">
        <v>0</v>
      </c>
      <c r="O5185" s="76" t="b">
        <v>0</v>
      </c>
      <c r="P5185" s="76" t="b">
        <v>0</v>
      </c>
      <c r="Q5185" s="76" t="b">
        <v>0</v>
      </c>
      <c r="R5185" s="14"/>
      <c r="S5185" s="14"/>
      <c r="T5185" s="14"/>
      <c r="U5185" s="14"/>
      <c r="V5185" s="14"/>
      <c r="W5185" s="14"/>
    </row>
    <row r="5186" ht="31.5" customHeight="1">
      <c r="A5186" s="158"/>
      <c r="B5186" s="159"/>
      <c r="C5186" s="160"/>
      <c r="D5186" s="130"/>
      <c r="E5186" s="130"/>
      <c r="F5186" s="161"/>
      <c r="G5186" s="164"/>
      <c r="H5186" s="76" t="b">
        <v>1</v>
      </c>
      <c r="I5186" s="76" t="b">
        <v>0</v>
      </c>
      <c r="J5186" s="76" t="b">
        <v>0</v>
      </c>
      <c r="K5186" s="76" t="b">
        <v>0</v>
      </c>
      <c r="L5186" s="76" t="b">
        <v>0</v>
      </c>
      <c r="M5186" s="76" t="b">
        <v>0</v>
      </c>
      <c r="N5186" s="76" t="b">
        <v>0</v>
      </c>
      <c r="O5186" s="76" t="b">
        <v>0</v>
      </c>
      <c r="P5186" s="76" t="b">
        <v>0</v>
      </c>
      <c r="Q5186" s="76" t="b">
        <v>0</v>
      </c>
      <c r="R5186" s="14"/>
      <c r="S5186" s="14"/>
      <c r="T5186" s="14"/>
      <c r="U5186" s="14"/>
      <c r="V5186" s="14"/>
      <c r="W5186" s="14"/>
    </row>
    <row r="5187" ht="31.5" customHeight="1">
      <c r="A5187" s="158"/>
      <c r="B5187" s="159"/>
      <c r="C5187" s="160"/>
      <c r="D5187" s="130"/>
      <c r="E5187" s="130"/>
      <c r="F5187" s="161"/>
      <c r="G5187" s="164"/>
      <c r="H5187" s="76" t="b">
        <v>1</v>
      </c>
      <c r="I5187" s="76" t="b">
        <v>0</v>
      </c>
      <c r="J5187" s="76" t="b">
        <v>0</v>
      </c>
      <c r="K5187" s="76" t="b">
        <v>0</v>
      </c>
      <c r="L5187" s="76" t="b">
        <v>0</v>
      </c>
      <c r="M5187" s="76" t="b">
        <v>0</v>
      </c>
      <c r="N5187" s="76" t="b">
        <v>0</v>
      </c>
      <c r="O5187" s="76" t="b">
        <v>0</v>
      </c>
      <c r="P5187" s="76" t="b">
        <v>0</v>
      </c>
      <c r="Q5187" s="76" t="b">
        <v>0</v>
      </c>
      <c r="R5187" s="14"/>
      <c r="S5187" s="14"/>
      <c r="T5187" s="14"/>
      <c r="U5187" s="14"/>
      <c r="V5187" s="14"/>
      <c r="W5187" s="14"/>
    </row>
    <row r="5188" ht="31.5" customHeight="1">
      <c r="A5188" s="158"/>
      <c r="B5188" s="159"/>
      <c r="C5188" s="160"/>
      <c r="D5188" s="130"/>
      <c r="E5188" s="130"/>
      <c r="F5188" s="161"/>
      <c r="G5188" s="164"/>
      <c r="H5188" s="76" t="b">
        <v>1</v>
      </c>
      <c r="I5188" s="76" t="b">
        <v>0</v>
      </c>
      <c r="J5188" s="76" t="b">
        <v>0</v>
      </c>
      <c r="K5188" s="76" t="b">
        <v>0</v>
      </c>
      <c r="L5188" s="76" t="b">
        <v>0</v>
      </c>
      <c r="M5188" s="76" t="b">
        <v>0</v>
      </c>
      <c r="N5188" s="76" t="b">
        <v>0</v>
      </c>
      <c r="O5188" s="76" t="b">
        <v>0</v>
      </c>
      <c r="P5188" s="76" t="b">
        <v>0</v>
      </c>
      <c r="Q5188" s="76" t="b">
        <v>0</v>
      </c>
      <c r="R5188" s="14"/>
      <c r="S5188" s="14"/>
      <c r="T5188" s="14"/>
      <c r="U5188" s="14"/>
      <c r="V5188" s="14"/>
      <c r="W5188" s="14"/>
    </row>
    <row r="5189" ht="31.5" customHeight="1">
      <c r="A5189" s="158"/>
      <c r="B5189" s="159"/>
      <c r="C5189" s="160"/>
      <c r="D5189" s="130"/>
      <c r="E5189" s="130"/>
      <c r="F5189" s="161"/>
      <c r="G5189" s="164"/>
      <c r="H5189" s="76" t="b">
        <v>1</v>
      </c>
      <c r="I5189" s="76" t="b">
        <v>0</v>
      </c>
      <c r="J5189" s="76" t="b">
        <v>0</v>
      </c>
      <c r="K5189" s="76" t="b">
        <v>0</v>
      </c>
      <c r="L5189" s="76" t="b">
        <v>0</v>
      </c>
      <c r="M5189" s="76" t="b">
        <v>0</v>
      </c>
      <c r="N5189" s="76" t="b">
        <v>0</v>
      </c>
      <c r="O5189" s="76" t="b">
        <v>0</v>
      </c>
      <c r="P5189" s="76" t="b">
        <v>0</v>
      </c>
      <c r="Q5189" s="76" t="b">
        <v>0</v>
      </c>
      <c r="R5189" s="14"/>
      <c r="S5189" s="14"/>
      <c r="T5189" s="14"/>
      <c r="U5189" s="14"/>
      <c r="V5189" s="14"/>
      <c r="W5189" s="14"/>
    </row>
    <row r="5190" ht="31.5" customHeight="1">
      <c r="A5190" s="158"/>
      <c r="B5190" s="159"/>
      <c r="C5190" s="160"/>
      <c r="D5190" s="130"/>
      <c r="E5190" s="130"/>
      <c r="F5190" s="161"/>
      <c r="G5190" s="164"/>
      <c r="H5190" s="76" t="b">
        <v>1</v>
      </c>
      <c r="I5190" s="76" t="b">
        <v>0</v>
      </c>
      <c r="J5190" s="76" t="b">
        <v>0</v>
      </c>
      <c r="K5190" s="76" t="b">
        <v>0</v>
      </c>
      <c r="L5190" s="76" t="b">
        <v>0</v>
      </c>
      <c r="M5190" s="76" t="b">
        <v>0</v>
      </c>
      <c r="N5190" s="76" t="b">
        <v>0</v>
      </c>
      <c r="O5190" s="76" t="b">
        <v>0</v>
      </c>
      <c r="P5190" s="76" t="b">
        <v>0</v>
      </c>
      <c r="Q5190" s="76" t="b">
        <v>0</v>
      </c>
      <c r="R5190" s="14"/>
      <c r="S5190" s="14"/>
      <c r="T5190" s="14"/>
      <c r="U5190" s="14"/>
      <c r="V5190" s="14"/>
      <c r="W5190" s="14"/>
    </row>
    <row r="5191" ht="31.5" customHeight="1">
      <c r="A5191" s="158"/>
      <c r="B5191" s="159"/>
      <c r="C5191" s="160"/>
      <c r="D5191" s="130"/>
      <c r="E5191" s="130"/>
      <c r="F5191" s="161"/>
      <c r="G5191" s="164"/>
      <c r="H5191" s="76" t="b">
        <v>1</v>
      </c>
      <c r="I5191" s="76" t="b">
        <v>0</v>
      </c>
      <c r="J5191" s="76" t="b">
        <v>0</v>
      </c>
      <c r="K5191" s="76" t="b">
        <v>0</v>
      </c>
      <c r="L5191" s="76" t="b">
        <v>0</v>
      </c>
      <c r="M5191" s="76" t="b">
        <v>0</v>
      </c>
      <c r="N5191" s="76" t="b">
        <v>0</v>
      </c>
      <c r="O5191" s="76" t="b">
        <v>0</v>
      </c>
      <c r="P5191" s="76" t="b">
        <v>0</v>
      </c>
      <c r="Q5191" s="76" t="b">
        <v>0</v>
      </c>
      <c r="R5191" s="14"/>
      <c r="S5191" s="14"/>
      <c r="T5191" s="14"/>
      <c r="U5191" s="14"/>
      <c r="V5191" s="14"/>
      <c r="W5191" s="14"/>
    </row>
    <row r="5192" ht="31.5" customHeight="1">
      <c r="A5192" s="158"/>
      <c r="B5192" s="159"/>
      <c r="C5192" s="160"/>
      <c r="D5192" s="130"/>
      <c r="E5192" s="130"/>
      <c r="F5192" s="161"/>
      <c r="G5192" s="164"/>
      <c r="H5192" s="76" t="b">
        <v>1</v>
      </c>
      <c r="I5192" s="76" t="b">
        <v>0</v>
      </c>
      <c r="J5192" s="76" t="b">
        <v>0</v>
      </c>
      <c r="K5192" s="76" t="b">
        <v>0</v>
      </c>
      <c r="L5192" s="76" t="b">
        <v>0</v>
      </c>
      <c r="M5192" s="76" t="b">
        <v>0</v>
      </c>
      <c r="N5192" s="76" t="b">
        <v>0</v>
      </c>
      <c r="O5192" s="76" t="b">
        <v>0</v>
      </c>
      <c r="P5192" s="76" t="b">
        <v>0</v>
      </c>
      <c r="Q5192" s="76" t="b">
        <v>0</v>
      </c>
      <c r="R5192" s="14"/>
      <c r="S5192" s="14"/>
      <c r="T5192" s="14"/>
      <c r="U5192" s="14"/>
      <c r="V5192" s="14"/>
      <c r="W5192" s="14"/>
    </row>
    <row r="5193" ht="31.5" customHeight="1">
      <c r="A5193" s="158"/>
      <c r="B5193" s="159"/>
      <c r="C5193" s="160"/>
      <c r="D5193" s="130"/>
      <c r="E5193" s="130"/>
      <c r="F5193" s="161"/>
      <c r="G5193" s="164"/>
      <c r="H5193" s="76" t="b">
        <v>1</v>
      </c>
      <c r="I5193" s="76" t="b">
        <v>0</v>
      </c>
      <c r="J5193" s="76" t="b">
        <v>0</v>
      </c>
      <c r="K5193" s="76" t="b">
        <v>0</v>
      </c>
      <c r="L5193" s="76" t="b">
        <v>0</v>
      </c>
      <c r="M5193" s="76" t="b">
        <v>0</v>
      </c>
      <c r="N5193" s="76" t="b">
        <v>0</v>
      </c>
      <c r="O5193" s="76" t="b">
        <v>0</v>
      </c>
      <c r="P5193" s="76" t="b">
        <v>0</v>
      </c>
      <c r="Q5193" s="76" t="b">
        <v>0</v>
      </c>
      <c r="R5193" s="14"/>
      <c r="S5193" s="14"/>
      <c r="T5193" s="14"/>
      <c r="U5193" s="14"/>
      <c r="V5193" s="14"/>
      <c r="W5193" s="14"/>
    </row>
    <row r="5194" ht="31.5" customHeight="1">
      <c r="A5194" s="158"/>
      <c r="B5194" s="159"/>
      <c r="C5194" s="160"/>
      <c r="D5194" s="130"/>
      <c r="E5194" s="130"/>
      <c r="F5194" s="161"/>
      <c r="G5194" s="164"/>
      <c r="H5194" s="76" t="b">
        <v>1</v>
      </c>
      <c r="I5194" s="76" t="b">
        <v>0</v>
      </c>
      <c r="J5194" s="76" t="b">
        <v>0</v>
      </c>
      <c r="K5194" s="76" t="b">
        <v>0</v>
      </c>
      <c r="L5194" s="76" t="b">
        <v>0</v>
      </c>
      <c r="M5194" s="76" t="b">
        <v>0</v>
      </c>
      <c r="N5194" s="76" t="b">
        <v>0</v>
      </c>
      <c r="O5194" s="76" t="b">
        <v>0</v>
      </c>
      <c r="P5194" s="76" t="b">
        <v>0</v>
      </c>
      <c r="Q5194" s="76" t="b">
        <v>0</v>
      </c>
      <c r="R5194" s="14"/>
      <c r="S5194" s="14"/>
      <c r="T5194" s="14"/>
      <c r="U5194" s="14"/>
      <c r="V5194" s="14"/>
      <c r="W5194" s="14"/>
    </row>
    <row r="5195" ht="31.5" customHeight="1">
      <c r="A5195" s="158"/>
      <c r="B5195" s="159"/>
      <c r="C5195" s="160"/>
      <c r="D5195" s="130"/>
      <c r="E5195" s="130"/>
      <c r="F5195" s="161"/>
      <c r="G5195" s="164"/>
      <c r="H5195" s="76" t="b">
        <v>1</v>
      </c>
      <c r="I5195" s="76" t="b">
        <v>0</v>
      </c>
      <c r="J5195" s="76" t="b">
        <v>0</v>
      </c>
      <c r="K5195" s="76" t="b">
        <v>0</v>
      </c>
      <c r="L5195" s="76" t="b">
        <v>0</v>
      </c>
      <c r="M5195" s="76" t="b">
        <v>0</v>
      </c>
      <c r="N5195" s="76" t="b">
        <v>0</v>
      </c>
      <c r="O5195" s="76" t="b">
        <v>0</v>
      </c>
      <c r="P5195" s="76" t="b">
        <v>0</v>
      </c>
      <c r="Q5195" s="76" t="b">
        <v>0</v>
      </c>
      <c r="R5195" s="14"/>
      <c r="S5195" s="14"/>
      <c r="T5195" s="14"/>
      <c r="U5195" s="14"/>
      <c r="V5195" s="14"/>
      <c r="W5195" s="14"/>
    </row>
    <row r="5196" ht="31.5" customHeight="1">
      <c r="A5196" s="158"/>
      <c r="B5196" s="159"/>
      <c r="C5196" s="160"/>
      <c r="D5196" s="130"/>
      <c r="E5196" s="130"/>
      <c r="F5196" s="161"/>
      <c r="G5196" s="164"/>
      <c r="H5196" s="76" t="b">
        <v>1</v>
      </c>
      <c r="I5196" s="76" t="b">
        <v>0</v>
      </c>
      <c r="J5196" s="76" t="b">
        <v>0</v>
      </c>
      <c r="K5196" s="76" t="b">
        <v>0</v>
      </c>
      <c r="L5196" s="76" t="b">
        <v>0</v>
      </c>
      <c r="M5196" s="76" t="b">
        <v>0</v>
      </c>
      <c r="N5196" s="76" t="b">
        <v>0</v>
      </c>
      <c r="O5196" s="76" t="b">
        <v>0</v>
      </c>
      <c r="P5196" s="76" t="b">
        <v>0</v>
      </c>
      <c r="Q5196" s="76" t="b">
        <v>0</v>
      </c>
      <c r="R5196" s="14"/>
      <c r="S5196" s="14"/>
      <c r="T5196" s="14"/>
      <c r="U5196" s="14"/>
      <c r="V5196" s="14"/>
      <c r="W5196" s="14"/>
    </row>
    <row r="5197" ht="31.5" customHeight="1">
      <c r="A5197" s="158"/>
      <c r="B5197" s="159"/>
      <c r="C5197" s="160"/>
      <c r="D5197" s="130"/>
      <c r="E5197" s="130"/>
      <c r="F5197" s="161"/>
      <c r="G5197" s="164"/>
      <c r="H5197" s="76" t="b">
        <v>1</v>
      </c>
      <c r="I5197" s="76" t="b">
        <v>0</v>
      </c>
      <c r="J5197" s="76" t="b">
        <v>0</v>
      </c>
      <c r="K5197" s="76" t="b">
        <v>0</v>
      </c>
      <c r="L5197" s="76" t="b">
        <v>0</v>
      </c>
      <c r="M5197" s="76" t="b">
        <v>0</v>
      </c>
      <c r="N5197" s="76" t="b">
        <v>0</v>
      </c>
      <c r="O5197" s="76" t="b">
        <v>0</v>
      </c>
      <c r="P5197" s="76" t="b">
        <v>0</v>
      </c>
      <c r="Q5197" s="76" t="b">
        <v>0</v>
      </c>
      <c r="R5197" s="14"/>
      <c r="S5197" s="14"/>
      <c r="T5197" s="14"/>
      <c r="U5197" s="14"/>
      <c r="V5197" s="14"/>
      <c r="W5197" s="14"/>
    </row>
    <row r="5198" ht="31.5" customHeight="1">
      <c r="A5198" s="158"/>
      <c r="B5198" s="159"/>
      <c r="C5198" s="160"/>
      <c r="D5198" s="130"/>
      <c r="E5198" s="130"/>
      <c r="F5198" s="161"/>
      <c r="G5198" s="164"/>
      <c r="H5198" s="76" t="b">
        <v>1</v>
      </c>
      <c r="I5198" s="76" t="b">
        <v>0</v>
      </c>
      <c r="J5198" s="76" t="b">
        <v>0</v>
      </c>
      <c r="K5198" s="76" t="b">
        <v>0</v>
      </c>
      <c r="L5198" s="76" t="b">
        <v>0</v>
      </c>
      <c r="M5198" s="76" t="b">
        <v>0</v>
      </c>
      <c r="N5198" s="76" t="b">
        <v>0</v>
      </c>
      <c r="O5198" s="76" t="b">
        <v>0</v>
      </c>
      <c r="P5198" s="76" t="b">
        <v>0</v>
      </c>
      <c r="Q5198" s="76" t="b">
        <v>0</v>
      </c>
      <c r="R5198" s="14"/>
      <c r="S5198" s="14"/>
      <c r="T5198" s="14"/>
      <c r="U5198" s="14"/>
      <c r="V5198" s="14"/>
      <c r="W5198" s="14"/>
    </row>
    <row r="5199" ht="31.5" customHeight="1">
      <c r="A5199" s="158"/>
      <c r="B5199" s="159"/>
      <c r="C5199" s="160"/>
      <c r="D5199" s="130"/>
      <c r="E5199" s="130"/>
      <c r="F5199" s="161"/>
      <c r="G5199" s="164"/>
      <c r="H5199" s="76" t="b">
        <v>1</v>
      </c>
      <c r="I5199" s="76" t="b">
        <v>0</v>
      </c>
      <c r="J5199" s="76" t="b">
        <v>0</v>
      </c>
      <c r="K5199" s="76" t="b">
        <v>0</v>
      </c>
      <c r="L5199" s="76" t="b">
        <v>0</v>
      </c>
      <c r="M5199" s="76" t="b">
        <v>0</v>
      </c>
      <c r="N5199" s="76" t="b">
        <v>0</v>
      </c>
      <c r="O5199" s="76" t="b">
        <v>0</v>
      </c>
      <c r="P5199" s="76" t="b">
        <v>0</v>
      </c>
      <c r="Q5199" s="76" t="b">
        <v>0</v>
      </c>
      <c r="R5199" s="14"/>
      <c r="S5199" s="14"/>
      <c r="T5199" s="14"/>
      <c r="U5199" s="14"/>
      <c r="V5199" s="14"/>
      <c r="W5199" s="14"/>
    </row>
    <row r="5200" ht="31.5" customHeight="1">
      <c r="A5200" s="158"/>
      <c r="B5200" s="159"/>
      <c r="C5200" s="160"/>
      <c r="D5200" s="130"/>
      <c r="E5200" s="130"/>
      <c r="F5200" s="161"/>
      <c r="G5200" s="164"/>
      <c r="H5200" s="76" t="b">
        <v>1</v>
      </c>
      <c r="I5200" s="76" t="b">
        <v>0</v>
      </c>
      <c r="J5200" s="76" t="b">
        <v>0</v>
      </c>
      <c r="K5200" s="76" t="b">
        <v>0</v>
      </c>
      <c r="L5200" s="76" t="b">
        <v>0</v>
      </c>
      <c r="M5200" s="76" t="b">
        <v>0</v>
      </c>
      <c r="N5200" s="76" t="b">
        <v>0</v>
      </c>
      <c r="O5200" s="76" t="b">
        <v>0</v>
      </c>
      <c r="P5200" s="76" t="b">
        <v>0</v>
      </c>
      <c r="Q5200" s="76" t="b">
        <v>0</v>
      </c>
      <c r="R5200" s="14"/>
      <c r="S5200" s="14"/>
      <c r="T5200" s="14"/>
      <c r="U5200" s="14"/>
      <c r="V5200" s="14"/>
      <c r="W5200" s="14"/>
    </row>
    <row r="5201" ht="31.5" customHeight="1">
      <c r="A5201" s="158"/>
      <c r="B5201" s="159"/>
      <c r="C5201" s="160"/>
      <c r="D5201" s="130"/>
      <c r="E5201" s="130"/>
      <c r="F5201" s="161"/>
      <c r="G5201" s="164"/>
      <c r="H5201" s="76" t="b">
        <v>1</v>
      </c>
      <c r="I5201" s="76" t="b">
        <v>0</v>
      </c>
      <c r="J5201" s="76" t="b">
        <v>0</v>
      </c>
      <c r="K5201" s="76" t="b">
        <v>0</v>
      </c>
      <c r="L5201" s="76" t="b">
        <v>0</v>
      </c>
      <c r="M5201" s="76" t="b">
        <v>0</v>
      </c>
      <c r="N5201" s="76" t="b">
        <v>0</v>
      </c>
      <c r="O5201" s="76" t="b">
        <v>0</v>
      </c>
      <c r="P5201" s="76" t="b">
        <v>0</v>
      </c>
      <c r="Q5201" s="76" t="b">
        <v>0</v>
      </c>
      <c r="R5201" s="14"/>
      <c r="S5201" s="14"/>
      <c r="T5201" s="14"/>
      <c r="U5201" s="14"/>
      <c r="V5201" s="14"/>
      <c r="W5201" s="14"/>
    </row>
    <row r="5202" ht="31.5" customHeight="1">
      <c r="A5202" s="158"/>
      <c r="B5202" s="159"/>
      <c r="C5202" s="160"/>
      <c r="D5202" s="130"/>
      <c r="E5202" s="130"/>
      <c r="F5202" s="161"/>
      <c r="G5202" s="164"/>
      <c r="H5202" s="76" t="b">
        <v>1</v>
      </c>
      <c r="I5202" s="76" t="b">
        <v>0</v>
      </c>
      <c r="J5202" s="76" t="b">
        <v>0</v>
      </c>
      <c r="K5202" s="76" t="b">
        <v>0</v>
      </c>
      <c r="L5202" s="76" t="b">
        <v>0</v>
      </c>
      <c r="M5202" s="76" t="b">
        <v>0</v>
      </c>
      <c r="N5202" s="76" t="b">
        <v>0</v>
      </c>
      <c r="O5202" s="76" t="b">
        <v>0</v>
      </c>
      <c r="P5202" s="76" t="b">
        <v>0</v>
      </c>
      <c r="Q5202" s="76" t="b">
        <v>0</v>
      </c>
      <c r="R5202" s="14"/>
      <c r="S5202" s="14"/>
      <c r="T5202" s="14"/>
      <c r="U5202" s="14"/>
      <c r="V5202" s="14"/>
      <c r="W5202" s="14"/>
    </row>
    <row r="5203" ht="31.5" customHeight="1">
      <c r="A5203" s="158"/>
      <c r="B5203" s="159"/>
      <c r="C5203" s="160"/>
      <c r="D5203" s="130"/>
      <c r="E5203" s="130"/>
      <c r="F5203" s="161"/>
      <c r="G5203" s="164"/>
      <c r="H5203" s="76" t="b">
        <v>1</v>
      </c>
      <c r="I5203" s="76" t="b">
        <v>0</v>
      </c>
      <c r="J5203" s="76" t="b">
        <v>0</v>
      </c>
      <c r="K5203" s="76" t="b">
        <v>0</v>
      </c>
      <c r="L5203" s="76" t="b">
        <v>0</v>
      </c>
      <c r="M5203" s="76" t="b">
        <v>0</v>
      </c>
      <c r="N5203" s="76" t="b">
        <v>0</v>
      </c>
      <c r="O5203" s="76" t="b">
        <v>0</v>
      </c>
      <c r="P5203" s="76" t="b">
        <v>0</v>
      </c>
      <c r="Q5203" s="76" t="b">
        <v>0</v>
      </c>
      <c r="R5203" s="14"/>
      <c r="S5203" s="14"/>
      <c r="T5203" s="14"/>
      <c r="U5203" s="14"/>
      <c r="V5203" s="14"/>
      <c r="W5203" s="14"/>
    </row>
    <row r="5204" ht="31.5" customHeight="1">
      <c r="A5204" s="158"/>
      <c r="B5204" s="159"/>
      <c r="C5204" s="160"/>
      <c r="D5204" s="130"/>
      <c r="E5204" s="130"/>
      <c r="F5204" s="161"/>
      <c r="G5204" s="164"/>
      <c r="H5204" s="76" t="b">
        <v>1</v>
      </c>
      <c r="I5204" s="76" t="b">
        <v>0</v>
      </c>
      <c r="J5204" s="76" t="b">
        <v>0</v>
      </c>
      <c r="K5204" s="76" t="b">
        <v>0</v>
      </c>
      <c r="L5204" s="76" t="b">
        <v>0</v>
      </c>
      <c r="M5204" s="76" t="b">
        <v>0</v>
      </c>
      <c r="N5204" s="76" t="b">
        <v>0</v>
      </c>
      <c r="O5204" s="76" t="b">
        <v>0</v>
      </c>
      <c r="P5204" s="76" t="b">
        <v>0</v>
      </c>
      <c r="Q5204" s="76" t="b">
        <v>0</v>
      </c>
      <c r="R5204" s="14"/>
      <c r="S5204" s="14"/>
      <c r="T5204" s="14"/>
      <c r="U5204" s="14"/>
      <c r="V5204" s="14"/>
      <c r="W5204" s="14"/>
    </row>
    <row r="5205" ht="31.5" customHeight="1">
      <c r="A5205" s="158"/>
      <c r="B5205" s="159"/>
      <c r="C5205" s="160"/>
      <c r="D5205" s="130"/>
      <c r="E5205" s="130"/>
      <c r="F5205" s="161"/>
      <c r="G5205" s="164"/>
      <c r="H5205" s="76" t="b">
        <v>1</v>
      </c>
      <c r="I5205" s="76" t="b">
        <v>0</v>
      </c>
      <c r="J5205" s="76" t="b">
        <v>0</v>
      </c>
      <c r="K5205" s="76" t="b">
        <v>0</v>
      </c>
      <c r="L5205" s="76" t="b">
        <v>0</v>
      </c>
      <c r="M5205" s="76" t="b">
        <v>0</v>
      </c>
      <c r="N5205" s="76" t="b">
        <v>0</v>
      </c>
      <c r="O5205" s="76" t="b">
        <v>0</v>
      </c>
      <c r="P5205" s="76" t="b">
        <v>0</v>
      </c>
      <c r="Q5205" s="76" t="b">
        <v>0</v>
      </c>
      <c r="R5205" s="14"/>
      <c r="S5205" s="14"/>
      <c r="T5205" s="14"/>
      <c r="U5205" s="14"/>
      <c r="V5205" s="14"/>
      <c r="W5205" s="14"/>
    </row>
    <row r="5206" ht="31.5" customHeight="1">
      <c r="A5206" s="158"/>
      <c r="B5206" s="159"/>
      <c r="C5206" s="160"/>
      <c r="D5206" s="130"/>
      <c r="E5206" s="130"/>
      <c r="F5206" s="161"/>
      <c r="G5206" s="164"/>
      <c r="H5206" s="76" t="b">
        <v>1</v>
      </c>
      <c r="I5206" s="76" t="b">
        <v>0</v>
      </c>
      <c r="J5206" s="76" t="b">
        <v>0</v>
      </c>
      <c r="K5206" s="76" t="b">
        <v>0</v>
      </c>
      <c r="L5206" s="76" t="b">
        <v>0</v>
      </c>
      <c r="M5206" s="76" t="b">
        <v>0</v>
      </c>
      <c r="N5206" s="76" t="b">
        <v>0</v>
      </c>
      <c r="O5206" s="76" t="b">
        <v>0</v>
      </c>
      <c r="P5206" s="76" t="b">
        <v>0</v>
      </c>
      <c r="Q5206" s="76" t="b">
        <v>0</v>
      </c>
      <c r="R5206" s="14"/>
      <c r="S5206" s="14"/>
      <c r="T5206" s="14"/>
      <c r="U5206" s="14"/>
      <c r="V5206" s="14"/>
      <c r="W5206" s="14"/>
    </row>
    <row r="5207" ht="31.5" customHeight="1">
      <c r="A5207" s="158"/>
      <c r="B5207" s="159"/>
      <c r="C5207" s="160"/>
      <c r="D5207" s="130"/>
      <c r="E5207" s="130"/>
      <c r="F5207" s="161"/>
      <c r="G5207" s="164"/>
      <c r="H5207" s="76" t="b">
        <v>1</v>
      </c>
      <c r="I5207" s="76" t="b">
        <v>0</v>
      </c>
      <c r="J5207" s="76" t="b">
        <v>0</v>
      </c>
      <c r="K5207" s="76" t="b">
        <v>0</v>
      </c>
      <c r="L5207" s="76" t="b">
        <v>0</v>
      </c>
      <c r="M5207" s="76" t="b">
        <v>0</v>
      </c>
      <c r="N5207" s="76" t="b">
        <v>0</v>
      </c>
      <c r="O5207" s="76" t="b">
        <v>0</v>
      </c>
      <c r="P5207" s="76" t="b">
        <v>0</v>
      </c>
      <c r="Q5207" s="76" t="b">
        <v>0</v>
      </c>
      <c r="R5207" s="14"/>
      <c r="S5207" s="14"/>
      <c r="T5207" s="14"/>
      <c r="U5207" s="14"/>
      <c r="V5207" s="14"/>
      <c r="W5207" s="14"/>
    </row>
    <row r="5208" ht="31.5" customHeight="1">
      <c r="A5208" s="158"/>
      <c r="B5208" s="159"/>
      <c r="C5208" s="160"/>
      <c r="D5208" s="130"/>
      <c r="E5208" s="130"/>
      <c r="F5208" s="161"/>
      <c r="G5208" s="164"/>
      <c r="H5208" s="76" t="b">
        <v>1</v>
      </c>
      <c r="I5208" s="76" t="b">
        <v>0</v>
      </c>
      <c r="J5208" s="76" t="b">
        <v>0</v>
      </c>
      <c r="K5208" s="76" t="b">
        <v>0</v>
      </c>
      <c r="L5208" s="76" t="b">
        <v>0</v>
      </c>
      <c r="M5208" s="76" t="b">
        <v>0</v>
      </c>
      <c r="N5208" s="76" t="b">
        <v>0</v>
      </c>
      <c r="O5208" s="76" t="b">
        <v>0</v>
      </c>
      <c r="P5208" s="76" t="b">
        <v>0</v>
      </c>
      <c r="Q5208" s="76" t="b">
        <v>0</v>
      </c>
      <c r="R5208" s="14"/>
      <c r="S5208" s="14"/>
      <c r="T5208" s="14"/>
      <c r="U5208" s="14"/>
      <c r="V5208" s="14"/>
      <c r="W5208" s="14"/>
    </row>
    <row r="5209" ht="31.5" customHeight="1">
      <c r="A5209" s="158"/>
      <c r="B5209" s="159"/>
      <c r="C5209" s="160"/>
      <c r="D5209" s="130"/>
      <c r="E5209" s="130"/>
      <c r="F5209" s="161"/>
      <c r="G5209" s="164"/>
      <c r="H5209" s="76" t="b">
        <v>1</v>
      </c>
      <c r="I5209" s="76" t="b">
        <v>0</v>
      </c>
      <c r="J5209" s="76" t="b">
        <v>0</v>
      </c>
      <c r="K5209" s="76" t="b">
        <v>0</v>
      </c>
      <c r="L5209" s="76" t="b">
        <v>0</v>
      </c>
      <c r="M5209" s="76" t="b">
        <v>0</v>
      </c>
      <c r="N5209" s="76" t="b">
        <v>0</v>
      </c>
      <c r="O5209" s="76" t="b">
        <v>0</v>
      </c>
      <c r="P5209" s="76" t="b">
        <v>0</v>
      </c>
      <c r="Q5209" s="76" t="b">
        <v>0</v>
      </c>
      <c r="R5209" s="14"/>
      <c r="S5209" s="14"/>
      <c r="T5209" s="14"/>
      <c r="U5209" s="14"/>
      <c r="V5209" s="14"/>
      <c r="W5209" s="14"/>
    </row>
    <row r="5210" ht="31.5" customHeight="1">
      <c r="A5210" s="158"/>
      <c r="B5210" s="159"/>
      <c r="C5210" s="160"/>
      <c r="D5210" s="130"/>
      <c r="E5210" s="130"/>
      <c r="F5210" s="161"/>
      <c r="G5210" s="164"/>
      <c r="H5210" s="76" t="b">
        <v>1</v>
      </c>
      <c r="I5210" s="76" t="b">
        <v>0</v>
      </c>
      <c r="J5210" s="76" t="b">
        <v>0</v>
      </c>
      <c r="K5210" s="76" t="b">
        <v>0</v>
      </c>
      <c r="L5210" s="76" t="b">
        <v>0</v>
      </c>
      <c r="M5210" s="76" t="b">
        <v>0</v>
      </c>
      <c r="N5210" s="76" t="b">
        <v>0</v>
      </c>
      <c r="O5210" s="76" t="b">
        <v>0</v>
      </c>
      <c r="P5210" s="76" t="b">
        <v>0</v>
      </c>
      <c r="Q5210" s="76" t="b">
        <v>0</v>
      </c>
      <c r="R5210" s="14"/>
      <c r="S5210" s="14"/>
      <c r="T5210" s="14"/>
      <c r="U5210" s="14"/>
      <c r="V5210" s="14"/>
      <c r="W5210" s="14"/>
    </row>
    <row r="5211" ht="31.5" customHeight="1">
      <c r="A5211" s="158"/>
      <c r="B5211" s="159"/>
      <c r="C5211" s="160"/>
      <c r="D5211" s="130"/>
      <c r="E5211" s="130"/>
      <c r="F5211" s="161"/>
      <c r="G5211" s="164"/>
      <c r="H5211" s="76" t="b">
        <v>1</v>
      </c>
      <c r="I5211" s="76" t="b">
        <v>0</v>
      </c>
      <c r="J5211" s="76" t="b">
        <v>0</v>
      </c>
      <c r="K5211" s="76" t="b">
        <v>0</v>
      </c>
      <c r="L5211" s="76" t="b">
        <v>0</v>
      </c>
      <c r="M5211" s="76" t="b">
        <v>0</v>
      </c>
      <c r="N5211" s="76" t="b">
        <v>0</v>
      </c>
      <c r="O5211" s="76" t="b">
        <v>0</v>
      </c>
      <c r="P5211" s="76" t="b">
        <v>0</v>
      </c>
      <c r="Q5211" s="76" t="b">
        <v>0</v>
      </c>
      <c r="R5211" s="14"/>
      <c r="S5211" s="14"/>
      <c r="T5211" s="14"/>
      <c r="U5211" s="14"/>
      <c r="V5211" s="14"/>
      <c r="W5211" s="14"/>
    </row>
    <row r="5212" ht="31.5" customHeight="1">
      <c r="A5212" s="158"/>
      <c r="B5212" s="159"/>
      <c r="C5212" s="160"/>
      <c r="D5212" s="130"/>
      <c r="E5212" s="130"/>
      <c r="F5212" s="161"/>
      <c r="G5212" s="164"/>
      <c r="H5212" s="76" t="b">
        <v>1</v>
      </c>
      <c r="I5212" s="76" t="b">
        <v>0</v>
      </c>
      <c r="J5212" s="76" t="b">
        <v>0</v>
      </c>
      <c r="K5212" s="76" t="b">
        <v>0</v>
      </c>
      <c r="L5212" s="76" t="b">
        <v>0</v>
      </c>
      <c r="M5212" s="76" t="b">
        <v>0</v>
      </c>
      <c r="N5212" s="76" t="b">
        <v>0</v>
      </c>
      <c r="O5212" s="76" t="b">
        <v>0</v>
      </c>
      <c r="P5212" s="76" t="b">
        <v>0</v>
      </c>
      <c r="Q5212" s="76" t="b">
        <v>0</v>
      </c>
      <c r="R5212" s="14"/>
      <c r="S5212" s="14"/>
      <c r="T5212" s="14"/>
      <c r="U5212" s="14"/>
      <c r="V5212" s="14"/>
      <c r="W5212" s="14"/>
    </row>
    <row r="5213" ht="31.5" customHeight="1">
      <c r="A5213" s="158"/>
      <c r="B5213" s="159"/>
      <c r="C5213" s="160"/>
      <c r="D5213" s="130"/>
      <c r="E5213" s="130"/>
      <c r="F5213" s="161"/>
      <c r="G5213" s="164"/>
      <c r="H5213" s="76" t="b">
        <v>1</v>
      </c>
      <c r="I5213" s="76" t="b">
        <v>0</v>
      </c>
      <c r="J5213" s="76" t="b">
        <v>0</v>
      </c>
      <c r="K5213" s="76" t="b">
        <v>0</v>
      </c>
      <c r="L5213" s="76" t="b">
        <v>0</v>
      </c>
      <c r="M5213" s="76" t="b">
        <v>0</v>
      </c>
      <c r="N5213" s="76" t="b">
        <v>0</v>
      </c>
      <c r="O5213" s="76" t="b">
        <v>0</v>
      </c>
      <c r="P5213" s="76" t="b">
        <v>0</v>
      </c>
      <c r="Q5213" s="76" t="b">
        <v>0</v>
      </c>
      <c r="R5213" s="14"/>
      <c r="S5213" s="14"/>
      <c r="T5213" s="14"/>
      <c r="U5213" s="14"/>
      <c r="V5213" s="14"/>
      <c r="W5213" s="14"/>
    </row>
    <row r="5214" ht="31.5" customHeight="1">
      <c r="A5214" s="158"/>
      <c r="B5214" s="159"/>
      <c r="C5214" s="160"/>
      <c r="D5214" s="130"/>
      <c r="E5214" s="130"/>
      <c r="F5214" s="161"/>
      <c r="G5214" s="164"/>
      <c r="H5214" s="76" t="b">
        <v>1</v>
      </c>
      <c r="I5214" s="76" t="b">
        <v>0</v>
      </c>
      <c r="J5214" s="76" t="b">
        <v>0</v>
      </c>
      <c r="K5214" s="76" t="b">
        <v>0</v>
      </c>
      <c r="L5214" s="76" t="b">
        <v>0</v>
      </c>
      <c r="M5214" s="76" t="b">
        <v>0</v>
      </c>
      <c r="N5214" s="76" t="b">
        <v>0</v>
      </c>
      <c r="O5214" s="76" t="b">
        <v>0</v>
      </c>
      <c r="P5214" s="76" t="b">
        <v>0</v>
      </c>
      <c r="Q5214" s="76" t="b">
        <v>0</v>
      </c>
      <c r="R5214" s="14"/>
      <c r="S5214" s="14"/>
      <c r="T5214" s="14"/>
      <c r="U5214" s="14"/>
      <c r="V5214" s="14"/>
      <c r="W5214" s="14"/>
    </row>
    <row r="5215" ht="31.5" customHeight="1">
      <c r="A5215" s="158"/>
      <c r="B5215" s="159"/>
      <c r="C5215" s="160"/>
      <c r="D5215" s="130"/>
      <c r="E5215" s="130"/>
      <c r="F5215" s="161"/>
      <c r="G5215" s="164"/>
      <c r="H5215" s="76" t="b">
        <v>1</v>
      </c>
      <c r="I5215" s="76" t="b">
        <v>0</v>
      </c>
      <c r="J5215" s="76" t="b">
        <v>0</v>
      </c>
      <c r="K5215" s="76" t="b">
        <v>0</v>
      </c>
      <c r="L5215" s="76" t="b">
        <v>0</v>
      </c>
      <c r="M5215" s="76" t="b">
        <v>0</v>
      </c>
      <c r="N5215" s="76" t="b">
        <v>0</v>
      </c>
      <c r="O5215" s="76" t="b">
        <v>0</v>
      </c>
      <c r="P5215" s="76" t="b">
        <v>0</v>
      </c>
      <c r="Q5215" s="76" t="b">
        <v>0</v>
      </c>
      <c r="R5215" s="14"/>
      <c r="S5215" s="14"/>
      <c r="T5215" s="14"/>
      <c r="U5215" s="14"/>
      <c r="V5215" s="14"/>
      <c r="W5215" s="14"/>
    </row>
    <row r="5216" ht="31.5" customHeight="1">
      <c r="A5216" s="158"/>
      <c r="B5216" s="159"/>
      <c r="C5216" s="160"/>
      <c r="D5216" s="130"/>
      <c r="E5216" s="130"/>
      <c r="F5216" s="161"/>
      <c r="G5216" s="164"/>
      <c r="H5216" s="76" t="b">
        <v>1</v>
      </c>
      <c r="I5216" s="76" t="b">
        <v>0</v>
      </c>
      <c r="J5216" s="76" t="b">
        <v>0</v>
      </c>
      <c r="K5216" s="76" t="b">
        <v>0</v>
      </c>
      <c r="L5216" s="76" t="b">
        <v>0</v>
      </c>
      <c r="M5216" s="76" t="b">
        <v>0</v>
      </c>
      <c r="N5216" s="76" t="b">
        <v>0</v>
      </c>
      <c r="O5216" s="76" t="b">
        <v>0</v>
      </c>
      <c r="P5216" s="76" t="b">
        <v>0</v>
      </c>
      <c r="Q5216" s="76" t="b">
        <v>0</v>
      </c>
      <c r="R5216" s="14"/>
      <c r="S5216" s="14"/>
      <c r="T5216" s="14"/>
      <c r="U5216" s="14"/>
      <c r="V5216" s="14"/>
      <c r="W5216" s="14"/>
    </row>
    <row r="5217" ht="31.5" customHeight="1">
      <c r="A5217" s="158"/>
      <c r="B5217" s="159"/>
      <c r="C5217" s="160"/>
      <c r="D5217" s="130"/>
      <c r="E5217" s="130"/>
      <c r="F5217" s="161"/>
      <c r="G5217" s="164"/>
      <c r="H5217" s="76" t="b">
        <v>1</v>
      </c>
      <c r="I5217" s="76" t="b">
        <v>0</v>
      </c>
      <c r="J5217" s="76" t="b">
        <v>0</v>
      </c>
      <c r="K5217" s="76" t="b">
        <v>0</v>
      </c>
      <c r="L5217" s="76" t="b">
        <v>0</v>
      </c>
      <c r="M5217" s="76" t="b">
        <v>0</v>
      </c>
      <c r="N5217" s="76" t="b">
        <v>0</v>
      </c>
      <c r="O5217" s="76" t="b">
        <v>0</v>
      </c>
      <c r="P5217" s="76" t="b">
        <v>0</v>
      </c>
      <c r="Q5217" s="76" t="b">
        <v>0</v>
      </c>
      <c r="R5217" s="14"/>
      <c r="S5217" s="14"/>
      <c r="T5217" s="14"/>
      <c r="U5217" s="14"/>
      <c r="V5217" s="14"/>
      <c r="W5217" s="14"/>
    </row>
    <row r="5218" ht="31.5" customHeight="1">
      <c r="A5218" s="158"/>
      <c r="B5218" s="159"/>
      <c r="C5218" s="160"/>
      <c r="D5218" s="130"/>
      <c r="E5218" s="130"/>
      <c r="F5218" s="161"/>
      <c r="G5218" s="164"/>
      <c r="H5218" s="76" t="b">
        <v>1</v>
      </c>
      <c r="I5218" s="76" t="b">
        <v>0</v>
      </c>
      <c r="J5218" s="76" t="b">
        <v>0</v>
      </c>
      <c r="K5218" s="76" t="b">
        <v>0</v>
      </c>
      <c r="L5218" s="76" t="b">
        <v>0</v>
      </c>
      <c r="M5218" s="76" t="b">
        <v>0</v>
      </c>
      <c r="N5218" s="76" t="b">
        <v>0</v>
      </c>
      <c r="O5218" s="76" t="b">
        <v>0</v>
      </c>
      <c r="P5218" s="76" t="b">
        <v>0</v>
      </c>
      <c r="Q5218" s="76" t="b">
        <v>0</v>
      </c>
      <c r="R5218" s="14"/>
      <c r="S5218" s="14"/>
      <c r="T5218" s="14"/>
      <c r="U5218" s="14"/>
      <c r="V5218" s="14"/>
      <c r="W5218" s="14"/>
    </row>
    <row r="5219" ht="31.5" customHeight="1">
      <c r="A5219" s="158"/>
      <c r="B5219" s="159"/>
      <c r="C5219" s="160"/>
      <c r="D5219" s="130"/>
      <c r="E5219" s="130"/>
      <c r="F5219" s="161"/>
      <c r="G5219" s="164"/>
      <c r="H5219" s="76" t="b">
        <v>1</v>
      </c>
      <c r="I5219" s="76" t="b">
        <v>0</v>
      </c>
      <c r="J5219" s="76" t="b">
        <v>0</v>
      </c>
      <c r="K5219" s="76" t="b">
        <v>0</v>
      </c>
      <c r="L5219" s="76" t="b">
        <v>0</v>
      </c>
      <c r="M5219" s="76" t="b">
        <v>0</v>
      </c>
      <c r="N5219" s="76" t="b">
        <v>0</v>
      </c>
      <c r="O5219" s="76" t="b">
        <v>0</v>
      </c>
      <c r="P5219" s="76" t="b">
        <v>0</v>
      </c>
      <c r="Q5219" s="76" t="b">
        <v>0</v>
      </c>
      <c r="R5219" s="14"/>
      <c r="S5219" s="14"/>
      <c r="T5219" s="14"/>
      <c r="U5219" s="14"/>
      <c r="V5219" s="14"/>
      <c r="W5219" s="14"/>
    </row>
    <row r="5220" ht="31.5" customHeight="1">
      <c r="A5220" s="158"/>
      <c r="B5220" s="159"/>
      <c r="C5220" s="160"/>
      <c r="D5220" s="130"/>
      <c r="E5220" s="130"/>
      <c r="F5220" s="161"/>
      <c r="G5220" s="164"/>
      <c r="H5220" s="76" t="b">
        <v>1</v>
      </c>
      <c r="I5220" s="76" t="b">
        <v>0</v>
      </c>
      <c r="J5220" s="76" t="b">
        <v>0</v>
      </c>
      <c r="K5220" s="76" t="b">
        <v>0</v>
      </c>
      <c r="L5220" s="76" t="b">
        <v>0</v>
      </c>
      <c r="M5220" s="76" t="b">
        <v>0</v>
      </c>
      <c r="N5220" s="76" t="b">
        <v>0</v>
      </c>
      <c r="O5220" s="76" t="b">
        <v>0</v>
      </c>
      <c r="P5220" s="76" t="b">
        <v>0</v>
      </c>
      <c r="Q5220" s="76" t="b">
        <v>0</v>
      </c>
      <c r="R5220" s="14"/>
      <c r="S5220" s="14"/>
      <c r="T5220" s="14"/>
      <c r="U5220" s="14"/>
      <c r="V5220" s="14"/>
      <c r="W5220" s="14"/>
    </row>
    <row r="5221" ht="31.5" customHeight="1">
      <c r="A5221" s="158"/>
      <c r="B5221" s="159"/>
      <c r="C5221" s="160"/>
      <c r="D5221" s="130"/>
      <c r="E5221" s="130"/>
      <c r="F5221" s="161"/>
      <c r="G5221" s="164"/>
      <c r="H5221" s="76" t="b">
        <v>1</v>
      </c>
      <c r="I5221" s="76" t="b">
        <v>0</v>
      </c>
      <c r="J5221" s="76" t="b">
        <v>0</v>
      </c>
      <c r="K5221" s="76" t="b">
        <v>0</v>
      </c>
      <c r="L5221" s="76" t="b">
        <v>0</v>
      </c>
      <c r="M5221" s="76" t="b">
        <v>0</v>
      </c>
      <c r="N5221" s="76" t="b">
        <v>0</v>
      </c>
      <c r="O5221" s="76" t="b">
        <v>0</v>
      </c>
      <c r="P5221" s="76" t="b">
        <v>0</v>
      </c>
      <c r="Q5221" s="76" t="b">
        <v>0</v>
      </c>
      <c r="R5221" s="14"/>
      <c r="S5221" s="14"/>
      <c r="T5221" s="14"/>
      <c r="U5221" s="14"/>
      <c r="V5221" s="14"/>
      <c r="W5221" s="14"/>
    </row>
    <row r="5222" ht="31.5" customHeight="1">
      <c r="A5222" s="158"/>
      <c r="B5222" s="159"/>
      <c r="C5222" s="160"/>
      <c r="D5222" s="130"/>
      <c r="E5222" s="130"/>
      <c r="F5222" s="161"/>
      <c r="G5222" s="164"/>
      <c r="H5222" s="76" t="b">
        <v>1</v>
      </c>
      <c r="I5222" s="76" t="b">
        <v>0</v>
      </c>
      <c r="J5222" s="76" t="b">
        <v>0</v>
      </c>
      <c r="K5222" s="76" t="b">
        <v>0</v>
      </c>
      <c r="L5222" s="76" t="b">
        <v>0</v>
      </c>
      <c r="M5222" s="76" t="b">
        <v>0</v>
      </c>
      <c r="N5222" s="76" t="b">
        <v>0</v>
      </c>
      <c r="O5222" s="76" t="b">
        <v>0</v>
      </c>
      <c r="P5222" s="76" t="b">
        <v>0</v>
      </c>
      <c r="Q5222" s="76" t="b">
        <v>0</v>
      </c>
      <c r="R5222" s="14"/>
      <c r="S5222" s="14"/>
      <c r="T5222" s="14"/>
      <c r="U5222" s="14"/>
      <c r="V5222" s="14"/>
      <c r="W5222" s="14"/>
    </row>
    <row r="5223" ht="31.5" customHeight="1">
      <c r="A5223" s="158"/>
      <c r="B5223" s="159"/>
      <c r="C5223" s="160"/>
      <c r="D5223" s="130"/>
      <c r="E5223" s="130"/>
      <c r="F5223" s="161"/>
      <c r="G5223" s="164"/>
      <c r="H5223" s="76" t="b">
        <v>1</v>
      </c>
      <c r="I5223" s="76" t="b">
        <v>0</v>
      </c>
      <c r="J5223" s="76" t="b">
        <v>0</v>
      </c>
      <c r="K5223" s="76" t="b">
        <v>0</v>
      </c>
      <c r="L5223" s="76" t="b">
        <v>0</v>
      </c>
      <c r="M5223" s="76" t="b">
        <v>0</v>
      </c>
      <c r="N5223" s="76" t="b">
        <v>0</v>
      </c>
      <c r="O5223" s="76" t="b">
        <v>0</v>
      </c>
      <c r="P5223" s="76" t="b">
        <v>0</v>
      </c>
      <c r="Q5223" s="76" t="b">
        <v>0</v>
      </c>
      <c r="R5223" s="14"/>
      <c r="S5223" s="14"/>
      <c r="T5223" s="14"/>
      <c r="U5223" s="14"/>
      <c r="V5223" s="14"/>
      <c r="W5223" s="14"/>
    </row>
    <row r="5224" ht="31.5" customHeight="1">
      <c r="A5224" s="158"/>
      <c r="B5224" s="159"/>
      <c r="C5224" s="160"/>
      <c r="D5224" s="130"/>
      <c r="E5224" s="130"/>
      <c r="F5224" s="161"/>
      <c r="G5224" s="164"/>
      <c r="H5224" s="76" t="b">
        <v>1</v>
      </c>
      <c r="I5224" s="76" t="b">
        <v>0</v>
      </c>
      <c r="J5224" s="76" t="b">
        <v>0</v>
      </c>
      <c r="K5224" s="76" t="b">
        <v>0</v>
      </c>
      <c r="L5224" s="76" t="b">
        <v>0</v>
      </c>
      <c r="M5224" s="76" t="b">
        <v>0</v>
      </c>
      <c r="N5224" s="76" t="b">
        <v>0</v>
      </c>
      <c r="O5224" s="76" t="b">
        <v>0</v>
      </c>
      <c r="P5224" s="76" t="b">
        <v>0</v>
      </c>
      <c r="Q5224" s="76" t="b">
        <v>0</v>
      </c>
      <c r="R5224" s="14"/>
      <c r="S5224" s="14"/>
      <c r="T5224" s="14"/>
      <c r="U5224" s="14"/>
      <c r="V5224" s="14"/>
      <c r="W5224" s="14"/>
    </row>
    <row r="5225" ht="31.5" customHeight="1">
      <c r="A5225" s="158"/>
      <c r="B5225" s="159"/>
      <c r="C5225" s="160"/>
      <c r="D5225" s="130"/>
      <c r="E5225" s="130"/>
      <c r="F5225" s="161"/>
      <c r="G5225" s="164"/>
      <c r="H5225" s="76" t="b">
        <v>1</v>
      </c>
      <c r="I5225" s="76" t="b">
        <v>0</v>
      </c>
      <c r="J5225" s="76" t="b">
        <v>0</v>
      </c>
      <c r="K5225" s="76" t="b">
        <v>0</v>
      </c>
      <c r="L5225" s="76" t="b">
        <v>0</v>
      </c>
      <c r="M5225" s="76" t="b">
        <v>0</v>
      </c>
      <c r="N5225" s="76" t="b">
        <v>0</v>
      </c>
      <c r="O5225" s="76" t="b">
        <v>0</v>
      </c>
      <c r="P5225" s="76" t="b">
        <v>0</v>
      </c>
      <c r="Q5225" s="76" t="b">
        <v>0</v>
      </c>
      <c r="R5225" s="14"/>
      <c r="S5225" s="14"/>
      <c r="T5225" s="14"/>
      <c r="U5225" s="14"/>
      <c r="V5225" s="14"/>
      <c r="W5225" s="14"/>
    </row>
    <row r="5226" ht="31.5" customHeight="1">
      <c r="A5226" s="158"/>
      <c r="B5226" s="159"/>
      <c r="C5226" s="160"/>
      <c r="D5226" s="130"/>
      <c r="E5226" s="130"/>
      <c r="F5226" s="161"/>
      <c r="G5226" s="164"/>
      <c r="H5226" s="76" t="b">
        <v>1</v>
      </c>
      <c r="I5226" s="76" t="b">
        <v>0</v>
      </c>
      <c r="J5226" s="76" t="b">
        <v>0</v>
      </c>
      <c r="K5226" s="76" t="b">
        <v>0</v>
      </c>
      <c r="L5226" s="76" t="b">
        <v>0</v>
      </c>
      <c r="M5226" s="76" t="b">
        <v>0</v>
      </c>
      <c r="N5226" s="76" t="b">
        <v>0</v>
      </c>
      <c r="O5226" s="76" t="b">
        <v>0</v>
      </c>
      <c r="P5226" s="76" t="b">
        <v>0</v>
      </c>
      <c r="Q5226" s="76" t="b">
        <v>0</v>
      </c>
      <c r="R5226" s="14"/>
      <c r="S5226" s="14"/>
      <c r="T5226" s="14"/>
      <c r="U5226" s="14"/>
      <c r="V5226" s="14"/>
      <c r="W5226" s="14"/>
    </row>
    <row r="5227" ht="31.5" customHeight="1">
      <c r="A5227" s="158"/>
      <c r="B5227" s="159"/>
      <c r="C5227" s="160"/>
      <c r="D5227" s="130"/>
      <c r="E5227" s="130"/>
      <c r="F5227" s="161"/>
      <c r="G5227" s="164"/>
      <c r="H5227" s="76" t="b">
        <v>1</v>
      </c>
      <c r="I5227" s="76" t="b">
        <v>0</v>
      </c>
      <c r="J5227" s="76" t="b">
        <v>0</v>
      </c>
      <c r="K5227" s="76" t="b">
        <v>0</v>
      </c>
      <c r="L5227" s="76" t="b">
        <v>0</v>
      </c>
      <c r="M5227" s="76" t="b">
        <v>0</v>
      </c>
      <c r="N5227" s="76" t="b">
        <v>0</v>
      </c>
      <c r="O5227" s="76" t="b">
        <v>0</v>
      </c>
      <c r="P5227" s="76" t="b">
        <v>0</v>
      </c>
      <c r="Q5227" s="76" t="b">
        <v>0</v>
      </c>
      <c r="R5227" s="14"/>
      <c r="S5227" s="14"/>
      <c r="T5227" s="14"/>
      <c r="U5227" s="14"/>
      <c r="V5227" s="14"/>
      <c r="W5227" s="14"/>
    </row>
    <row r="5228" ht="31.5" customHeight="1">
      <c r="A5228" s="158"/>
      <c r="B5228" s="159"/>
      <c r="C5228" s="160"/>
      <c r="D5228" s="130"/>
      <c r="E5228" s="130"/>
      <c r="F5228" s="161"/>
      <c r="G5228" s="164"/>
      <c r="H5228" s="76" t="b">
        <v>1</v>
      </c>
      <c r="I5228" s="76" t="b">
        <v>0</v>
      </c>
      <c r="J5228" s="76" t="b">
        <v>0</v>
      </c>
      <c r="K5228" s="76" t="b">
        <v>0</v>
      </c>
      <c r="L5228" s="76" t="b">
        <v>0</v>
      </c>
      <c r="M5228" s="76" t="b">
        <v>0</v>
      </c>
      <c r="N5228" s="76" t="b">
        <v>0</v>
      </c>
      <c r="O5228" s="76" t="b">
        <v>0</v>
      </c>
      <c r="P5228" s="76" t="b">
        <v>0</v>
      </c>
      <c r="Q5228" s="76" t="b">
        <v>0</v>
      </c>
      <c r="R5228" s="14"/>
      <c r="S5228" s="14"/>
      <c r="T5228" s="14"/>
      <c r="U5228" s="14"/>
      <c r="V5228" s="14"/>
      <c r="W5228" s="14"/>
    </row>
    <row r="5229" ht="31.5" customHeight="1">
      <c r="A5229" s="158"/>
      <c r="B5229" s="159"/>
      <c r="C5229" s="160"/>
      <c r="D5229" s="130"/>
      <c r="E5229" s="130"/>
      <c r="F5229" s="161"/>
      <c r="G5229" s="164"/>
      <c r="H5229" s="76" t="b">
        <v>1</v>
      </c>
      <c r="I5229" s="76" t="b">
        <v>0</v>
      </c>
      <c r="J5229" s="76" t="b">
        <v>0</v>
      </c>
      <c r="K5229" s="76" t="b">
        <v>0</v>
      </c>
      <c r="L5229" s="76" t="b">
        <v>0</v>
      </c>
      <c r="M5229" s="76" t="b">
        <v>0</v>
      </c>
      <c r="N5229" s="76" t="b">
        <v>0</v>
      </c>
      <c r="O5229" s="76" t="b">
        <v>0</v>
      </c>
      <c r="P5229" s="76" t="b">
        <v>0</v>
      </c>
      <c r="Q5229" s="76" t="b">
        <v>0</v>
      </c>
      <c r="R5229" s="14"/>
      <c r="S5229" s="14"/>
      <c r="T5229" s="14"/>
      <c r="U5229" s="14"/>
      <c r="V5229" s="14"/>
      <c r="W5229" s="14"/>
    </row>
    <row r="5230" ht="31.5" customHeight="1">
      <c r="A5230" s="158"/>
      <c r="B5230" s="159"/>
      <c r="C5230" s="160"/>
      <c r="D5230" s="130"/>
      <c r="E5230" s="130"/>
      <c r="F5230" s="161"/>
      <c r="G5230" s="164"/>
      <c r="H5230" s="76" t="b">
        <v>1</v>
      </c>
      <c r="I5230" s="76" t="b">
        <v>0</v>
      </c>
      <c r="J5230" s="76" t="b">
        <v>0</v>
      </c>
      <c r="K5230" s="76" t="b">
        <v>0</v>
      </c>
      <c r="L5230" s="76" t="b">
        <v>0</v>
      </c>
      <c r="M5230" s="76" t="b">
        <v>0</v>
      </c>
      <c r="N5230" s="76" t="b">
        <v>0</v>
      </c>
      <c r="O5230" s="76" t="b">
        <v>0</v>
      </c>
      <c r="P5230" s="76" t="b">
        <v>0</v>
      </c>
      <c r="Q5230" s="76" t="b">
        <v>0</v>
      </c>
      <c r="R5230" s="14"/>
      <c r="S5230" s="14"/>
      <c r="T5230" s="14"/>
      <c r="U5230" s="14"/>
      <c r="V5230" s="14"/>
      <c r="W5230" s="14"/>
    </row>
    <row r="5231" ht="31.5" customHeight="1">
      <c r="A5231" s="158"/>
      <c r="B5231" s="159"/>
      <c r="C5231" s="160"/>
      <c r="D5231" s="130"/>
      <c r="E5231" s="130"/>
      <c r="F5231" s="161"/>
      <c r="G5231" s="164"/>
      <c r="H5231" s="76" t="b">
        <v>1</v>
      </c>
      <c r="I5231" s="76" t="b">
        <v>0</v>
      </c>
      <c r="J5231" s="76" t="b">
        <v>0</v>
      </c>
      <c r="K5231" s="76" t="b">
        <v>0</v>
      </c>
      <c r="L5231" s="76" t="b">
        <v>0</v>
      </c>
      <c r="M5231" s="76" t="b">
        <v>0</v>
      </c>
      <c r="N5231" s="76" t="b">
        <v>0</v>
      </c>
      <c r="O5231" s="76" t="b">
        <v>0</v>
      </c>
      <c r="P5231" s="76" t="b">
        <v>0</v>
      </c>
      <c r="Q5231" s="76" t="b">
        <v>0</v>
      </c>
      <c r="R5231" s="14"/>
      <c r="S5231" s="14"/>
      <c r="T5231" s="14"/>
      <c r="U5231" s="14"/>
      <c r="V5231" s="14"/>
      <c r="W5231" s="14"/>
    </row>
    <row r="5232" ht="31.5" customHeight="1">
      <c r="A5232" s="158"/>
      <c r="B5232" s="159"/>
      <c r="C5232" s="160"/>
      <c r="D5232" s="130"/>
      <c r="E5232" s="130"/>
      <c r="F5232" s="161"/>
      <c r="G5232" s="164"/>
      <c r="H5232" s="76" t="b">
        <v>1</v>
      </c>
      <c r="I5232" s="76" t="b">
        <v>0</v>
      </c>
      <c r="J5232" s="76" t="b">
        <v>0</v>
      </c>
      <c r="K5232" s="76" t="b">
        <v>0</v>
      </c>
      <c r="L5232" s="76" t="b">
        <v>0</v>
      </c>
      <c r="M5232" s="76" t="b">
        <v>0</v>
      </c>
      <c r="N5232" s="76" t="b">
        <v>0</v>
      </c>
      <c r="O5232" s="76" t="b">
        <v>0</v>
      </c>
      <c r="P5232" s="76" t="b">
        <v>0</v>
      </c>
      <c r="Q5232" s="76" t="b">
        <v>0</v>
      </c>
      <c r="R5232" s="14"/>
      <c r="S5232" s="14"/>
      <c r="T5232" s="14"/>
      <c r="U5232" s="14"/>
      <c r="V5232" s="14"/>
      <c r="W5232" s="14"/>
    </row>
    <row r="5233" ht="31.5" customHeight="1">
      <c r="A5233" s="158"/>
      <c r="B5233" s="159"/>
      <c r="C5233" s="160"/>
      <c r="D5233" s="130"/>
      <c r="E5233" s="130"/>
      <c r="F5233" s="161"/>
      <c r="G5233" s="164"/>
      <c r="H5233" s="76" t="b">
        <v>1</v>
      </c>
      <c r="I5233" s="76" t="b">
        <v>0</v>
      </c>
      <c r="J5233" s="76" t="b">
        <v>0</v>
      </c>
      <c r="K5233" s="76" t="b">
        <v>0</v>
      </c>
      <c r="L5233" s="76" t="b">
        <v>0</v>
      </c>
      <c r="M5233" s="76" t="b">
        <v>0</v>
      </c>
      <c r="N5233" s="76" t="b">
        <v>0</v>
      </c>
      <c r="O5233" s="76" t="b">
        <v>0</v>
      </c>
      <c r="P5233" s="76" t="b">
        <v>0</v>
      </c>
      <c r="Q5233" s="76" t="b">
        <v>0</v>
      </c>
      <c r="R5233" s="14"/>
      <c r="S5233" s="14"/>
      <c r="T5233" s="14"/>
      <c r="U5233" s="14"/>
      <c r="V5233" s="14"/>
      <c r="W5233" s="14"/>
    </row>
    <row r="5234" ht="31.5" customHeight="1">
      <c r="A5234" s="158"/>
      <c r="B5234" s="159"/>
      <c r="C5234" s="160"/>
      <c r="D5234" s="130"/>
      <c r="E5234" s="130"/>
      <c r="F5234" s="161"/>
      <c r="G5234" s="164"/>
      <c r="H5234" s="76" t="b">
        <v>1</v>
      </c>
      <c r="I5234" s="76" t="b">
        <v>0</v>
      </c>
      <c r="J5234" s="76" t="b">
        <v>0</v>
      </c>
      <c r="K5234" s="76" t="b">
        <v>0</v>
      </c>
      <c r="L5234" s="76" t="b">
        <v>0</v>
      </c>
      <c r="M5234" s="76" t="b">
        <v>0</v>
      </c>
      <c r="N5234" s="76" t="b">
        <v>0</v>
      </c>
      <c r="O5234" s="76" t="b">
        <v>0</v>
      </c>
      <c r="P5234" s="76" t="b">
        <v>0</v>
      </c>
      <c r="Q5234" s="76" t="b">
        <v>0</v>
      </c>
      <c r="R5234" s="14"/>
      <c r="S5234" s="14"/>
      <c r="T5234" s="14"/>
      <c r="U5234" s="14"/>
      <c r="V5234" s="14"/>
      <c r="W5234" s="14"/>
    </row>
    <row r="5235" ht="31.5" customHeight="1">
      <c r="A5235" s="158"/>
      <c r="B5235" s="159"/>
      <c r="C5235" s="160"/>
      <c r="D5235" s="130"/>
      <c r="E5235" s="130"/>
      <c r="F5235" s="161"/>
      <c r="G5235" s="164"/>
      <c r="H5235" s="76" t="b">
        <v>1</v>
      </c>
      <c r="I5235" s="76" t="b">
        <v>0</v>
      </c>
      <c r="J5235" s="76" t="b">
        <v>0</v>
      </c>
      <c r="K5235" s="76" t="b">
        <v>0</v>
      </c>
      <c r="L5235" s="76" t="b">
        <v>0</v>
      </c>
      <c r="M5235" s="76" t="b">
        <v>0</v>
      </c>
      <c r="N5235" s="76" t="b">
        <v>0</v>
      </c>
      <c r="O5235" s="76" t="b">
        <v>0</v>
      </c>
      <c r="P5235" s="76" t="b">
        <v>0</v>
      </c>
      <c r="Q5235" s="76" t="b">
        <v>0</v>
      </c>
      <c r="R5235" s="14"/>
      <c r="S5235" s="14"/>
      <c r="T5235" s="14"/>
      <c r="U5235" s="14"/>
      <c r="V5235" s="14"/>
      <c r="W5235" s="14"/>
    </row>
    <row r="5236" ht="31.5" customHeight="1">
      <c r="A5236" s="158"/>
      <c r="B5236" s="159"/>
      <c r="C5236" s="160"/>
      <c r="D5236" s="130"/>
      <c r="E5236" s="130"/>
      <c r="F5236" s="161"/>
      <c r="G5236" s="164"/>
      <c r="H5236" s="76" t="b">
        <v>1</v>
      </c>
      <c r="I5236" s="76" t="b">
        <v>0</v>
      </c>
      <c r="J5236" s="76" t="b">
        <v>0</v>
      </c>
      <c r="K5236" s="76" t="b">
        <v>0</v>
      </c>
      <c r="L5236" s="76" t="b">
        <v>0</v>
      </c>
      <c r="M5236" s="76" t="b">
        <v>0</v>
      </c>
      <c r="N5236" s="76" t="b">
        <v>0</v>
      </c>
      <c r="O5236" s="76" t="b">
        <v>0</v>
      </c>
      <c r="P5236" s="76" t="b">
        <v>0</v>
      </c>
      <c r="Q5236" s="76" t="b">
        <v>0</v>
      </c>
      <c r="R5236" s="14"/>
      <c r="S5236" s="14"/>
      <c r="T5236" s="14"/>
      <c r="U5236" s="14"/>
      <c r="V5236" s="14"/>
      <c r="W5236" s="14"/>
    </row>
    <row r="5237" ht="31.5" customHeight="1">
      <c r="A5237" s="158"/>
      <c r="B5237" s="159"/>
      <c r="C5237" s="160"/>
      <c r="D5237" s="130"/>
      <c r="E5237" s="130"/>
      <c r="F5237" s="161"/>
      <c r="G5237" s="164"/>
      <c r="H5237" s="76" t="b">
        <v>1</v>
      </c>
      <c r="I5237" s="76" t="b">
        <v>0</v>
      </c>
      <c r="J5237" s="76" t="b">
        <v>0</v>
      </c>
      <c r="K5237" s="76" t="b">
        <v>0</v>
      </c>
      <c r="L5237" s="76" t="b">
        <v>0</v>
      </c>
      <c r="M5237" s="76" t="b">
        <v>0</v>
      </c>
      <c r="N5237" s="76" t="b">
        <v>0</v>
      </c>
      <c r="O5237" s="76" t="b">
        <v>0</v>
      </c>
      <c r="P5237" s="76" t="b">
        <v>0</v>
      </c>
      <c r="Q5237" s="76" t="b">
        <v>0</v>
      </c>
      <c r="R5237" s="14"/>
      <c r="S5237" s="14"/>
      <c r="T5237" s="14"/>
      <c r="U5237" s="14"/>
      <c r="V5237" s="14"/>
      <c r="W5237" s="14"/>
    </row>
    <row r="5238" ht="31.5" customHeight="1">
      <c r="A5238" s="158"/>
      <c r="B5238" s="159"/>
      <c r="C5238" s="160"/>
      <c r="D5238" s="130"/>
      <c r="E5238" s="130"/>
      <c r="F5238" s="161"/>
      <c r="G5238" s="164"/>
      <c r="H5238" s="76" t="b">
        <v>1</v>
      </c>
      <c r="I5238" s="76" t="b">
        <v>0</v>
      </c>
      <c r="J5238" s="76" t="b">
        <v>0</v>
      </c>
      <c r="K5238" s="76" t="b">
        <v>0</v>
      </c>
      <c r="L5238" s="76" t="b">
        <v>0</v>
      </c>
      <c r="M5238" s="76" t="b">
        <v>0</v>
      </c>
      <c r="N5238" s="76" t="b">
        <v>0</v>
      </c>
      <c r="O5238" s="76" t="b">
        <v>0</v>
      </c>
      <c r="P5238" s="76" t="b">
        <v>0</v>
      </c>
      <c r="Q5238" s="76" t="b">
        <v>0</v>
      </c>
      <c r="R5238" s="14"/>
      <c r="S5238" s="14"/>
      <c r="T5238" s="14"/>
      <c r="U5238" s="14"/>
      <c r="V5238" s="14"/>
      <c r="W5238" s="14"/>
    </row>
    <row r="5239" ht="31.5" customHeight="1">
      <c r="A5239" s="158"/>
      <c r="B5239" s="159"/>
      <c r="C5239" s="160"/>
      <c r="D5239" s="130"/>
      <c r="E5239" s="130"/>
      <c r="F5239" s="161"/>
      <c r="G5239" s="164"/>
      <c r="H5239" s="76" t="b">
        <v>1</v>
      </c>
      <c r="I5239" s="76" t="b">
        <v>0</v>
      </c>
      <c r="J5239" s="76" t="b">
        <v>0</v>
      </c>
      <c r="K5239" s="76" t="b">
        <v>0</v>
      </c>
      <c r="L5239" s="76" t="b">
        <v>0</v>
      </c>
      <c r="M5239" s="76" t="b">
        <v>0</v>
      </c>
      <c r="N5239" s="76" t="b">
        <v>0</v>
      </c>
      <c r="O5239" s="76" t="b">
        <v>0</v>
      </c>
      <c r="P5239" s="76" t="b">
        <v>0</v>
      </c>
      <c r="Q5239" s="76" t="b">
        <v>0</v>
      </c>
      <c r="R5239" s="14"/>
      <c r="S5239" s="14"/>
      <c r="T5239" s="14"/>
      <c r="U5239" s="14"/>
      <c r="V5239" s="14"/>
      <c r="W5239" s="14"/>
    </row>
    <row r="5240" ht="31.5" customHeight="1">
      <c r="A5240" s="158"/>
      <c r="B5240" s="159"/>
      <c r="C5240" s="160"/>
      <c r="D5240" s="130"/>
      <c r="E5240" s="130"/>
      <c r="F5240" s="161"/>
      <c r="G5240" s="164"/>
      <c r="H5240" s="76" t="b">
        <v>1</v>
      </c>
      <c r="I5240" s="76" t="b">
        <v>0</v>
      </c>
      <c r="J5240" s="76" t="b">
        <v>0</v>
      </c>
      <c r="K5240" s="76" t="b">
        <v>0</v>
      </c>
      <c r="L5240" s="76" t="b">
        <v>0</v>
      </c>
      <c r="M5240" s="76" t="b">
        <v>0</v>
      </c>
      <c r="N5240" s="76" t="b">
        <v>0</v>
      </c>
      <c r="O5240" s="76" t="b">
        <v>0</v>
      </c>
      <c r="P5240" s="76" t="b">
        <v>0</v>
      </c>
      <c r="Q5240" s="76" t="b">
        <v>0</v>
      </c>
      <c r="R5240" s="14"/>
      <c r="S5240" s="14"/>
      <c r="T5240" s="14"/>
      <c r="U5240" s="14"/>
      <c r="V5240" s="14"/>
      <c r="W5240" s="14"/>
    </row>
    <row r="5241" ht="31.5" customHeight="1">
      <c r="A5241" s="158"/>
      <c r="B5241" s="159"/>
      <c r="C5241" s="160"/>
      <c r="D5241" s="130"/>
      <c r="E5241" s="130"/>
      <c r="F5241" s="161"/>
      <c r="G5241" s="164"/>
      <c r="H5241" s="76" t="b">
        <v>1</v>
      </c>
      <c r="I5241" s="76" t="b">
        <v>0</v>
      </c>
      <c r="J5241" s="76" t="b">
        <v>0</v>
      </c>
      <c r="K5241" s="76" t="b">
        <v>0</v>
      </c>
      <c r="L5241" s="76" t="b">
        <v>0</v>
      </c>
      <c r="M5241" s="76" t="b">
        <v>0</v>
      </c>
      <c r="N5241" s="76" t="b">
        <v>0</v>
      </c>
      <c r="O5241" s="76" t="b">
        <v>0</v>
      </c>
      <c r="P5241" s="76" t="b">
        <v>0</v>
      </c>
      <c r="Q5241" s="76" t="b">
        <v>0</v>
      </c>
      <c r="R5241" s="14"/>
      <c r="S5241" s="14"/>
      <c r="T5241" s="14"/>
      <c r="U5241" s="14"/>
      <c r="V5241" s="14"/>
      <c r="W5241" s="14"/>
    </row>
    <row r="5242" ht="31.5" customHeight="1">
      <c r="A5242" s="158"/>
      <c r="B5242" s="159"/>
      <c r="C5242" s="160"/>
      <c r="D5242" s="130"/>
      <c r="E5242" s="130"/>
      <c r="F5242" s="161"/>
      <c r="G5242" s="164"/>
      <c r="H5242" s="76" t="b">
        <v>1</v>
      </c>
      <c r="I5242" s="76" t="b">
        <v>0</v>
      </c>
      <c r="J5242" s="76" t="b">
        <v>0</v>
      </c>
      <c r="K5242" s="76" t="b">
        <v>0</v>
      </c>
      <c r="L5242" s="76" t="b">
        <v>0</v>
      </c>
      <c r="M5242" s="76" t="b">
        <v>0</v>
      </c>
      <c r="N5242" s="76" t="b">
        <v>0</v>
      </c>
      <c r="O5242" s="76" t="b">
        <v>0</v>
      </c>
      <c r="P5242" s="76" t="b">
        <v>0</v>
      </c>
      <c r="Q5242" s="76" t="b">
        <v>0</v>
      </c>
      <c r="R5242" s="14"/>
      <c r="S5242" s="14"/>
      <c r="T5242" s="14"/>
      <c r="U5242" s="14"/>
      <c r="V5242" s="14"/>
      <c r="W5242" s="14"/>
    </row>
    <row r="5243" ht="31.5" customHeight="1">
      <c r="A5243" s="158"/>
      <c r="B5243" s="159"/>
      <c r="C5243" s="160"/>
      <c r="D5243" s="130"/>
      <c r="E5243" s="130"/>
      <c r="F5243" s="161"/>
      <c r="G5243" s="164"/>
      <c r="H5243" s="76" t="b">
        <v>1</v>
      </c>
      <c r="I5243" s="76" t="b">
        <v>0</v>
      </c>
      <c r="J5243" s="76" t="b">
        <v>0</v>
      </c>
      <c r="K5243" s="76" t="b">
        <v>0</v>
      </c>
      <c r="L5243" s="76" t="b">
        <v>0</v>
      </c>
      <c r="M5243" s="76" t="b">
        <v>0</v>
      </c>
      <c r="N5243" s="76" t="b">
        <v>0</v>
      </c>
      <c r="O5243" s="76" t="b">
        <v>0</v>
      </c>
      <c r="P5243" s="76" t="b">
        <v>0</v>
      </c>
      <c r="Q5243" s="76" t="b">
        <v>0</v>
      </c>
      <c r="R5243" s="14"/>
      <c r="S5243" s="14"/>
      <c r="T5243" s="14"/>
      <c r="U5243" s="14"/>
      <c r="V5243" s="14"/>
      <c r="W5243" s="14"/>
    </row>
    <row r="5244" ht="31.5" customHeight="1">
      <c r="A5244" s="158"/>
      <c r="B5244" s="159"/>
      <c r="C5244" s="160"/>
      <c r="D5244" s="130"/>
      <c r="E5244" s="130"/>
      <c r="F5244" s="161"/>
      <c r="G5244" s="164"/>
      <c r="H5244" s="76" t="b">
        <v>1</v>
      </c>
      <c r="I5244" s="76" t="b">
        <v>0</v>
      </c>
      <c r="J5244" s="76" t="b">
        <v>0</v>
      </c>
      <c r="K5244" s="76" t="b">
        <v>0</v>
      </c>
      <c r="L5244" s="76" t="b">
        <v>0</v>
      </c>
      <c r="M5244" s="76" t="b">
        <v>0</v>
      </c>
      <c r="N5244" s="76" t="b">
        <v>0</v>
      </c>
      <c r="O5244" s="76" t="b">
        <v>0</v>
      </c>
      <c r="P5244" s="76" t="b">
        <v>0</v>
      </c>
      <c r="Q5244" s="76" t="b">
        <v>0</v>
      </c>
      <c r="R5244" s="14"/>
      <c r="S5244" s="14"/>
      <c r="T5244" s="14"/>
      <c r="U5244" s="14"/>
      <c r="V5244" s="14"/>
      <c r="W5244" s="14"/>
    </row>
    <row r="5245" ht="31.5" customHeight="1">
      <c r="A5245" s="158"/>
      <c r="B5245" s="159"/>
      <c r="C5245" s="160"/>
      <c r="D5245" s="130"/>
      <c r="E5245" s="130"/>
      <c r="F5245" s="161"/>
      <c r="G5245" s="164"/>
      <c r="H5245" s="76" t="b">
        <v>1</v>
      </c>
      <c r="I5245" s="76" t="b">
        <v>0</v>
      </c>
      <c r="J5245" s="76" t="b">
        <v>0</v>
      </c>
      <c r="K5245" s="76" t="b">
        <v>0</v>
      </c>
      <c r="L5245" s="76" t="b">
        <v>0</v>
      </c>
      <c r="M5245" s="76" t="b">
        <v>0</v>
      </c>
      <c r="N5245" s="76" t="b">
        <v>0</v>
      </c>
      <c r="O5245" s="76" t="b">
        <v>0</v>
      </c>
      <c r="P5245" s="76" t="b">
        <v>0</v>
      </c>
      <c r="Q5245" s="76" t="b">
        <v>0</v>
      </c>
      <c r="R5245" s="14"/>
      <c r="S5245" s="14"/>
      <c r="T5245" s="14"/>
      <c r="U5245" s="14"/>
      <c r="V5245" s="14"/>
      <c r="W5245" s="14"/>
    </row>
    <row r="5246" ht="31.5" customHeight="1">
      <c r="A5246" s="158"/>
      <c r="B5246" s="159"/>
      <c r="C5246" s="160"/>
      <c r="D5246" s="130"/>
      <c r="E5246" s="130"/>
      <c r="F5246" s="161"/>
      <c r="G5246" s="164"/>
      <c r="H5246" s="76" t="b">
        <v>1</v>
      </c>
      <c r="I5246" s="76" t="b">
        <v>0</v>
      </c>
      <c r="J5246" s="76" t="b">
        <v>0</v>
      </c>
      <c r="K5246" s="76" t="b">
        <v>0</v>
      </c>
      <c r="L5246" s="76" t="b">
        <v>0</v>
      </c>
      <c r="M5246" s="76" t="b">
        <v>0</v>
      </c>
      <c r="N5246" s="76" t="b">
        <v>0</v>
      </c>
      <c r="O5246" s="76" t="b">
        <v>0</v>
      </c>
      <c r="P5246" s="76" t="b">
        <v>0</v>
      </c>
      <c r="Q5246" s="76" t="b">
        <v>0</v>
      </c>
      <c r="R5246" s="14"/>
      <c r="S5246" s="14"/>
      <c r="T5246" s="14"/>
      <c r="U5246" s="14"/>
      <c r="V5246" s="14"/>
      <c r="W5246" s="14"/>
    </row>
    <row r="5247" ht="31.5" customHeight="1">
      <c r="A5247" s="158"/>
      <c r="B5247" s="159"/>
      <c r="C5247" s="160"/>
      <c r="D5247" s="130"/>
      <c r="E5247" s="130"/>
      <c r="F5247" s="161"/>
      <c r="G5247" s="164"/>
      <c r="H5247" s="76" t="b">
        <v>1</v>
      </c>
      <c r="I5247" s="76" t="b">
        <v>0</v>
      </c>
      <c r="J5247" s="76" t="b">
        <v>0</v>
      </c>
      <c r="K5247" s="76" t="b">
        <v>0</v>
      </c>
      <c r="L5247" s="76" t="b">
        <v>0</v>
      </c>
      <c r="M5247" s="76" t="b">
        <v>0</v>
      </c>
      <c r="N5247" s="76" t="b">
        <v>0</v>
      </c>
      <c r="O5247" s="76" t="b">
        <v>0</v>
      </c>
      <c r="P5247" s="76" t="b">
        <v>0</v>
      </c>
      <c r="Q5247" s="76" t="b">
        <v>0</v>
      </c>
      <c r="R5247" s="14"/>
      <c r="S5247" s="14"/>
      <c r="T5247" s="14"/>
      <c r="U5247" s="14"/>
      <c r="V5247" s="14"/>
      <c r="W5247" s="14"/>
    </row>
    <row r="5248" ht="31.5" customHeight="1">
      <c r="A5248" s="158"/>
      <c r="B5248" s="159"/>
      <c r="C5248" s="160"/>
      <c r="D5248" s="130"/>
      <c r="E5248" s="130"/>
      <c r="F5248" s="161"/>
      <c r="G5248" s="164"/>
      <c r="H5248" s="76" t="b">
        <v>1</v>
      </c>
      <c r="I5248" s="76" t="b">
        <v>0</v>
      </c>
      <c r="J5248" s="76" t="b">
        <v>0</v>
      </c>
      <c r="K5248" s="76" t="b">
        <v>0</v>
      </c>
      <c r="L5248" s="76" t="b">
        <v>0</v>
      </c>
      <c r="M5248" s="76" t="b">
        <v>0</v>
      </c>
      <c r="N5248" s="76" t="b">
        <v>0</v>
      </c>
      <c r="O5248" s="76" t="b">
        <v>0</v>
      </c>
      <c r="P5248" s="76" t="b">
        <v>0</v>
      </c>
      <c r="Q5248" s="76" t="b">
        <v>0</v>
      </c>
      <c r="R5248" s="14"/>
      <c r="S5248" s="14"/>
      <c r="T5248" s="14"/>
      <c r="U5248" s="14"/>
      <c r="V5248" s="14"/>
      <c r="W5248" s="14"/>
    </row>
    <row r="5249" ht="31.5" customHeight="1">
      <c r="A5249" s="158"/>
      <c r="B5249" s="159"/>
      <c r="C5249" s="160"/>
      <c r="D5249" s="130"/>
      <c r="E5249" s="130"/>
      <c r="F5249" s="161"/>
      <c r="G5249" s="164"/>
      <c r="H5249" s="76" t="b">
        <v>1</v>
      </c>
      <c r="I5249" s="76" t="b">
        <v>0</v>
      </c>
      <c r="J5249" s="76" t="b">
        <v>0</v>
      </c>
      <c r="K5249" s="76" t="b">
        <v>0</v>
      </c>
      <c r="L5249" s="76" t="b">
        <v>0</v>
      </c>
      <c r="M5249" s="76" t="b">
        <v>0</v>
      </c>
      <c r="N5249" s="76" t="b">
        <v>0</v>
      </c>
      <c r="O5249" s="76" t="b">
        <v>0</v>
      </c>
      <c r="P5249" s="76" t="b">
        <v>0</v>
      </c>
      <c r="Q5249" s="76" t="b">
        <v>0</v>
      </c>
      <c r="R5249" s="14"/>
      <c r="S5249" s="14"/>
      <c r="T5249" s="14"/>
      <c r="U5249" s="14"/>
      <c r="V5249" s="14"/>
      <c r="W5249" s="14"/>
    </row>
    <row r="5250" ht="31.5" customHeight="1">
      <c r="A5250" s="158"/>
      <c r="B5250" s="159"/>
      <c r="C5250" s="160"/>
      <c r="D5250" s="130"/>
      <c r="E5250" s="130"/>
      <c r="F5250" s="161"/>
      <c r="G5250" s="164"/>
      <c r="H5250" s="76" t="b">
        <v>1</v>
      </c>
      <c r="I5250" s="76" t="b">
        <v>0</v>
      </c>
      <c r="J5250" s="76" t="b">
        <v>0</v>
      </c>
      <c r="K5250" s="76" t="b">
        <v>0</v>
      </c>
      <c r="L5250" s="76" t="b">
        <v>0</v>
      </c>
      <c r="M5250" s="76" t="b">
        <v>0</v>
      </c>
      <c r="N5250" s="76" t="b">
        <v>0</v>
      </c>
      <c r="O5250" s="76" t="b">
        <v>0</v>
      </c>
      <c r="P5250" s="76" t="b">
        <v>0</v>
      </c>
      <c r="Q5250" s="76" t="b">
        <v>0</v>
      </c>
      <c r="R5250" s="14"/>
      <c r="S5250" s="14"/>
      <c r="T5250" s="14"/>
      <c r="U5250" s="14"/>
      <c r="V5250" s="14"/>
      <c r="W5250" s="14"/>
    </row>
    <row r="5251" ht="31.5" customHeight="1">
      <c r="A5251" s="158"/>
      <c r="B5251" s="159"/>
      <c r="C5251" s="160"/>
      <c r="D5251" s="130"/>
      <c r="E5251" s="130"/>
      <c r="F5251" s="161"/>
      <c r="G5251" s="164"/>
      <c r="H5251" s="76" t="b">
        <v>1</v>
      </c>
      <c r="I5251" s="76" t="b">
        <v>0</v>
      </c>
      <c r="J5251" s="76" t="b">
        <v>0</v>
      </c>
      <c r="K5251" s="76" t="b">
        <v>0</v>
      </c>
      <c r="L5251" s="76" t="b">
        <v>0</v>
      </c>
      <c r="M5251" s="76" t="b">
        <v>0</v>
      </c>
      <c r="N5251" s="76" t="b">
        <v>0</v>
      </c>
      <c r="O5251" s="76" t="b">
        <v>0</v>
      </c>
      <c r="P5251" s="76" t="b">
        <v>0</v>
      </c>
      <c r="Q5251" s="76" t="b">
        <v>0</v>
      </c>
      <c r="R5251" s="14"/>
      <c r="S5251" s="14"/>
      <c r="T5251" s="14"/>
      <c r="U5251" s="14"/>
      <c r="V5251" s="14"/>
      <c r="W5251" s="14"/>
    </row>
    <row r="5252" ht="31.5" customHeight="1">
      <c r="A5252" s="158"/>
      <c r="B5252" s="159"/>
      <c r="C5252" s="160"/>
      <c r="D5252" s="130"/>
      <c r="E5252" s="130"/>
      <c r="F5252" s="161"/>
      <c r="G5252" s="164"/>
      <c r="H5252" s="76" t="b">
        <v>1</v>
      </c>
      <c r="I5252" s="76" t="b">
        <v>0</v>
      </c>
      <c r="J5252" s="76" t="b">
        <v>0</v>
      </c>
      <c r="K5252" s="76" t="b">
        <v>0</v>
      </c>
      <c r="L5252" s="76" t="b">
        <v>0</v>
      </c>
      <c r="M5252" s="76" t="b">
        <v>0</v>
      </c>
      <c r="N5252" s="76" t="b">
        <v>0</v>
      </c>
      <c r="O5252" s="76" t="b">
        <v>0</v>
      </c>
      <c r="P5252" s="76" t="b">
        <v>0</v>
      </c>
      <c r="Q5252" s="76" t="b">
        <v>0</v>
      </c>
      <c r="R5252" s="14"/>
      <c r="S5252" s="14"/>
      <c r="T5252" s="14"/>
      <c r="U5252" s="14"/>
      <c r="V5252" s="14"/>
      <c r="W5252" s="14"/>
    </row>
    <row r="5253" ht="31.5" customHeight="1">
      <c r="A5253" s="158"/>
      <c r="B5253" s="159"/>
      <c r="C5253" s="160"/>
      <c r="D5253" s="130"/>
      <c r="E5253" s="130"/>
      <c r="F5253" s="161"/>
      <c r="G5253" s="164"/>
      <c r="H5253" s="76" t="b">
        <v>1</v>
      </c>
      <c r="I5253" s="76" t="b">
        <v>0</v>
      </c>
      <c r="J5253" s="76" t="b">
        <v>0</v>
      </c>
      <c r="K5253" s="76" t="b">
        <v>0</v>
      </c>
      <c r="L5253" s="76" t="b">
        <v>0</v>
      </c>
      <c r="M5253" s="76" t="b">
        <v>0</v>
      </c>
      <c r="N5253" s="76" t="b">
        <v>0</v>
      </c>
      <c r="O5253" s="76" t="b">
        <v>0</v>
      </c>
      <c r="P5253" s="76" t="b">
        <v>0</v>
      </c>
      <c r="Q5253" s="76" t="b">
        <v>0</v>
      </c>
      <c r="R5253" s="14"/>
      <c r="S5253" s="14"/>
      <c r="T5253" s="14"/>
      <c r="U5253" s="14"/>
      <c r="V5253" s="14"/>
      <c r="W5253" s="14"/>
    </row>
    <row r="5254" ht="31.5" customHeight="1">
      <c r="A5254" s="158"/>
      <c r="B5254" s="159"/>
      <c r="C5254" s="160"/>
      <c r="D5254" s="130"/>
      <c r="E5254" s="130"/>
      <c r="F5254" s="161"/>
      <c r="G5254" s="164"/>
      <c r="H5254" s="76" t="b">
        <v>1</v>
      </c>
      <c r="I5254" s="76" t="b">
        <v>0</v>
      </c>
      <c r="J5254" s="76" t="b">
        <v>0</v>
      </c>
      <c r="K5254" s="76" t="b">
        <v>0</v>
      </c>
      <c r="L5254" s="76" t="b">
        <v>0</v>
      </c>
      <c r="M5254" s="76" t="b">
        <v>0</v>
      </c>
      <c r="N5254" s="76" t="b">
        <v>0</v>
      </c>
      <c r="O5254" s="76" t="b">
        <v>0</v>
      </c>
      <c r="P5254" s="76" t="b">
        <v>0</v>
      </c>
      <c r="Q5254" s="76" t="b">
        <v>0</v>
      </c>
      <c r="R5254" s="14"/>
      <c r="S5254" s="14"/>
      <c r="T5254" s="14"/>
      <c r="U5254" s="14"/>
      <c r="V5254" s="14"/>
      <c r="W5254" s="14"/>
    </row>
    <row r="5255" ht="31.5" customHeight="1">
      <c r="A5255" s="158"/>
      <c r="B5255" s="159"/>
      <c r="C5255" s="160"/>
      <c r="D5255" s="130"/>
      <c r="E5255" s="130"/>
      <c r="F5255" s="161"/>
      <c r="G5255" s="164"/>
      <c r="H5255" s="76" t="b">
        <v>1</v>
      </c>
      <c r="I5255" s="76" t="b">
        <v>0</v>
      </c>
      <c r="J5255" s="76" t="b">
        <v>0</v>
      </c>
      <c r="K5255" s="76" t="b">
        <v>0</v>
      </c>
      <c r="L5255" s="76" t="b">
        <v>0</v>
      </c>
      <c r="M5255" s="76" t="b">
        <v>0</v>
      </c>
      <c r="N5255" s="76" t="b">
        <v>0</v>
      </c>
      <c r="O5255" s="76" t="b">
        <v>0</v>
      </c>
      <c r="P5255" s="76" t="b">
        <v>0</v>
      </c>
      <c r="Q5255" s="76" t="b">
        <v>0</v>
      </c>
      <c r="R5255" s="14"/>
      <c r="S5255" s="14"/>
      <c r="T5255" s="14"/>
      <c r="U5255" s="14"/>
      <c r="V5255" s="14"/>
      <c r="W5255" s="14"/>
    </row>
    <row r="5256" ht="31.5" customHeight="1">
      <c r="A5256" s="158"/>
      <c r="B5256" s="159"/>
      <c r="C5256" s="160"/>
      <c r="D5256" s="130"/>
      <c r="E5256" s="130"/>
      <c r="F5256" s="161"/>
      <c r="G5256" s="164"/>
      <c r="H5256" s="76" t="b">
        <v>1</v>
      </c>
      <c r="I5256" s="76" t="b">
        <v>0</v>
      </c>
      <c r="J5256" s="76" t="b">
        <v>0</v>
      </c>
      <c r="K5256" s="76" t="b">
        <v>0</v>
      </c>
      <c r="L5256" s="76" t="b">
        <v>0</v>
      </c>
      <c r="M5256" s="76" t="b">
        <v>0</v>
      </c>
      <c r="N5256" s="76" t="b">
        <v>0</v>
      </c>
      <c r="O5256" s="76" t="b">
        <v>0</v>
      </c>
      <c r="P5256" s="76" t="b">
        <v>0</v>
      </c>
      <c r="Q5256" s="76" t="b">
        <v>0</v>
      </c>
      <c r="R5256" s="14"/>
      <c r="S5256" s="14"/>
      <c r="T5256" s="14"/>
      <c r="U5256" s="14"/>
      <c r="V5256" s="14"/>
      <c r="W5256" s="14"/>
    </row>
    <row r="5257" ht="31.5" customHeight="1">
      <c r="A5257" s="158"/>
      <c r="B5257" s="159"/>
      <c r="C5257" s="160"/>
      <c r="D5257" s="130"/>
      <c r="E5257" s="130"/>
      <c r="F5257" s="161"/>
      <c r="G5257" s="164"/>
      <c r="H5257" s="76" t="b">
        <v>1</v>
      </c>
      <c r="I5257" s="76" t="b">
        <v>0</v>
      </c>
      <c r="J5257" s="76" t="b">
        <v>0</v>
      </c>
      <c r="K5257" s="76" t="b">
        <v>0</v>
      </c>
      <c r="L5257" s="76" t="b">
        <v>0</v>
      </c>
      <c r="M5257" s="76" t="b">
        <v>0</v>
      </c>
      <c r="N5257" s="76" t="b">
        <v>0</v>
      </c>
      <c r="O5257" s="76" t="b">
        <v>0</v>
      </c>
      <c r="P5257" s="76" t="b">
        <v>0</v>
      </c>
      <c r="Q5257" s="76" t="b">
        <v>0</v>
      </c>
      <c r="R5257" s="14"/>
      <c r="S5257" s="14"/>
      <c r="T5257" s="14"/>
      <c r="U5257" s="14"/>
      <c r="V5257" s="14"/>
      <c r="W5257" s="14"/>
    </row>
    <row r="5258" ht="31.5" customHeight="1">
      <c r="A5258" s="158"/>
      <c r="B5258" s="159"/>
      <c r="C5258" s="160"/>
      <c r="D5258" s="130"/>
      <c r="E5258" s="130"/>
      <c r="F5258" s="161"/>
      <c r="G5258" s="164"/>
      <c r="H5258" s="76" t="b">
        <v>0</v>
      </c>
      <c r="I5258" s="76" t="b">
        <v>0</v>
      </c>
      <c r="J5258" s="76" t="b">
        <v>0</v>
      </c>
      <c r="K5258" s="76" t="b">
        <v>0</v>
      </c>
      <c r="L5258" s="76" t="b">
        <v>0</v>
      </c>
      <c r="M5258" s="76" t="b">
        <v>0</v>
      </c>
      <c r="N5258" s="76" t="b">
        <v>0</v>
      </c>
      <c r="O5258" s="76" t="b">
        <v>0</v>
      </c>
      <c r="P5258" s="76" t="b">
        <v>0</v>
      </c>
      <c r="Q5258" s="76" t="b">
        <v>0</v>
      </c>
      <c r="R5258" s="14"/>
      <c r="S5258" s="14"/>
      <c r="T5258" s="14"/>
      <c r="U5258" s="14"/>
      <c r="V5258" s="14"/>
      <c r="W5258" s="14"/>
    </row>
    <row r="5259" ht="31.5" customHeight="1">
      <c r="A5259" s="158"/>
      <c r="B5259" s="159"/>
      <c r="C5259" s="160"/>
      <c r="D5259" s="130"/>
      <c r="E5259" s="130"/>
      <c r="F5259" s="161"/>
      <c r="G5259" s="164"/>
      <c r="H5259" s="76" t="b">
        <v>0</v>
      </c>
      <c r="I5259" s="76" t="b">
        <v>0</v>
      </c>
      <c r="J5259" s="76" t="b">
        <v>0</v>
      </c>
      <c r="K5259" s="76" t="b">
        <v>0</v>
      </c>
      <c r="L5259" s="76" t="b">
        <v>0</v>
      </c>
      <c r="M5259" s="76" t="b">
        <v>0</v>
      </c>
      <c r="N5259" s="76" t="b">
        <v>0</v>
      </c>
      <c r="O5259" s="76" t="b">
        <v>0</v>
      </c>
      <c r="P5259" s="76" t="b">
        <v>0</v>
      </c>
      <c r="Q5259" s="76" t="b">
        <v>0</v>
      </c>
      <c r="R5259" s="14"/>
      <c r="S5259" s="14"/>
      <c r="T5259" s="14"/>
      <c r="U5259" s="14"/>
      <c r="V5259" s="14"/>
      <c r="W5259" s="14"/>
    </row>
    <row r="5260" ht="31.5" customHeight="1">
      <c r="A5260" s="158"/>
      <c r="B5260" s="159"/>
      <c r="C5260" s="160"/>
      <c r="D5260" s="130"/>
      <c r="E5260" s="130"/>
      <c r="F5260" s="161"/>
      <c r="G5260" s="164"/>
      <c r="H5260" s="76" t="b">
        <v>0</v>
      </c>
      <c r="I5260" s="76" t="b">
        <v>0</v>
      </c>
      <c r="J5260" s="76" t="b">
        <v>0</v>
      </c>
      <c r="K5260" s="76" t="b">
        <v>0</v>
      </c>
      <c r="L5260" s="76" t="b">
        <v>0</v>
      </c>
      <c r="M5260" s="76" t="b">
        <v>0</v>
      </c>
      <c r="N5260" s="76" t="b">
        <v>0</v>
      </c>
      <c r="O5260" s="76" t="b">
        <v>0</v>
      </c>
      <c r="P5260" s="76" t="b">
        <v>0</v>
      </c>
      <c r="Q5260" s="76" t="b">
        <v>0</v>
      </c>
      <c r="R5260" s="14"/>
      <c r="S5260" s="14"/>
      <c r="T5260" s="14"/>
      <c r="U5260" s="14"/>
      <c r="V5260" s="14"/>
      <c r="W5260" s="14"/>
    </row>
    <row r="5261" ht="31.5" customHeight="1">
      <c r="A5261" s="158"/>
      <c r="B5261" s="159"/>
      <c r="C5261" s="160"/>
      <c r="D5261" s="130"/>
      <c r="E5261" s="130"/>
      <c r="F5261" s="161"/>
      <c r="G5261" s="164"/>
      <c r="H5261" s="76" t="b">
        <v>0</v>
      </c>
      <c r="I5261" s="76" t="b">
        <v>0</v>
      </c>
      <c r="J5261" s="76" t="b">
        <v>0</v>
      </c>
      <c r="K5261" s="76" t="b">
        <v>0</v>
      </c>
      <c r="L5261" s="76" t="b">
        <v>0</v>
      </c>
      <c r="M5261" s="76" t="b">
        <v>0</v>
      </c>
      <c r="N5261" s="76" t="b">
        <v>0</v>
      </c>
      <c r="O5261" s="76" t="b">
        <v>0</v>
      </c>
      <c r="P5261" s="76" t="b">
        <v>0</v>
      </c>
      <c r="Q5261" s="76" t="b">
        <v>0</v>
      </c>
      <c r="R5261" s="14"/>
      <c r="S5261" s="14"/>
      <c r="T5261" s="14"/>
      <c r="U5261" s="14"/>
      <c r="V5261" s="14"/>
      <c r="W5261" s="14"/>
    </row>
    <row r="5262" ht="31.5" customHeight="1">
      <c r="A5262" s="158"/>
      <c r="B5262" s="159"/>
      <c r="C5262" s="160"/>
      <c r="D5262" s="130"/>
      <c r="E5262" s="130"/>
      <c r="F5262" s="161"/>
      <c r="G5262" s="164"/>
      <c r="H5262" s="76" t="b">
        <v>0</v>
      </c>
      <c r="I5262" s="76" t="b">
        <v>0</v>
      </c>
      <c r="J5262" s="76" t="b">
        <v>0</v>
      </c>
      <c r="K5262" s="76" t="b">
        <v>0</v>
      </c>
      <c r="L5262" s="76" t="b">
        <v>0</v>
      </c>
      <c r="M5262" s="76" t="b">
        <v>0</v>
      </c>
      <c r="N5262" s="76" t="b">
        <v>0</v>
      </c>
      <c r="O5262" s="76" t="b">
        <v>0</v>
      </c>
      <c r="P5262" s="76" t="b">
        <v>0</v>
      </c>
      <c r="Q5262" s="76" t="b">
        <v>0</v>
      </c>
      <c r="R5262" s="14"/>
      <c r="S5262" s="14"/>
      <c r="T5262" s="14"/>
      <c r="U5262" s="14"/>
      <c r="V5262" s="14"/>
      <c r="W5262" s="14"/>
    </row>
    <row r="5263" ht="31.5" customHeight="1">
      <c r="A5263" s="158"/>
      <c r="B5263" s="159"/>
      <c r="C5263" s="160"/>
      <c r="D5263" s="130"/>
      <c r="E5263" s="130"/>
      <c r="F5263" s="161"/>
      <c r="G5263" s="164"/>
      <c r="H5263" s="76" t="b">
        <v>0</v>
      </c>
      <c r="I5263" s="76" t="b">
        <v>0</v>
      </c>
      <c r="J5263" s="76" t="b">
        <v>0</v>
      </c>
      <c r="K5263" s="76" t="b">
        <v>0</v>
      </c>
      <c r="L5263" s="76" t="b">
        <v>0</v>
      </c>
      <c r="M5263" s="76" t="b">
        <v>0</v>
      </c>
      <c r="N5263" s="76" t="b">
        <v>0</v>
      </c>
      <c r="O5263" s="76" t="b">
        <v>0</v>
      </c>
      <c r="P5263" s="76" t="b">
        <v>0</v>
      </c>
      <c r="Q5263" s="76" t="b">
        <v>0</v>
      </c>
      <c r="R5263" s="14"/>
      <c r="S5263" s="14"/>
      <c r="T5263" s="14"/>
      <c r="U5263" s="14"/>
      <c r="V5263" s="14"/>
      <c r="W5263" s="14"/>
    </row>
    <row r="5264" ht="31.5" customHeight="1">
      <c r="A5264" s="158"/>
      <c r="B5264" s="159"/>
      <c r="C5264" s="160"/>
      <c r="D5264" s="130"/>
      <c r="E5264" s="130"/>
      <c r="F5264" s="161"/>
      <c r="G5264" s="164"/>
      <c r="H5264" s="76" t="b">
        <v>0</v>
      </c>
      <c r="I5264" s="76" t="b">
        <v>0</v>
      </c>
      <c r="J5264" s="76" t="b">
        <v>0</v>
      </c>
      <c r="K5264" s="76" t="b">
        <v>0</v>
      </c>
      <c r="L5264" s="76" t="b">
        <v>0</v>
      </c>
      <c r="M5264" s="76" t="b">
        <v>0</v>
      </c>
      <c r="N5264" s="76" t="b">
        <v>0</v>
      </c>
      <c r="O5264" s="76" t="b">
        <v>0</v>
      </c>
      <c r="P5264" s="76" t="b">
        <v>0</v>
      </c>
      <c r="Q5264" s="76" t="b">
        <v>0</v>
      </c>
      <c r="R5264" s="14"/>
      <c r="S5264" s="14"/>
      <c r="T5264" s="14"/>
      <c r="U5264" s="14"/>
      <c r="V5264" s="14"/>
      <c r="W5264" s="14"/>
    </row>
    <row r="5265" ht="31.5" customHeight="1">
      <c r="A5265" s="158"/>
      <c r="B5265" s="159"/>
      <c r="C5265" s="160"/>
      <c r="D5265" s="130"/>
      <c r="E5265" s="130"/>
      <c r="F5265" s="161"/>
      <c r="G5265" s="164"/>
      <c r="H5265" s="76" t="b">
        <v>0</v>
      </c>
      <c r="I5265" s="76" t="b">
        <v>0</v>
      </c>
      <c r="J5265" s="76" t="b">
        <v>0</v>
      </c>
      <c r="K5265" s="76" t="b">
        <v>0</v>
      </c>
      <c r="L5265" s="76" t="b">
        <v>0</v>
      </c>
      <c r="M5265" s="76" t="b">
        <v>0</v>
      </c>
      <c r="N5265" s="76" t="b">
        <v>0</v>
      </c>
      <c r="O5265" s="76" t="b">
        <v>0</v>
      </c>
      <c r="P5265" s="76" t="b">
        <v>0</v>
      </c>
      <c r="Q5265" s="76" t="b">
        <v>0</v>
      </c>
      <c r="R5265" s="14"/>
      <c r="S5265" s="14"/>
      <c r="T5265" s="14"/>
      <c r="U5265" s="14"/>
      <c r="V5265" s="14"/>
      <c r="W5265" s="14"/>
    </row>
    <row r="5266" ht="31.5" customHeight="1">
      <c r="A5266" s="158"/>
      <c r="B5266" s="159"/>
      <c r="C5266" s="160"/>
      <c r="D5266" s="130"/>
      <c r="E5266" s="130"/>
      <c r="F5266" s="161"/>
      <c r="G5266" s="164"/>
      <c r="H5266" s="76" t="b">
        <v>0</v>
      </c>
      <c r="I5266" s="76" t="b">
        <v>0</v>
      </c>
      <c r="J5266" s="76" t="b">
        <v>0</v>
      </c>
      <c r="K5266" s="76" t="b">
        <v>0</v>
      </c>
      <c r="L5266" s="76" t="b">
        <v>0</v>
      </c>
      <c r="M5266" s="76" t="b">
        <v>0</v>
      </c>
      <c r="N5266" s="76" t="b">
        <v>0</v>
      </c>
      <c r="O5266" s="76" t="b">
        <v>0</v>
      </c>
      <c r="P5266" s="76" t="b">
        <v>0</v>
      </c>
      <c r="Q5266" s="76" t="b">
        <v>0</v>
      </c>
      <c r="R5266" s="14"/>
      <c r="S5266" s="14"/>
      <c r="T5266" s="14"/>
      <c r="U5266" s="14"/>
      <c r="V5266" s="14"/>
      <c r="W5266" s="14"/>
    </row>
    <row r="5267" ht="31.5" customHeight="1">
      <c r="A5267" s="158"/>
      <c r="B5267" s="159"/>
      <c r="C5267" s="160"/>
      <c r="D5267" s="130"/>
      <c r="E5267" s="130"/>
      <c r="F5267" s="161"/>
      <c r="G5267" s="164"/>
      <c r="H5267" s="76" t="b">
        <v>0</v>
      </c>
      <c r="I5267" s="76" t="b">
        <v>0</v>
      </c>
      <c r="J5267" s="76" t="b">
        <v>0</v>
      </c>
      <c r="K5267" s="76" t="b">
        <v>0</v>
      </c>
      <c r="L5267" s="76" t="b">
        <v>0</v>
      </c>
      <c r="M5267" s="76" t="b">
        <v>0</v>
      </c>
      <c r="N5267" s="76" t="b">
        <v>0</v>
      </c>
      <c r="O5267" s="76" t="b">
        <v>0</v>
      </c>
      <c r="P5267" s="76" t="b">
        <v>0</v>
      </c>
      <c r="Q5267" s="76" t="b">
        <v>0</v>
      </c>
      <c r="R5267" s="14"/>
      <c r="S5267" s="14"/>
      <c r="T5267" s="14"/>
      <c r="U5267" s="14"/>
      <c r="V5267" s="14"/>
      <c r="W5267" s="14"/>
    </row>
    <row r="5268" ht="31.5" customHeight="1">
      <c r="A5268" s="158"/>
      <c r="B5268" s="159"/>
      <c r="C5268" s="160"/>
      <c r="D5268" s="130"/>
      <c r="E5268" s="130"/>
      <c r="F5268" s="161"/>
      <c r="G5268" s="164"/>
      <c r="H5268" s="76" t="b">
        <v>0</v>
      </c>
      <c r="I5268" s="76" t="b">
        <v>0</v>
      </c>
      <c r="J5268" s="76" t="b">
        <v>0</v>
      </c>
      <c r="K5268" s="76" t="b">
        <v>0</v>
      </c>
      <c r="L5268" s="76" t="b">
        <v>0</v>
      </c>
      <c r="M5268" s="76" t="b">
        <v>0</v>
      </c>
      <c r="N5268" s="76" t="b">
        <v>0</v>
      </c>
      <c r="O5268" s="76" t="b">
        <v>0</v>
      </c>
      <c r="P5268" s="76" t="b">
        <v>0</v>
      </c>
      <c r="Q5268" s="76" t="b">
        <v>0</v>
      </c>
      <c r="R5268" s="14"/>
      <c r="S5268" s="14"/>
      <c r="T5268" s="14"/>
      <c r="U5268" s="14"/>
      <c r="V5268" s="14"/>
      <c r="W5268" s="14"/>
    </row>
    <row r="5269" ht="31.5" customHeight="1">
      <c r="A5269" s="158"/>
      <c r="B5269" s="159"/>
      <c r="C5269" s="160"/>
      <c r="D5269" s="130"/>
      <c r="E5269" s="130"/>
      <c r="F5269" s="161"/>
      <c r="G5269" s="164"/>
      <c r="H5269" s="76" t="b">
        <v>0</v>
      </c>
      <c r="I5269" s="76" t="b">
        <v>0</v>
      </c>
      <c r="J5269" s="76" t="b">
        <v>0</v>
      </c>
      <c r="K5269" s="76" t="b">
        <v>0</v>
      </c>
      <c r="L5269" s="76" t="b">
        <v>0</v>
      </c>
      <c r="M5269" s="76" t="b">
        <v>0</v>
      </c>
      <c r="N5269" s="76" t="b">
        <v>0</v>
      </c>
      <c r="O5269" s="76" t="b">
        <v>0</v>
      </c>
      <c r="P5269" s="76" t="b">
        <v>0</v>
      </c>
      <c r="Q5269" s="76" t="b">
        <v>0</v>
      </c>
      <c r="R5269" s="14"/>
      <c r="S5269" s="14"/>
      <c r="T5269" s="14"/>
      <c r="U5269" s="14"/>
      <c r="V5269" s="14"/>
      <c r="W5269" s="14"/>
    </row>
    <row r="5270" ht="31.5" customHeight="1">
      <c r="A5270" s="158"/>
      <c r="B5270" s="159"/>
      <c r="C5270" s="160"/>
      <c r="D5270" s="130"/>
      <c r="E5270" s="130"/>
      <c r="F5270" s="161"/>
      <c r="G5270" s="164"/>
      <c r="H5270" s="76" t="b">
        <v>0</v>
      </c>
      <c r="I5270" s="76" t="b">
        <v>0</v>
      </c>
      <c r="J5270" s="76" t="b">
        <v>0</v>
      </c>
      <c r="K5270" s="76" t="b">
        <v>0</v>
      </c>
      <c r="L5270" s="76" t="b">
        <v>0</v>
      </c>
      <c r="M5270" s="76" t="b">
        <v>0</v>
      </c>
      <c r="N5270" s="76" t="b">
        <v>0</v>
      </c>
      <c r="O5270" s="76" t="b">
        <v>0</v>
      </c>
      <c r="P5270" s="76" t="b">
        <v>0</v>
      </c>
      <c r="Q5270" s="76" t="b">
        <v>0</v>
      </c>
      <c r="R5270" s="14"/>
      <c r="S5270" s="14"/>
      <c r="T5270" s="14"/>
      <c r="U5270" s="14"/>
      <c r="V5270" s="14"/>
      <c r="W5270" s="14"/>
    </row>
    <row r="5271" ht="31.5" customHeight="1">
      <c r="A5271" s="158"/>
      <c r="B5271" s="159"/>
      <c r="C5271" s="160"/>
      <c r="D5271" s="130"/>
      <c r="E5271" s="130"/>
      <c r="F5271" s="161"/>
      <c r="G5271" s="164"/>
      <c r="H5271" s="76" t="b">
        <v>0</v>
      </c>
      <c r="I5271" s="76" t="b">
        <v>0</v>
      </c>
      <c r="J5271" s="76" t="b">
        <v>0</v>
      </c>
      <c r="K5271" s="76" t="b">
        <v>0</v>
      </c>
      <c r="L5271" s="76" t="b">
        <v>0</v>
      </c>
      <c r="M5271" s="76" t="b">
        <v>0</v>
      </c>
      <c r="N5271" s="76" t="b">
        <v>0</v>
      </c>
      <c r="O5271" s="76" t="b">
        <v>0</v>
      </c>
      <c r="P5271" s="76" t="b">
        <v>0</v>
      </c>
      <c r="Q5271" s="76" t="b">
        <v>0</v>
      </c>
      <c r="R5271" s="14"/>
      <c r="S5271" s="14"/>
      <c r="T5271" s="14"/>
      <c r="U5271" s="14"/>
      <c r="V5271" s="14"/>
      <c r="W5271" s="14"/>
    </row>
    <row r="5272" ht="31.5" customHeight="1">
      <c r="A5272" s="158"/>
      <c r="B5272" s="159"/>
      <c r="C5272" s="160"/>
      <c r="D5272" s="130"/>
      <c r="E5272" s="130"/>
      <c r="F5272" s="161"/>
      <c r="G5272" s="164"/>
      <c r="H5272" s="76" t="b">
        <v>0</v>
      </c>
      <c r="I5272" s="76" t="b">
        <v>0</v>
      </c>
      <c r="J5272" s="76" t="b">
        <v>0</v>
      </c>
      <c r="K5272" s="76" t="b">
        <v>0</v>
      </c>
      <c r="L5272" s="76" t="b">
        <v>0</v>
      </c>
      <c r="M5272" s="76" t="b">
        <v>0</v>
      </c>
      <c r="N5272" s="76" t="b">
        <v>0</v>
      </c>
      <c r="O5272" s="76" t="b">
        <v>0</v>
      </c>
      <c r="P5272" s="76" t="b">
        <v>0</v>
      </c>
      <c r="Q5272" s="76" t="b">
        <v>0</v>
      </c>
      <c r="R5272" s="14"/>
      <c r="S5272" s="14"/>
      <c r="T5272" s="14"/>
      <c r="U5272" s="14"/>
      <c r="V5272" s="14"/>
      <c r="W5272" s="14"/>
    </row>
    <row r="5273" ht="31.5" customHeight="1">
      <c r="A5273" s="158"/>
      <c r="B5273" s="159"/>
      <c r="C5273" s="160"/>
      <c r="D5273" s="130"/>
      <c r="E5273" s="130"/>
      <c r="F5273" s="161"/>
      <c r="G5273" s="164"/>
      <c r="H5273" s="76" t="b">
        <v>0</v>
      </c>
      <c r="I5273" s="76" t="b">
        <v>0</v>
      </c>
      <c r="J5273" s="76" t="b">
        <v>0</v>
      </c>
      <c r="K5273" s="76" t="b">
        <v>0</v>
      </c>
      <c r="L5273" s="76" t="b">
        <v>0</v>
      </c>
      <c r="M5273" s="76" t="b">
        <v>0</v>
      </c>
      <c r="N5273" s="76" t="b">
        <v>0</v>
      </c>
      <c r="O5273" s="76" t="b">
        <v>0</v>
      </c>
      <c r="P5273" s="76" t="b">
        <v>0</v>
      </c>
      <c r="Q5273" s="76" t="b">
        <v>0</v>
      </c>
      <c r="R5273" s="14"/>
      <c r="S5273" s="14"/>
      <c r="T5273" s="14"/>
      <c r="U5273" s="14"/>
      <c r="V5273" s="14"/>
      <c r="W5273" s="14"/>
    </row>
    <row r="5274" ht="31.5" customHeight="1">
      <c r="A5274" s="158"/>
      <c r="B5274" s="159"/>
      <c r="C5274" s="160"/>
      <c r="D5274" s="130"/>
      <c r="E5274" s="130"/>
      <c r="F5274" s="161"/>
      <c r="G5274" s="164"/>
      <c r="H5274" s="76" t="b">
        <v>0</v>
      </c>
      <c r="I5274" s="76" t="b">
        <v>0</v>
      </c>
      <c r="J5274" s="76" t="b">
        <v>0</v>
      </c>
      <c r="K5274" s="76" t="b">
        <v>0</v>
      </c>
      <c r="L5274" s="76" t="b">
        <v>0</v>
      </c>
      <c r="M5274" s="76" t="b">
        <v>0</v>
      </c>
      <c r="N5274" s="76" t="b">
        <v>0</v>
      </c>
      <c r="O5274" s="76" t="b">
        <v>0</v>
      </c>
      <c r="P5274" s="76" t="b">
        <v>0</v>
      </c>
      <c r="Q5274" s="76" t="b">
        <v>0</v>
      </c>
      <c r="R5274" s="14"/>
      <c r="S5274" s="14"/>
      <c r="T5274" s="14"/>
      <c r="U5274" s="14"/>
      <c r="V5274" s="14"/>
      <c r="W5274" s="14"/>
    </row>
    <row r="5275" ht="31.5" customHeight="1">
      <c r="A5275" s="158"/>
      <c r="B5275" s="159"/>
      <c r="C5275" s="160"/>
      <c r="D5275" s="130"/>
      <c r="E5275" s="130"/>
      <c r="F5275" s="161"/>
      <c r="G5275" s="164"/>
      <c r="H5275" s="76" t="b">
        <v>0</v>
      </c>
      <c r="I5275" s="76" t="b">
        <v>0</v>
      </c>
      <c r="J5275" s="76" t="b">
        <v>0</v>
      </c>
      <c r="K5275" s="76" t="b">
        <v>0</v>
      </c>
      <c r="L5275" s="76" t="b">
        <v>0</v>
      </c>
      <c r="M5275" s="76" t="b">
        <v>0</v>
      </c>
      <c r="N5275" s="76" t="b">
        <v>0</v>
      </c>
      <c r="O5275" s="76" t="b">
        <v>0</v>
      </c>
      <c r="P5275" s="76" t="b">
        <v>0</v>
      </c>
      <c r="Q5275" s="76" t="b">
        <v>0</v>
      </c>
      <c r="R5275" s="14"/>
      <c r="S5275" s="14"/>
      <c r="T5275" s="14"/>
      <c r="U5275" s="14"/>
      <c r="V5275" s="14"/>
      <c r="W5275" s="14"/>
    </row>
    <row r="5276" ht="31.5" customHeight="1">
      <c r="A5276" s="158"/>
      <c r="B5276" s="159"/>
      <c r="C5276" s="160"/>
      <c r="D5276" s="130"/>
      <c r="E5276" s="130"/>
      <c r="F5276" s="161"/>
      <c r="G5276" s="164"/>
      <c r="H5276" s="76" t="b">
        <v>0</v>
      </c>
      <c r="I5276" s="76" t="b">
        <v>0</v>
      </c>
      <c r="J5276" s="76" t="b">
        <v>0</v>
      </c>
      <c r="K5276" s="76" t="b">
        <v>0</v>
      </c>
      <c r="L5276" s="76" t="b">
        <v>0</v>
      </c>
      <c r="M5276" s="76" t="b">
        <v>0</v>
      </c>
      <c r="N5276" s="76" t="b">
        <v>0</v>
      </c>
      <c r="O5276" s="76" t="b">
        <v>0</v>
      </c>
      <c r="P5276" s="76" t="b">
        <v>0</v>
      </c>
      <c r="Q5276" s="76" t="b">
        <v>0</v>
      </c>
      <c r="R5276" s="14"/>
      <c r="S5276" s="14"/>
      <c r="T5276" s="14"/>
      <c r="U5276" s="14"/>
      <c r="V5276" s="14"/>
      <c r="W5276" s="14"/>
    </row>
    <row r="5277" ht="31.5" customHeight="1">
      <c r="A5277" s="158"/>
      <c r="B5277" s="159"/>
      <c r="C5277" s="160"/>
      <c r="D5277" s="130"/>
      <c r="E5277" s="130"/>
      <c r="F5277" s="161"/>
      <c r="G5277" s="164"/>
      <c r="H5277" s="76" t="b">
        <v>0</v>
      </c>
      <c r="I5277" s="76" t="b">
        <v>0</v>
      </c>
      <c r="J5277" s="76" t="b">
        <v>0</v>
      </c>
      <c r="K5277" s="76" t="b">
        <v>0</v>
      </c>
      <c r="L5277" s="76" t="b">
        <v>0</v>
      </c>
      <c r="M5277" s="76" t="b">
        <v>0</v>
      </c>
      <c r="N5277" s="76" t="b">
        <v>0</v>
      </c>
      <c r="O5277" s="76" t="b">
        <v>0</v>
      </c>
      <c r="P5277" s="76" t="b">
        <v>0</v>
      </c>
      <c r="Q5277" s="76" t="b">
        <v>0</v>
      </c>
      <c r="R5277" s="14"/>
      <c r="S5277" s="14"/>
      <c r="T5277" s="14"/>
      <c r="U5277" s="14"/>
      <c r="V5277" s="14"/>
      <c r="W5277" s="14"/>
    </row>
    <row r="5278" ht="31.5" customHeight="1">
      <c r="A5278" s="158"/>
      <c r="B5278" s="159"/>
      <c r="C5278" s="160"/>
      <c r="D5278" s="130"/>
      <c r="E5278" s="130"/>
      <c r="F5278" s="161"/>
      <c r="G5278" s="164"/>
      <c r="H5278" s="76" t="b">
        <v>0</v>
      </c>
      <c r="I5278" s="76" t="b">
        <v>0</v>
      </c>
      <c r="J5278" s="76" t="b">
        <v>0</v>
      </c>
      <c r="K5278" s="76" t="b">
        <v>0</v>
      </c>
      <c r="L5278" s="76" t="b">
        <v>0</v>
      </c>
      <c r="M5278" s="76" t="b">
        <v>0</v>
      </c>
      <c r="N5278" s="76" t="b">
        <v>0</v>
      </c>
      <c r="O5278" s="76" t="b">
        <v>0</v>
      </c>
      <c r="P5278" s="76" t="b">
        <v>0</v>
      </c>
      <c r="Q5278" s="76" t="b">
        <v>0</v>
      </c>
      <c r="R5278" s="14"/>
      <c r="S5278" s="14"/>
      <c r="T5278" s="14"/>
      <c r="U5278" s="14"/>
      <c r="V5278" s="14"/>
      <c r="W5278" s="14"/>
    </row>
    <row r="5279" ht="31.5" customHeight="1">
      <c r="A5279" s="158"/>
      <c r="B5279" s="159"/>
      <c r="C5279" s="160"/>
      <c r="D5279" s="130"/>
      <c r="E5279" s="130"/>
      <c r="F5279" s="161"/>
      <c r="G5279" s="164"/>
      <c r="H5279" s="76" t="b">
        <v>0</v>
      </c>
      <c r="I5279" s="76" t="b">
        <v>0</v>
      </c>
      <c r="J5279" s="76" t="b">
        <v>0</v>
      </c>
      <c r="K5279" s="76" t="b">
        <v>0</v>
      </c>
      <c r="L5279" s="76" t="b">
        <v>0</v>
      </c>
      <c r="M5279" s="76" t="b">
        <v>0</v>
      </c>
      <c r="N5279" s="76" t="b">
        <v>0</v>
      </c>
      <c r="O5279" s="76" t="b">
        <v>0</v>
      </c>
      <c r="P5279" s="76" t="b">
        <v>0</v>
      </c>
      <c r="Q5279" s="76" t="b">
        <v>0</v>
      </c>
      <c r="R5279" s="14"/>
      <c r="S5279" s="14"/>
      <c r="T5279" s="14"/>
      <c r="U5279" s="14"/>
      <c r="V5279" s="14"/>
      <c r="W5279" s="14"/>
    </row>
    <row r="5280" ht="31.5" customHeight="1">
      <c r="A5280" s="158"/>
      <c r="B5280" s="159"/>
      <c r="C5280" s="160"/>
      <c r="D5280" s="130"/>
      <c r="E5280" s="130"/>
      <c r="F5280" s="161"/>
      <c r="G5280" s="164"/>
      <c r="H5280" s="76" t="b">
        <v>0</v>
      </c>
      <c r="I5280" s="76" t="b">
        <v>0</v>
      </c>
      <c r="J5280" s="76" t="b">
        <v>0</v>
      </c>
      <c r="K5280" s="76" t="b">
        <v>0</v>
      </c>
      <c r="L5280" s="76" t="b">
        <v>0</v>
      </c>
      <c r="M5280" s="76" t="b">
        <v>0</v>
      </c>
      <c r="N5280" s="76" t="b">
        <v>0</v>
      </c>
      <c r="O5280" s="76" t="b">
        <v>0</v>
      </c>
      <c r="P5280" s="76" t="b">
        <v>0</v>
      </c>
      <c r="Q5280" s="76" t="b">
        <v>0</v>
      </c>
      <c r="R5280" s="14"/>
      <c r="S5280" s="14"/>
      <c r="T5280" s="14"/>
      <c r="U5280" s="14"/>
      <c r="V5280" s="14"/>
      <c r="W5280" s="14"/>
    </row>
    <row r="5281" ht="31.5" customHeight="1">
      <c r="A5281" s="158"/>
      <c r="B5281" s="159"/>
      <c r="C5281" s="160"/>
      <c r="D5281" s="130"/>
      <c r="E5281" s="130"/>
      <c r="F5281" s="161"/>
      <c r="G5281" s="164"/>
      <c r="H5281" s="76" t="b">
        <v>0</v>
      </c>
      <c r="I5281" s="76" t="b">
        <v>0</v>
      </c>
      <c r="J5281" s="76" t="b">
        <v>0</v>
      </c>
      <c r="K5281" s="76" t="b">
        <v>0</v>
      </c>
      <c r="L5281" s="76" t="b">
        <v>0</v>
      </c>
      <c r="M5281" s="76" t="b">
        <v>0</v>
      </c>
      <c r="N5281" s="76" t="b">
        <v>0</v>
      </c>
      <c r="O5281" s="76" t="b">
        <v>0</v>
      </c>
      <c r="P5281" s="76" t="b">
        <v>0</v>
      </c>
      <c r="Q5281" s="76" t="b">
        <v>0</v>
      </c>
      <c r="R5281" s="14"/>
      <c r="S5281" s="14"/>
      <c r="T5281" s="14"/>
      <c r="U5281" s="14"/>
      <c r="V5281" s="14"/>
      <c r="W5281" s="14"/>
    </row>
    <row r="5282" ht="31.5" customHeight="1">
      <c r="A5282" s="158"/>
      <c r="B5282" s="159"/>
      <c r="C5282" s="160"/>
      <c r="D5282" s="130"/>
      <c r="E5282" s="130"/>
      <c r="F5282" s="161"/>
      <c r="G5282" s="164"/>
      <c r="H5282" s="76" t="b">
        <v>0</v>
      </c>
      <c r="I5282" s="76" t="b">
        <v>0</v>
      </c>
      <c r="J5282" s="76" t="b">
        <v>0</v>
      </c>
      <c r="K5282" s="76" t="b">
        <v>0</v>
      </c>
      <c r="L5282" s="76" t="b">
        <v>0</v>
      </c>
      <c r="M5282" s="76" t="b">
        <v>0</v>
      </c>
      <c r="N5282" s="76" t="b">
        <v>0</v>
      </c>
      <c r="O5282" s="76" t="b">
        <v>0</v>
      </c>
      <c r="P5282" s="76" t="b">
        <v>0</v>
      </c>
      <c r="Q5282" s="76" t="b">
        <v>0</v>
      </c>
      <c r="R5282" s="14"/>
      <c r="S5282" s="14"/>
      <c r="T5282" s="14"/>
      <c r="U5282" s="14"/>
      <c r="V5282" s="14"/>
      <c r="W5282" s="14"/>
    </row>
    <row r="5283" ht="31.5" customHeight="1">
      <c r="A5283" s="158"/>
      <c r="B5283" s="159"/>
      <c r="C5283" s="160"/>
      <c r="D5283" s="130"/>
      <c r="E5283" s="130"/>
      <c r="F5283" s="161"/>
      <c r="G5283" s="164"/>
      <c r="H5283" s="76" t="b">
        <v>0</v>
      </c>
      <c r="I5283" s="76" t="b">
        <v>0</v>
      </c>
      <c r="J5283" s="76" t="b">
        <v>0</v>
      </c>
      <c r="K5283" s="76" t="b">
        <v>0</v>
      </c>
      <c r="L5283" s="76" t="b">
        <v>0</v>
      </c>
      <c r="M5283" s="76" t="b">
        <v>0</v>
      </c>
      <c r="N5283" s="76" t="b">
        <v>0</v>
      </c>
      <c r="O5283" s="76" t="b">
        <v>0</v>
      </c>
      <c r="P5283" s="76" t="b">
        <v>0</v>
      </c>
      <c r="Q5283" s="76" t="b">
        <v>0</v>
      </c>
      <c r="R5283" s="14"/>
      <c r="S5283" s="14"/>
      <c r="T5283" s="14"/>
      <c r="U5283" s="14"/>
      <c r="V5283" s="14"/>
      <c r="W5283" s="14"/>
    </row>
    <row r="5284" ht="31.5" customHeight="1">
      <c r="A5284" s="158"/>
      <c r="B5284" s="159"/>
      <c r="C5284" s="160"/>
      <c r="D5284" s="130"/>
      <c r="E5284" s="130"/>
      <c r="F5284" s="161"/>
      <c r="G5284" s="164"/>
      <c r="H5284" s="76" t="b">
        <v>0</v>
      </c>
      <c r="I5284" s="76" t="b">
        <v>0</v>
      </c>
      <c r="J5284" s="76" t="b">
        <v>0</v>
      </c>
      <c r="K5284" s="76" t="b">
        <v>0</v>
      </c>
      <c r="L5284" s="76" t="b">
        <v>0</v>
      </c>
      <c r="M5284" s="76" t="b">
        <v>0</v>
      </c>
      <c r="N5284" s="76" t="b">
        <v>0</v>
      </c>
      <c r="O5284" s="76" t="b">
        <v>0</v>
      </c>
      <c r="P5284" s="76" t="b">
        <v>0</v>
      </c>
      <c r="Q5284" s="76" t="b">
        <v>0</v>
      </c>
      <c r="R5284" s="14"/>
      <c r="S5284" s="14"/>
      <c r="T5284" s="14"/>
      <c r="U5284" s="14"/>
      <c r="V5284" s="14"/>
      <c r="W5284" s="14"/>
    </row>
    <row r="5285" ht="31.5" customHeight="1">
      <c r="A5285" s="158"/>
      <c r="B5285" s="159"/>
      <c r="C5285" s="160"/>
      <c r="D5285" s="130"/>
      <c r="E5285" s="130"/>
      <c r="F5285" s="161"/>
      <c r="G5285" s="164"/>
      <c r="H5285" s="76" t="b">
        <v>0</v>
      </c>
      <c r="I5285" s="76" t="b">
        <v>0</v>
      </c>
      <c r="J5285" s="76" t="b">
        <v>0</v>
      </c>
      <c r="K5285" s="76" t="b">
        <v>0</v>
      </c>
      <c r="L5285" s="76" t="b">
        <v>0</v>
      </c>
      <c r="M5285" s="76" t="b">
        <v>0</v>
      </c>
      <c r="N5285" s="76" t="b">
        <v>0</v>
      </c>
      <c r="O5285" s="76" t="b">
        <v>0</v>
      </c>
      <c r="P5285" s="76" t="b">
        <v>0</v>
      </c>
      <c r="Q5285" s="76" t="b">
        <v>0</v>
      </c>
      <c r="R5285" s="14"/>
      <c r="S5285" s="14"/>
      <c r="T5285" s="14"/>
      <c r="U5285" s="14"/>
      <c r="V5285" s="14"/>
      <c r="W5285" s="14"/>
    </row>
    <row r="5286" ht="31.5" customHeight="1">
      <c r="A5286" s="158"/>
      <c r="B5286" s="159"/>
      <c r="C5286" s="160"/>
      <c r="D5286" s="130"/>
      <c r="E5286" s="130"/>
      <c r="F5286" s="161"/>
      <c r="G5286" s="164"/>
      <c r="H5286" s="76" t="b">
        <v>0</v>
      </c>
      <c r="I5286" s="76" t="b">
        <v>0</v>
      </c>
      <c r="J5286" s="76" t="b">
        <v>0</v>
      </c>
      <c r="K5286" s="76" t="b">
        <v>0</v>
      </c>
      <c r="L5286" s="76" t="b">
        <v>0</v>
      </c>
      <c r="M5286" s="76" t="b">
        <v>0</v>
      </c>
      <c r="N5286" s="76" t="b">
        <v>0</v>
      </c>
      <c r="O5286" s="76" t="b">
        <v>0</v>
      </c>
      <c r="P5286" s="76" t="b">
        <v>0</v>
      </c>
      <c r="Q5286" s="76" t="b">
        <v>0</v>
      </c>
      <c r="R5286" s="14"/>
      <c r="S5286" s="14"/>
      <c r="T5286" s="14"/>
      <c r="U5286" s="14"/>
      <c r="V5286" s="14"/>
      <c r="W5286" s="14"/>
    </row>
    <row r="5287" ht="31.5" customHeight="1">
      <c r="A5287" s="158"/>
      <c r="B5287" s="159"/>
      <c r="C5287" s="160"/>
      <c r="D5287" s="130"/>
      <c r="E5287" s="130"/>
      <c r="F5287" s="161"/>
      <c r="G5287" s="164"/>
      <c r="H5287" s="76" t="b">
        <v>0</v>
      </c>
      <c r="I5287" s="76" t="b">
        <v>0</v>
      </c>
      <c r="J5287" s="76" t="b">
        <v>0</v>
      </c>
      <c r="K5287" s="76" t="b">
        <v>0</v>
      </c>
      <c r="L5287" s="76" t="b">
        <v>0</v>
      </c>
      <c r="M5287" s="76" t="b">
        <v>0</v>
      </c>
      <c r="N5287" s="76" t="b">
        <v>0</v>
      </c>
      <c r="O5287" s="76" t="b">
        <v>0</v>
      </c>
      <c r="P5287" s="76" t="b">
        <v>0</v>
      </c>
      <c r="Q5287" s="76" t="b">
        <v>0</v>
      </c>
      <c r="R5287" s="14"/>
      <c r="S5287" s="14"/>
      <c r="T5287" s="14"/>
      <c r="U5287" s="14"/>
      <c r="V5287" s="14"/>
      <c r="W5287" s="14"/>
    </row>
    <row r="5288" ht="31.5" customHeight="1">
      <c r="A5288" s="158"/>
      <c r="B5288" s="159"/>
      <c r="C5288" s="160"/>
      <c r="D5288" s="130"/>
      <c r="E5288" s="130"/>
      <c r="F5288" s="161"/>
      <c r="G5288" s="164"/>
      <c r="H5288" s="76" t="b">
        <v>0</v>
      </c>
      <c r="I5288" s="76" t="b">
        <v>0</v>
      </c>
      <c r="J5288" s="76" t="b">
        <v>0</v>
      </c>
      <c r="K5288" s="76" t="b">
        <v>0</v>
      </c>
      <c r="L5288" s="76" t="b">
        <v>0</v>
      </c>
      <c r="M5288" s="76" t="b">
        <v>0</v>
      </c>
      <c r="N5288" s="76" t="b">
        <v>0</v>
      </c>
      <c r="O5288" s="76" t="b">
        <v>0</v>
      </c>
      <c r="P5288" s="76" t="b">
        <v>0</v>
      </c>
      <c r="Q5288" s="76" t="b">
        <v>0</v>
      </c>
      <c r="R5288" s="14"/>
      <c r="S5288" s="14"/>
      <c r="T5288" s="14"/>
      <c r="U5288" s="14"/>
      <c r="V5288" s="14"/>
      <c r="W5288" s="14"/>
    </row>
    <row r="5289" ht="31.5" customHeight="1">
      <c r="A5289" s="158"/>
      <c r="B5289" s="159"/>
      <c r="C5289" s="160"/>
      <c r="D5289" s="130"/>
      <c r="E5289" s="130"/>
      <c r="F5289" s="161"/>
      <c r="G5289" s="164"/>
      <c r="H5289" s="76" t="b">
        <v>0</v>
      </c>
      <c r="I5289" s="76" t="b">
        <v>0</v>
      </c>
      <c r="J5289" s="76" t="b">
        <v>0</v>
      </c>
      <c r="K5289" s="76" t="b">
        <v>0</v>
      </c>
      <c r="L5289" s="76" t="b">
        <v>0</v>
      </c>
      <c r="M5289" s="76" t="b">
        <v>0</v>
      </c>
      <c r="N5289" s="76" t="b">
        <v>0</v>
      </c>
      <c r="O5289" s="76" t="b">
        <v>0</v>
      </c>
      <c r="P5289" s="76" t="b">
        <v>0</v>
      </c>
      <c r="Q5289" s="76" t="b">
        <v>0</v>
      </c>
      <c r="R5289" s="14"/>
      <c r="S5289" s="14"/>
      <c r="T5289" s="14"/>
      <c r="U5289" s="14"/>
      <c r="V5289" s="14"/>
      <c r="W5289" s="14"/>
    </row>
    <row r="5290" ht="31.5" customHeight="1">
      <c r="A5290" s="158"/>
      <c r="B5290" s="159"/>
      <c r="C5290" s="160"/>
      <c r="D5290" s="130"/>
      <c r="E5290" s="130"/>
      <c r="F5290" s="161"/>
      <c r="G5290" s="164"/>
      <c r="H5290" s="76" t="b">
        <v>0</v>
      </c>
      <c r="I5290" s="76" t="b">
        <v>0</v>
      </c>
      <c r="J5290" s="76" t="b">
        <v>0</v>
      </c>
      <c r="K5290" s="76" t="b">
        <v>0</v>
      </c>
      <c r="L5290" s="76" t="b">
        <v>0</v>
      </c>
      <c r="M5290" s="76" t="b">
        <v>0</v>
      </c>
      <c r="N5290" s="76" t="b">
        <v>0</v>
      </c>
      <c r="O5290" s="76" t="b">
        <v>0</v>
      </c>
      <c r="P5290" s="76" t="b">
        <v>0</v>
      </c>
      <c r="Q5290" s="76" t="b">
        <v>0</v>
      </c>
      <c r="R5290" s="14"/>
      <c r="S5290" s="14"/>
      <c r="T5290" s="14"/>
      <c r="U5290" s="14"/>
      <c r="V5290" s="14"/>
      <c r="W5290" s="14"/>
    </row>
    <row r="5291" ht="31.5" customHeight="1">
      <c r="A5291" s="158"/>
      <c r="B5291" s="159"/>
      <c r="C5291" s="160"/>
      <c r="D5291" s="130"/>
      <c r="E5291" s="130"/>
      <c r="F5291" s="161"/>
      <c r="G5291" s="164"/>
      <c r="H5291" s="76" t="b">
        <v>0</v>
      </c>
      <c r="I5291" s="76" t="b">
        <v>0</v>
      </c>
      <c r="J5291" s="76" t="b">
        <v>0</v>
      </c>
      <c r="K5291" s="76" t="b">
        <v>0</v>
      </c>
      <c r="L5291" s="76" t="b">
        <v>0</v>
      </c>
      <c r="M5291" s="76" t="b">
        <v>0</v>
      </c>
      <c r="N5291" s="76" t="b">
        <v>0</v>
      </c>
      <c r="O5291" s="76" t="b">
        <v>0</v>
      </c>
      <c r="P5291" s="76" t="b">
        <v>0</v>
      </c>
      <c r="Q5291" s="76" t="b">
        <v>0</v>
      </c>
      <c r="R5291" s="14"/>
      <c r="S5291" s="14"/>
      <c r="T5291" s="14"/>
      <c r="U5291" s="14"/>
      <c r="V5291" s="14"/>
      <c r="W5291" s="14"/>
    </row>
    <row r="5292" ht="31.5" customHeight="1">
      <c r="A5292" s="158"/>
      <c r="B5292" s="159"/>
      <c r="C5292" s="160"/>
      <c r="D5292" s="130"/>
      <c r="E5292" s="130"/>
      <c r="F5292" s="161"/>
      <c r="G5292" s="164"/>
      <c r="H5292" s="76" t="b">
        <v>0</v>
      </c>
      <c r="I5292" s="76" t="b">
        <v>0</v>
      </c>
      <c r="J5292" s="76" t="b">
        <v>0</v>
      </c>
      <c r="K5292" s="76" t="b">
        <v>0</v>
      </c>
      <c r="L5292" s="76" t="b">
        <v>0</v>
      </c>
      <c r="M5292" s="76" t="b">
        <v>0</v>
      </c>
      <c r="N5292" s="76" t="b">
        <v>0</v>
      </c>
      <c r="O5292" s="76" t="b">
        <v>0</v>
      </c>
      <c r="P5292" s="76" t="b">
        <v>0</v>
      </c>
      <c r="Q5292" s="76" t="b">
        <v>0</v>
      </c>
      <c r="R5292" s="14"/>
      <c r="S5292" s="14"/>
      <c r="T5292" s="14"/>
      <c r="U5292" s="14"/>
      <c r="V5292" s="14"/>
      <c r="W5292" s="14"/>
    </row>
    <row r="5293" ht="31.5" customHeight="1">
      <c r="A5293" s="158"/>
      <c r="B5293" s="159"/>
      <c r="C5293" s="160"/>
      <c r="D5293" s="130"/>
      <c r="E5293" s="130"/>
      <c r="F5293" s="161"/>
      <c r="G5293" s="164"/>
      <c r="H5293" s="76" t="b">
        <v>0</v>
      </c>
      <c r="I5293" s="76" t="b">
        <v>0</v>
      </c>
      <c r="J5293" s="76" t="b">
        <v>0</v>
      </c>
      <c r="K5293" s="76" t="b">
        <v>0</v>
      </c>
      <c r="L5293" s="76" t="b">
        <v>0</v>
      </c>
      <c r="M5293" s="76" t="b">
        <v>0</v>
      </c>
      <c r="N5293" s="76" t="b">
        <v>0</v>
      </c>
      <c r="O5293" s="76" t="b">
        <v>0</v>
      </c>
      <c r="P5293" s="76" t="b">
        <v>0</v>
      </c>
      <c r="Q5293" s="76" t="b">
        <v>0</v>
      </c>
      <c r="R5293" s="14"/>
      <c r="S5293" s="14"/>
      <c r="T5293" s="14"/>
      <c r="U5293" s="14"/>
      <c r="V5293" s="14"/>
      <c r="W5293" s="14"/>
    </row>
    <row r="5294" ht="31.5" customHeight="1">
      <c r="A5294" s="158"/>
      <c r="B5294" s="159"/>
      <c r="C5294" s="160"/>
      <c r="D5294" s="130"/>
      <c r="E5294" s="130"/>
      <c r="F5294" s="161"/>
      <c r="G5294" s="164"/>
      <c r="H5294" s="76" t="b">
        <v>0</v>
      </c>
      <c r="I5294" s="76" t="b">
        <v>0</v>
      </c>
      <c r="J5294" s="76" t="b">
        <v>0</v>
      </c>
      <c r="K5294" s="76" t="b">
        <v>0</v>
      </c>
      <c r="L5294" s="76" t="b">
        <v>0</v>
      </c>
      <c r="M5294" s="76" t="b">
        <v>0</v>
      </c>
      <c r="N5294" s="76" t="b">
        <v>0</v>
      </c>
      <c r="O5294" s="76" t="b">
        <v>0</v>
      </c>
      <c r="P5294" s="76" t="b">
        <v>0</v>
      </c>
      <c r="Q5294" s="76" t="b">
        <v>0</v>
      </c>
      <c r="R5294" s="14"/>
      <c r="S5294" s="14"/>
      <c r="T5294" s="14"/>
      <c r="U5294" s="14"/>
      <c r="V5294" s="14"/>
      <c r="W5294" s="14"/>
    </row>
    <row r="5295" ht="31.5" customHeight="1">
      <c r="A5295" s="158"/>
      <c r="B5295" s="159"/>
      <c r="C5295" s="160"/>
      <c r="D5295" s="130"/>
      <c r="E5295" s="130"/>
      <c r="F5295" s="161"/>
      <c r="G5295" s="164"/>
      <c r="H5295" s="76" t="b">
        <v>0</v>
      </c>
      <c r="I5295" s="76" t="b">
        <v>0</v>
      </c>
      <c r="J5295" s="76" t="b">
        <v>0</v>
      </c>
      <c r="K5295" s="76" t="b">
        <v>0</v>
      </c>
      <c r="L5295" s="76" t="b">
        <v>0</v>
      </c>
      <c r="M5295" s="76" t="b">
        <v>0</v>
      </c>
      <c r="N5295" s="76" t="b">
        <v>0</v>
      </c>
      <c r="O5295" s="76" t="b">
        <v>0</v>
      </c>
      <c r="P5295" s="76" t="b">
        <v>0</v>
      </c>
      <c r="Q5295" s="76" t="b">
        <v>0</v>
      </c>
      <c r="R5295" s="14"/>
      <c r="S5295" s="14"/>
      <c r="T5295" s="14"/>
      <c r="U5295" s="14"/>
      <c r="V5295" s="14"/>
      <c r="W5295" s="14"/>
    </row>
    <row r="5296" ht="31.5" customHeight="1">
      <c r="A5296" s="158"/>
      <c r="B5296" s="159"/>
      <c r="C5296" s="160"/>
      <c r="D5296" s="130"/>
      <c r="E5296" s="130"/>
      <c r="F5296" s="161"/>
      <c r="G5296" s="164"/>
      <c r="H5296" s="76" t="b">
        <v>0</v>
      </c>
      <c r="I5296" s="76" t="b">
        <v>0</v>
      </c>
      <c r="J5296" s="76" t="b">
        <v>0</v>
      </c>
      <c r="K5296" s="76" t="b">
        <v>0</v>
      </c>
      <c r="L5296" s="76" t="b">
        <v>0</v>
      </c>
      <c r="M5296" s="76" t="b">
        <v>0</v>
      </c>
      <c r="N5296" s="76" t="b">
        <v>0</v>
      </c>
      <c r="O5296" s="76" t="b">
        <v>0</v>
      </c>
      <c r="P5296" s="76" t="b">
        <v>0</v>
      </c>
      <c r="Q5296" s="76" t="b">
        <v>0</v>
      </c>
      <c r="R5296" s="14"/>
      <c r="S5296" s="14"/>
      <c r="T5296" s="14"/>
      <c r="U5296" s="14"/>
      <c r="V5296" s="14"/>
      <c r="W5296" s="14"/>
    </row>
    <row r="5297" ht="31.5" customHeight="1">
      <c r="A5297" s="158"/>
      <c r="B5297" s="159"/>
      <c r="C5297" s="160"/>
      <c r="D5297" s="130"/>
      <c r="E5297" s="130"/>
      <c r="F5297" s="161"/>
      <c r="G5297" s="164"/>
      <c r="H5297" s="76" t="b">
        <v>0</v>
      </c>
      <c r="I5297" s="76" t="b">
        <v>0</v>
      </c>
      <c r="J5297" s="76" t="b">
        <v>0</v>
      </c>
      <c r="K5297" s="76" t="b">
        <v>0</v>
      </c>
      <c r="L5297" s="76" t="b">
        <v>0</v>
      </c>
      <c r="M5297" s="76" t="b">
        <v>0</v>
      </c>
      <c r="N5297" s="76" t="b">
        <v>0</v>
      </c>
      <c r="O5297" s="76" t="b">
        <v>0</v>
      </c>
      <c r="P5297" s="76" t="b">
        <v>0</v>
      </c>
      <c r="Q5297" s="76" t="b">
        <v>0</v>
      </c>
      <c r="R5297" s="14"/>
      <c r="S5297" s="14"/>
      <c r="T5297" s="14"/>
      <c r="U5297" s="14"/>
      <c r="V5297" s="14"/>
      <c r="W5297" s="14"/>
    </row>
    <row r="5298" ht="31.5" customHeight="1">
      <c r="A5298" s="158"/>
      <c r="B5298" s="159"/>
      <c r="C5298" s="160"/>
      <c r="D5298" s="130"/>
      <c r="E5298" s="130"/>
      <c r="F5298" s="161"/>
      <c r="G5298" s="164"/>
      <c r="H5298" s="76" t="b">
        <v>0</v>
      </c>
      <c r="I5298" s="76" t="b">
        <v>0</v>
      </c>
      <c r="J5298" s="76" t="b">
        <v>0</v>
      </c>
      <c r="K5298" s="76" t="b">
        <v>0</v>
      </c>
      <c r="L5298" s="76" t="b">
        <v>0</v>
      </c>
      <c r="M5298" s="76" t="b">
        <v>0</v>
      </c>
      <c r="N5298" s="76" t="b">
        <v>0</v>
      </c>
      <c r="O5298" s="76" t="b">
        <v>0</v>
      </c>
      <c r="P5298" s="76" t="b">
        <v>0</v>
      </c>
      <c r="Q5298" s="76" t="b">
        <v>0</v>
      </c>
      <c r="R5298" s="14"/>
      <c r="S5298" s="14"/>
      <c r="T5298" s="14"/>
      <c r="U5298" s="14"/>
      <c r="V5298" s="14"/>
      <c r="W5298" s="14"/>
    </row>
    <row r="5299" ht="31.5" customHeight="1">
      <c r="A5299" s="158"/>
      <c r="B5299" s="159"/>
      <c r="C5299" s="160"/>
      <c r="D5299" s="130"/>
      <c r="E5299" s="130"/>
      <c r="F5299" s="161"/>
      <c r="G5299" s="164"/>
      <c r="H5299" s="76" t="b">
        <v>0</v>
      </c>
      <c r="I5299" s="76" t="b">
        <v>0</v>
      </c>
      <c r="J5299" s="76" t="b">
        <v>0</v>
      </c>
      <c r="K5299" s="76" t="b">
        <v>0</v>
      </c>
      <c r="L5299" s="76" t="b">
        <v>0</v>
      </c>
      <c r="M5299" s="76" t="b">
        <v>0</v>
      </c>
      <c r="N5299" s="76" t="b">
        <v>0</v>
      </c>
      <c r="O5299" s="76" t="b">
        <v>0</v>
      </c>
      <c r="P5299" s="76" t="b">
        <v>0</v>
      </c>
      <c r="Q5299" s="76" t="b">
        <v>0</v>
      </c>
      <c r="R5299" s="14"/>
      <c r="S5299" s="14"/>
      <c r="T5299" s="14"/>
      <c r="U5299" s="14"/>
      <c r="V5299" s="14"/>
      <c r="W5299" s="14"/>
    </row>
    <row r="5300" ht="31.5" customHeight="1">
      <c r="A5300" s="158"/>
      <c r="B5300" s="159"/>
      <c r="C5300" s="160"/>
      <c r="D5300" s="130"/>
      <c r="E5300" s="130"/>
      <c r="F5300" s="161"/>
      <c r="G5300" s="164"/>
      <c r="H5300" s="76" t="b">
        <v>0</v>
      </c>
      <c r="I5300" s="76" t="b">
        <v>0</v>
      </c>
      <c r="J5300" s="76" t="b">
        <v>0</v>
      </c>
      <c r="K5300" s="76" t="b">
        <v>0</v>
      </c>
      <c r="L5300" s="76" t="b">
        <v>0</v>
      </c>
      <c r="M5300" s="76" t="b">
        <v>0</v>
      </c>
      <c r="N5300" s="76" t="b">
        <v>0</v>
      </c>
      <c r="O5300" s="76" t="b">
        <v>0</v>
      </c>
      <c r="P5300" s="76" t="b">
        <v>0</v>
      </c>
      <c r="Q5300" s="76" t="b">
        <v>0</v>
      </c>
      <c r="R5300" s="14"/>
      <c r="S5300" s="14"/>
      <c r="T5300" s="14"/>
      <c r="U5300" s="14"/>
      <c r="V5300" s="14"/>
      <c r="W5300" s="14"/>
    </row>
    <row r="5301" ht="31.5" customHeight="1">
      <c r="A5301" s="158"/>
      <c r="B5301" s="159"/>
      <c r="C5301" s="160"/>
      <c r="D5301" s="130"/>
      <c r="E5301" s="130"/>
      <c r="F5301" s="161"/>
      <c r="G5301" s="164"/>
      <c r="H5301" s="76" t="b">
        <v>0</v>
      </c>
      <c r="I5301" s="76" t="b">
        <v>0</v>
      </c>
      <c r="J5301" s="76" t="b">
        <v>0</v>
      </c>
      <c r="K5301" s="76" t="b">
        <v>0</v>
      </c>
      <c r="L5301" s="76" t="b">
        <v>0</v>
      </c>
      <c r="M5301" s="76" t="b">
        <v>0</v>
      </c>
      <c r="N5301" s="76" t="b">
        <v>0</v>
      </c>
      <c r="O5301" s="76" t="b">
        <v>0</v>
      </c>
      <c r="P5301" s="76" t="b">
        <v>0</v>
      </c>
      <c r="Q5301" s="76" t="b">
        <v>0</v>
      </c>
      <c r="R5301" s="14"/>
      <c r="S5301" s="14"/>
      <c r="T5301" s="14"/>
      <c r="U5301" s="14"/>
      <c r="V5301" s="14"/>
      <c r="W5301" s="14"/>
    </row>
    <row r="5302" ht="31.5" customHeight="1">
      <c r="A5302" s="158"/>
      <c r="B5302" s="159"/>
      <c r="C5302" s="160"/>
      <c r="D5302" s="130"/>
      <c r="E5302" s="130"/>
      <c r="F5302" s="161"/>
      <c r="G5302" s="164"/>
      <c r="H5302" s="76" t="b">
        <v>1</v>
      </c>
      <c r="I5302" s="76" t="b">
        <v>0</v>
      </c>
      <c r="J5302" s="76" t="b">
        <v>0</v>
      </c>
      <c r="K5302" s="76" t="b">
        <v>0</v>
      </c>
      <c r="L5302" s="76" t="b">
        <v>0</v>
      </c>
      <c r="M5302" s="76" t="b">
        <v>0</v>
      </c>
      <c r="N5302" s="76" t="b">
        <v>0</v>
      </c>
      <c r="O5302" s="76" t="b">
        <v>0</v>
      </c>
      <c r="P5302" s="76" t="b">
        <v>0</v>
      </c>
      <c r="Q5302" s="76" t="b">
        <v>0</v>
      </c>
      <c r="R5302" s="14"/>
      <c r="S5302" s="14"/>
      <c r="T5302" s="14"/>
      <c r="U5302" s="14"/>
      <c r="V5302" s="14"/>
      <c r="W5302" s="14"/>
    </row>
    <row r="5303" ht="31.5" customHeight="1">
      <c r="A5303" s="158"/>
      <c r="B5303" s="159"/>
      <c r="C5303" s="160"/>
      <c r="D5303" s="130"/>
      <c r="E5303" s="130"/>
      <c r="F5303" s="161"/>
      <c r="G5303" s="164"/>
      <c r="H5303" s="76" t="b">
        <v>1</v>
      </c>
      <c r="I5303" s="76" t="b">
        <v>0</v>
      </c>
      <c r="J5303" s="76" t="b">
        <v>0</v>
      </c>
      <c r="K5303" s="76" t="b">
        <v>0</v>
      </c>
      <c r="L5303" s="76" t="b">
        <v>0</v>
      </c>
      <c r="M5303" s="76" t="b">
        <v>0</v>
      </c>
      <c r="N5303" s="76" t="b">
        <v>0</v>
      </c>
      <c r="O5303" s="76" t="b">
        <v>0</v>
      </c>
      <c r="P5303" s="76" t="b">
        <v>0</v>
      </c>
      <c r="Q5303" s="76" t="b">
        <v>0</v>
      </c>
      <c r="R5303" s="14"/>
      <c r="S5303" s="14"/>
      <c r="T5303" s="14"/>
      <c r="U5303" s="14"/>
      <c r="V5303" s="14"/>
      <c r="W5303" s="14"/>
    </row>
    <row r="5304" ht="31.5" customHeight="1">
      <c r="A5304" s="158"/>
      <c r="B5304" s="159"/>
      <c r="C5304" s="160"/>
      <c r="D5304" s="130"/>
      <c r="E5304" s="130"/>
      <c r="F5304" s="161"/>
      <c r="G5304" s="164"/>
      <c r="H5304" s="76" t="b">
        <v>1</v>
      </c>
      <c r="I5304" s="76" t="b">
        <v>0</v>
      </c>
      <c r="J5304" s="76" t="b">
        <v>0</v>
      </c>
      <c r="K5304" s="76" t="b">
        <v>0</v>
      </c>
      <c r="L5304" s="76" t="b">
        <v>0</v>
      </c>
      <c r="M5304" s="76" t="b">
        <v>0</v>
      </c>
      <c r="N5304" s="76" t="b">
        <v>0</v>
      </c>
      <c r="O5304" s="76" t="b">
        <v>0</v>
      </c>
      <c r="P5304" s="76" t="b">
        <v>0</v>
      </c>
      <c r="Q5304" s="76" t="b">
        <v>0</v>
      </c>
      <c r="R5304" s="14"/>
      <c r="S5304" s="14"/>
      <c r="T5304" s="14"/>
      <c r="U5304" s="14"/>
      <c r="V5304" s="14"/>
      <c r="W5304" s="14"/>
    </row>
    <row r="5305" ht="31.5" customHeight="1">
      <c r="A5305" s="158"/>
      <c r="B5305" s="159"/>
      <c r="C5305" s="160"/>
      <c r="D5305" s="130"/>
      <c r="E5305" s="130"/>
      <c r="F5305" s="161"/>
      <c r="G5305" s="164"/>
      <c r="H5305" s="76" t="b">
        <v>1</v>
      </c>
      <c r="I5305" s="76" t="b">
        <v>0</v>
      </c>
      <c r="J5305" s="76" t="b">
        <v>0</v>
      </c>
      <c r="K5305" s="76" t="b">
        <v>0</v>
      </c>
      <c r="L5305" s="76" t="b">
        <v>0</v>
      </c>
      <c r="M5305" s="76" t="b">
        <v>0</v>
      </c>
      <c r="N5305" s="76" t="b">
        <v>0</v>
      </c>
      <c r="O5305" s="76" t="b">
        <v>0</v>
      </c>
      <c r="P5305" s="76" t="b">
        <v>0</v>
      </c>
      <c r="Q5305" s="76" t="b">
        <v>0</v>
      </c>
      <c r="R5305" s="14"/>
      <c r="S5305" s="14"/>
      <c r="T5305" s="14"/>
      <c r="U5305" s="14"/>
      <c r="V5305" s="14"/>
      <c r="W5305" s="14"/>
    </row>
    <row r="5306" ht="31.5" customHeight="1">
      <c r="A5306" s="158"/>
      <c r="B5306" s="159"/>
      <c r="C5306" s="160"/>
      <c r="D5306" s="130"/>
      <c r="E5306" s="130"/>
      <c r="F5306" s="161"/>
      <c r="G5306" s="164"/>
      <c r="H5306" s="76" t="b">
        <v>1</v>
      </c>
      <c r="I5306" s="76" t="b">
        <v>0</v>
      </c>
      <c r="J5306" s="76" t="b">
        <v>0</v>
      </c>
      <c r="K5306" s="76" t="b">
        <v>0</v>
      </c>
      <c r="L5306" s="76" t="b">
        <v>0</v>
      </c>
      <c r="M5306" s="76" t="b">
        <v>0</v>
      </c>
      <c r="N5306" s="76" t="b">
        <v>0</v>
      </c>
      <c r="O5306" s="76" t="b">
        <v>0</v>
      </c>
      <c r="P5306" s="76" t="b">
        <v>0</v>
      </c>
      <c r="Q5306" s="76" t="b">
        <v>0</v>
      </c>
      <c r="R5306" s="14"/>
      <c r="S5306" s="14"/>
      <c r="T5306" s="14"/>
      <c r="U5306" s="14"/>
      <c r="V5306" s="14"/>
      <c r="W5306" s="14"/>
    </row>
    <row r="5307" ht="31.5" customHeight="1">
      <c r="A5307" s="158"/>
      <c r="B5307" s="159"/>
      <c r="C5307" s="160"/>
      <c r="D5307" s="130"/>
      <c r="E5307" s="130"/>
      <c r="F5307" s="161"/>
      <c r="G5307" s="164"/>
      <c r="H5307" s="76" t="b">
        <v>1</v>
      </c>
      <c r="I5307" s="76" t="b">
        <v>0</v>
      </c>
      <c r="J5307" s="76" t="b">
        <v>0</v>
      </c>
      <c r="K5307" s="76" t="b">
        <v>0</v>
      </c>
      <c r="L5307" s="76" t="b">
        <v>0</v>
      </c>
      <c r="M5307" s="76" t="b">
        <v>0</v>
      </c>
      <c r="N5307" s="76" t="b">
        <v>0</v>
      </c>
      <c r="O5307" s="76" t="b">
        <v>0</v>
      </c>
      <c r="P5307" s="76" t="b">
        <v>0</v>
      </c>
      <c r="Q5307" s="76" t="b">
        <v>0</v>
      </c>
      <c r="R5307" s="14"/>
      <c r="S5307" s="14"/>
      <c r="T5307" s="14"/>
      <c r="U5307" s="14"/>
      <c r="V5307" s="14"/>
      <c r="W5307" s="14"/>
    </row>
    <row r="5308" ht="31.5" customHeight="1">
      <c r="A5308" s="158"/>
      <c r="B5308" s="159"/>
      <c r="C5308" s="160"/>
      <c r="D5308" s="130"/>
      <c r="E5308" s="130"/>
      <c r="F5308" s="161"/>
      <c r="G5308" s="164"/>
      <c r="H5308" s="76" t="b">
        <v>1</v>
      </c>
      <c r="I5308" s="76" t="b">
        <v>0</v>
      </c>
      <c r="J5308" s="76" t="b">
        <v>0</v>
      </c>
      <c r="K5308" s="76" t="b">
        <v>0</v>
      </c>
      <c r="L5308" s="76" t="b">
        <v>0</v>
      </c>
      <c r="M5308" s="76" t="b">
        <v>0</v>
      </c>
      <c r="N5308" s="76" t="b">
        <v>0</v>
      </c>
      <c r="O5308" s="76" t="b">
        <v>0</v>
      </c>
      <c r="P5308" s="76" t="b">
        <v>0</v>
      </c>
      <c r="Q5308" s="76" t="b">
        <v>0</v>
      </c>
      <c r="R5308" s="14"/>
      <c r="S5308" s="14"/>
      <c r="T5308" s="14"/>
      <c r="U5308" s="14"/>
      <c r="V5308" s="14"/>
      <c r="W5308" s="14"/>
    </row>
    <row r="5309" ht="31.5" customHeight="1">
      <c r="A5309" s="158"/>
      <c r="B5309" s="159"/>
      <c r="C5309" s="160"/>
      <c r="D5309" s="130"/>
      <c r="E5309" s="130"/>
      <c r="F5309" s="161"/>
      <c r="G5309" s="164"/>
      <c r="H5309" s="76" t="b">
        <v>1</v>
      </c>
      <c r="I5309" s="76" t="b">
        <v>0</v>
      </c>
      <c r="J5309" s="76" t="b">
        <v>0</v>
      </c>
      <c r="K5309" s="76" t="b">
        <v>0</v>
      </c>
      <c r="L5309" s="76" t="b">
        <v>0</v>
      </c>
      <c r="M5309" s="76" t="b">
        <v>0</v>
      </c>
      <c r="N5309" s="76" t="b">
        <v>0</v>
      </c>
      <c r="O5309" s="76" t="b">
        <v>0</v>
      </c>
      <c r="P5309" s="76" t="b">
        <v>0</v>
      </c>
      <c r="Q5309" s="76" t="b">
        <v>0</v>
      </c>
      <c r="R5309" s="14"/>
      <c r="S5309" s="14"/>
      <c r="T5309" s="14"/>
      <c r="U5309" s="14"/>
      <c r="V5309" s="14"/>
      <c r="W5309" s="14"/>
    </row>
    <row r="5310" ht="31.5" customHeight="1">
      <c r="A5310" s="158"/>
      <c r="B5310" s="159"/>
      <c r="C5310" s="160"/>
      <c r="D5310" s="130"/>
      <c r="E5310" s="130"/>
      <c r="F5310" s="161"/>
      <c r="G5310" s="164"/>
      <c r="H5310" s="76" t="b">
        <v>1</v>
      </c>
      <c r="I5310" s="76" t="b">
        <v>0</v>
      </c>
      <c r="J5310" s="76" t="b">
        <v>0</v>
      </c>
      <c r="K5310" s="76" t="b">
        <v>0</v>
      </c>
      <c r="L5310" s="76" t="b">
        <v>0</v>
      </c>
      <c r="M5310" s="76" t="b">
        <v>0</v>
      </c>
      <c r="N5310" s="76" t="b">
        <v>0</v>
      </c>
      <c r="O5310" s="76" t="b">
        <v>0</v>
      </c>
      <c r="P5310" s="76" t="b">
        <v>0</v>
      </c>
      <c r="Q5310" s="76" t="b">
        <v>0</v>
      </c>
      <c r="R5310" s="14"/>
      <c r="S5310" s="14"/>
      <c r="T5310" s="14"/>
      <c r="U5310" s="14"/>
      <c r="V5310" s="14"/>
      <c r="W5310" s="14"/>
    </row>
    <row r="5311" ht="31.5" customHeight="1">
      <c r="A5311" s="158"/>
      <c r="B5311" s="159"/>
      <c r="C5311" s="160"/>
      <c r="D5311" s="130"/>
      <c r="E5311" s="130"/>
      <c r="F5311" s="161"/>
      <c r="G5311" s="164"/>
      <c r="H5311" s="76" t="b">
        <v>1</v>
      </c>
      <c r="I5311" s="76" t="b">
        <v>0</v>
      </c>
      <c r="J5311" s="76" t="b">
        <v>0</v>
      </c>
      <c r="K5311" s="76" t="b">
        <v>0</v>
      </c>
      <c r="L5311" s="76" t="b">
        <v>0</v>
      </c>
      <c r="M5311" s="76" t="b">
        <v>0</v>
      </c>
      <c r="N5311" s="76" t="b">
        <v>0</v>
      </c>
      <c r="O5311" s="76" t="b">
        <v>0</v>
      </c>
      <c r="P5311" s="76" t="b">
        <v>0</v>
      </c>
      <c r="Q5311" s="76" t="b">
        <v>0</v>
      </c>
      <c r="R5311" s="14"/>
      <c r="S5311" s="14"/>
      <c r="T5311" s="14"/>
      <c r="U5311" s="14"/>
      <c r="V5311" s="14"/>
      <c r="W5311" s="14"/>
    </row>
    <row r="5312" ht="31.5" customHeight="1">
      <c r="A5312" s="158"/>
      <c r="B5312" s="159"/>
      <c r="C5312" s="160"/>
      <c r="D5312" s="130"/>
      <c r="E5312" s="130"/>
      <c r="F5312" s="161"/>
      <c r="G5312" s="164"/>
      <c r="H5312" s="76" t="b">
        <v>1</v>
      </c>
      <c r="I5312" s="76" t="b">
        <v>0</v>
      </c>
      <c r="J5312" s="76" t="b">
        <v>0</v>
      </c>
      <c r="K5312" s="76" t="b">
        <v>0</v>
      </c>
      <c r="L5312" s="76" t="b">
        <v>0</v>
      </c>
      <c r="M5312" s="76" t="b">
        <v>0</v>
      </c>
      <c r="N5312" s="76" t="b">
        <v>0</v>
      </c>
      <c r="O5312" s="76" t="b">
        <v>0</v>
      </c>
      <c r="P5312" s="76" t="b">
        <v>0</v>
      </c>
      <c r="Q5312" s="76" t="b">
        <v>0</v>
      </c>
      <c r="R5312" s="14"/>
      <c r="S5312" s="14"/>
      <c r="T5312" s="14"/>
      <c r="U5312" s="14"/>
      <c r="V5312" s="14"/>
      <c r="W5312" s="14"/>
    </row>
    <row r="5313" ht="31.5" customHeight="1">
      <c r="A5313" s="158"/>
      <c r="B5313" s="159"/>
      <c r="C5313" s="160"/>
      <c r="D5313" s="130"/>
      <c r="E5313" s="130"/>
      <c r="F5313" s="161"/>
      <c r="G5313" s="164"/>
      <c r="H5313" s="76" t="b">
        <v>1</v>
      </c>
      <c r="I5313" s="76" t="b">
        <v>0</v>
      </c>
      <c r="J5313" s="76" t="b">
        <v>0</v>
      </c>
      <c r="K5313" s="76" t="b">
        <v>0</v>
      </c>
      <c r="L5313" s="76" t="b">
        <v>0</v>
      </c>
      <c r="M5313" s="76" t="b">
        <v>0</v>
      </c>
      <c r="N5313" s="76" t="b">
        <v>0</v>
      </c>
      <c r="O5313" s="76" t="b">
        <v>0</v>
      </c>
      <c r="P5313" s="76" t="b">
        <v>0</v>
      </c>
      <c r="Q5313" s="76" t="b">
        <v>0</v>
      </c>
      <c r="R5313" s="14"/>
      <c r="S5313" s="14"/>
      <c r="T5313" s="14"/>
      <c r="U5313" s="14"/>
      <c r="V5313" s="14"/>
      <c r="W5313" s="14"/>
    </row>
    <row r="5314" ht="31.5" customHeight="1">
      <c r="A5314" s="158"/>
      <c r="B5314" s="159"/>
      <c r="C5314" s="160"/>
      <c r="D5314" s="130"/>
      <c r="E5314" s="130"/>
      <c r="F5314" s="161"/>
      <c r="G5314" s="164"/>
      <c r="H5314" s="76" t="b">
        <v>1</v>
      </c>
      <c r="I5314" s="76" t="b">
        <v>0</v>
      </c>
      <c r="J5314" s="76" t="b">
        <v>0</v>
      </c>
      <c r="K5314" s="76" t="b">
        <v>0</v>
      </c>
      <c r="L5314" s="76" t="b">
        <v>0</v>
      </c>
      <c r="M5314" s="76" t="b">
        <v>0</v>
      </c>
      <c r="N5314" s="76" t="b">
        <v>0</v>
      </c>
      <c r="O5314" s="76" t="b">
        <v>0</v>
      </c>
      <c r="P5314" s="76" t="b">
        <v>0</v>
      </c>
      <c r="Q5314" s="76" t="b">
        <v>0</v>
      </c>
      <c r="R5314" s="14"/>
      <c r="S5314" s="14"/>
      <c r="T5314" s="14"/>
      <c r="U5314" s="14"/>
      <c r="V5314" s="14"/>
      <c r="W5314" s="14"/>
    </row>
    <row r="5315" ht="31.5" customHeight="1">
      <c r="A5315" s="158"/>
      <c r="B5315" s="159"/>
      <c r="C5315" s="160"/>
      <c r="D5315" s="130"/>
      <c r="E5315" s="130"/>
      <c r="F5315" s="161"/>
      <c r="G5315" s="164"/>
      <c r="H5315" s="76" t="b">
        <v>1</v>
      </c>
      <c r="I5315" s="76" t="b">
        <v>0</v>
      </c>
      <c r="J5315" s="76" t="b">
        <v>0</v>
      </c>
      <c r="K5315" s="76" t="b">
        <v>0</v>
      </c>
      <c r="L5315" s="76" t="b">
        <v>0</v>
      </c>
      <c r="M5315" s="76" t="b">
        <v>0</v>
      </c>
      <c r="N5315" s="76" t="b">
        <v>0</v>
      </c>
      <c r="O5315" s="76" t="b">
        <v>0</v>
      </c>
      <c r="P5315" s="76" t="b">
        <v>0</v>
      </c>
      <c r="Q5315" s="76" t="b">
        <v>0</v>
      </c>
      <c r="R5315" s="14"/>
      <c r="S5315" s="14"/>
      <c r="T5315" s="14"/>
      <c r="U5315" s="14"/>
      <c r="V5315" s="14"/>
      <c r="W5315" s="14"/>
    </row>
    <row r="5316" ht="31.5" customHeight="1">
      <c r="A5316" s="158"/>
      <c r="B5316" s="159"/>
      <c r="C5316" s="160"/>
      <c r="D5316" s="130"/>
      <c r="E5316" s="130"/>
      <c r="F5316" s="161"/>
      <c r="G5316" s="164"/>
      <c r="H5316" s="76" t="b">
        <v>1</v>
      </c>
      <c r="I5316" s="76" t="b">
        <v>0</v>
      </c>
      <c r="J5316" s="76" t="b">
        <v>0</v>
      </c>
      <c r="K5316" s="76" t="b">
        <v>0</v>
      </c>
      <c r="L5316" s="76" t="b">
        <v>0</v>
      </c>
      <c r="M5316" s="76" t="b">
        <v>0</v>
      </c>
      <c r="N5316" s="76" t="b">
        <v>0</v>
      </c>
      <c r="O5316" s="76" t="b">
        <v>0</v>
      </c>
      <c r="P5316" s="76" t="b">
        <v>0</v>
      </c>
      <c r="Q5316" s="76" t="b">
        <v>0</v>
      </c>
      <c r="R5316" s="14"/>
      <c r="S5316" s="14"/>
      <c r="T5316" s="14"/>
      <c r="U5316" s="14"/>
      <c r="V5316" s="14"/>
      <c r="W5316" s="14"/>
    </row>
    <row r="5317" ht="31.5" customHeight="1">
      <c r="A5317" s="158"/>
      <c r="B5317" s="159"/>
      <c r="C5317" s="160"/>
      <c r="D5317" s="130"/>
      <c r="E5317" s="130"/>
      <c r="F5317" s="161"/>
      <c r="G5317" s="164"/>
      <c r="H5317" s="76" t="b">
        <v>1</v>
      </c>
      <c r="I5317" s="76" t="b">
        <v>0</v>
      </c>
      <c r="J5317" s="76" t="b">
        <v>0</v>
      </c>
      <c r="K5317" s="76" t="b">
        <v>0</v>
      </c>
      <c r="L5317" s="76" t="b">
        <v>0</v>
      </c>
      <c r="M5317" s="76" t="b">
        <v>0</v>
      </c>
      <c r="N5317" s="76" t="b">
        <v>0</v>
      </c>
      <c r="O5317" s="76" t="b">
        <v>0</v>
      </c>
      <c r="P5317" s="76" t="b">
        <v>0</v>
      </c>
      <c r="Q5317" s="76" t="b">
        <v>0</v>
      </c>
      <c r="R5317" s="14"/>
      <c r="S5317" s="14"/>
      <c r="T5317" s="14"/>
      <c r="U5317" s="14"/>
      <c r="V5317" s="14"/>
      <c r="W5317" s="14"/>
    </row>
    <row r="5318" ht="31.5" customHeight="1">
      <c r="A5318" s="158"/>
      <c r="B5318" s="159"/>
      <c r="C5318" s="160"/>
      <c r="D5318" s="130"/>
      <c r="E5318" s="130"/>
      <c r="F5318" s="161"/>
      <c r="G5318" s="164"/>
      <c r="H5318" s="76" t="b">
        <v>1</v>
      </c>
      <c r="I5318" s="76" t="b">
        <v>0</v>
      </c>
      <c r="J5318" s="76" t="b">
        <v>0</v>
      </c>
      <c r="K5318" s="76" t="b">
        <v>0</v>
      </c>
      <c r="L5318" s="76" t="b">
        <v>0</v>
      </c>
      <c r="M5318" s="76" t="b">
        <v>0</v>
      </c>
      <c r="N5318" s="76" t="b">
        <v>0</v>
      </c>
      <c r="O5318" s="76" t="b">
        <v>0</v>
      </c>
      <c r="P5318" s="76" t="b">
        <v>0</v>
      </c>
      <c r="Q5318" s="76" t="b">
        <v>0</v>
      </c>
      <c r="R5318" s="14"/>
      <c r="S5318" s="14"/>
      <c r="T5318" s="14"/>
      <c r="U5318" s="14"/>
      <c r="V5318" s="14"/>
      <c r="W5318" s="14"/>
    </row>
    <row r="5319" ht="31.5" customHeight="1">
      <c r="A5319" s="158"/>
      <c r="B5319" s="159"/>
      <c r="C5319" s="160"/>
      <c r="D5319" s="130"/>
      <c r="E5319" s="130"/>
      <c r="F5319" s="161"/>
      <c r="G5319" s="164"/>
      <c r="H5319" s="76" t="b">
        <v>1</v>
      </c>
      <c r="I5319" s="76" t="b">
        <v>0</v>
      </c>
      <c r="J5319" s="76" t="b">
        <v>0</v>
      </c>
      <c r="K5319" s="76" t="b">
        <v>0</v>
      </c>
      <c r="L5319" s="76" t="b">
        <v>0</v>
      </c>
      <c r="M5319" s="76" t="b">
        <v>0</v>
      </c>
      <c r="N5319" s="76" t="b">
        <v>0</v>
      </c>
      <c r="O5319" s="76" t="b">
        <v>0</v>
      </c>
      <c r="P5319" s="76" t="b">
        <v>0</v>
      </c>
      <c r="Q5319" s="76" t="b">
        <v>0</v>
      </c>
      <c r="R5319" s="14"/>
      <c r="S5319" s="14"/>
      <c r="T5319" s="14"/>
      <c r="U5319" s="14"/>
      <c r="V5319" s="14"/>
      <c r="W5319" s="14"/>
    </row>
    <row r="5320" ht="31.5" customHeight="1">
      <c r="A5320" s="158"/>
      <c r="B5320" s="159"/>
      <c r="C5320" s="160"/>
      <c r="D5320" s="130"/>
      <c r="E5320" s="130"/>
      <c r="F5320" s="161"/>
      <c r="G5320" s="164"/>
      <c r="H5320" s="76" t="b">
        <v>1</v>
      </c>
      <c r="I5320" s="76" t="b">
        <v>0</v>
      </c>
      <c r="J5320" s="76" t="b">
        <v>0</v>
      </c>
      <c r="K5320" s="76" t="b">
        <v>0</v>
      </c>
      <c r="L5320" s="76" t="b">
        <v>0</v>
      </c>
      <c r="M5320" s="76" t="b">
        <v>0</v>
      </c>
      <c r="N5320" s="76" t="b">
        <v>0</v>
      </c>
      <c r="O5320" s="76" t="b">
        <v>0</v>
      </c>
      <c r="P5320" s="76" t="b">
        <v>0</v>
      </c>
      <c r="Q5320" s="76" t="b">
        <v>0</v>
      </c>
      <c r="R5320" s="14"/>
      <c r="S5320" s="14"/>
      <c r="T5320" s="14"/>
      <c r="U5320" s="14"/>
      <c r="V5320" s="14"/>
      <c r="W5320" s="14"/>
    </row>
    <row r="5321" ht="31.5" customHeight="1">
      <c r="A5321" s="158"/>
      <c r="B5321" s="159"/>
      <c r="C5321" s="160"/>
      <c r="D5321" s="130"/>
      <c r="E5321" s="130"/>
      <c r="F5321" s="161"/>
      <c r="G5321" s="164"/>
      <c r="H5321" s="76" t="b">
        <v>1</v>
      </c>
      <c r="I5321" s="76" t="b">
        <v>0</v>
      </c>
      <c r="J5321" s="76" t="b">
        <v>0</v>
      </c>
      <c r="K5321" s="76" t="b">
        <v>0</v>
      </c>
      <c r="L5321" s="76" t="b">
        <v>0</v>
      </c>
      <c r="M5321" s="76" t="b">
        <v>0</v>
      </c>
      <c r="N5321" s="76" t="b">
        <v>0</v>
      </c>
      <c r="O5321" s="76" t="b">
        <v>0</v>
      </c>
      <c r="P5321" s="76" t="b">
        <v>0</v>
      </c>
      <c r="Q5321" s="76" t="b">
        <v>0</v>
      </c>
      <c r="R5321" s="14"/>
      <c r="S5321" s="14"/>
      <c r="T5321" s="14"/>
      <c r="U5321" s="14"/>
      <c r="V5321" s="14"/>
      <c r="W5321" s="14"/>
    </row>
    <row r="5322" ht="31.5" customHeight="1">
      <c r="A5322" s="158"/>
      <c r="B5322" s="159"/>
      <c r="C5322" s="160"/>
      <c r="D5322" s="130"/>
      <c r="E5322" s="130"/>
      <c r="F5322" s="161"/>
      <c r="G5322" s="164"/>
      <c r="H5322" s="76" t="b">
        <v>1</v>
      </c>
      <c r="I5322" s="76" t="b">
        <v>0</v>
      </c>
      <c r="J5322" s="76" t="b">
        <v>0</v>
      </c>
      <c r="K5322" s="76" t="b">
        <v>0</v>
      </c>
      <c r="L5322" s="76" t="b">
        <v>0</v>
      </c>
      <c r="M5322" s="76" t="b">
        <v>0</v>
      </c>
      <c r="N5322" s="76" t="b">
        <v>0</v>
      </c>
      <c r="O5322" s="76" t="b">
        <v>0</v>
      </c>
      <c r="P5322" s="76" t="b">
        <v>0</v>
      </c>
      <c r="Q5322" s="76" t="b">
        <v>0</v>
      </c>
      <c r="R5322" s="14"/>
      <c r="S5322" s="14"/>
      <c r="T5322" s="14"/>
      <c r="U5322" s="14"/>
      <c r="V5322" s="14"/>
      <c r="W5322" s="14"/>
    </row>
    <row r="5323" ht="31.5" customHeight="1">
      <c r="A5323" s="158"/>
      <c r="B5323" s="159"/>
      <c r="C5323" s="160"/>
      <c r="D5323" s="130"/>
      <c r="E5323" s="130"/>
      <c r="F5323" s="161"/>
      <c r="G5323" s="164"/>
      <c r="H5323" s="76" t="b">
        <v>1</v>
      </c>
      <c r="I5323" s="76" t="b">
        <v>0</v>
      </c>
      <c r="J5323" s="76" t="b">
        <v>0</v>
      </c>
      <c r="K5323" s="76" t="b">
        <v>0</v>
      </c>
      <c r="L5323" s="76" t="b">
        <v>0</v>
      </c>
      <c r="M5323" s="76" t="b">
        <v>0</v>
      </c>
      <c r="N5323" s="76" t="b">
        <v>0</v>
      </c>
      <c r="O5323" s="76" t="b">
        <v>0</v>
      </c>
      <c r="P5323" s="76" t="b">
        <v>0</v>
      </c>
      <c r="Q5323" s="76" t="b">
        <v>0</v>
      </c>
      <c r="R5323" s="14"/>
      <c r="S5323" s="14"/>
      <c r="T5323" s="14"/>
      <c r="U5323" s="14"/>
      <c r="V5323" s="14"/>
      <c r="W5323" s="14"/>
    </row>
    <row r="5324" ht="31.5" customHeight="1">
      <c r="A5324" s="158"/>
      <c r="B5324" s="159"/>
      <c r="C5324" s="160"/>
      <c r="D5324" s="130"/>
      <c r="E5324" s="130"/>
      <c r="F5324" s="161"/>
      <c r="G5324" s="164"/>
      <c r="H5324" s="76" t="b">
        <v>1</v>
      </c>
      <c r="I5324" s="76" t="b">
        <v>0</v>
      </c>
      <c r="J5324" s="76" t="b">
        <v>0</v>
      </c>
      <c r="K5324" s="76" t="b">
        <v>0</v>
      </c>
      <c r="L5324" s="76" t="b">
        <v>0</v>
      </c>
      <c r="M5324" s="76" t="b">
        <v>0</v>
      </c>
      <c r="N5324" s="76" t="b">
        <v>0</v>
      </c>
      <c r="O5324" s="76" t="b">
        <v>0</v>
      </c>
      <c r="P5324" s="76" t="b">
        <v>0</v>
      </c>
      <c r="Q5324" s="76" t="b">
        <v>0</v>
      </c>
      <c r="R5324" s="14"/>
      <c r="S5324" s="14"/>
      <c r="T5324" s="14"/>
      <c r="U5324" s="14"/>
      <c r="V5324" s="14"/>
      <c r="W5324" s="14"/>
    </row>
    <row r="5325" ht="31.5" customHeight="1">
      <c r="A5325" s="158"/>
      <c r="B5325" s="159"/>
      <c r="C5325" s="160"/>
      <c r="D5325" s="130"/>
      <c r="E5325" s="130"/>
      <c r="F5325" s="161"/>
      <c r="G5325" s="164"/>
      <c r="H5325" s="76" t="b">
        <v>1</v>
      </c>
      <c r="I5325" s="76" t="b">
        <v>0</v>
      </c>
      <c r="J5325" s="76" t="b">
        <v>0</v>
      </c>
      <c r="K5325" s="76" t="b">
        <v>0</v>
      </c>
      <c r="L5325" s="76" t="b">
        <v>0</v>
      </c>
      <c r="M5325" s="76" t="b">
        <v>0</v>
      </c>
      <c r="N5325" s="76" t="b">
        <v>0</v>
      </c>
      <c r="O5325" s="76" t="b">
        <v>0</v>
      </c>
      <c r="P5325" s="76" t="b">
        <v>0</v>
      </c>
      <c r="Q5325" s="76" t="b">
        <v>0</v>
      </c>
      <c r="R5325" s="14"/>
      <c r="S5325" s="14"/>
      <c r="T5325" s="14"/>
      <c r="U5325" s="14"/>
      <c r="V5325" s="14"/>
      <c r="W5325" s="14"/>
    </row>
    <row r="5326" ht="31.5" customHeight="1">
      <c r="A5326" s="158"/>
      <c r="B5326" s="159"/>
      <c r="C5326" s="160"/>
      <c r="D5326" s="130"/>
      <c r="E5326" s="130"/>
      <c r="F5326" s="161"/>
      <c r="G5326" s="164"/>
      <c r="H5326" s="76" t="b">
        <v>1</v>
      </c>
      <c r="I5326" s="76" t="b">
        <v>0</v>
      </c>
      <c r="J5326" s="76" t="b">
        <v>0</v>
      </c>
      <c r="K5326" s="76" t="b">
        <v>0</v>
      </c>
      <c r="L5326" s="76" t="b">
        <v>0</v>
      </c>
      <c r="M5326" s="76" t="b">
        <v>0</v>
      </c>
      <c r="N5326" s="76" t="b">
        <v>0</v>
      </c>
      <c r="O5326" s="76" t="b">
        <v>0</v>
      </c>
      <c r="P5326" s="76" t="b">
        <v>0</v>
      </c>
      <c r="Q5326" s="76" t="b">
        <v>0</v>
      </c>
      <c r="R5326" s="14"/>
      <c r="S5326" s="14"/>
      <c r="T5326" s="14"/>
      <c r="U5326" s="14"/>
      <c r="V5326" s="14"/>
      <c r="W5326" s="14"/>
    </row>
    <row r="5327" ht="31.5" customHeight="1">
      <c r="A5327" s="158"/>
      <c r="B5327" s="159"/>
      <c r="C5327" s="160"/>
      <c r="D5327" s="130"/>
      <c r="E5327" s="130"/>
      <c r="F5327" s="161"/>
      <c r="G5327" s="164"/>
      <c r="H5327" s="76" t="b">
        <v>1</v>
      </c>
      <c r="I5327" s="76" t="b">
        <v>0</v>
      </c>
      <c r="J5327" s="76" t="b">
        <v>0</v>
      </c>
      <c r="K5327" s="76" t="b">
        <v>0</v>
      </c>
      <c r="L5327" s="76" t="b">
        <v>0</v>
      </c>
      <c r="M5327" s="76" t="b">
        <v>0</v>
      </c>
      <c r="N5327" s="76" t="b">
        <v>0</v>
      </c>
      <c r="O5327" s="76" t="b">
        <v>0</v>
      </c>
      <c r="P5327" s="76" t="b">
        <v>0</v>
      </c>
      <c r="Q5327" s="76" t="b">
        <v>0</v>
      </c>
      <c r="R5327" s="14"/>
      <c r="S5327" s="14"/>
      <c r="T5327" s="14"/>
      <c r="U5327" s="14"/>
      <c r="V5327" s="14"/>
      <c r="W5327" s="14"/>
    </row>
    <row r="5328" ht="31.5" customHeight="1">
      <c r="A5328" s="158"/>
      <c r="B5328" s="159"/>
      <c r="C5328" s="160"/>
      <c r="D5328" s="130"/>
      <c r="E5328" s="130"/>
      <c r="F5328" s="161"/>
      <c r="G5328" s="164"/>
      <c r="H5328" s="76" t="b">
        <v>1</v>
      </c>
      <c r="I5328" s="76" t="b">
        <v>0</v>
      </c>
      <c r="J5328" s="76" t="b">
        <v>0</v>
      </c>
      <c r="K5328" s="76" t="b">
        <v>0</v>
      </c>
      <c r="L5328" s="76" t="b">
        <v>0</v>
      </c>
      <c r="M5328" s="76" t="b">
        <v>0</v>
      </c>
      <c r="N5328" s="76" t="b">
        <v>0</v>
      </c>
      <c r="O5328" s="76" t="b">
        <v>0</v>
      </c>
      <c r="P5328" s="76" t="b">
        <v>0</v>
      </c>
      <c r="Q5328" s="76" t="b">
        <v>0</v>
      </c>
      <c r="R5328" s="14"/>
      <c r="S5328" s="14"/>
      <c r="T5328" s="14"/>
      <c r="U5328" s="14"/>
      <c r="V5328" s="14"/>
      <c r="W5328" s="14"/>
    </row>
    <row r="5329" ht="31.5" customHeight="1">
      <c r="A5329" s="158"/>
      <c r="B5329" s="159"/>
      <c r="C5329" s="160"/>
      <c r="D5329" s="130"/>
      <c r="E5329" s="130"/>
      <c r="F5329" s="161"/>
      <c r="G5329" s="164"/>
      <c r="H5329" s="76" t="b">
        <v>1</v>
      </c>
      <c r="I5329" s="76" t="b">
        <v>0</v>
      </c>
      <c r="J5329" s="76" t="b">
        <v>0</v>
      </c>
      <c r="K5329" s="76" t="b">
        <v>0</v>
      </c>
      <c r="L5329" s="76" t="b">
        <v>0</v>
      </c>
      <c r="M5329" s="76" t="b">
        <v>0</v>
      </c>
      <c r="N5329" s="76" t="b">
        <v>0</v>
      </c>
      <c r="O5329" s="76" t="b">
        <v>0</v>
      </c>
      <c r="P5329" s="76" t="b">
        <v>0</v>
      </c>
      <c r="Q5329" s="76" t="b">
        <v>0</v>
      </c>
      <c r="R5329" s="14"/>
      <c r="S5329" s="14"/>
      <c r="T5329" s="14"/>
      <c r="U5329" s="14"/>
      <c r="V5329" s="14"/>
      <c r="W5329" s="14"/>
    </row>
    <row r="5330" ht="31.5" customHeight="1">
      <c r="A5330" s="158"/>
      <c r="B5330" s="159"/>
      <c r="C5330" s="160"/>
      <c r="D5330" s="130"/>
      <c r="E5330" s="130"/>
      <c r="F5330" s="161"/>
      <c r="G5330" s="164"/>
      <c r="H5330" s="76" t="b">
        <v>1</v>
      </c>
      <c r="I5330" s="76" t="b">
        <v>0</v>
      </c>
      <c r="J5330" s="76" t="b">
        <v>0</v>
      </c>
      <c r="K5330" s="76" t="b">
        <v>0</v>
      </c>
      <c r="L5330" s="76" t="b">
        <v>0</v>
      </c>
      <c r="M5330" s="76" t="b">
        <v>0</v>
      </c>
      <c r="N5330" s="76" t="b">
        <v>0</v>
      </c>
      <c r="O5330" s="76" t="b">
        <v>0</v>
      </c>
      <c r="P5330" s="76" t="b">
        <v>0</v>
      </c>
      <c r="Q5330" s="76" t="b">
        <v>0</v>
      </c>
      <c r="R5330" s="14"/>
      <c r="S5330" s="14"/>
      <c r="T5330" s="14"/>
      <c r="U5330" s="14"/>
      <c r="V5330" s="14"/>
      <c r="W5330" s="14"/>
    </row>
    <row r="5331" ht="31.5" customHeight="1">
      <c r="A5331" s="158"/>
      <c r="B5331" s="159"/>
      <c r="C5331" s="160"/>
      <c r="D5331" s="130"/>
      <c r="E5331" s="130"/>
      <c r="F5331" s="161"/>
      <c r="G5331" s="164"/>
      <c r="H5331" s="76" t="b">
        <v>1</v>
      </c>
      <c r="I5331" s="76" t="b">
        <v>0</v>
      </c>
      <c r="J5331" s="76" t="b">
        <v>0</v>
      </c>
      <c r="K5331" s="76" t="b">
        <v>0</v>
      </c>
      <c r="L5331" s="76" t="b">
        <v>0</v>
      </c>
      <c r="M5331" s="76" t="b">
        <v>0</v>
      </c>
      <c r="N5331" s="76" t="b">
        <v>0</v>
      </c>
      <c r="O5331" s="76" t="b">
        <v>0</v>
      </c>
      <c r="P5331" s="76" t="b">
        <v>0</v>
      </c>
      <c r="Q5331" s="76" t="b">
        <v>0</v>
      </c>
      <c r="R5331" s="14"/>
      <c r="S5331" s="14"/>
      <c r="T5331" s="14"/>
      <c r="U5331" s="14"/>
      <c r="V5331" s="14"/>
      <c r="W5331" s="14"/>
    </row>
    <row r="5332" ht="31.5" customHeight="1">
      <c r="A5332" s="158"/>
      <c r="B5332" s="159"/>
      <c r="C5332" s="160"/>
      <c r="D5332" s="130"/>
      <c r="E5332" s="130"/>
      <c r="F5332" s="161"/>
      <c r="G5332" s="164"/>
      <c r="H5332" s="76" t="b">
        <v>1</v>
      </c>
      <c r="I5332" s="76" t="b">
        <v>0</v>
      </c>
      <c r="J5332" s="76" t="b">
        <v>0</v>
      </c>
      <c r="K5332" s="76" t="b">
        <v>0</v>
      </c>
      <c r="L5332" s="76" t="b">
        <v>0</v>
      </c>
      <c r="M5332" s="76" t="b">
        <v>0</v>
      </c>
      <c r="N5332" s="76" t="b">
        <v>0</v>
      </c>
      <c r="O5332" s="76" t="b">
        <v>0</v>
      </c>
      <c r="P5332" s="76" t="b">
        <v>0</v>
      </c>
      <c r="Q5332" s="76" t="b">
        <v>0</v>
      </c>
      <c r="R5332" s="14"/>
      <c r="S5332" s="14"/>
      <c r="T5332" s="14"/>
      <c r="U5332" s="14"/>
      <c r="V5332" s="14"/>
      <c r="W5332" s="14"/>
    </row>
    <row r="5333" ht="31.5" customHeight="1">
      <c r="A5333" s="158"/>
      <c r="B5333" s="159"/>
      <c r="C5333" s="160"/>
      <c r="D5333" s="130"/>
      <c r="E5333" s="130"/>
      <c r="F5333" s="161"/>
      <c r="G5333" s="164"/>
      <c r="H5333" s="76" t="b">
        <v>1</v>
      </c>
      <c r="I5333" s="76" t="b">
        <v>0</v>
      </c>
      <c r="J5333" s="76" t="b">
        <v>0</v>
      </c>
      <c r="K5333" s="76" t="b">
        <v>0</v>
      </c>
      <c r="L5333" s="76" t="b">
        <v>0</v>
      </c>
      <c r="M5333" s="76" t="b">
        <v>0</v>
      </c>
      <c r="N5333" s="76" t="b">
        <v>0</v>
      </c>
      <c r="O5333" s="76" t="b">
        <v>0</v>
      </c>
      <c r="P5333" s="76" t="b">
        <v>0</v>
      </c>
      <c r="Q5333" s="76" t="b">
        <v>0</v>
      </c>
      <c r="R5333" s="14"/>
      <c r="S5333" s="14"/>
      <c r="T5333" s="14"/>
      <c r="U5333" s="14"/>
      <c r="V5333" s="14"/>
      <c r="W5333" s="14"/>
    </row>
    <row r="5334" ht="31.5" customHeight="1">
      <c r="A5334" s="158"/>
      <c r="B5334" s="159"/>
      <c r="C5334" s="160"/>
      <c r="D5334" s="130"/>
      <c r="E5334" s="130"/>
      <c r="F5334" s="161"/>
      <c r="G5334" s="164"/>
      <c r="H5334" s="76" t="b">
        <v>1</v>
      </c>
      <c r="I5334" s="76" t="b">
        <v>0</v>
      </c>
      <c r="J5334" s="76" t="b">
        <v>0</v>
      </c>
      <c r="K5334" s="76" t="b">
        <v>0</v>
      </c>
      <c r="L5334" s="76" t="b">
        <v>0</v>
      </c>
      <c r="M5334" s="76" t="b">
        <v>0</v>
      </c>
      <c r="N5334" s="76" t="b">
        <v>0</v>
      </c>
      <c r="O5334" s="76" t="b">
        <v>0</v>
      </c>
      <c r="P5334" s="76" t="b">
        <v>0</v>
      </c>
      <c r="Q5334" s="76" t="b">
        <v>0</v>
      </c>
      <c r="R5334" s="14"/>
      <c r="S5334" s="14"/>
      <c r="T5334" s="14"/>
      <c r="U5334" s="14"/>
      <c r="V5334" s="14"/>
      <c r="W5334" s="14"/>
    </row>
    <row r="5335" ht="31.5" customHeight="1">
      <c r="A5335" s="158"/>
      <c r="B5335" s="159"/>
      <c r="C5335" s="160"/>
      <c r="D5335" s="130"/>
      <c r="E5335" s="130"/>
      <c r="F5335" s="161"/>
      <c r="G5335" s="164"/>
      <c r="H5335" s="76" t="b">
        <v>1</v>
      </c>
      <c r="I5335" s="76" t="b">
        <v>0</v>
      </c>
      <c r="J5335" s="76" t="b">
        <v>0</v>
      </c>
      <c r="K5335" s="76" t="b">
        <v>0</v>
      </c>
      <c r="L5335" s="76" t="b">
        <v>0</v>
      </c>
      <c r="M5335" s="76" t="b">
        <v>0</v>
      </c>
      <c r="N5335" s="76" t="b">
        <v>0</v>
      </c>
      <c r="O5335" s="76" t="b">
        <v>0</v>
      </c>
      <c r="P5335" s="76" t="b">
        <v>0</v>
      </c>
      <c r="Q5335" s="76" t="b">
        <v>0</v>
      </c>
      <c r="R5335" s="14"/>
      <c r="S5335" s="14"/>
      <c r="T5335" s="14"/>
      <c r="U5335" s="14"/>
      <c r="V5335" s="14"/>
      <c r="W5335" s="14"/>
    </row>
    <row r="5336" ht="31.5" customHeight="1">
      <c r="A5336" s="158"/>
      <c r="B5336" s="159"/>
      <c r="C5336" s="160"/>
      <c r="D5336" s="130"/>
      <c r="E5336" s="130"/>
      <c r="F5336" s="161"/>
      <c r="G5336" s="164"/>
      <c r="H5336" s="76" t="b">
        <v>1</v>
      </c>
      <c r="I5336" s="76" t="b">
        <v>0</v>
      </c>
      <c r="J5336" s="76" t="b">
        <v>0</v>
      </c>
      <c r="K5336" s="76" t="b">
        <v>0</v>
      </c>
      <c r="L5336" s="76" t="b">
        <v>0</v>
      </c>
      <c r="M5336" s="76" t="b">
        <v>0</v>
      </c>
      <c r="N5336" s="76" t="b">
        <v>0</v>
      </c>
      <c r="O5336" s="76" t="b">
        <v>0</v>
      </c>
      <c r="P5336" s="76" t="b">
        <v>0</v>
      </c>
      <c r="Q5336" s="76" t="b">
        <v>0</v>
      </c>
      <c r="R5336" s="14"/>
      <c r="S5336" s="14"/>
      <c r="T5336" s="14"/>
      <c r="U5336" s="14"/>
      <c r="V5336" s="14"/>
      <c r="W5336" s="14"/>
    </row>
    <row r="5337" ht="31.5" customHeight="1">
      <c r="A5337" s="158"/>
      <c r="B5337" s="159"/>
      <c r="C5337" s="160"/>
      <c r="D5337" s="130"/>
      <c r="E5337" s="130"/>
      <c r="F5337" s="161"/>
      <c r="G5337" s="164"/>
      <c r="H5337" s="76" t="b">
        <v>1</v>
      </c>
      <c r="I5337" s="76" t="b">
        <v>0</v>
      </c>
      <c r="J5337" s="76" t="b">
        <v>0</v>
      </c>
      <c r="K5337" s="76" t="b">
        <v>0</v>
      </c>
      <c r="L5337" s="76" t="b">
        <v>0</v>
      </c>
      <c r="M5337" s="76" t="b">
        <v>0</v>
      </c>
      <c r="N5337" s="76" t="b">
        <v>0</v>
      </c>
      <c r="O5337" s="76" t="b">
        <v>0</v>
      </c>
      <c r="P5337" s="76" t="b">
        <v>0</v>
      </c>
      <c r="Q5337" s="76" t="b">
        <v>0</v>
      </c>
      <c r="R5337" s="14"/>
      <c r="S5337" s="14"/>
      <c r="T5337" s="14"/>
      <c r="U5337" s="14"/>
      <c r="V5337" s="14"/>
      <c r="W5337" s="14"/>
    </row>
    <row r="5338" ht="31.5" customHeight="1">
      <c r="A5338" s="158"/>
      <c r="B5338" s="159"/>
      <c r="C5338" s="160"/>
      <c r="D5338" s="130"/>
      <c r="E5338" s="130"/>
      <c r="F5338" s="161"/>
      <c r="G5338" s="164"/>
      <c r="H5338" s="76" t="b">
        <v>1</v>
      </c>
      <c r="I5338" s="76" t="b">
        <v>0</v>
      </c>
      <c r="J5338" s="76" t="b">
        <v>0</v>
      </c>
      <c r="K5338" s="76" t="b">
        <v>0</v>
      </c>
      <c r="L5338" s="76" t="b">
        <v>0</v>
      </c>
      <c r="M5338" s="76" t="b">
        <v>0</v>
      </c>
      <c r="N5338" s="76" t="b">
        <v>0</v>
      </c>
      <c r="O5338" s="76" t="b">
        <v>0</v>
      </c>
      <c r="P5338" s="76" t="b">
        <v>0</v>
      </c>
      <c r="Q5338" s="76" t="b">
        <v>0</v>
      </c>
      <c r="R5338" s="14"/>
      <c r="S5338" s="14"/>
      <c r="T5338" s="14"/>
      <c r="U5338" s="14"/>
      <c r="V5338" s="14"/>
      <c r="W5338" s="14"/>
    </row>
    <row r="5339" ht="31.5" customHeight="1">
      <c r="A5339" s="158"/>
      <c r="B5339" s="159"/>
      <c r="C5339" s="160"/>
      <c r="D5339" s="130"/>
      <c r="E5339" s="130"/>
      <c r="F5339" s="161"/>
      <c r="G5339" s="164"/>
      <c r="H5339" s="76" t="b">
        <v>1</v>
      </c>
      <c r="I5339" s="76" t="b">
        <v>0</v>
      </c>
      <c r="J5339" s="76" t="b">
        <v>0</v>
      </c>
      <c r="K5339" s="76" t="b">
        <v>0</v>
      </c>
      <c r="L5339" s="76" t="b">
        <v>0</v>
      </c>
      <c r="M5339" s="76" t="b">
        <v>0</v>
      </c>
      <c r="N5339" s="76" t="b">
        <v>0</v>
      </c>
      <c r="O5339" s="76" t="b">
        <v>0</v>
      </c>
      <c r="P5339" s="76" t="b">
        <v>0</v>
      </c>
      <c r="Q5339" s="76" t="b">
        <v>0</v>
      </c>
      <c r="R5339" s="14"/>
      <c r="S5339" s="14"/>
      <c r="T5339" s="14"/>
      <c r="U5339" s="14"/>
      <c r="V5339" s="14"/>
      <c r="W5339" s="14"/>
    </row>
    <row r="5340" ht="31.5" customHeight="1">
      <c r="A5340" s="158"/>
      <c r="B5340" s="159"/>
      <c r="C5340" s="160"/>
      <c r="D5340" s="130"/>
      <c r="E5340" s="130"/>
      <c r="F5340" s="161"/>
      <c r="G5340" s="164"/>
      <c r="H5340" s="76" t="b">
        <v>1</v>
      </c>
      <c r="I5340" s="76" t="b">
        <v>0</v>
      </c>
      <c r="J5340" s="76" t="b">
        <v>0</v>
      </c>
      <c r="K5340" s="76" t="b">
        <v>0</v>
      </c>
      <c r="L5340" s="76" t="b">
        <v>0</v>
      </c>
      <c r="M5340" s="76" t="b">
        <v>0</v>
      </c>
      <c r="N5340" s="76" t="b">
        <v>0</v>
      </c>
      <c r="O5340" s="76" t="b">
        <v>0</v>
      </c>
      <c r="P5340" s="76" t="b">
        <v>0</v>
      </c>
      <c r="Q5340" s="76" t="b">
        <v>0</v>
      </c>
      <c r="R5340" s="14"/>
      <c r="S5340" s="14"/>
      <c r="T5340" s="14"/>
      <c r="U5340" s="14"/>
      <c r="V5340" s="14"/>
      <c r="W5340" s="14"/>
    </row>
    <row r="5341" ht="31.5" customHeight="1">
      <c r="A5341" s="158"/>
      <c r="B5341" s="159"/>
      <c r="C5341" s="160"/>
      <c r="D5341" s="130"/>
      <c r="E5341" s="130"/>
      <c r="F5341" s="161"/>
      <c r="G5341" s="164"/>
      <c r="H5341" s="76" t="b">
        <v>1</v>
      </c>
      <c r="I5341" s="76" t="b">
        <v>0</v>
      </c>
      <c r="J5341" s="76" t="b">
        <v>0</v>
      </c>
      <c r="K5341" s="76" t="b">
        <v>0</v>
      </c>
      <c r="L5341" s="76" t="b">
        <v>0</v>
      </c>
      <c r="M5341" s="76" t="b">
        <v>0</v>
      </c>
      <c r="N5341" s="76" t="b">
        <v>0</v>
      </c>
      <c r="O5341" s="76" t="b">
        <v>0</v>
      </c>
      <c r="P5341" s="76" t="b">
        <v>0</v>
      </c>
      <c r="Q5341" s="76" t="b">
        <v>0</v>
      </c>
      <c r="R5341" s="14"/>
      <c r="S5341" s="14"/>
      <c r="T5341" s="14"/>
      <c r="U5341" s="14"/>
      <c r="V5341" s="14"/>
      <c r="W5341" s="14"/>
    </row>
    <row r="5342" ht="31.5" customHeight="1">
      <c r="A5342" s="158"/>
      <c r="B5342" s="159"/>
      <c r="C5342" s="160"/>
      <c r="D5342" s="130"/>
      <c r="E5342" s="130"/>
      <c r="F5342" s="161"/>
      <c r="G5342" s="164"/>
      <c r="H5342" s="76" t="b">
        <v>1</v>
      </c>
      <c r="I5342" s="76" t="b">
        <v>0</v>
      </c>
      <c r="J5342" s="76" t="b">
        <v>0</v>
      </c>
      <c r="K5342" s="76" t="b">
        <v>0</v>
      </c>
      <c r="L5342" s="76" t="b">
        <v>0</v>
      </c>
      <c r="M5342" s="76" t="b">
        <v>0</v>
      </c>
      <c r="N5342" s="76" t="b">
        <v>0</v>
      </c>
      <c r="O5342" s="76" t="b">
        <v>0</v>
      </c>
      <c r="P5342" s="76" t="b">
        <v>0</v>
      </c>
      <c r="Q5342" s="76" t="b">
        <v>0</v>
      </c>
      <c r="R5342" s="14"/>
      <c r="S5342" s="14"/>
      <c r="T5342" s="14"/>
      <c r="U5342" s="14"/>
      <c r="V5342" s="14"/>
      <c r="W5342" s="14"/>
    </row>
    <row r="5343" ht="31.5" customHeight="1">
      <c r="A5343" s="158"/>
      <c r="B5343" s="159"/>
      <c r="C5343" s="160"/>
      <c r="D5343" s="130"/>
      <c r="E5343" s="130"/>
      <c r="F5343" s="161"/>
      <c r="G5343" s="164"/>
      <c r="H5343" s="76" t="b">
        <v>1</v>
      </c>
      <c r="I5343" s="76" t="b">
        <v>0</v>
      </c>
      <c r="J5343" s="76" t="b">
        <v>0</v>
      </c>
      <c r="K5343" s="76" t="b">
        <v>0</v>
      </c>
      <c r="L5343" s="76" t="b">
        <v>0</v>
      </c>
      <c r="M5343" s="76" t="b">
        <v>0</v>
      </c>
      <c r="N5343" s="76" t="b">
        <v>0</v>
      </c>
      <c r="O5343" s="76" t="b">
        <v>0</v>
      </c>
      <c r="P5343" s="76" t="b">
        <v>0</v>
      </c>
      <c r="Q5343" s="76" t="b">
        <v>0</v>
      </c>
      <c r="R5343" s="14"/>
      <c r="S5343" s="14"/>
      <c r="T5343" s="14"/>
      <c r="U5343" s="14"/>
      <c r="V5343" s="14"/>
      <c r="W5343" s="14"/>
    </row>
    <row r="5344" ht="31.5" customHeight="1">
      <c r="A5344" s="158"/>
      <c r="B5344" s="159"/>
      <c r="C5344" s="160"/>
      <c r="D5344" s="130"/>
      <c r="E5344" s="130"/>
      <c r="F5344" s="161"/>
      <c r="G5344" s="164"/>
      <c r="H5344" s="76" t="b">
        <v>1</v>
      </c>
      <c r="I5344" s="76" t="b">
        <v>0</v>
      </c>
      <c r="J5344" s="76" t="b">
        <v>0</v>
      </c>
      <c r="K5344" s="76" t="b">
        <v>0</v>
      </c>
      <c r="L5344" s="76" t="b">
        <v>0</v>
      </c>
      <c r="M5344" s="76" t="b">
        <v>0</v>
      </c>
      <c r="N5344" s="76" t="b">
        <v>0</v>
      </c>
      <c r="O5344" s="76" t="b">
        <v>0</v>
      </c>
      <c r="P5344" s="76" t="b">
        <v>0</v>
      </c>
      <c r="Q5344" s="76" t="b">
        <v>0</v>
      </c>
      <c r="R5344" s="14"/>
      <c r="S5344" s="14"/>
      <c r="T5344" s="14"/>
      <c r="U5344" s="14"/>
      <c r="V5344" s="14"/>
      <c r="W5344" s="14"/>
    </row>
    <row r="5345" ht="31.5" customHeight="1">
      <c r="A5345" s="158"/>
      <c r="B5345" s="159"/>
      <c r="C5345" s="160"/>
      <c r="D5345" s="130"/>
      <c r="E5345" s="130"/>
      <c r="F5345" s="161"/>
      <c r="G5345" s="164"/>
      <c r="H5345" s="76" t="b">
        <v>1</v>
      </c>
      <c r="I5345" s="76" t="b">
        <v>0</v>
      </c>
      <c r="J5345" s="76" t="b">
        <v>0</v>
      </c>
      <c r="K5345" s="76" t="b">
        <v>0</v>
      </c>
      <c r="L5345" s="76" t="b">
        <v>0</v>
      </c>
      <c r="M5345" s="76" t="b">
        <v>0</v>
      </c>
      <c r="N5345" s="76" t="b">
        <v>0</v>
      </c>
      <c r="O5345" s="76" t="b">
        <v>0</v>
      </c>
      <c r="P5345" s="76" t="b">
        <v>0</v>
      </c>
      <c r="Q5345" s="76" t="b">
        <v>0</v>
      </c>
      <c r="R5345" s="14"/>
      <c r="S5345" s="14"/>
      <c r="T5345" s="14"/>
      <c r="U5345" s="14"/>
      <c r="V5345" s="14"/>
      <c r="W5345" s="14"/>
    </row>
    <row r="5346" ht="31.5" customHeight="1">
      <c r="A5346" s="158"/>
      <c r="B5346" s="159"/>
      <c r="C5346" s="160"/>
      <c r="D5346" s="130"/>
      <c r="E5346" s="130"/>
      <c r="F5346" s="161"/>
      <c r="G5346" s="164"/>
      <c r="H5346" s="76" t="b">
        <v>1</v>
      </c>
      <c r="I5346" s="76" t="b">
        <v>0</v>
      </c>
      <c r="J5346" s="76" t="b">
        <v>0</v>
      </c>
      <c r="K5346" s="76" t="b">
        <v>0</v>
      </c>
      <c r="L5346" s="76" t="b">
        <v>0</v>
      </c>
      <c r="M5346" s="76" t="b">
        <v>0</v>
      </c>
      <c r="N5346" s="76" t="b">
        <v>0</v>
      </c>
      <c r="O5346" s="76" t="b">
        <v>0</v>
      </c>
      <c r="P5346" s="76" t="b">
        <v>0</v>
      </c>
      <c r="Q5346" s="76" t="b">
        <v>0</v>
      </c>
      <c r="R5346" s="14"/>
      <c r="S5346" s="14"/>
      <c r="T5346" s="14"/>
      <c r="U5346" s="14"/>
      <c r="V5346" s="14"/>
      <c r="W5346" s="14"/>
    </row>
    <row r="5347" ht="31.5" customHeight="1">
      <c r="A5347" s="158"/>
      <c r="B5347" s="159"/>
      <c r="C5347" s="160"/>
      <c r="D5347" s="130"/>
      <c r="E5347" s="130"/>
      <c r="F5347" s="161"/>
      <c r="G5347" s="164"/>
      <c r="H5347" s="76" t="b">
        <v>1</v>
      </c>
      <c r="I5347" s="76" t="b">
        <v>0</v>
      </c>
      <c r="J5347" s="76" t="b">
        <v>0</v>
      </c>
      <c r="K5347" s="76" t="b">
        <v>0</v>
      </c>
      <c r="L5347" s="76" t="b">
        <v>0</v>
      </c>
      <c r="M5347" s="76" t="b">
        <v>0</v>
      </c>
      <c r="N5347" s="76" t="b">
        <v>0</v>
      </c>
      <c r="O5347" s="76" t="b">
        <v>0</v>
      </c>
      <c r="P5347" s="76" t="b">
        <v>0</v>
      </c>
      <c r="Q5347" s="76" t="b">
        <v>0</v>
      </c>
      <c r="R5347" s="14"/>
      <c r="S5347" s="14"/>
      <c r="T5347" s="14"/>
      <c r="U5347" s="14"/>
      <c r="V5347" s="14"/>
      <c r="W5347" s="14"/>
    </row>
    <row r="5348" ht="31.5" customHeight="1">
      <c r="A5348" s="158"/>
      <c r="B5348" s="159"/>
      <c r="C5348" s="160"/>
      <c r="D5348" s="130"/>
      <c r="E5348" s="130"/>
      <c r="F5348" s="161"/>
      <c r="G5348" s="164"/>
      <c r="H5348" s="76" t="b">
        <v>1</v>
      </c>
      <c r="I5348" s="76" t="b">
        <v>0</v>
      </c>
      <c r="J5348" s="76" t="b">
        <v>0</v>
      </c>
      <c r="K5348" s="76" t="b">
        <v>0</v>
      </c>
      <c r="L5348" s="76" t="b">
        <v>0</v>
      </c>
      <c r="M5348" s="76" t="b">
        <v>0</v>
      </c>
      <c r="N5348" s="76" t="b">
        <v>0</v>
      </c>
      <c r="O5348" s="76" t="b">
        <v>0</v>
      </c>
      <c r="P5348" s="76" t="b">
        <v>0</v>
      </c>
      <c r="Q5348" s="76" t="b">
        <v>0</v>
      </c>
      <c r="R5348" s="14"/>
      <c r="S5348" s="14"/>
      <c r="T5348" s="14"/>
      <c r="U5348" s="14"/>
      <c r="V5348" s="14"/>
      <c r="W5348" s="14"/>
    </row>
    <row r="5349" ht="31.5" customHeight="1">
      <c r="A5349" s="158"/>
      <c r="B5349" s="159"/>
      <c r="C5349" s="160"/>
      <c r="D5349" s="130"/>
      <c r="E5349" s="130"/>
      <c r="F5349" s="161"/>
      <c r="G5349" s="164"/>
      <c r="H5349" s="76" t="b">
        <v>1</v>
      </c>
      <c r="I5349" s="76" t="b">
        <v>0</v>
      </c>
      <c r="J5349" s="76" t="b">
        <v>0</v>
      </c>
      <c r="K5349" s="76" t="b">
        <v>0</v>
      </c>
      <c r="L5349" s="76" t="b">
        <v>0</v>
      </c>
      <c r="M5349" s="76" t="b">
        <v>0</v>
      </c>
      <c r="N5349" s="76" t="b">
        <v>0</v>
      </c>
      <c r="O5349" s="76" t="b">
        <v>0</v>
      </c>
      <c r="P5349" s="76" t="b">
        <v>0</v>
      </c>
      <c r="Q5349" s="76" t="b">
        <v>0</v>
      </c>
      <c r="R5349" s="14"/>
      <c r="S5349" s="14"/>
      <c r="T5349" s="14"/>
      <c r="U5349" s="14"/>
      <c r="V5349" s="14"/>
      <c r="W5349" s="14"/>
    </row>
    <row r="5350" ht="31.5" customHeight="1">
      <c r="A5350" s="158"/>
      <c r="B5350" s="159"/>
      <c r="C5350" s="160"/>
      <c r="D5350" s="130"/>
      <c r="E5350" s="130"/>
      <c r="F5350" s="161"/>
      <c r="G5350" s="164"/>
      <c r="H5350" s="76" t="b">
        <v>1</v>
      </c>
      <c r="I5350" s="76" t="b">
        <v>0</v>
      </c>
      <c r="J5350" s="76" t="b">
        <v>0</v>
      </c>
      <c r="K5350" s="76" t="b">
        <v>0</v>
      </c>
      <c r="L5350" s="76" t="b">
        <v>0</v>
      </c>
      <c r="M5350" s="76" t="b">
        <v>0</v>
      </c>
      <c r="N5350" s="76" t="b">
        <v>0</v>
      </c>
      <c r="O5350" s="76" t="b">
        <v>0</v>
      </c>
      <c r="P5350" s="76" t="b">
        <v>0</v>
      </c>
      <c r="Q5350" s="76" t="b">
        <v>0</v>
      </c>
      <c r="R5350" s="14"/>
      <c r="S5350" s="14"/>
      <c r="T5350" s="14"/>
      <c r="U5350" s="14"/>
      <c r="V5350" s="14"/>
      <c r="W5350" s="14"/>
    </row>
    <row r="5351" ht="31.5" customHeight="1">
      <c r="A5351" s="158"/>
      <c r="B5351" s="159"/>
      <c r="C5351" s="160"/>
      <c r="D5351" s="130"/>
      <c r="E5351" s="130"/>
      <c r="F5351" s="161"/>
      <c r="G5351" s="164"/>
      <c r="H5351" s="76" t="b">
        <v>1</v>
      </c>
      <c r="I5351" s="76" t="b">
        <v>0</v>
      </c>
      <c r="J5351" s="76" t="b">
        <v>0</v>
      </c>
      <c r="K5351" s="76" t="b">
        <v>0</v>
      </c>
      <c r="L5351" s="76" t="b">
        <v>0</v>
      </c>
      <c r="M5351" s="76" t="b">
        <v>0</v>
      </c>
      <c r="N5351" s="76" t="b">
        <v>0</v>
      </c>
      <c r="O5351" s="76" t="b">
        <v>0</v>
      </c>
      <c r="P5351" s="76" t="b">
        <v>0</v>
      </c>
      <c r="Q5351" s="76" t="b">
        <v>0</v>
      </c>
      <c r="R5351" s="14"/>
      <c r="S5351" s="14"/>
      <c r="T5351" s="14"/>
      <c r="U5351" s="14"/>
      <c r="V5351" s="14"/>
      <c r="W5351" s="14"/>
    </row>
    <row r="5352" ht="31.5" customHeight="1">
      <c r="A5352" s="158"/>
      <c r="B5352" s="159"/>
      <c r="C5352" s="160"/>
      <c r="D5352" s="130"/>
      <c r="E5352" s="130"/>
      <c r="F5352" s="161"/>
      <c r="G5352" s="164"/>
      <c r="H5352" s="76" t="b">
        <v>1</v>
      </c>
      <c r="I5352" s="76" t="b">
        <v>0</v>
      </c>
      <c r="J5352" s="76" t="b">
        <v>0</v>
      </c>
      <c r="K5352" s="76" t="b">
        <v>0</v>
      </c>
      <c r="L5352" s="76" t="b">
        <v>0</v>
      </c>
      <c r="M5352" s="76" t="b">
        <v>0</v>
      </c>
      <c r="N5352" s="76" t="b">
        <v>0</v>
      </c>
      <c r="O5352" s="76" t="b">
        <v>0</v>
      </c>
      <c r="P5352" s="76" t="b">
        <v>0</v>
      </c>
      <c r="Q5352" s="76" t="b">
        <v>0</v>
      </c>
      <c r="R5352" s="14"/>
      <c r="S5352" s="14"/>
      <c r="T5352" s="14"/>
      <c r="U5352" s="14"/>
      <c r="V5352" s="14"/>
      <c r="W5352" s="14"/>
    </row>
    <row r="5353" ht="31.5" customHeight="1">
      <c r="A5353" s="158"/>
      <c r="B5353" s="159"/>
      <c r="C5353" s="160"/>
      <c r="D5353" s="130"/>
      <c r="E5353" s="130"/>
      <c r="F5353" s="161"/>
      <c r="G5353" s="164"/>
      <c r="H5353" s="76" t="b">
        <v>1</v>
      </c>
      <c r="I5353" s="76" t="b">
        <v>0</v>
      </c>
      <c r="J5353" s="76" t="b">
        <v>0</v>
      </c>
      <c r="K5353" s="76" t="b">
        <v>0</v>
      </c>
      <c r="L5353" s="76" t="b">
        <v>0</v>
      </c>
      <c r="M5353" s="76" t="b">
        <v>0</v>
      </c>
      <c r="N5353" s="76" t="b">
        <v>0</v>
      </c>
      <c r="O5353" s="76" t="b">
        <v>0</v>
      </c>
      <c r="P5353" s="76" t="b">
        <v>0</v>
      </c>
      <c r="Q5353" s="76" t="b">
        <v>0</v>
      </c>
      <c r="R5353" s="14"/>
      <c r="S5353" s="14"/>
      <c r="T5353" s="14"/>
      <c r="U5353" s="14"/>
      <c r="V5353" s="14"/>
      <c r="W5353" s="14"/>
    </row>
    <row r="5354" ht="31.5" customHeight="1">
      <c r="A5354" s="158"/>
      <c r="B5354" s="159"/>
      <c r="C5354" s="160"/>
      <c r="D5354" s="130"/>
      <c r="E5354" s="130"/>
      <c r="F5354" s="161"/>
      <c r="G5354" s="164"/>
      <c r="H5354" s="76" t="b">
        <v>1</v>
      </c>
      <c r="I5354" s="76" t="b">
        <v>0</v>
      </c>
      <c r="J5354" s="76" t="b">
        <v>0</v>
      </c>
      <c r="K5354" s="76" t="b">
        <v>0</v>
      </c>
      <c r="L5354" s="76" t="b">
        <v>0</v>
      </c>
      <c r="M5354" s="76" t="b">
        <v>0</v>
      </c>
      <c r="N5354" s="76" t="b">
        <v>0</v>
      </c>
      <c r="O5354" s="76" t="b">
        <v>0</v>
      </c>
      <c r="P5354" s="76" t="b">
        <v>0</v>
      </c>
      <c r="Q5354" s="76" t="b">
        <v>0</v>
      </c>
      <c r="R5354" s="14"/>
      <c r="S5354" s="14"/>
      <c r="T5354" s="14"/>
      <c r="U5354" s="14"/>
      <c r="V5354" s="14"/>
      <c r="W5354" s="14"/>
    </row>
    <row r="5355" ht="31.5" customHeight="1">
      <c r="A5355" s="158"/>
      <c r="B5355" s="159"/>
      <c r="C5355" s="160"/>
      <c r="D5355" s="130"/>
      <c r="E5355" s="130"/>
      <c r="F5355" s="161"/>
      <c r="G5355" s="164"/>
      <c r="H5355" s="76" t="b">
        <v>1</v>
      </c>
      <c r="I5355" s="76" t="b">
        <v>0</v>
      </c>
      <c r="J5355" s="76" t="b">
        <v>0</v>
      </c>
      <c r="K5355" s="76" t="b">
        <v>0</v>
      </c>
      <c r="L5355" s="76" t="b">
        <v>0</v>
      </c>
      <c r="M5355" s="76" t="b">
        <v>0</v>
      </c>
      <c r="N5355" s="76" t="b">
        <v>0</v>
      </c>
      <c r="O5355" s="76" t="b">
        <v>0</v>
      </c>
      <c r="P5355" s="76" t="b">
        <v>0</v>
      </c>
      <c r="Q5355" s="76" t="b">
        <v>0</v>
      </c>
      <c r="R5355" s="14"/>
      <c r="S5355" s="14"/>
      <c r="T5355" s="14"/>
      <c r="U5355" s="14"/>
      <c r="V5355" s="14"/>
      <c r="W5355" s="14"/>
    </row>
    <row r="5356" ht="31.5" customHeight="1">
      <c r="A5356" s="158"/>
      <c r="B5356" s="159"/>
      <c r="C5356" s="160"/>
      <c r="D5356" s="130"/>
      <c r="E5356" s="130"/>
      <c r="F5356" s="161"/>
      <c r="G5356" s="164"/>
      <c r="H5356" s="76" t="b">
        <v>1</v>
      </c>
      <c r="I5356" s="76" t="b">
        <v>0</v>
      </c>
      <c r="J5356" s="76" t="b">
        <v>0</v>
      </c>
      <c r="K5356" s="76" t="b">
        <v>0</v>
      </c>
      <c r="L5356" s="76" t="b">
        <v>0</v>
      </c>
      <c r="M5356" s="76" t="b">
        <v>0</v>
      </c>
      <c r="N5356" s="76" t="b">
        <v>0</v>
      </c>
      <c r="O5356" s="76" t="b">
        <v>0</v>
      </c>
      <c r="P5356" s="76" t="b">
        <v>0</v>
      </c>
      <c r="Q5356" s="76" t="b">
        <v>0</v>
      </c>
      <c r="R5356" s="14"/>
      <c r="S5356" s="14"/>
      <c r="T5356" s="14"/>
      <c r="U5356" s="14"/>
      <c r="V5356" s="14"/>
      <c r="W5356" s="14"/>
    </row>
    <row r="5357" ht="31.5" customHeight="1">
      <c r="A5357" s="158"/>
      <c r="B5357" s="159"/>
      <c r="C5357" s="160"/>
      <c r="D5357" s="130"/>
      <c r="E5357" s="130"/>
      <c r="F5357" s="161"/>
      <c r="G5357" s="164"/>
      <c r="H5357" s="76" t="b">
        <v>1</v>
      </c>
      <c r="I5357" s="76" t="b">
        <v>0</v>
      </c>
      <c r="J5357" s="76" t="b">
        <v>0</v>
      </c>
      <c r="K5357" s="76" t="b">
        <v>0</v>
      </c>
      <c r="L5357" s="76" t="b">
        <v>0</v>
      </c>
      <c r="M5357" s="76" t="b">
        <v>0</v>
      </c>
      <c r="N5357" s="76" t="b">
        <v>0</v>
      </c>
      <c r="O5357" s="76" t="b">
        <v>0</v>
      </c>
      <c r="P5357" s="76" t="b">
        <v>0</v>
      </c>
      <c r="Q5357" s="76" t="b">
        <v>0</v>
      </c>
      <c r="R5357" s="14"/>
      <c r="S5357" s="14"/>
      <c r="T5357" s="14"/>
      <c r="U5357" s="14"/>
      <c r="V5357" s="14"/>
      <c r="W5357" s="14"/>
    </row>
    <row r="5358" ht="31.5" customHeight="1">
      <c r="A5358" s="158"/>
      <c r="B5358" s="159"/>
      <c r="C5358" s="160"/>
      <c r="D5358" s="130"/>
      <c r="E5358" s="130"/>
      <c r="F5358" s="161"/>
      <c r="G5358" s="164"/>
      <c r="H5358" s="76" t="b">
        <v>1</v>
      </c>
      <c r="I5358" s="76" t="b">
        <v>0</v>
      </c>
      <c r="J5358" s="76" t="b">
        <v>0</v>
      </c>
      <c r="K5358" s="76" t="b">
        <v>0</v>
      </c>
      <c r="L5358" s="76" t="b">
        <v>0</v>
      </c>
      <c r="M5358" s="76" t="b">
        <v>0</v>
      </c>
      <c r="N5358" s="76" t="b">
        <v>0</v>
      </c>
      <c r="O5358" s="76" t="b">
        <v>0</v>
      </c>
      <c r="P5358" s="76" t="b">
        <v>0</v>
      </c>
      <c r="Q5358" s="76" t="b">
        <v>0</v>
      </c>
      <c r="R5358" s="14"/>
      <c r="S5358" s="14"/>
      <c r="T5358" s="14"/>
      <c r="U5358" s="14"/>
      <c r="V5358" s="14"/>
      <c r="W5358" s="14"/>
    </row>
    <row r="5359" ht="31.5" customHeight="1">
      <c r="A5359" s="158"/>
      <c r="B5359" s="159"/>
      <c r="C5359" s="160"/>
      <c r="D5359" s="130"/>
      <c r="E5359" s="130"/>
      <c r="F5359" s="161"/>
      <c r="G5359" s="164"/>
      <c r="H5359" s="76" t="b">
        <v>1</v>
      </c>
      <c r="I5359" s="76" t="b">
        <v>0</v>
      </c>
      <c r="J5359" s="76" t="b">
        <v>0</v>
      </c>
      <c r="K5359" s="76" t="b">
        <v>0</v>
      </c>
      <c r="L5359" s="76" t="b">
        <v>0</v>
      </c>
      <c r="M5359" s="76" t="b">
        <v>0</v>
      </c>
      <c r="N5359" s="76" t="b">
        <v>0</v>
      </c>
      <c r="O5359" s="76" t="b">
        <v>0</v>
      </c>
      <c r="P5359" s="76" t="b">
        <v>0</v>
      </c>
      <c r="Q5359" s="76" t="b">
        <v>0</v>
      </c>
      <c r="R5359" s="14"/>
      <c r="S5359" s="14"/>
      <c r="T5359" s="14"/>
      <c r="U5359" s="14"/>
      <c r="V5359" s="14"/>
      <c r="W5359" s="14"/>
    </row>
    <row r="5360" ht="31.5" customHeight="1">
      <c r="A5360" s="158"/>
      <c r="B5360" s="159"/>
      <c r="C5360" s="160"/>
      <c r="D5360" s="130"/>
      <c r="E5360" s="130"/>
      <c r="F5360" s="161"/>
      <c r="G5360" s="164"/>
      <c r="H5360" s="76" t="b">
        <v>1</v>
      </c>
      <c r="I5360" s="76" t="b">
        <v>0</v>
      </c>
      <c r="J5360" s="76" t="b">
        <v>0</v>
      </c>
      <c r="K5360" s="76" t="b">
        <v>0</v>
      </c>
      <c r="L5360" s="76" t="b">
        <v>0</v>
      </c>
      <c r="M5360" s="76" t="b">
        <v>0</v>
      </c>
      <c r="N5360" s="76" t="b">
        <v>0</v>
      </c>
      <c r="O5360" s="76" t="b">
        <v>0</v>
      </c>
      <c r="P5360" s="76" t="b">
        <v>0</v>
      </c>
      <c r="Q5360" s="76" t="b">
        <v>0</v>
      </c>
      <c r="R5360" s="14"/>
      <c r="S5360" s="14"/>
      <c r="T5360" s="14"/>
      <c r="U5360" s="14"/>
      <c r="V5360" s="14"/>
      <c r="W5360" s="14"/>
    </row>
    <row r="5361" ht="31.5" customHeight="1">
      <c r="A5361" s="158"/>
      <c r="B5361" s="159"/>
      <c r="C5361" s="160"/>
      <c r="D5361" s="130"/>
      <c r="E5361" s="130"/>
      <c r="F5361" s="161"/>
      <c r="G5361" s="164"/>
      <c r="H5361" s="76" t="b">
        <v>1</v>
      </c>
      <c r="I5361" s="76" t="b">
        <v>0</v>
      </c>
      <c r="J5361" s="76" t="b">
        <v>0</v>
      </c>
      <c r="K5361" s="76" t="b">
        <v>0</v>
      </c>
      <c r="L5361" s="76" t="b">
        <v>0</v>
      </c>
      <c r="M5361" s="76" t="b">
        <v>0</v>
      </c>
      <c r="N5361" s="76" t="b">
        <v>0</v>
      </c>
      <c r="O5361" s="76" t="b">
        <v>0</v>
      </c>
      <c r="P5361" s="76" t="b">
        <v>0</v>
      </c>
      <c r="Q5361" s="76" t="b">
        <v>0</v>
      </c>
      <c r="R5361" s="14"/>
      <c r="S5361" s="14"/>
      <c r="T5361" s="14"/>
      <c r="U5361" s="14"/>
      <c r="V5361" s="14"/>
      <c r="W5361" s="14"/>
    </row>
    <row r="5362" ht="31.5" customHeight="1">
      <c r="A5362" s="158"/>
      <c r="B5362" s="159"/>
      <c r="C5362" s="160"/>
      <c r="D5362" s="130"/>
      <c r="E5362" s="130"/>
      <c r="F5362" s="161"/>
      <c r="G5362" s="164"/>
      <c r="H5362" s="76" t="b">
        <v>1</v>
      </c>
      <c r="I5362" s="76" t="b">
        <v>0</v>
      </c>
      <c r="J5362" s="76" t="b">
        <v>0</v>
      </c>
      <c r="K5362" s="76" t="b">
        <v>0</v>
      </c>
      <c r="L5362" s="76" t="b">
        <v>0</v>
      </c>
      <c r="M5362" s="76" t="b">
        <v>0</v>
      </c>
      <c r="N5362" s="76" t="b">
        <v>0</v>
      </c>
      <c r="O5362" s="76" t="b">
        <v>0</v>
      </c>
      <c r="P5362" s="76" t="b">
        <v>0</v>
      </c>
      <c r="Q5362" s="76" t="b">
        <v>0</v>
      </c>
      <c r="R5362" s="14"/>
      <c r="S5362" s="14"/>
      <c r="T5362" s="14"/>
      <c r="U5362" s="14"/>
      <c r="V5362" s="14"/>
      <c r="W5362" s="14"/>
    </row>
    <row r="5363" ht="31.5" customHeight="1">
      <c r="A5363" s="158"/>
      <c r="B5363" s="159"/>
      <c r="C5363" s="160"/>
      <c r="D5363" s="130"/>
      <c r="E5363" s="130"/>
      <c r="F5363" s="161"/>
      <c r="G5363" s="164"/>
      <c r="H5363" s="76" t="b">
        <v>1</v>
      </c>
      <c r="I5363" s="76" t="b">
        <v>0</v>
      </c>
      <c r="J5363" s="76" t="b">
        <v>0</v>
      </c>
      <c r="K5363" s="76" t="b">
        <v>0</v>
      </c>
      <c r="L5363" s="76" t="b">
        <v>0</v>
      </c>
      <c r="M5363" s="76" t="b">
        <v>0</v>
      </c>
      <c r="N5363" s="76" t="b">
        <v>0</v>
      </c>
      <c r="O5363" s="76" t="b">
        <v>0</v>
      </c>
      <c r="P5363" s="76" t="b">
        <v>0</v>
      </c>
      <c r="Q5363" s="76" t="b">
        <v>0</v>
      </c>
      <c r="R5363" s="14"/>
      <c r="S5363" s="14"/>
      <c r="T5363" s="14"/>
      <c r="U5363" s="14"/>
      <c r="V5363" s="14"/>
      <c r="W5363" s="14"/>
    </row>
    <row r="5364" ht="31.5" customHeight="1">
      <c r="A5364" s="158"/>
      <c r="B5364" s="159"/>
      <c r="C5364" s="160"/>
      <c r="D5364" s="130"/>
      <c r="E5364" s="130"/>
      <c r="F5364" s="161"/>
      <c r="G5364" s="164"/>
      <c r="H5364" s="76" t="b">
        <v>1</v>
      </c>
      <c r="I5364" s="76" t="b">
        <v>0</v>
      </c>
      <c r="J5364" s="76" t="b">
        <v>0</v>
      </c>
      <c r="K5364" s="76" t="b">
        <v>0</v>
      </c>
      <c r="L5364" s="76" t="b">
        <v>0</v>
      </c>
      <c r="M5364" s="76" t="b">
        <v>0</v>
      </c>
      <c r="N5364" s="76" t="b">
        <v>0</v>
      </c>
      <c r="O5364" s="76" t="b">
        <v>0</v>
      </c>
      <c r="P5364" s="76" t="b">
        <v>0</v>
      </c>
      <c r="Q5364" s="76" t="b">
        <v>0</v>
      </c>
      <c r="R5364" s="14"/>
      <c r="S5364" s="14"/>
      <c r="T5364" s="14"/>
      <c r="U5364" s="14"/>
      <c r="V5364" s="14"/>
      <c r="W5364" s="14"/>
    </row>
    <row r="5365" ht="31.5" customHeight="1">
      <c r="A5365" s="158"/>
      <c r="B5365" s="159"/>
      <c r="C5365" s="160"/>
      <c r="D5365" s="130"/>
      <c r="E5365" s="130"/>
      <c r="F5365" s="161"/>
      <c r="G5365" s="164"/>
      <c r="H5365" s="76" t="b">
        <v>1</v>
      </c>
      <c r="I5365" s="76" t="b">
        <v>0</v>
      </c>
      <c r="J5365" s="76" t="b">
        <v>0</v>
      </c>
      <c r="K5365" s="76" t="b">
        <v>0</v>
      </c>
      <c r="L5365" s="76" t="b">
        <v>0</v>
      </c>
      <c r="M5365" s="76" t="b">
        <v>0</v>
      </c>
      <c r="N5365" s="76" t="b">
        <v>0</v>
      </c>
      <c r="O5365" s="76" t="b">
        <v>0</v>
      </c>
      <c r="P5365" s="76" t="b">
        <v>0</v>
      </c>
      <c r="Q5365" s="76" t="b">
        <v>0</v>
      </c>
      <c r="R5365" s="14"/>
      <c r="S5365" s="14"/>
      <c r="T5365" s="14"/>
      <c r="U5365" s="14"/>
      <c r="V5365" s="14"/>
      <c r="W5365" s="14"/>
    </row>
    <row r="5366" ht="31.5" customHeight="1">
      <c r="A5366" s="158"/>
      <c r="B5366" s="159"/>
      <c r="C5366" s="160"/>
      <c r="D5366" s="130"/>
      <c r="E5366" s="130"/>
      <c r="F5366" s="161"/>
      <c r="G5366" s="164"/>
      <c r="H5366" s="76" t="b">
        <v>1</v>
      </c>
      <c r="I5366" s="76" t="b">
        <v>0</v>
      </c>
      <c r="J5366" s="76" t="b">
        <v>0</v>
      </c>
      <c r="K5366" s="76" t="b">
        <v>0</v>
      </c>
      <c r="L5366" s="76" t="b">
        <v>0</v>
      </c>
      <c r="M5366" s="76" t="b">
        <v>0</v>
      </c>
      <c r="N5366" s="76" t="b">
        <v>0</v>
      </c>
      <c r="O5366" s="76" t="b">
        <v>0</v>
      </c>
      <c r="P5366" s="76" t="b">
        <v>0</v>
      </c>
      <c r="Q5366" s="76" t="b">
        <v>0</v>
      </c>
      <c r="R5366" s="14"/>
      <c r="S5366" s="14"/>
      <c r="T5366" s="14"/>
      <c r="U5366" s="14"/>
      <c r="V5366" s="14"/>
      <c r="W5366" s="14"/>
    </row>
    <row r="5367" ht="31.5" customHeight="1">
      <c r="A5367" s="158"/>
      <c r="B5367" s="159"/>
      <c r="C5367" s="160"/>
      <c r="D5367" s="130"/>
      <c r="E5367" s="130"/>
      <c r="F5367" s="161"/>
      <c r="G5367" s="164"/>
      <c r="H5367" s="76" t="b">
        <v>1</v>
      </c>
      <c r="I5367" s="76" t="b">
        <v>0</v>
      </c>
      <c r="J5367" s="76" t="b">
        <v>0</v>
      </c>
      <c r="K5367" s="76" t="b">
        <v>0</v>
      </c>
      <c r="L5367" s="76" t="b">
        <v>0</v>
      </c>
      <c r="M5367" s="76" t="b">
        <v>0</v>
      </c>
      <c r="N5367" s="76" t="b">
        <v>0</v>
      </c>
      <c r="O5367" s="76" t="b">
        <v>0</v>
      </c>
      <c r="P5367" s="76" t="b">
        <v>0</v>
      </c>
      <c r="Q5367" s="76" t="b">
        <v>0</v>
      </c>
      <c r="R5367" s="14"/>
      <c r="S5367" s="14"/>
      <c r="T5367" s="14"/>
      <c r="U5367" s="14"/>
      <c r="V5367" s="14"/>
      <c r="W5367" s="14"/>
    </row>
    <row r="5368" ht="31.5" customHeight="1">
      <c r="A5368" s="158"/>
      <c r="B5368" s="159"/>
      <c r="C5368" s="160"/>
      <c r="D5368" s="130"/>
      <c r="E5368" s="130"/>
      <c r="F5368" s="161"/>
      <c r="G5368" s="164"/>
      <c r="H5368" s="76" t="b">
        <v>1</v>
      </c>
      <c r="I5368" s="76" t="b">
        <v>0</v>
      </c>
      <c r="J5368" s="76" t="b">
        <v>0</v>
      </c>
      <c r="K5368" s="76" t="b">
        <v>0</v>
      </c>
      <c r="L5368" s="76" t="b">
        <v>0</v>
      </c>
      <c r="M5368" s="76" t="b">
        <v>0</v>
      </c>
      <c r="N5368" s="76" t="b">
        <v>0</v>
      </c>
      <c r="O5368" s="76" t="b">
        <v>0</v>
      </c>
      <c r="P5368" s="76" t="b">
        <v>0</v>
      </c>
      <c r="Q5368" s="76" t="b">
        <v>0</v>
      </c>
      <c r="R5368" s="14"/>
      <c r="S5368" s="14"/>
      <c r="T5368" s="14"/>
      <c r="U5368" s="14"/>
      <c r="V5368" s="14"/>
      <c r="W5368" s="14"/>
    </row>
    <row r="5369" ht="31.5" customHeight="1">
      <c r="A5369" s="158"/>
      <c r="B5369" s="159"/>
      <c r="C5369" s="160"/>
      <c r="D5369" s="130"/>
      <c r="E5369" s="130"/>
      <c r="F5369" s="161"/>
      <c r="G5369" s="164"/>
      <c r="H5369" s="76" t="b">
        <v>1</v>
      </c>
      <c r="I5369" s="76" t="b">
        <v>0</v>
      </c>
      <c r="J5369" s="76" t="b">
        <v>0</v>
      </c>
      <c r="K5369" s="76" t="b">
        <v>0</v>
      </c>
      <c r="L5369" s="76" t="b">
        <v>0</v>
      </c>
      <c r="M5369" s="76" t="b">
        <v>0</v>
      </c>
      <c r="N5369" s="76" t="b">
        <v>0</v>
      </c>
      <c r="O5369" s="76" t="b">
        <v>0</v>
      </c>
      <c r="P5369" s="76" t="b">
        <v>0</v>
      </c>
      <c r="Q5369" s="76" t="b">
        <v>0</v>
      </c>
      <c r="R5369" s="14"/>
      <c r="S5369" s="14"/>
      <c r="T5369" s="14"/>
      <c r="U5369" s="14"/>
      <c r="V5369" s="14"/>
      <c r="W5369" s="14"/>
    </row>
    <row r="5370" ht="31.5" customHeight="1">
      <c r="A5370" s="158"/>
      <c r="B5370" s="159"/>
      <c r="C5370" s="160"/>
      <c r="D5370" s="130"/>
      <c r="E5370" s="130"/>
      <c r="F5370" s="161"/>
      <c r="G5370" s="164"/>
      <c r="H5370" s="76" t="b">
        <v>1</v>
      </c>
      <c r="I5370" s="76" t="b">
        <v>0</v>
      </c>
      <c r="J5370" s="76" t="b">
        <v>0</v>
      </c>
      <c r="K5370" s="76" t="b">
        <v>0</v>
      </c>
      <c r="L5370" s="76" t="b">
        <v>0</v>
      </c>
      <c r="M5370" s="76" t="b">
        <v>0</v>
      </c>
      <c r="N5370" s="76" t="b">
        <v>0</v>
      </c>
      <c r="O5370" s="76" t="b">
        <v>0</v>
      </c>
      <c r="P5370" s="76" t="b">
        <v>0</v>
      </c>
      <c r="Q5370" s="76" t="b">
        <v>0</v>
      </c>
      <c r="R5370" s="14"/>
      <c r="S5370" s="14"/>
      <c r="T5370" s="14"/>
      <c r="U5370" s="14"/>
      <c r="V5370" s="14"/>
      <c r="W5370" s="14"/>
    </row>
    <row r="5371" ht="31.5" customHeight="1">
      <c r="A5371" s="158"/>
      <c r="B5371" s="159"/>
      <c r="C5371" s="160"/>
      <c r="D5371" s="130"/>
      <c r="E5371" s="130"/>
      <c r="F5371" s="161"/>
      <c r="G5371" s="164"/>
      <c r="H5371" s="76" t="b">
        <v>1</v>
      </c>
      <c r="I5371" s="76" t="b">
        <v>0</v>
      </c>
      <c r="J5371" s="76" t="b">
        <v>0</v>
      </c>
      <c r="K5371" s="76" t="b">
        <v>0</v>
      </c>
      <c r="L5371" s="76" t="b">
        <v>0</v>
      </c>
      <c r="M5371" s="76" t="b">
        <v>0</v>
      </c>
      <c r="N5371" s="76" t="b">
        <v>0</v>
      </c>
      <c r="O5371" s="76" t="b">
        <v>0</v>
      </c>
      <c r="P5371" s="76" t="b">
        <v>0</v>
      </c>
      <c r="Q5371" s="76" t="b">
        <v>0</v>
      </c>
      <c r="R5371" s="14"/>
      <c r="S5371" s="14"/>
      <c r="T5371" s="14"/>
      <c r="U5371" s="14"/>
      <c r="V5371" s="14"/>
      <c r="W5371" s="14"/>
    </row>
    <row r="5372" ht="31.5" customHeight="1">
      <c r="A5372" s="158"/>
      <c r="B5372" s="159"/>
      <c r="C5372" s="160"/>
      <c r="D5372" s="130"/>
      <c r="E5372" s="130"/>
      <c r="F5372" s="161"/>
      <c r="G5372" s="164"/>
      <c r="H5372" s="76" t="b">
        <v>1</v>
      </c>
      <c r="I5372" s="76" t="b">
        <v>0</v>
      </c>
      <c r="J5372" s="76" t="b">
        <v>0</v>
      </c>
      <c r="K5372" s="76" t="b">
        <v>0</v>
      </c>
      <c r="L5372" s="76" t="b">
        <v>0</v>
      </c>
      <c r="M5372" s="76" t="b">
        <v>0</v>
      </c>
      <c r="N5372" s="76" t="b">
        <v>0</v>
      </c>
      <c r="O5372" s="76" t="b">
        <v>0</v>
      </c>
      <c r="P5372" s="76" t="b">
        <v>0</v>
      </c>
      <c r="Q5372" s="76" t="b">
        <v>0</v>
      </c>
      <c r="R5372" s="14"/>
      <c r="S5372" s="14"/>
      <c r="T5372" s="14"/>
      <c r="U5372" s="14"/>
      <c r="V5372" s="14"/>
      <c r="W5372" s="14"/>
    </row>
    <row r="5373" ht="31.5" customHeight="1">
      <c r="A5373" s="158"/>
      <c r="B5373" s="159"/>
      <c r="C5373" s="160"/>
      <c r="D5373" s="130"/>
      <c r="E5373" s="130"/>
      <c r="F5373" s="161"/>
      <c r="G5373" s="164"/>
      <c r="H5373" s="76" t="b">
        <v>1</v>
      </c>
      <c r="I5373" s="76" t="b">
        <v>0</v>
      </c>
      <c r="J5373" s="76" t="b">
        <v>0</v>
      </c>
      <c r="K5373" s="76" t="b">
        <v>0</v>
      </c>
      <c r="L5373" s="76" t="b">
        <v>0</v>
      </c>
      <c r="M5373" s="76" t="b">
        <v>0</v>
      </c>
      <c r="N5373" s="76" t="b">
        <v>0</v>
      </c>
      <c r="O5373" s="76" t="b">
        <v>0</v>
      </c>
      <c r="P5373" s="76" t="b">
        <v>0</v>
      </c>
      <c r="Q5373" s="76" t="b">
        <v>0</v>
      </c>
      <c r="R5373" s="14"/>
      <c r="S5373" s="14"/>
      <c r="T5373" s="14"/>
      <c r="U5373" s="14"/>
      <c r="V5373" s="14"/>
      <c r="W5373" s="14"/>
    </row>
    <row r="5374" ht="31.5" customHeight="1">
      <c r="A5374" s="158"/>
      <c r="B5374" s="159"/>
      <c r="C5374" s="160"/>
      <c r="D5374" s="130"/>
      <c r="E5374" s="130"/>
      <c r="F5374" s="161"/>
      <c r="G5374" s="164"/>
      <c r="H5374" s="76" t="b">
        <v>1</v>
      </c>
      <c r="I5374" s="76" t="b">
        <v>0</v>
      </c>
      <c r="J5374" s="76" t="b">
        <v>0</v>
      </c>
      <c r="K5374" s="76" t="b">
        <v>0</v>
      </c>
      <c r="L5374" s="76" t="b">
        <v>0</v>
      </c>
      <c r="M5374" s="76" t="b">
        <v>0</v>
      </c>
      <c r="N5374" s="76" t="b">
        <v>0</v>
      </c>
      <c r="O5374" s="76" t="b">
        <v>0</v>
      </c>
      <c r="P5374" s="76" t="b">
        <v>0</v>
      </c>
      <c r="Q5374" s="76" t="b">
        <v>0</v>
      </c>
      <c r="R5374" s="14"/>
      <c r="S5374" s="14"/>
      <c r="T5374" s="14"/>
      <c r="U5374" s="14"/>
      <c r="V5374" s="14"/>
      <c r="W5374" s="14"/>
    </row>
    <row r="5375" ht="31.5" customHeight="1">
      <c r="A5375" s="158"/>
      <c r="B5375" s="159"/>
      <c r="C5375" s="160"/>
      <c r="D5375" s="130"/>
      <c r="E5375" s="130"/>
      <c r="F5375" s="161"/>
      <c r="G5375" s="164"/>
      <c r="H5375" s="76" t="b">
        <v>1</v>
      </c>
      <c r="I5375" s="76" t="b">
        <v>0</v>
      </c>
      <c r="J5375" s="76" t="b">
        <v>0</v>
      </c>
      <c r="K5375" s="76" t="b">
        <v>0</v>
      </c>
      <c r="L5375" s="76" t="b">
        <v>0</v>
      </c>
      <c r="M5375" s="76" t="b">
        <v>0</v>
      </c>
      <c r="N5375" s="76" t="b">
        <v>0</v>
      </c>
      <c r="O5375" s="76" t="b">
        <v>0</v>
      </c>
      <c r="P5375" s="76" t="b">
        <v>0</v>
      </c>
      <c r="Q5375" s="76" t="b">
        <v>0</v>
      </c>
      <c r="R5375" s="14"/>
      <c r="S5375" s="14"/>
      <c r="T5375" s="14"/>
      <c r="U5375" s="14"/>
      <c r="V5375" s="14"/>
      <c r="W5375" s="14"/>
    </row>
    <row r="5376" ht="31.5" customHeight="1">
      <c r="A5376" s="158"/>
      <c r="B5376" s="159"/>
      <c r="C5376" s="160"/>
      <c r="D5376" s="130"/>
      <c r="E5376" s="130"/>
      <c r="F5376" s="161"/>
      <c r="G5376" s="164"/>
      <c r="H5376" s="76" t="b">
        <v>1</v>
      </c>
      <c r="I5376" s="76" t="b">
        <v>0</v>
      </c>
      <c r="J5376" s="76" t="b">
        <v>0</v>
      </c>
      <c r="K5376" s="76" t="b">
        <v>0</v>
      </c>
      <c r="L5376" s="76" t="b">
        <v>0</v>
      </c>
      <c r="M5376" s="76" t="b">
        <v>0</v>
      </c>
      <c r="N5376" s="76" t="b">
        <v>0</v>
      </c>
      <c r="O5376" s="76" t="b">
        <v>0</v>
      </c>
      <c r="P5376" s="76" t="b">
        <v>0</v>
      </c>
      <c r="Q5376" s="76" t="b">
        <v>0</v>
      </c>
      <c r="R5376" s="14"/>
      <c r="S5376" s="14"/>
      <c r="T5376" s="14"/>
      <c r="U5376" s="14"/>
      <c r="V5376" s="14"/>
      <c r="W5376" s="14"/>
    </row>
    <row r="5377" ht="31.5" customHeight="1">
      <c r="A5377" s="158"/>
      <c r="B5377" s="159"/>
      <c r="C5377" s="160"/>
      <c r="D5377" s="130"/>
      <c r="E5377" s="130"/>
      <c r="F5377" s="161"/>
      <c r="G5377" s="164"/>
      <c r="H5377" s="76" t="b">
        <v>1</v>
      </c>
      <c r="I5377" s="76" t="b">
        <v>0</v>
      </c>
      <c r="J5377" s="76" t="b">
        <v>0</v>
      </c>
      <c r="K5377" s="76" t="b">
        <v>0</v>
      </c>
      <c r="L5377" s="76" t="b">
        <v>0</v>
      </c>
      <c r="M5377" s="76" t="b">
        <v>0</v>
      </c>
      <c r="N5377" s="76" t="b">
        <v>0</v>
      </c>
      <c r="O5377" s="76" t="b">
        <v>0</v>
      </c>
      <c r="P5377" s="76" t="b">
        <v>0</v>
      </c>
      <c r="Q5377" s="76" t="b">
        <v>0</v>
      </c>
      <c r="R5377" s="14"/>
      <c r="S5377" s="14"/>
      <c r="T5377" s="14"/>
      <c r="U5377" s="14"/>
      <c r="V5377" s="14"/>
      <c r="W5377" s="14"/>
    </row>
    <row r="5378" ht="31.5" customHeight="1">
      <c r="A5378" s="158"/>
      <c r="B5378" s="159"/>
      <c r="C5378" s="160"/>
      <c r="D5378" s="130"/>
      <c r="E5378" s="130"/>
      <c r="F5378" s="161"/>
      <c r="G5378" s="164"/>
      <c r="H5378" s="76" t="b">
        <v>1</v>
      </c>
      <c r="I5378" s="76" t="b">
        <v>0</v>
      </c>
      <c r="J5378" s="76" t="b">
        <v>0</v>
      </c>
      <c r="K5378" s="76" t="b">
        <v>0</v>
      </c>
      <c r="L5378" s="76" t="b">
        <v>0</v>
      </c>
      <c r="M5378" s="76" t="b">
        <v>0</v>
      </c>
      <c r="N5378" s="76" t="b">
        <v>0</v>
      </c>
      <c r="O5378" s="76" t="b">
        <v>0</v>
      </c>
      <c r="P5378" s="76" t="b">
        <v>0</v>
      </c>
      <c r="Q5378" s="76" t="b">
        <v>0</v>
      </c>
      <c r="R5378" s="14"/>
      <c r="S5378" s="14"/>
      <c r="T5378" s="14"/>
      <c r="U5378" s="14"/>
      <c r="V5378" s="14"/>
      <c r="W5378" s="14"/>
    </row>
    <row r="5379" ht="31.5" customHeight="1">
      <c r="A5379" s="158"/>
      <c r="B5379" s="159"/>
      <c r="C5379" s="160"/>
      <c r="D5379" s="130"/>
      <c r="E5379" s="130"/>
      <c r="F5379" s="161"/>
      <c r="G5379" s="164"/>
      <c r="H5379" s="76" t="b">
        <v>1</v>
      </c>
      <c r="I5379" s="76" t="b">
        <v>0</v>
      </c>
      <c r="J5379" s="76" t="b">
        <v>0</v>
      </c>
      <c r="K5379" s="76" t="b">
        <v>0</v>
      </c>
      <c r="L5379" s="76" t="b">
        <v>0</v>
      </c>
      <c r="M5379" s="76" t="b">
        <v>0</v>
      </c>
      <c r="N5379" s="76" t="b">
        <v>0</v>
      </c>
      <c r="O5379" s="76" t="b">
        <v>0</v>
      </c>
      <c r="P5379" s="76" t="b">
        <v>0</v>
      </c>
      <c r="Q5379" s="76" t="b">
        <v>0</v>
      </c>
      <c r="R5379" s="14"/>
      <c r="S5379" s="14"/>
      <c r="T5379" s="14"/>
      <c r="U5379" s="14"/>
      <c r="V5379" s="14"/>
      <c r="W5379" s="14"/>
    </row>
    <row r="5380" ht="31.5" customHeight="1">
      <c r="A5380" s="158"/>
      <c r="B5380" s="159"/>
      <c r="C5380" s="160"/>
      <c r="D5380" s="130"/>
      <c r="E5380" s="130"/>
      <c r="F5380" s="161"/>
      <c r="G5380" s="164"/>
      <c r="H5380" s="76" t="b">
        <v>1</v>
      </c>
      <c r="I5380" s="76" t="b">
        <v>0</v>
      </c>
      <c r="J5380" s="76" t="b">
        <v>0</v>
      </c>
      <c r="K5380" s="76" t="b">
        <v>0</v>
      </c>
      <c r="L5380" s="76" t="b">
        <v>0</v>
      </c>
      <c r="M5380" s="76" t="b">
        <v>0</v>
      </c>
      <c r="N5380" s="76" t="b">
        <v>0</v>
      </c>
      <c r="O5380" s="76" t="b">
        <v>0</v>
      </c>
      <c r="P5380" s="76" t="b">
        <v>0</v>
      </c>
      <c r="Q5380" s="76" t="b">
        <v>0</v>
      </c>
      <c r="R5380" s="14"/>
      <c r="S5380" s="14"/>
      <c r="T5380" s="14"/>
      <c r="U5380" s="14"/>
      <c r="V5380" s="14"/>
      <c r="W5380" s="14"/>
    </row>
    <row r="5381" ht="31.5" customHeight="1">
      <c r="A5381" s="158"/>
      <c r="B5381" s="159"/>
      <c r="C5381" s="160"/>
      <c r="D5381" s="130"/>
      <c r="E5381" s="130"/>
      <c r="F5381" s="161"/>
      <c r="G5381" s="164"/>
      <c r="H5381" s="76" t="b">
        <v>1</v>
      </c>
      <c r="I5381" s="76" t="b">
        <v>0</v>
      </c>
      <c r="J5381" s="76" t="b">
        <v>0</v>
      </c>
      <c r="K5381" s="76" t="b">
        <v>0</v>
      </c>
      <c r="L5381" s="76" t="b">
        <v>0</v>
      </c>
      <c r="M5381" s="76" t="b">
        <v>0</v>
      </c>
      <c r="N5381" s="76" t="b">
        <v>0</v>
      </c>
      <c r="O5381" s="76" t="b">
        <v>0</v>
      </c>
      <c r="P5381" s="76" t="b">
        <v>0</v>
      </c>
      <c r="Q5381" s="76" t="b">
        <v>0</v>
      </c>
      <c r="R5381" s="14"/>
      <c r="S5381" s="14"/>
      <c r="T5381" s="14"/>
      <c r="U5381" s="14"/>
      <c r="V5381" s="14"/>
      <c r="W5381" s="14"/>
    </row>
    <row r="5382" ht="31.5" customHeight="1">
      <c r="A5382" s="158"/>
      <c r="B5382" s="159"/>
      <c r="C5382" s="160"/>
      <c r="D5382" s="130"/>
      <c r="E5382" s="130"/>
      <c r="F5382" s="161"/>
      <c r="G5382" s="164"/>
      <c r="H5382" s="76" t="b">
        <v>1</v>
      </c>
      <c r="I5382" s="76" t="b">
        <v>0</v>
      </c>
      <c r="J5382" s="76" t="b">
        <v>0</v>
      </c>
      <c r="K5382" s="76" t="b">
        <v>0</v>
      </c>
      <c r="L5382" s="76" t="b">
        <v>0</v>
      </c>
      <c r="M5382" s="76" t="b">
        <v>0</v>
      </c>
      <c r="N5382" s="76" t="b">
        <v>0</v>
      </c>
      <c r="O5382" s="76" t="b">
        <v>0</v>
      </c>
      <c r="P5382" s="76" t="b">
        <v>0</v>
      </c>
      <c r="Q5382" s="76" t="b">
        <v>0</v>
      </c>
      <c r="R5382" s="14"/>
      <c r="S5382" s="14"/>
      <c r="T5382" s="14"/>
      <c r="U5382" s="14"/>
      <c r="V5382" s="14"/>
      <c r="W5382" s="14"/>
    </row>
    <row r="5383" ht="31.5" customHeight="1">
      <c r="A5383" s="158"/>
      <c r="B5383" s="159"/>
      <c r="C5383" s="160"/>
      <c r="D5383" s="130"/>
      <c r="E5383" s="130"/>
      <c r="F5383" s="161"/>
      <c r="G5383" s="164"/>
      <c r="H5383" s="76" t="b">
        <v>1</v>
      </c>
      <c r="I5383" s="76" t="b">
        <v>0</v>
      </c>
      <c r="J5383" s="76" t="b">
        <v>0</v>
      </c>
      <c r="K5383" s="76" t="b">
        <v>0</v>
      </c>
      <c r="L5383" s="76" t="b">
        <v>0</v>
      </c>
      <c r="M5383" s="76" t="b">
        <v>0</v>
      </c>
      <c r="N5383" s="76" t="b">
        <v>0</v>
      </c>
      <c r="O5383" s="76" t="b">
        <v>0</v>
      </c>
      <c r="P5383" s="76" t="b">
        <v>0</v>
      </c>
      <c r="Q5383" s="76" t="b">
        <v>0</v>
      </c>
      <c r="R5383" s="14"/>
      <c r="S5383" s="14"/>
      <c r="T5383" s="14"/>
      <c r="U5383" s="14"/>
      <c r="V5383" s="14"/>
      <c r="W5383" s="14"/>
    </row>
    <row r="5384" ht="31.5" customHeight="1">
      <c r="A5384" s="158"/>
      <c r="B5384" s="159"/>
      <c r="C5384" s="160"/>
      <c r="D5384" s="130"/>
      <c r="E5384" s="130"/>
      <c r="F5384" s="161"/>
      <c r="G5384" s="164"/>
      <c r="H5384" s="76" t="b">
        <v>1</v>
      </c>
      <c r="I5384" s="76" t="b">
        <v>0</v>
      </c>
      <c r="J5384" s="76" t="b">
        <v>0</v>
      </c>
      <c r="K5384" s="76" t="b">
        <v>0</v>
      </c>
      <c r="L5384" s="76" t="b">
        <v>0</v>
      </c>
      <c r="M5384" s="76" t="b">
        <v>0</v>
      </c>
      <c r="N5384" s="76" t="b">
        <v>0</v>
      </c>
      <c r="O5384" s="76" t="b">
        <v>0</v>
      </c>
      <c r="P5384" s="76" t="b">
        <v>0</v>
      </c>
      <c r="Q5384" s="76" t="b">
        <v>0</v>
      </c>
      <c r="R5384" s="14"/>
      <c r="S5384" s="14"/>
      <c r="T5384" s="14"/>
      <c r="U5384" s="14"/>
      <c r="V5384" s="14"/>
      <c r="W5384" s="14"/>
    </row>
    <row r="5385" ht="31.5" customHeight="1">
      <c r="A5385" s="158"/>
      <c r="B5385" s="159"/>
      <c r="C5385" s="160"/>
      <c r="D5385" s="130"/>
      <c r="E5385" s="130"/>
      <c r="F5385" s="161"/>
      <c r="G5385" s="164"/>
      <c r="H5385" s="76" t="b">
        <v>1</v>
      </c>
      <c r="I5385" s="76" t="b">
        <v>0</v>
      </c>
      <c r="J5385" s="76" t="b">
        <v>0</v>
      </c>
      <c r="K5385" s="76" t="b">
        <v>0</v>
      </c>
      <c r="L5385" s="76" t="b">
        <v>0</v>
      </c>
      <c r="M5385" s="76" t="b">
        <v>0</v>
      </c>
      <c r="N5385" s="76" t="b">
        <v>0</v>
      </c>
      <c r="O5385" s="76" t="b">
        <v>0</v>
      </c>
      <c r="P5385" s="76" t="b">
        <v>0</v>
      </c>
      <c r="Q5385" s="76" t="b">
        <v>0</v>
      </c>
      <c r="R5385" s="14"/>
      <c r="S5385" s="14"/>
      <c r="T5385" s="14"/>
      <c r="U5385" s="14"/>
      <c r="V5385" s="14"/>
      <c r="W5385" s="14"/>
    </row>
    <row r="5386" ht="31.5" customHeight="1">
      <c r="A5386" s="158"/>
      <c r="B5386" s="159"/>
      <c r="C5386" s="160"/>
      <c r="D5386" s="130"/>
      <c r="E5386" s="130"/>
      <c r="F5386" s="161"/>
      <c r="G5386" s="164"/>
      <c r="H5386" s="76" t="b">
        <v>1</v>
      </c>
      <c r="I5386" s="76" t="b">
        <v>0</v>
      </c>
      <c r="J5386" s="76" t="b">
        <v>0</v>
      </c>
      <c r="K5386" s="76" t="b">
        <v>0</v>
      </c>
      <c r="L5386" s="76" t="b">
        <v>0</v>
      </c>
      <c r="M5386" s="76" t="b">
        <v>0</v>
      </c>
      <c r="N5386" s="76" t="b">
        <v>0</v>
      </c>
      <c r="O5386" s="76" t="b">
        <v>0</v>
      </c>
      <c r="P5386" s="76" t="b">
        <v>0</v>
      </c>
      <c r="Q5386" s="76" t="b">
        <v>0</v>
      </c>
      <c r="R5386" s="14"/>
      <c r="S5386" s="14"/>
      <c r="T5386" s="14"/>
      <c r="U5386" s="14"/>
      <c r="V5386" s="14"/>
      <c r="W5386" s="14"/>
    </row>
    <row r="5387" ht="31.5" customHeight="1">
      <c r="A5387" s="158"/>
      <c r="B5387" s="159"/>
      <c r="C5387" s="160"/>
      <c r="D5387" s="130"/>
      <c r="E5387" s="130"/>
      <c r="F5387" s="161"/>
      <c r="G5387" s="164"/>
      <c r="H5387" s="76" t="b">
        <v>1</v>
      </c>
      <c r="I5387" s="76" t="b">
        <v>0</v>
      </c>
      <c r="J5387" s="76" t="b">
        <v>0</v>
      </c>
      <c r="K5387" s="76" t="b">
        <v>0</v>
      </c>
      <c r="L5387" s="76" t="b">
        <v>0</v>
      </c>
      <c r="M5387" s="76" t="b">
        <v>0</v>
      </c>
      <c r="N5387" s="76" t="b">
        <v>0</v>
      </c>
      <c r="O5387" s="76" t="b">
        <v>0</v>
      </c>
      <c r="P5387" s="76" t="b">
        <v>0</v>
      </c>
      <c r="Q5387" s="76" t="b">
        <v>0</v>
      </c>
      <c r="R5387" s="14"/>
      <c r="S5387" s="14"/>
      <c r="T5387" s="14"/>
      <c r="U5387" s="14"/>
      <c r="V5387" s="14"/>
      <c r="W5387" s="14"/>
    </row>
    <row r="5388" ht="31.5" customHeight="1">
      <c r="A5388" s="158"/>
      <c r="B5388" s="159"/>
      <c r="C5388" s="160"/>
      <c r="D5388" s="130"/>
      <c r="E5388" s="130"/>
      <c r="F5388" s="161"/>
      <c r="G5388" s="164"/>
      <c r="H5388" s="76" t="b">
        <v>1</v>
      </c>
      <c r="I5388" s="76" t="b">
        <v>0</v>
      </c>
      <c r="J5388" s="76" t="b">
        <v>0</v>
      </c>
      <c r="K5388" s="76" t="b">
        <v>0</v>
      </c>
      <c r="L5388" s="76" t="b">
        <v>0</v>
      </c>
      <c r="M5388" s="76" t="b">
        <v>0</v>
      </c>
      <c r="N5388" s="76" t="b">
        <v>0</v>
      </c>
      <c r="O5388" s="76" t="b">
        <v>0</v>
      </c>
      <c r="P5388" s="76" t="b">
        <v>0</v>
      </c>
      <c r="Q5388" s="76" t="b">
        <v>0</v>
      </c>
      <c r="R5388" s="14"/>
      <c r="S5388" s="14"/>
      <c r="T5388" s="14"/>
      <c r="U5388" s="14"/>
      <c r="V5388" s="14"/>
      <c r="W5388" s="14"/>
    </row>
    <row r="5389" ht="31.5" customHeight="1">
      <c r="A5389" s="158"/>
      <c r="B5389" s="159"/>
      <c r="C5389" s="160"/>
      <c r="D5389" s="130"/>
      <c r="E5389" s="130"/>
      <c r="F5389" s="161"/>
      <c r="G5389" s="164"/>
      <c r="H5389" s="76" t="b">
        <v>1</v>
      </c>
      <c r="I5389" s="76" t="b">
        <v>0</v>
      </c>
      <c r="J5389" s="76" t="b">
        <v>0</v>
      </c>
      <c r="K5389" s="76" t="b">
        <v>0</v>
      </c>
      <c r="L5389" s="76" t="b">
        <v>0</v>
      </c>
      <c r="M5389" s="76" t="b">
        <v>0</v>
      </c>
      <c r="N5389" s="76" t="b">
        <v>0</v>
      </c>
      <c r="O5389" s="76" t="b">
        <v>0</v>
      </c>
      <c r="P5389" s="76" t="b">
        <v>0</v>
      </c>
      <c r="Q5389" s="76" t="b">
        <v>0</v>
      </c>
      <c r="R5389" s="14"/>
      <c r="S5389" s="14"/>
      <c r="T5389" s="14"/>
      <c r="U5389" s="14"/>
      <c r="V5389" s="14"/>
      <c r="W5389" s="14"/>
    </row>
    <row r="5390" ht="31.5" customHeight="1">
      <c r="A5390" s="158"/>
      <c r="B5390" s="159"/>
      <c r="C5390" s="160"/>
      <c r="D5390" s="130"/>
      <c r="E5390" s="130"/>
      <c r="F5390" s="161"/>
      <c r="G5390" s="164"/>
      <c r="H5390" s="76" t="b">
        <v>1</v>
      </c>
      <c r="I5390" s="76" t="b">
        <v>0</v>
      </c>
      <c r="J5390" s="76" t="b">
        <v>0</v>
      </c>
      <c r="K5390" s="76" t="b">
        <v>0</v>
      </c>
      <c r="L5390" s="76" t="b">
        <v>0</v>
      </c>
      <c r="M5390" s="76" t="b">
        <v>0</v>
      </c>
      <c r="N5390" s="76" t="b">
        <v>0</v>
      </c>
      <c r="O5390" s="76" t="b">
        <v>0</v>
      </c>
      <c r="P5390" s="76" t="b">
        <v>0</v>
      </c>
      <c r="Q5390" s="76" t="b">
        <v>0</v>
      </c>
      <c r="R5390" s="14"/>
      <c r="S5390" s="14"/>
      <c r="T5390" s="14"/>
      <c r="U5390" s="14"/>
      <c r="V5390" s="14"/>
      <c r="W5390" s="14"/>
    </row>
    <row r="5391" ht="31.5" customHeight="1">
      <c r="A5391" s="158"/>
      <c r="B5391" s="159"/>
      <c r="C5391" s="160"/>
      <c r="D5391" s="130"/>
      <c r="E5391" s="130"/>
      <c r="F5391" s="161"/>
      <c r="G5391" s="164"/>
      <c r="H5391" s="76" t="b">
        <v>1</v>
      </c>
      <c r="I5391" s="76" t="b">
        <v>0</v>
      </c>
      <c r="J5391" s="76" t="b">
        <v>0</v>
      </c>
      <c r="K5391" s="76" t="b">
        <v>0</v>
      </c>
      <c r="L5391" s="76" t="b">
        <v>0</v>
      </c>
      <c r="M5391" s="76" t="b">
        <v>0</v>
      </c>
      <c r="N5391" s="76" t="b">
        <v>0</v>
      </c>
      <c r="O5391" s="76" t="b">
        <v>0</v>
      </c>
      <c r="P5391" s="76" t="b">
        <v>0</v>
      </c>
      <c r="Q5391" s="76" t="b">
        <v>0</v>
      </c>
      <c r="R5391" s="14"/>
      <c r="S5391" s="14"/>
      <c r="T5391" s="14"/>
      <c r="U5391" s="14"/>
      <c r="V5391" s="14"/>
      <c r="W5391" s="14"/>
    </row>
    <row r="5392" ht="31.5" customHeight="1">
      <c r="A5392" s="158"/>
      <c r="B5392" s="159"/>
      <c r="C5392" s="160"/>
      <c r="D5392" s="130"/>
      <c r="E5392" s="130"/>
      <c r="F5392" s="161"/>
      <c r="G5392" s="164"/>
      <c r="H5392" s="76" t="b">
        <v>1</v>
      </c>
      <c r="I5392" s="76" t="b">
        <v>0</v>
      </c>
      <c r="J5392" s="76" t="b">
        <v>0</v>
      </c>
      <c r="K5392" s="76" t="b">
        <v>0</v>
      </c>
      <c r="L5392" s="76" t="b">
        <v>0</v>
      </c>
      <c r="M5392" s="76" t="b">
        <v>0</v>
      </c>
      <c r="N5392" s="76" t="b">
        <v>0</v>
      </c>
      <c r="O5392" s="76" t="b">
        <v>0</v>
      </c>
      <c r="P5392" s="76" t="b">
        <v>0</v>
      </c>
      <c r="Q5392" s="76" t="b">
        <v>0</v>
      </c>
      <c r="R5392" s="14"/>
      <c r="S5392" s="14"/>
      <c r="T5392" s="14"/>
      <c r="U5392" s="14"/>
      <c r="V5392" s="14"/>
      <c r="W5392" s="14"/>
    </row>
    <row r="5393" ht="31.5" customHeight="1">
      <c r="A5393" s="158"/>
      <c r="B5393" s="159"/>
      <c r="C5393" s="160"/>
      <c r="D5393" s="130"/>
      <c r="E5393" s="130"/>
      <c r="F5393" s="161"/>
      <c r="G5393" s="164"/>
      <c r="H5393" s="76" t="b">
        <v>1</v>
      </c>
      <c r="I5393" s="76" t="b">
        <v>0</v>
      </c>
      <c r="J5393" s="76" t="b">
        <v>0</v>
      </c>
      <c r="K5393" s="76" t="b">
        <v>0</v>
      </c>
      <c r="L5393" s="76" t="b">
        <v>0</v>
      </c>
      <c r="M5393" s="76" t="b">
        <v>0</v>
      </c>
      <c r="N5393" s="76" t="b">
        <v>0</v>
      </c>
      <c r="O5393" s="76" t="b">
        <v>0</v>
      </c>
      <c r="P5393" s="76" t="b">
        <v>0</v>
      </c>
      <c r="Q5393" s="76" t="b">
        <v>0</v>
      </c>
      <c r="R5393" s="14"/>
      <c r="S5393" s="14"/>
      <c r="T5393" s="14"/>
      <c r="U5393" s="14"/>
      <c r="V5393" s="14"/>
      <c r="W5393" s="14"/>
    </row>
    <row r="5394" ht="31.5" customHeight="1">
      <c r="A5394" s="158"/>
      <c r="B5394" s="159"/>
      <c r="C5394" s="160"/>
      <c r="D5394" s="130"/>
      <c r="E5394" s="130"/>
      <c r="F5394" s="161"/>
      <c r="G5394" s="164"/>
      <c r="H5394" s="76" t="b">
        <v>1</v>
      </c>
      <c r="I5394" s="76" t="b">
        <v>0</v>
      </c>
      <c r="J5394" s="76" t="b">
        <v>0</v>
      </c>
      <c r="K5394" s="76" t="b">
        <v>0</v>
      </c>
      <c r="L5394" s="76" t="b">
        <v>0</v>
      </c>
      <c r="M5394" s="76" t="b">
        <v>0</v>
      </c>
      <c r="N5394" s="76" t="b">
        <v>0</v>
      </c>
      <c r="O5394" s="76" t="b">
        <v>0</v>
      </c>
      <c r="P5394" s="76" t="b">
        <v>0</v>
      </c>
      <c r="Q5394" s="76" t="b">
        <v>0</v>
      </c>
      <c r="R5394" s="14"/>
      <c r="S5394" s="14"/>
      <c r="T5394" s="14"/>
      <c r="U5394" s="14"/>
      <c r="V5394" s="14"/>
      <c r="W5394" s="14"/>
    </row>
    <row r="5395" ht="31.5" customHeight="1">
      <c r="A5395" s="158"/>
      <c r="B5395" s="159"/>
      <c r="C5395" s="160"/>
      <c r="D5395" s="130"/>
      <c r="E5395" s="130"/>
      <c r="F5395" s="161"/>
      <c r="G5395" s="164"/>
      <c r="H5395" s="76" t="b">
        <v>1</v>
      </c>
      <c r="I5395" s="76" t="b">
        <v>0</v>
      </c>
      <c r="J5395" s="76" t="b">
        <v>0</v>
      </c>
      <c r="K5395" s="76" t="b">
        <v>0</v>
      </c>
      <c r="L5395" s="76" t="b">
        <v>0</v>
      </c>
      <c r="M5395" s="76" t="b">
        <v>0</v>
      </c>
      <c r="N5395" s="76" t="b">
        <v>0</v>
      </c>
      <c r="O5395" s="76" t="b">
        <v>0</v>
      </c>
      <c r="P5395" s="76" t="b">
        <v>0</v>
      </c>
      <c r="Q5395" s="76" t="b">
        <v>0</v>
      </c>
      <c r="R5395" s="14"/>
      <c r="S5395" s="14"/>
      <c r="T5395" s="14"/>
      <c r="U5395" s="14"/>
      <c r="V5395" s="14"/>
      <c r="W5395" s="14"/>
    </row>
    <row r="5396" ht="31.5" customHeight="1">
      <c r="A5396" s="158"/>
      <c r="B5396" s="159"/>
      <c r="C5396" s="160"/>
      <c r="D5396" s="130"/>
      <c r="E5396" s="130"/>
      <c r="F5396" s="161"/>
      <c r="G5396" s="164"/>
      <c r="H5396" s="76" t="b">
        <v>1</v>
      </c>
      <c r="I5396" s="76" t="b">
        <v>0</v>
      </c>
      <c r="J5396" s="76" t="b">
        <v>0</v>
      </c>
      <c r="K5396" s="76" t="b">
        <v>0</v>
      </c>
      <c r="L5396" s="76" t="b">
        <v>0</v>
      </c>
      <c r="M5396" s="76" t="b">
        <v>0</v>
      </c>
      <c r="N5396" s="76" t="b">
        <v>0</v>
      </c>
      <c r="O5396" s="76" t="b">
        <v>0</v>
      </c>
      <c r="P5396" s="76" t="b">
        <v>0</v>
      </c>
      <c r="Q5396" s="76" t="b">
        <v>0</v>
      </c>
      <c r="R5396" s="14"/>
      <c r="S5396" s="14"/>
      <c r="T5396" s="14"/>
      <c r="U5396" s="14"/>
      <c r="V5396" s="14"/>
      <c r="W5396" s="14"/>
    </row>
    <row r="5397" ht="31.5" customHeight="1">
      <c r="A5397" s="158"/>
      <c r="B5397" s="159"/>
      <c r="C5397" s="160"/>
      <c r="D5397" s="130"/>
      <c r="E5397" s="130"/>
      <c r="F5397" s="161"/>
      <c r="G5397" s="164"/>
      <c r="H5397" s="76" t="b">
        <v>1</v>
      </c>
      <c r="I5397" s="76" t="b">
        <v>0</v>
      </c>
      <c r="J5397" s="76" t="b">
        <v>0</v>
      </c>
      <c r="K5397" s="76" t="b">
        <v>0</v>
      </c>
      <c r="L5397" s="76" t="b">
        <v>0</v>
      </c>
      <c r="M5397" s="76" t="b">
        <v>0</v>
      </c>
      <c r="N5397" s="76" t="b">
        <v>0</v>
      </c>
      <c r="O5397" s="76" t="b">
        <v>0</v>
      </c>
      <c r="P5397" s="76" t="b">
        <v>0</v>
      </c>
      <c r="Q5397" s="76" t="b">
        <v>0</v>
      </c>
      <c r="R5397" s="14"/>
      <c r="S5397" s="14"/>
      <c r="T5397" s="14"/>
      <c r="U5397" s="14"/>
      <c r="V5397" s="14"/>
      <c r="W5397" s="14"/>
    </row>
    <row r="5398" ht="31.5" customHeight="1">
      <c r="A5398" s="158"/>
      <c r="B5398" s="159"/>
      <c r="C5398" s="160"/>
      <c r="D5398" s="130"/>
      <c r="E5398" s="130"/>
      <c r="F5398" s="161"/>
      <c r="G5398" s="164"/>
      <c r="H5398" s="76" t="b">
        <v>1</v>
      </c>
      <c r="I5398" s="76" t="b">
        <v>0</v>
      </c>
      <c r="J5398" s="76" t="b">
        <v>0</v>
      </c>
      <c r="K5398" s="76" t="b">
        <v>0</v>
      </c>
      <c r="L5398" s="76" t="b">
        <v>0</v>
      </c>
      <c r="M5398" s="76" t="b">
        <v>0</v>
      </c>
      <c r="N5398" s="76" t="b">
        <v>0</v>
      </c>
      <c r="O5398" s="76" t="b">
        <v>0</v>
      </c>
      <c r="P5398" s="76" t="b">
        <v>0</v>
      </c>
      <c r="Q5398" s="76" t="b">
        <v>0</v>
      </c>
      <c r="R5398" s="14"/>
      <c r="S5398" s="14"/>
      <c r="T5398" s="14"/>
      <c r="U5398" s="14"/>
      <c r="V5398" s="14"/>
      <c r="W5398" s="14"/>
    </row>
    <row r="5399" ht="31.5" customHeight="1">
      <c r="A5399" s="158"/>
      <c r="B5399" s="159"/>
      <c r="C5399" s="160"/>
      <c r="D5399" s="130"/>
      <c r="E5399" s="130"/>
      <c r="F5399" s="161"/>
      <c r="G5399" s="164"/>
      <c r="H5399" s="76" t="b">
        <v>1</v>
      </c>
      <c r="I5399" s="76" t="b">
        <v>0</v>
      </c>
      <c r="J5399" s="76" t="b">
        <v>0</v>
      </c>
      <c r="K5399" s="76" t="b">
        <v>0</v>
      </c>
      <c r="L5399" s="76" t="b">
        <v>0</v>
      </c>
      <c r="M5399" s="76" t="b">
        <v>0</v>
      </c>
      <c r="N5399" s="76" t="b">
        <v>0</v>
      </c>
      <c r="O5399" s="76" t="b">
        <v>0</v>
      </c>
      <c r="P5399" s="76" t="b">
        <v>0</v>
      </c>
      <c r="Q5399" s="76" t="b">
        <v>0</v>
      </c>
      <c r="R5399" s="14"/>
      <c r="S5399" s="14"/>
      <c r="T5399" s="14"/>
      <c r="U5399" s="14"/>
      <c r="V5399" s="14"/>
      <c r="W5399" s="14"/>
    </row>
    <row r="5400" ht="31.5" customHeight="1">
      <c r="A5400" s="158"/>
      <c r="B5400" s="159"/>
      <c r="C5400" s="160"/>
      <c r="D5400" s="130"/>
      <c r="E5400" s="130"/>
      <c r="F5400" s="161"/>
      <c r="G5400" s="164"/>
      <c r="H5400" s="76" t="b">
        <v>1</v>
      </c>
      <c r="I5400" s="76" t="b">
        <v>0</v>
      </c>
      <c r="J5400" s="76" t="b">
        <v>0</v>
      </c>
      <c r="K5400" s="76" t="b">
        <v>0</v>
      </c>
      <c r="L5400" s="76" t="b">
        <v>0</v>
      </c>
      <c r="M5400" s="76" t="b">
        <v>0</v>
      </c>
      <c r="N5400" s="76" t="b">
        <v>0</v>
      </c>
      <c r="O5400" s="76" t="b">
        <v>0</v>
      </c>
      <c r="P5400" s="76" t="b">
        <v>0</v>
      </c>
      <c r="Q5400" s="76" t="b">
        <v>0</v>
      </c>
      <c r="R5400" s="14"/>
      <c r="S5400" s="14"/>
      <c r="T5400" s="14"/>
      <c r="U5400" s="14"/>
      <c r="V5400" s="14"/>
      <c r="W5400" s="14"/>
    </row>
    <row r="5401" ht="31.5" customHeight="1">
      <c r="A5401" s="158"/>
      <c r="B5401" s="159"/>
      <c r="C5401" s="160"/>
      <c r="D5401" s="130"/>
      <c r="E5401" s="130"/>
      <c r="F5401" s="161"/>
      <c r="G5401" s="164"/>
      <c r="H5401" s="76" t="b">
        <v>1</v>
      </c>
      <c r="I5401" s="76" t="b">
        <v>0</v>
      </c>
      <c r="J5401" s="76" t="b">
        <v>0</v>
      </c>
      <c r="K5401" s="76" t="b">
        <v>0</v>
      </c>
      <c r="L5401" s="76" t="b">
        <v>0</v>
      </c>
      <c r="M5401" s="76" t="b">
        <v>0</v>
      </c>
      <c r="N5401" s="76" t="b">
        <v>0</v>
      </c>
      <c r="O5401" s="76" t="b">
        <v>0</v>
      </c>
      <c r="P5401" s="76" t="b">
        <v>0</v>
      </c>
      <c r="Q5401" s="76" t="b">
        <v>0</v>
      </c>
      <c r="R5401" s="14"/>
      <c r="S5401" s="14"/>
      <c r="T5401" s="14"/>
      <c r="U5401" s="14"/>
      <c r="V5401" s="14"/>
      <c r="W5401" s="14"/>
    </row>
    <row r="5402" ht="31.5" customHeight="1">
      <c r="A5402" s="158"/>
      <c r="B5402" s="159"/>
      <c r="C5402" s="160"/>
      <c r="D5402" s="130"/>
      <c r="E5402" s="130"/>
      <c r="F5402" s="161"/>
      <c r="G5402" s="164"/>
      <c r="H5402" s="76" t="b">
        <v>1</v>
      </c>
      <c r="I5402" s="76" t="b">
        <v>0</v>
      </c>
      <c r="J5402" s="76" t="b">
        <v>0</v>
      </c>
      <c r="K5402" s="76" t="b">
        <v>0</v>
      </c>
      <c r="L5402" s="76" t="b">
        <v>0</v>
      </c>
      <c r="M5402" s="76" t="b">
        <v>0</v>
      </c>
      <c r="N5402" s="76" t="b">
        <v>0</v>
      </c>
      <c r="O5402" s="76" t="b">
        <v>0</v>
      </c>
      <c r="P5402" s="76" t="b">
        <v>0</v>
      </c>
      <c r="Q5402" s="76" t="b">
        <v>0</v>
      </c>
      <c r="R5402" s="14"/>
      <c r="S5402" s="14"/>
      <c r="T5402" s="14"/>
      <c r="U5402" s="14"/>
      <c r="V5402" s="14"/>
      <c r="W5402" s="14"/>
    </row>
    <row r="5403" ht="31.5" customHeight="1">
      <c r="A5403" s="158"/>
      <c r="B5403" s="159"/>
      <c r="C5403" s="160"/>
      <c r="D5403" s="130"/>
      <c r="E5403" s="130"/>
      <c r="F5403" s="161"/>
      <c r="G5403" s="164"/>
      <c r="H5403" s="76" t="b">
        <v>1</v>
      </c>
      <c r="I5403" s="76" t="b">
        <v>0</v>
      </c>
      <c r="J5403" s="76" t="b">
        <v>0</v>
      </c>
      <c r="K5403" s="76" t="b">
        <v>0</v>
      </c>
      <c r="L5403" s="76" t="b">
        <v>0</v>
      </c>
      <c r="M5403" s="76" t="b">
        <v>0</v>
      </c>
      <c r="N5403" s="76" t="b">
        <v>0</v>
      </c>
      <c r="O5403" s="76" t="b">
        <v>0</v>
      </c>
      <c r="P5403" s="76" t="b">
        <v>0</v>
      </c>
      <c r="Q5403" s="76" t="b">
        <v>0</v>
      </c>
      <c r="R5403" s="14"/>
      <c r="S5403" s="14"/>
      <c r="T5403" s="14"/>
      <c r="U5403" s="14"/>
      <c r="V5403" s="14"/>
      <c r="W5403" s="14"/>
    </row>
    <row r="5404" ht="31.5" customHeight="1">
      <c r="A5404" s="158"/>
      <c r="B5404" s="159"/>
      <c r="C5404" s="160"/>
      <c r="D5404" s="130"/>
      <c r="E5404" s="130"/>
      <c r="F5404" s="161"/>
      <c r="G5404" s="164"/>
      <c r="H5404" s="76" t="b">
        <v>1</v>
      </c>
      <c r="I5404" s="76" t="b">
        <v>0</v>
      </c>
      <c r="J5404" s="76" t="b">
        <v>0</v>
      </c>
      <c r="K5404" s="76" t="b">
        <v>0</v>
      </c>
      <c r="L5404" s="76" t="b">
        <v>0</v>
      </c>
      <c r="M5404" s="76" t="b">
        <v>0</v>
      </c>
      <c r="N5404" s="76" t="b">
        <v>0</v>
      </c>
      <c r="O5404" s="76" t="b">
        <v>0</v>
      </c>
      <c r="P5404" s="76" t="b">
        <v>0</v>
      </c>
      <c r="Q5404" s="76" t="b">
        <v>0</v>
      </c>
      <c r="R5404" s="14"/>
      <c r="S5404" s="14"/>
      <c r="T5404" s="14"/>
      <c r="U5404" s="14"/>
      <c r="V5404" s="14"/>
      <c r="W5404" s="14"/>
    </row>
    <row r="5405" ht="31.5" customHeight="1">
      <c r="A5405" s="158"/>
      <c r="B5405" s="159"/>
      <c r="C5405" s="160"/>
      <c r="D5405" s="130"/>
      <c r="E5405" s="130"/>
      <c r="F5405" s="161"/>
      <c r="G5405" s="164"/>
      <c r="H5405" s="76" t="b">
        <v>1</v>
      </c>
      <c r="I5405" s="76" t="b">
        <v>0</v>
      </c>
      <c r="J5405" s="76" t="b">
        <v>0</v>
      </c>
      <c r="K5405" s="76" t="b">
        <v>0</v>
      </c>
      <c r="L5405" s="76" t="b">
        <v>0</v>
      </c>
      <c r="M5405" s="76" t="b">
        <v>0</v>
      </c>
      <c r="N5405" s="76" t="b">
        <v>0</v>
      </c>
      <c r="O5405" s="76" t="b">
        <v>0</v>
      </c>
      <c r="P5405" s="76" t="b">
        <v>0</v>
      </c>
      <c r="Q5405" s="76" t="b">
        <v>0</v>
      </c>
      <c r="R5405" s="14"/>
      <c r="S5405" s="14"/>
      <c r="T5405" s="14"/>
      <c r="U5405" s="14"/>
      <c r="V5405" s="14"/>
      <c r="W5405" s="14"/>
    </row>
    <row r="5406" ht="31.5" customHeight="1">
      <c r="A5406" s="158"/>
      <c r="B5406" s="159"/>
      <c r="C5406" s="160"/>
      <c r="D5406" s="130"/>
      <c r="E5406" s="130"/>
      <c r="F5406" s="161"/>
      <c r="G5406" s="164"/>
      <c r="H5406" s="76" t="b">
        <v>1</v>
      </c>
      <c r="I5406" s="76" t="b">
        <v>0</v>
      </c>
      <c r="J5406" s="76" t="b">
        <v>0</v>
      </c>
      <c r="K5406" s="76" t="b">
        <v>0</v>
      </c>
      <c r="L5406" s="76" t="b">
        <v>0</v>
      </c>
      <c r="M5406" s="76" t="b">
        <v>0</v>
      </c>
      <c r="N5406" s="76" t="b">
        <v>0</v>
      </c>
      <c r="O5406" s="76" t="b">
        <v>0</v>
      </c>
      <c r="P5406" s="76" t="b">
        <v>0</v>
      </c>
      <c r="Q5406" s="76" t="b">
        <v>0</v>
      </c>
      <c r="R5406" s="14"/>
      <c r="S5406" s="14"/>
      <c r="T5406" s="14"/>
      <c r="U5406" s="14"/>
      <c r="V5406" s="14"/>
      <c r="W5406" s="14"/>
    </row>
    <row r="5407" ht="31.5" customHeight="1">
      <c r="A5407" s="158"/>
      <c r="B5407" s="159"/>
      <c r="C5407" s="160"/>
      <c r="D5407" s="130"/>
      <c r="E5407" s="130"/>
      <c r="F5407" s="161"/>
      <c r="G5407" s="164"/>
      <c r="H5407" s="76" t="b">
        <v>1</v>
      </c>
      <c r="I5407" s="76" t="b">
        <v>0</v>
      </c>
      <c r="J5407" s="76" t="b">
        <v>0</v>
      </c>
      <c r="K5407" s="76" t="b">
        <v>0</v>
      </c>
      <c r="L5407" s="76" t="b">
        <v>0</v>
      </c>
      <c r="M5407" s="76" t="b">
        <v>0</v>
      </c>
      <c r="N5407" s="76" t="b">
        <v>0</v>
      </c>
      <c r="O5407" s="76" t="b">
        <v>0</v>
      </c>
      <c r="P5407" s="76" t="b">
        <v>0</v>
      </c>
      <c r="Q5407" s="76" t="b">
        <v>0</v>
      </c>
      <c r="R5407" s="14"/>
      <c r="S5407" s="14"/>
      <c r="T5407" s="14"/>
      <c r="U5407" s="14"/>
      <c r="V5407" s="14"/>
      <c r="W5407" s="14"/>
    </row>
    <row r="5408" ht="31.5" customHeight="1">
      <c r="A5408" s="158"/>
      <c r="B5408" s="159"/>
      <c r="C5408" s="160"/>
      <c r="D5408" s="130"/>
      <c r="E5408" s="130"/>
      <c r="F5408" s="161"/>
      <c r="G5408" s="164"/>
      <c r="H5408" s="76" t="b">
        <v>1</v>
      </c>
      <c r="I5408" s="76" t="b">
        <v>0</v>
      </c>
      <c r="J5408" s="76" t="b">
        <v>0</v>
      </c>
      <c r="K5408" s="76" t="b">
        <v>0</v>
      </c>
      <c r="L5408" s="76" t="b">
        <v>0</v>
      </c>
      <c r="M5408" s="76" t="b">
        <v>0</v>
      </c>
      <c r="N5408" s="76" t="b">
        <v>0</v>
      </c>
      <c r="O5408" s="76" t="b">
        <v>0</v>
      </c>
      <c r="P5408" s="76" t="b">
        <v>0</v>
      </c>
      <c r="Q5408" s="76" t="b">
        <v>0</v>
      </c>
      <c r="R5408" s="14"/>
      <c r="S5408" s="14"/>
      <c r="T5408" s="14"/>
      <c r="U5408" s="14"/>
      <c r="V5408" s="14"/>
      <c r="W5408" s="14"/>
    </row>
    <row r="5409" ht="31.5" customHeight="1">
      <c r="A5409" s="158"/>
      <c r="B5409" s="159"/>
      <c r="C5409" s="160"/>
      <c r="D5409" s="130"/>
      <c r="E5409" s="130"/>
      <c r="F5409" s="161"/>
      <c r="G5409" s="164"/>
      <c r="H5409" s="76" t="b">
        <v>1</v>
      </c>
      <c r="I5409" s="76" t="b">
        <v>0</v>
      </c>
      <c r="J5409" s="76" t="b">
        <v>0</v>
      </c>
      <c r="K5409" s="76" t="b">
        <v>0</v>
      </c>
      <c r="L5409" s="76" t="b">
        <v>0</v>
      </c>
      <c r="M5409" s="76" t="b">
        <v>0</v>
      </c>
      <c r="N5409" s="76" t="b">
        <v>0</v>
      </c>
      <c r="O5409" s="76" t="b">
        <v>0</v>
      </c>
      <c r="P5409" s="76" t="b">
        <v>0</v>
      </c>
      <c r="Q5409" s="76" t="b">
        <v>0</v>
      </c>
      <c r="R5409" s="14"/>
      <c r="S5409" s="14"/>
      <c r="T5409" s="14"/>
      <c r="U5409" s="14"/>
      <c r="V5409" s="14"/>
      <c r="W5409" s="14"/>
    </row>
    <row r="5410" ht="31.5" customHeight="1">
      <c r="A5410" s="158"/>
      <c r="B5410" s="159"/>
      <c r="C5410" s="160"/>
      <c r="D5410" s="130"/>
      <c r="E5410" s="130"/>
      <c r="F5410" s="161"/>
      <c r="G5410" s="164"/>
      <c r="H5410" s="75"/>
      <c r="I5410" s="75"/>
      <c r="J5410" s="75"/>
      <c r="K5410" s="75"/>
      <c r="L5410" s="75"/>
      <c r="M5410" s="75"/>
      <c r="N5410" s="75"/>
      <c r="O5410" s="75"/>
      <c r="P5410" s="75"/>
      <c r="Q5410" s="75"/>
      <c r="R5410" s="14"/>
      <c r="S5410" s="14"/>
      <c r="T5410" s="14"/>
      <c r="U5410" s="14"/>
      <c r="V5410" s="14"/>
      <c r="W5410" s="14"/>
    </row>
    <row r="5411" ht="31.5" customHeight="1">
      <c r="A5411" s="158"/>
      <c r="B5411" s="159"/>
      <c r="C5411" s="160"/>
      <c r="D5411" s="130"/>
      <c r="E5411" s="130"/>
      <c r="F5411" s="161"/>
      <c r="G5411" s="164"/>
      <c r="H5411" s="75"/>
      <c r="I5411" s="75"/>
      <c r="J5411" s="75"/>
      <c r="K5411" s="75"/>
      <c r="L5411" s="75"/>
      <c r="M5411" s="75"/>
      <c r="N5411" s="75"/>
      <c r="O5411" s="75"/>
      <c r="P5411" s="75"/>
      <c r="Q5411" s="75"/>
      <c r="R5411" s="14"/>
      <c r="S5411" s="14"/>
      <c r="T5411" s="14"/>
      <c r="U5411" s="14"/>
      <c r="V5411" s="14"/>
      <c r="W5411" s="14"/>
    </row>
    <row r="5412" ht="31.5" customHeight="1">
      <c r="A5412" s="158"/>
      <c r="B5412" s="159"/>
      <c r="C5412" s="160"/>
      <c r="D5412" s="130"/>
      <c r="E5412" s="130"/>
      <c r="F5412" s="161"/>
      <c r="G5412" s="164"/>
      <c r="H5412" s="75"/>
      <c r="I5412" s="75"/>
      <c r="J5412" s="75"/>
      <c r="K5412" s="75"/>
      <c r="L5412" s="75"/>
      <c r="M5412" s="75"/>
      <c r="N5412" s="75"/>
      <c r="O5412" s="75"/>
      <c r="P5412" s="75"/>
      <c r="Q5412" s="75"/>
      <c r="R5412" s="14"/>
      <c r="S5412" s="14"/>
      <c r="T5412" s="14"/>
      <c r="U5412" s="14"/>
      <c r="V5412" s="14"/>
      <c r="W5412" s="14"/>
    </row>
    <row r="5413" ht="31.5" customHeight="1">
      <c r="A5413" s="158"/>
      <c r="B5413" s="159"/>
      <c r="C5413" s="160"/>
      <c r="D5413" s="130"/>
      <c r="E5413" s="130"/>
      <c r="F5413" s="161"/>
      <c r="G5413" s="164"/>
      <c r="H5413" s="75"/>
      <c r="I5413" s="75"/>
      <c r="J5413" s="75"/>
      <c r="K5413" s="75"/>
      <c r="L5413" s="75"/>
      <c r="M5413" s="75"/>
      <c r="N5413" s="75"/>
      <c r="O5413" s="75"/>
      <c r="P5413" s="75"/>
      <c r="Q5413" s="75"/>
      <c r="R5413" s="14"/>
      <c r="S5413" s="14"/>
      <c r="T5413" s="14"/>
      <c r="U5413" s="14"/>
      <c r="V5413" s="14"/>
      <c r="W5413" s="14"/>
    </row>
    <row r="5414" ht="31.5" customHeight="1">
      <c r="A5414" s="158"/>
      <c r="B5414" s="159"/>
      <c r="C5414" s="160"/>
      <c r="D5414" s="130"/>
      <c r="E5414" s="130"/>
      <c r="F5414" s="161"/>
      <c r="G5414" s="164"/>
      <c r="H5414" s="75"/>
      <c r="I5414" s="75"/>
      <c r="J5414" s="75"/>
      <c r="K5414" s="75"/>
      <c r="L5414" s="75"/>
      <c r="M5414" s="75"/>
      <c r="N5414" s="75"/>
      <c r="O5414" s="75"/>
      <c r="P5414" s="75"/>
      <c r="Q5414" s="75"/>
      <c r="R5414" s="14"/>
      <c r="S5414" s="14"/>
      <c r="T5414" s="14"/>
      <c r="U5414" s="14"/>
      <c r="V5414" s="14"/>
      <c r="W5414" s="14"/>
    </row>
    <row r="5415" ht="31.5" customHeight="1">
      <c r="A5415" s="158"/>
      <c r="B5415" s="159"/>
      <c r="C5415" s="160"/>
      <c r="D5415" s="130"/>
      <c r="E5415" s="130"/>
      <c r="F5415" s="161"/>
      <c r="G5415" s="164"/>
      <c r="H5415" s="75"/>
      <c r="I5415" s="75"/>
      <c r="J5415" s="75"/>
      <c r="K5415" s="75"/>
      <c r="L5415" s="75"/>
      <c r="M5415" s="75"/>
      <c r="N5415" s="75"/>
      <c r="O5415" s="75"/>
      <c r="P5415" s="75"/>
      <c r="Q5415" s="75"/>
      <c r="R5415" s="14"/>
      <c r="S5415" s="14"/>
      <c r="T5415" s="14"/>
      <c r="U5415" s="14"/>
      <c r="V5415" s="14"/>
      <c r="W5415" s="14"/>
    </row>
    <row r="5416" ht="31.5" customHeight="1">
      <c r="A5416" s="158"/>
      <c r="B5416" s="159"/>
      <c r="C5416" s="160"/>
      <c r="D5416" s="130"/>
      <c r="E5416" s="130"/>
      <c r="F5416" s="161"/>
      <c r="G5416" s="164"/>
      <c r="H5416" s="75"/>
      <c r="I5416" s="75"/>
      <c r="J5416" s="75"/>
      <c r="K5416" s="75"/>
      <c r="L5416" s="75"/>
      <c r="M5416" s="75"/>
      <c r="N5416" s="75"/>
      <c r="O5416" s="75"/>
      <c r="P5416" s="75"/>
      <c r="Q5416" s="75"/>
      <c r="R5416" s="14"/>
      <c r="S5416" s="14"/>
      <c r="T5416" s="14"/>
      <c r="U5416" s="14"/>
      <c r="V5416" s="14"/>
      <c r="W5416" s="14"/>
    </row>
    <row r="5417" ht="31.5" customHeight="1">
      <c r="A5417" s="158"/>
      <c r="B5417" s="159"/>
      <c r="C5417" s="160"/>
      <c r="D5417" s="130"/>
      <c r="E5417" s="130"/>
      <c r="F5417" s="161"/>
      <c r="G5417" s="164"/>
      <c r="H5417" s="75"/>
      <c r="I5417" s="75"/>
      <c r="J5417" s="75"/>
      <c r="K5417" s="75"/>
      <c r="L5417" s="75"/>
      <c r="M5417" s="75"/>
      <c r="N5417" s="75"/>
      <c r="O5417" s="75"/>
      <c r="P5417" s="75"/>
      <c r="Q5417" s="75"/>
      <c r="R5417" s="14"/>
      <c r="S5417" s="14"/>
      <c r="T5417" s="14"/>
      <c r="U5417" s="14"/>
      <c r="V5417" s="14"/>
      <c r="W5417" s="14"/>
    </row>
    <row r="5418" ht="31.5" customHeight="1">
      <c r="A5418" s="158"/>
      <c r="B5418" s="159"/>
      <c r="C5418" s="160"/>
      <c r="D5418" s="130"/>
      <c r="E5418" s="130"/>
      <c r="F5418" s="161"/>
      <c r="G5418" s="164"/>
      <c r="H5418" s="75"/>
      <c r="I5418" s="75"/>
      <c r="J5418" s="75"/>
      <c r="K5418" s="75"/>
      <c r="L5418" s="75"/>
      <c r="M5418" s="75"/>
      <c r="N5418" s="75"/>
      <c r="O5418" s="75"/>
      <c r="P5418" s="75"/>
      <c r="Q5418" s="75"/>
      <c r="R5418" s="14"/>
      <c r="S5418" s="14"/>
      <c r="T5418" s="14"/>
      <c r="U5418" s="14"/>
      <c r="V5418" s="14"/>
      <c r="W5418" s="14"/>
    </row>
    <row r="5419" ht="31.5" customHeight="1">
      <c r="A5419" s="158"/>
      <c r="B5419" s="159"/>
      <c r="C5419" s="160"/>
      <c r="D5419" s="130"/>
      <c r="E5419" s="130"/>
      <c r="F5419" s="161"/>
      <c r="G5419" s="164"/>
      <c r="H5419" s="75"/>
      <c r="I5419" s="75"/>
      <c r="J5419" s="75"/>
      <c r="K5419" s="75"/>
      <c r="L5419" s="75"/>
      <c r="M5419" s="75"/>
      <c r="N5419" s="75"/>
      <c r="O5419" s="75"/>
      <c r="P5419" s="75"/>
      <c r="Q5419" s="75"/>
      <c r="R5419" s="14"/>
      <c r="S5419" s="14"/>
      <c r="T5419" s="14"/>
      <c r="U5419" s="14"/>
      <c r="V5419" s="14"/>
      <c r="W5419" s="14"/>
    </row>
    <row r="5420" ht="31.5" customHeight="1">
      <c r="A5420" s="158"/>
      <c r="B5420" s="159"/>
      <c r="C5420" s="160"/>
      <c r="D5420" s="130"/>
      <c r="E5420" s="130"/>
      <c r="F5420" s="161"/>
      <c r="G5420" s="164"/>
      <c r="H5420" s="75"/>
      <c r="I5420" s="75"/>
      <c r="J5420" s="75"/>
      <c r="K5420" s="75"/>
      <c r="L5420" s="75"/>
      <c r="M5420" s="75"/>
      <c r="N5420" s="75"/>
      <c r="O5420" s="75"/>
      <c r="P5420" s="75"/>
      <c r="Q5420" s="75"/>
      <c r="R5420" s="14"/>
      <c r="S5420" s="14"/>
      <c r="T5420" s="14"/>
      <c r="U5420" s="14"/>
      <c r="V5420" s="14"/>
      <c r="W5420" s="14"/>
    </row>
    <row r="5421" ht="31.5" customHeight="1">
      <c r="A5421" s="158"/>
      <c r="B5421" s="159"/>
      <c r="C5421" s="160"/>
      <c r="D5421" s="130"/>
      <c r="E5421" s="130"/>
      <c r="F5421" s="161"/>
      <c r="G5421" s="164"/>
      <c r="H5421" s="75"/>
      <c r="I5421" s="75"/>
      <c r="J5421" s="75"/>
      <c r="K5421" s="75"/>
      <c r="L5421" s="75"/>
      <c r="M5421" s="75"/>
      <c r="N5421" s="75"/>
      <c r="O5421" s="75"/>
      <c r="P5421" s="75"/>
      <c r="Q5421" s="75"/>
      <c r="R5421" s="14"/>
      <c r="S5421" s="14"/>
      <c r="T5421" s="14"/>
      <c r="U5421" s="14"/>
      <c r="V5421" s="14"/>
      <c r="W5421" s="14"/>
    </row>
    <row r="5422" ht="31.5" customHeight="1">
      <c r="A5422" s="158"/>
      <c r="B5422" s="159"/>
      <c r="C5422" s="160"/>
      <c r="D5422" s="130"/>
      <c r="E5422" s="130"/>
      <c r="F5422" s="161"/>
      <c r="G5422" s="164"/>
      <c r="H5422" s="75"/>
      <c r="I5422" s="75"/>
      <c r="J5422" s="75"/>
      <c r="K5422" s="75"/>
      <c r="L5422" s="75"/>
      <c r="M5422" s="75"/>
      <c r="N5422" s="75"/>
      <c r="O5422" s="75"/>
      <c r="P5422" s="75"/>
      <c r="Q5422" s="75"/>
      <c r="R5422" s="14"/>
      <c r="S5422" s="14"/>
      <c r="T5422" s="14"/>
      <c r="U5422" s="14"/>
      <c r="V5422" s="14"/>
      <c r="W5422" s="14"/>
    </row>
    <row r="5423" ht="31.5" customHeight="1">
      <c r="A5423" s="158"/>
      <c r="B5423" s="159"/>
      <c r="C5423" s="160"/>
      <c r="D5423" s="130"/>
      <c r="E5423" s="130"/>
      <c r="F5423" s="161"/>
      <c r="G5423" s="164"/>
      <c r="H5423" s="75"/>
      <c r="I5423" s="75"/>
      <c r="J5423" s="75"/>
      <c r="K5423" s="75"/>
      <c r="L5423" s="75"/>
      <c r="M5423" s="75"/>
      <c r="N5423" s="75"/>
      <c r="O5423" s="75"/>
      <c r="P5423" s="75"/>
      <c r="Q5423" s="75"/>
      <c r="R5423" s="14"/>
      <c r="S5423" s="14"/>
      <c r="T5423" s="14"/>
      <c r="U5423" s="14"/>
      <c r="V5423" s="14"/>
      <c r="W5423" s="14"/>
    </row>
    <row r="5424" ht="31.5" customHeight="1">
      <c r="A5424" s="158"/>
      <c r="B5424" s="159"/>
      <c r="C5424" s="160"/>
      <c r="D5424" s="130"/>
      <c r="E5424" s="130"/>
      <c r="F5424" s="161"/>
      <c r="G5424" s="164"/>
      <c r="H5424" s="75"/>
      <c r="I5424" s="75"/>
      <c r="J5424" s="75"/>
      <c r="K5424" s="75"/>
      <c r="L5424" s="75"/>
      <c r="M5424" s="75"/>
      <c r="N5424" s="75"/>
      <c r="O5424" s="75"/>
      <c r="P5424" s="75"/>
      <c r="Q5424" s="75"/>
      <c r="R5424" s="14"/>
      <c r="S5424" s="14"/>
      <c r="T5424" s="14"/>
      <c r="U5424" s="14"/>
      <c r="V5424" s="14"/>
      <c r="W5424" s="14"/>
    </row>
    <row r="5425" ht="31.5" customHeight="1">
      <c r="A5425" s="158"/>
      <c r="B5425" s="159"/>
      <c r="C5425" s="160"/>
      <c r="D5425" s="130"/>
      <c r="E5425" s="130"/>
      <c r="F5425" s="161"/>
      <c r="G5425" s="164"/>
      <c r="H5425" s="75"/>
      <c r="I5425" s="75"/>
      <c r="J5425" s="75"/>
      <c r="K5425" s="75"/>
      <c r="L5425" s="75"/>
      <c r="M5425" s="75"/>
      <c r="N5425" s="75"/>
      <c r="O5425" s="75"/>
      <c r="P5425" s="75"/>
      <c r="Q5425" s="75"/>
      <c r="R5425" s="14"/>
      <c r="S5425" s="14"/>
      <c r="T5425" s="14"/>
      <c r="U5425" s="14"/>
      <c r="V5425" s="14"/>
      <c r="W5425" s="14"/>
    </row>
    <row r="5426" ht="31.5" customHeight="1">
      <c r="A5426" s="158"/>
      <c r="B5426" s="159"/>
      <c r="C5426" s="160"/>
      <c r="D5426" s="130"/>
      <c r="E5426" s="130"/>
      <c r="F5426" s="161"/>
      <c r="G5426" s="164"/>
      <c r="H5426" s="75"/>
      <c r="I5426" s="75"/>
      <c r="J5426" s="75"/>
      <c r="K5426" s="75"/>
      <c r="L5426" s="75"/>
      <c r="M5426" s="75"/>
      <c r="N5426" s="75"/>
      <c r="O5426" s="75"/>
      <c r="P5426" s="75"/>
      <c r="Q5426" s="75"/>
      <c r="R5426" s="14"/>
      <c r="S5426" s="14"/>
      <c r="T5426" s="14"/>
      <c r="U5426" s="14"/>
      <c r="V5426" s="14"/>
      <c r="W5426" s="14"/>
    </row>
    <row r="5427" ht="31.5" customHeight="1">
      <c r="A5427" s="158"/>
      <c r="B5427" s="159"/>
      <c r="C5427" s="160"/>
      <c r="D5427" s="130"/>
      <c r="E5427" s="130"/>
      <c r="F5427" s="161"/>
      <c r="G5427" s="164"/>
      <c r="H5427" s="75"/>
      <c r="I5427" s="75"/>
      <c r="J5427" s="75"/>
      <c r="K5427" s="75"/>
      <c r="L5427" s="75"/>
      <c r="M5427" s="75"/>
      <c r="N5427" s="75"/>
      <c r="O5427" s="75"/>
      <c r="P5427" s="75"/>
      <c r="Q5427" s="75"/>
      <c r="R5427" s="14"/>
      <c r="S5427" s="14"/>
      <c r="T5427" s="14"/>
      <c r="U5427" s="14"/>
      <c r="V5427" s="14"/>
      <c r="W5427" s="14"/>
    </row>
    <row r="5428" ht="31.5" customHeight="1">
      <c r="A5428" s="158"/>
      <c r="B5428" s="159"/>
      <c r="C5428" s="160"/>
      <c r="D5428" s="130"/>
      <c r="E5428" s="130"/>
      <c r="F5428" s="161"/>
      <c r="G5428" s="164"/>
      <c r="H5428" s="75"/>
      <c r="I5428" s="75"/>
      <c r="J5428" s="75"/>
      <c r="K5428" s="75"/>
      <c r="L5428" s="75"/>
      <c r="M5428" s="75"/>
      <c r="N5428" s="75"/>
      <c r="O5428" s="75"/>
      <c r="P5428" s="75"/>
      <c r="Q5428" s="75"/>
      <c r="R5428" s="14"/>
      <c r="S5428" s="14"/>
      <c r="T5428" s="14"/>
      <c r="U5428" s="14"/>
      <c r="V5428" s="14"/>
      <c r="W5428" s="14"/>
    </row>
    <row r="5429" ht="31.5" customHeight="1">
      <c r="A5429" s="158"/>
      <c r="B5429" s="159"/>
      <c r="C5429" s="160"/>
      <c r="D5429" s="130"/>
      <c r="E5429" s="130"/>
      <c r="F5429" s="161"/>
      <c r="G5429" s="164"/>
      <c r="H5429" s="75"/>
      <c r="I5429" s="75"/>
      <c r="J5429" s="75"/>
      <c r="K5429" s="75"/>
      <c r="L5429" s="75"/>
      <c r="M5429" s="75"/>
      <c r="N5429" s="75"/>
      <c r="O5429" s="75"/>
      <c r="P5429" s="75"/>
      <c r="Q5429" s="75"/>
      <c r="R5429" s="14"/>
      <c r="S5429" s="14"/>
      <c r="T5429" s="14"/>
      <c r="U5429" s="14"/>
      <c r="V5429" s="14"/>
      <c r="W5429" s="14"/>
    </row>
    <row r="5430" ht="31.5" customHeight="1">
      <c r="A5430" s="158"/>
      <c r="B5430" s="159"/>
      <c r="C5430" s="160"/>
      <c r="D5430" s="130"/>
      <c r="E5430" s="130"/>
      <c r="F5430" s="161"/>
      <c r="G5430" s="164"/>
      <c r="H5430" s="75"/>
      <c r="I5430" s="75"/>
      <c r="J5430" s="75"/>
      <c r="K5430" s="75"/>
      <c r="L5430" s="75"/>
      <c r="M5430" s="75"/>
      <c r="N5430" s="75"/>
      <c r="O5430" s="75"/>
      <c r="P5430" s="75"/>
      <c r="Q5430" s="75"/>
      <c r="R5430" s="14"/>
      <c r="S5430" s="14"/>
      <c r="T5430" s="14"/>
      <c r="U5430" s="14"/>
      <c r="V5430" s="14"/>
      <c r="W5430" s="14"/>
    </row>
    <row r="5431" ht="31.5" customHeight="1">
      <c r="A5431" s="158"/>
      <c r="B5431" s="159"/>
      <c r="C5431" s="160"/>
      <c r="D5431" s="130"/>
      <c r="E5431" s="130"/>
      <c r="F5431" s="161"/>
      <c r="G5431" s="164"/>
      <c r="H5431" s="75"/>
      <c r="I5431" s="75"/>
      <c r="J5431" s="75"/>
      <c r="K5431" s="75"/>
      <c r="L5431" s="75"/>
      <c r="M5431" s="75"/>
      <c r="N5431" s="75"/>
      <c r="O5431" s="75"/>
      <c r="P5431" s="75"/>
      <c r="Q5431" s="75"/>
      <c r="R5431" s="14"/>
      <c r="S5431" s="14"/>
      <c r="T5431" s="14"/>
      <c r="U5431" s="14"/>
      <c r="V5431" s="14"/>
      <c r="W5431" s="14"/>
    </row>
    <row r="5432" ht="31.5" customHeight="1">
      <c r="A5432" s="158"/>
      <c r="B5432" s="159"/>
      <c r="C5432" s="160"/>
      <c r="D5432" s="130"/>
      <c r="E5432" s="130"/>
      <c r="F5432" s="161"/>
      <c r="G5432" s="164"/>
      <c r="H5432" s="75"/>
      <c r="I5432" s="75"/>
      <c r="J5432" s="75"/>
      <c r="K5432" s="75"/>
      <c r="L5432" s="75"/>
      <c r="M5432" s="75"/>
      <c r="N5432" s="75"/>
      <c r="O5432" s="75"/>
      <c r="P5432" s="75"/>
      <c r="Q5432" s="75"/>
      <c r="R5432" s="14"/>
      <c r="S5432" s="14"/>
      <c r="T5432" s="14"/>
      <c r="U5432" s="14"/>
      <c r="V5432" s="14"/>
      <c r="W5432" s="14"/>
    </row>
    <row r="5433" ht="31.5" customHeight="1">
      <c r="A5433" s="158"/>
      <c r="B5433" s="159"/>
      <c r="C5433" s="160"/>
      <c r="D5433" s="130"/>
      <c r="E5433" s="130"/>
      <c r="F5433" s="161"/>
      <c r="G5433" s="164"/>
      <c r="H5433" s="75"/>
      <c r="I5433" s="75"/>
      <c r="J5433" s="75"/>
      <c r="K5433" s="75"/>
      <c r="L5433" s="75"/>
      <c r="M5433" s="75"/>
      <c r="N5433" s="75"/>
      <c r="O5433" s="75"/>
      <c r="P5433" s="75"/>
      <c r="Q5433" s="75"/>
      <c r="R5433" s="14"/>
      <c r="S5433" s="14"/>
      <c r="T5433" s="14"/>
      <c r="U5433" s="14"/>
      <c r="V5433" s="14"/>
      <c r="W5433" s="14"/>
    </row>
    <row r="5434" ht="31.5" customHeight="1">
      <c r="A5434" s="158"/>
      <c r="B5434" s="159"/>
      <c r="C5434" s="160"/>
      <c r="D5434" s="130"/>
      <c r="E5434" s="130"/>
      <c r="F5434" s="161"/>
      <c r="G5434" s="164"/>
      <c r="H5434" s="75"/>
      <c r="I5434" s="75"/>
      <c r="J5434" s="75"/>
      <c r="K5434" s="75"/>
      <c r="L5434" s="75"/>
      <c r="M5434" s="75"/>
      <c r="N5434" s="75"/>
      <c r="O5434" s="75"/>
      <c r="P5434" s="75"/>
      <c r="Q5434" s="75"/>
      <c r="R5434" s="14"/>
      <c r="S5434" s="14"/>
      <c r="T5434" s="14"/>
      <c r="U5434" s="14"/>
      <c r="V5434" s="14"/>
      <c r="W5434" s="14"/>
    </row>
    <row r="5435" ht="31.5" customHeight="1">
      <c r="A5435" s="158"/>
      <c r="B5435" s="159"/>
      <c r="C5435" s="160"/>
      <c r="D5435" s="130"/>
      <c r="E5435" s="130"/>
      <c r="F5435" s="161"/>
      <c r="G5435" s="164"/>
      <c r="H5435" s="75"/>
      <c r="I5435" s="75"/>
      <c r="J5435" s="75"/>
      <c r="K5435" s="75"/>
      <c r="L5435" s="75"/>
      <c r="M5435" s="75"/>
      <c r="N5435" s="75"/>
      <c r="O5435" s="75"/>
      <c r="P5435" s="75"/>
      <c r="Q5435" s="75"/>
      <c r="R5435" s="14"/>
      <c r="S5435" s="14"/>
      <c r="T5435" s="14"/>
      <c r="U5435" s="14"/>
      <c r="V5435" s="14"/>
      <c r="W5435" s="14"/>
    </row>
    <row r="5436" ht="31.5" customHeight="1">
      <c r="A5436" s="158"/>
      <c r="B5436" s="159"/>
      <c r="C5436" s="160"/>
      <c r="D5436" s="130"/>
      <c r="E5436" s="130"/>
      <c r="F5436" s="161"/>
      <c r="G5436" s="164"/>
      <c r="H5436" s="75"/>
      <c r="I5436" s="75"/>
      <c r="J5436" s="75"/>
      <c r="K5436" s="75"/>
      <c r="L5436" s="75"/>
      <c r="M5436" s="75"/>
      <c r="N5436" s="75"/>
      <c r="O5436" s="75"/>
      <c r="P5436" s="75"/>
      <c r="Q5436" s="75"/>
      <c r="R5436" s="14"/>
      <c r="S5436" s="14"/>
      <c r="T5436" s="14"/>
      <c r="U5436" s="14"/>
      <c r="V5436" s="14"/>
      <c r="W5436" s="14"/>
    </row>
    <row r="5437" ht="31.5" customHeight="1">
      <c r="A5437" s="158"/>
      <c r="B5437" s="159"/>
      <c r="C5437" s="160"/>
      <c r="D5437" s="130"/>
      <c r="E5437" s="130"/>
      <c r="F5437" s="161"/>
      <c r="G5437" s="164"/>
      <c r="H5437" s="75"/>
      <c r="I5437" s="75"/>
      <c r="J5437" s="75"/>
      <c r="K5437" s="75"/>
      <c r="L5437" s="75"/>
      <c r="M5437" s="75"/>
      <c r="N5437" s="75"/>
      <c r="O5437" s="75"/>
      <c r="P5437" s="75"/>
      <c r="Q5437" s="75"/>
      <c r="R5437" s="14"/>
      <c r="S5437" s="14"/>
      <c r="T5437" s="14"/>
      <c r="U5437" s="14"/>
      <c r="V5437" s="14"/>
      <c r="W5437" s="14"/>
    </row>
    <row r="5438" ht="31.5" customHeight="1">
      <c r="A5438" s="158"/>
      <c r="B5438" s="159"/>
      <c r="C5438" s="160"/>
      <c r="D5438" s="130"/>
      <c r="E5438" s="130"/>
      <c r="F5438" s="161"/>
      <c r="G5438" s="164"/>
      <c r="H5438" s="75"/>
      <c r="I5438" s="75"/>
      <c r="J5438" s="75"/>
      <c r="K5438" s="75"/>
      <c r="L5438" s="75"/>
      <c r="M5438" s="75"/>
      <c r="N5438" s="75"/>
      <c r="O5438" s="75"/>
      <c r="P5438" s="75"/>
      <c r="Q5438" s="75"/>
      <c r="R5438" s="14"/>
      <c r="S5438" s="14"/>
      <c r="T5438" s="14"/>
      <c r="U5438" s="14"/>
      <c r="V5438" s="14"/>
      <c r="W5438" s="14"/>
    </row>
    <row r="5439" ht="31.5" customHeight="1">
      <c r="A5439" s="158"/>
      <c r="B5439" s="159"/>
      <c r="C5439" s="160"/>
      <c r="D5439" s="130"/>
      <c r="E5439" s="130"/>
      <c r="F5439" s="161"/>
      <c r="G5439" s="164"/>
      <c r="H5439" s="75"/>
      <c r="I5439" s="75"/>
      <c r="J5439" s="75"/>
      <c r="K5439" s="75"/>
      <c r="L5439" s="75"/>
      <c r="M5439" s="75"/>
      <c r="N5439" s="75"/>
      <c r="O5439" s="75"/>
      <c r="P5439" s="75"/>
      <c r="Q5439" s="75"/>
      <c r="R5439" s="14"/>
      <c r="S5439" s="14"/>
      <c r="T5439" s="14"/>
      <c r="U5439" s="14"/>
      <c r="V5439" s="14"/>
      <c r="W5439" s="14"/>
    </row>
    <row r="5440" ht="31.5" customHeight="1">
      <c r="A5440" s="158"/>
      <c r="B5440" s="159"/>
      <c r="C5440" s="160"/>
      <c r="D5440" s="130"/>
      <c r="E5440" s="130"/>
      <c r="F5440" s="161"/>
      <c r="G5440" s="164"/>
      <c r="H5440" s="75"/>
      <c r="I5440" s="75"/>
      <c r="J5440" s="75"/>
      <c r="K5440" s="75"/>
      <c r="L5440" s="75"/>
      <c r="M5440" s="75"/>
      <c r="N5440" s="75"/>
      <c r="O5440" s="75"/>
      <c r="P5440" s="75"/>
      <c r="Q5440" s="75"/>
      <c r="R5440" s="14"/>
      <c r="S5440" s="14"/>
      <c r="T5440" s="14"/>
      <c r="U5440" s="14"/>
      <c r="V5440" s="14"/>
      <c r="W5440" s="14"/>
    </row>
    <row r="5441" ht="31.5" customHeight="1">
      <c r="A5441" s="158"/>
      <c r="B5441" s="159"/>
      <c r="C5441" s="160"/>
      <c r="D5441" s="130"/>
      <c r="E5441" s="130"/>
      <c r="F5441" s="161"/>
      <c r="G5441" s="164"/>
      <c r="H5441" s="75"/>
      <c r="I5441" s="75"/>
      <c r="J5441" s="75"/>
      <c r="K5441" s="75"/>
      <c r="L5441" s="75"/>
      <c r="M5441" s="75"/>
      <c r="N5441" s="75"/>
      <c r="O5441" s="75"/>
      <c r="P5441" s="75"/>
      <c r="Q5441" s="75"/>
      <c r="R5441" s="14"/>
      <c r="S5441" s="14"/>
      <c r="T5441" s="14"/>
      <c r="U5441" s="14"/>
      <c r="V5441" s="14"/>
      <c r="W5441" s="14"/>
    </row>
    <row r="5442" ht="31.5" customHeight="1">
      <c r="A5442" s="158"/>
      <c r="B5442" s="159"/>
      <c r="C5442" s="160"/>
      <c r="D5442" s="130"/>
      <c r="E5442" s="130"/>
      <c r="F5442" s="161"/>
      <c r="G5442" s="164"/>
      <c r="H5442" s="75"/>
      <c r="I5442" s="75"/>
      <c r="J5442" s="75"/>
      <c r="K5442" s="75"/>
      <c r="L5442" s="75"/>
      <c r="M5442" s="75"/>
      <c r="N5442" s="75"/>
      <c r="O5442" s="75"/>
      <c r="P5442" s="75"/>
      <c r="Q5442" s="75"/>
      <c r="R5442" s="14"/>
      <c r="S5442" s="14"/>
      <c r="T5442" s="14"/>
      <c r="U5442" s="14"/>
      <c r="V5442" s="14"/>
      <c r="W5442" s="14"/>
    </row>
    <row r="5443" ht="31.5" customHeight="1">
      <c r="A5443" s="158"/>
      <c r="B5443" s="159"/>
      <c r="C5443" s="160"/>
      <c r="D5443" s="130"/>
      <c r="E5443" s="130"/>
      <c r="F5443" s="161"/>
      <c r="G5443" s="164"/>
      <c r="H5443" s="75"/>
      <c r="I5443" s="75"/>
      <c r="J5443" s="75"/>
      <c r="K5443" s="75"/>
      <c r="L5443" s="75"/>
      <c r="M5443" s="75"/>
      <c r="N5443" s="75"/>
      <c r="O5443" s="75"/>
      <c r="P5443" s="75"/>
      <c r="Q5443" s="75"/>
      <c r="R5443" s="14"/>
      <c r="S5443" s="14"/>
      <c r="T5443" s="14"/>
      <c r="U5443" s="14"/>
      <c r="V5443" s="14"/>
      <c r="W5443" s="14"/>
    </row>
    <row r="5444" ht="31.5" customHeight="1">
      <c r="A5444" s="158"/>
      <c r="B5444" s="159"/>
      <c r="C5444" s="160"/>
      <c r="D5444" s="130"/>
      <c r="E5444" s="130"/>
      <c r="F5444" s="161"/>
      <c r="G5444" s="164"/>
      <c r="H5444" s="75"/>
      <c r="I5444" s="75"/>
      <c r="J5444" s="75"/>
      <c r="K5444" s="75"/>
      <c r="L5444" s="75"/>
      <c r="M5444" s="75"/>
      <c r="N5444" s="75"/>
      <c r="O5444" s="75"/>
      <c r="P5444" s="75"/>
      <c r="Q5444" s="75"/>
      <c r="R5444" s="14"/>
      <c r="S5444" s="14"/>
      <c r="T5444" s="14"/>
      <c r="U5444" s="14"/>
      <c r="V5444" s="14"/>
      <c r="W5444" s="14"/>
    </row>
    <row r="5445" ht="31.5" customHeight="1">
      <c r="A5445" s="158"/>
      <c r="B5445" s="159"/>
      <c r="C5445" s="160"/>
      <c r="D5445" s="130"/>
      <c r="E5445" s="130"/>
      <c r="F5445" s="161"/>
      <c r="G5445" s="164"/>
      <c r="H5445" s="75"/>
      <c r="I5445" s="75"/>
      <c r="J5445" s="75"/>
      <c r="K5445" s="75"/>
      <c r="L5445" s="75"/>
      <c r="M5445" s="75"/>
      <c r="N5445" s="75"/>
      <c r="O5445" s="75"/>
      <c r="P5445" s="75"/>
      <c r="Q5445" s="75"/>
      <c r="R5445" s="14"/>
      <c r="S5445" s="14"/>
      <c r="T5445" s="14"/>
      <c r="U5445" s="14"/>
      <c r="V5445" s="14"/>
      <c r="W5445" s="14"/>
    </row>
    <row r="5446" ht="31.5" customHeight="1">
      <c r="A5446" s="158"/>
      <c r="B5446" s="159"/>
      <c r="C5446" s="160"/>
      <c r="D5446" s="130"/>
      <c r="E5446" s="130"/>
      <c r="F5446" s="161"/>
      <c r="G5446" s="164"/>
      <c r="H5446" s="75"/>
      <c r="I5446" s="75"/>
      <c r="J5446" s="75"/>
      <c r="K5446" s="75"/>
      <c r="L5446" s="75"/>
      <c r="M5446" s="75"/>
      <c r="N5446" s="75"/>
      <c r="O5446" s="75"/>
      <c r="P5446" s="75"/>
      <c r="Q5446" s="75"/>
      <c r="R5446" s="14"/>
      <c r="S5446" s="14"/>
      <c r="T5446" s="14"/>
      <c r="U5446" s="14"/>
      <c r="V5446" s="14"/>
      <c r="W5446" s="14"/>
    </row>
    <row r="5447" ht="31.5" customHeight="1">
      <c r="A5447" s="158"/>
      <c r="B5447" s="159"/>
      <c r="C5447" s="160"/>
      <c r="D5447" s="130"/>
      <c r="E5447" s="130"/>
      <c r="F5447" s="161"/>
      <c r="G5447" s="164"/>
      <c r="H5447" s="75"/>
      <c r="I5447" s="75"/>
      <c r="J5447" s="75"/>
      <c r="K5447" s="75"/>
      <c r="L5447" s="75"/>
      <c r="M5447" s="75"/>
      <c r="N5447" s="75"/>
      <c r="O5447" s="75"/>
      <c r="P5447" s="75"/>
      <c r="Q5447" s="75"/>
      <c r="R5447" s="14"/>
      <c r="S5447" s="14"/>
      <c r="T5447" s="14"/>
      <c r="U5447" s="14"/>
      <c r="V5447" s="14"/>
      <c r="W5447" s="14"/>
    </row>
    <row r="5448" ht="31.5" customHeight="1">
      <c r="A5448" s="158"/>
      <c r="B5448" s="159"/>
      <c r="C5448" s="160"/>
      <c r="D5448" s="130"/>
      <c r="E5448" s="130"/>
      <c r="F5448" s="161"/>
      <c r="G5448" s="164"/>
      <c r="H5448" s="75"/>
      <c r="I5448" s="75"/>
      <c r="J5448" s="75"/>
      <c r="K5448" s="75"/>
      <c r="L5448" s="75"/>
      <c r="M5448" s="75"/>
      <c r="N5448" s="75"/>
      <c r="O5448" s="75"/>
      <c r="P5448" s="75"/>
      <c r="Q5448" s="75"/>
      <c r="R5448" s="14"/>
      <c r="S5448" s="14"/>
      <c r="T5448" s="14"/>
      <c r="U5448" s="14"/>
      <c r="V5448" s="14"/>
      <c r="W5448" s="14"/>
    </row>
    <row r="5449" ht="31.5" customHeight="1">
      <c r="A5449" s="158"/>
      <c r="B5449" s="159"/>
      <c r="C5449" s="160"/>
      <c r="D5449" s="130"/>
      <c r="E5449" s="130"/>
      <c r="F5449" s="161"/>
      <c r="G5449" s="164"/>
      <c r="H5449" s="75"/>
      <c r="I5449" s="75"/>
      <c r="J5449" s="75"/>
      <c r="K5449" s="75"/>
      <c r="L5449" s="75"/>
      <c r="M5449" s="75"/>
      <c r="N5449" s="75"/>
      <c r="O5449" s="75"/>
      <c r="P5449" s="75"/>
      <c r="Q5449" s="75"/>
      <c r="R5449" s="14"/>
      <c r="S5449" s="14"/>
      <c r="T5449" s="14"/>
      <c r="U5449" s="14"/>
      <c r="V5449" s="14"/>
      <c r="W5449" s="14"/>
    </row>
    <row r="5450" ht="31.5" customHeight="1">
      <c r="A5450" s="158"/>
      <c r="B5450" s="159"/>
      <c r="C5450" s="160"/>
      <c r="D5450" s="130"/>
      <c r="E5450" s="130"/>
      <c r="F5450" s="161"/>
      <c r="G5450" s="164"/>
      <c r="H5450" s="75"/>
      <c r="I5450" s="75"/>
      <c r="J5450" s="75"/>
      <c r="K5450" s="75"/>
      <c r="L5450" s="75"/>
      <c r="M5450" s="75"/>
      <c r="N5450" s="75"/>
      <c r="O5450" s="75"/>
      <c r="P5450" s="75"/>
      <c r="Q5450" s="75"/>
      <c r="R5450" s="14"/>
      <c r="S5450" s="14"/>
      <c r="T5450" s="14"/>
      <c r="U5450" s="14"/>
      <c r="V5450" s="14"/>
      <c r="W5450" s="14"/>
    </row>
    <row r="5451" ht="31.5" customHeight="1">
      <c r="A5451" s="158"/>
      <c r="B5451" s="159"/>
      <c r="C5451" s="160"/>
      <c r="D5451" s="130"/>
      <c r="E5451" s="130"/>
      <c r="F5451" s="161"/>
      <c r="G5451" s="164"/>
      <c r="H5451" s="75"/>
      <c r="I5451" s="75"/>
      <c r="J5451" s="75"/>
      <c r="K5451" s="75"/>
      <c r="L5451" s="75"/>
      <c r="M5451" s="75"/>
      <c r="N5451" s="75"/>
      <c r="O5451" s="75"/>
      <c r="P5451" s="75"/>
      <c r="Q5451" s="75"/>
      <c r="R5451" s="14"/>
      <c r="S5451" s="14"/>
      <c r="T5451" s="14"/>
      <c r="U5451" s="14"/>
      <c r="V5451" s="14"/>
      <c r="W5451" s="14"/>
    </row>
    <row r="5452" ht="31.5" customHeight="1">
      <c r="A5452" s="158"/>
      <c r="B5452" s="159"/>
      <c r="C5452" s="160"/>
      <c r="D5452" s="130"/>
      <c r="E5452" s="130"/>
      <c r="F5452" s="161"/>
      <c r="G5452" s="164"/>
      <c r="H5452" s="75"/>
      <c r="I5452" s="75"/>
      <c r="J5452" s="75"/>
      <c r="K5452" s="75"/>
      <c r="L5452" s="75"/>
      <c r="M5452" s="75"/>
      <c r="N5452" s="75"/>
      <c r="O5452" s="75"/>
      <c r="P5452" s="75"/>
      <c r="Q5452" s="75"/>
      <c r="R5452" s="14"/>
      <c r="S5452" s="14"/>
      <c r="T5452" s="14"/>
      <c r="U5452" s="14"/>
      <c r="V5452" s="14"/>
      <c r="W5452" s="14"/>
    </row>
    <row r="5453" ht="31.5" customHeight="1">
      <c r="A5453" s="158"/>
      <c r="B5453" s="159"/>
      <c r="C5453" s="160"/>
      <c r="D5453" s="130"/>
      <c r="E5453" s="130"/>
      <c r="F5453" s="161"/>
      <c r="G5453" s="164"/>
      <c r="H5453" s="75"/>
      <c r="I5453" s="75"/>
      <c r="J5453" s="75"/>
      <c r="K5453" s="75"/>
      <c r="L5453" s="75"/>
      <c r="M5453" s="75"/>
      <c r="N5453" s="75"/>
      <c r="O5453" s="75"/>
      <c r="P5453" s="75"/>
      <c r="Q5453" s="75"/>
      <c r="R5453" s="14"/>
      <c r="S5453" s="14"/>
      <c r="T5453" s="14"/>
      <c r="U5453" s="14"/>
      <c r="V5453" s="14"/>
      <c r="W5453" s="14"/>
    </row>
    <row r="5454" ht="31.5" customHeight="1">
      <c r="A5454" s="158"/>
      <c r="B5454" s="159"/>
      <c r="C5454" s="160"/>
      <c r="D5454" s="130"/>
      <c r="E5454" s="130"/>
      <c r="F5454" s="161"/>
      <c r="G5454" s="164"/>
      <c r="H5454" s="75"/>
      <c r="I5454" s="75"/>
      <c r="J5454" s="75"/>
      <c r="K5454" s="75"/>
      <c r="L5454" s="75"/>
      <c r="M5454" s="75"/>
      <c r="N5454" s="75"/>
      <c r="O5454" s="75"/>
      <c r="P5454" s="75"/>
      <c r="Q5454" s="75"/>
      <c r="R5454" s="14"/>
      <c r="S5454" s="14"/>
      <c r="T5454" s="14"/>
      <c r="U5454" s="14"/>
      <c r="V5454" s="14"/>
      <c r="W5454" s="14"/>
    </row>
    <row r="5455" ht="31.5" customHeight="1">
      <c r="A5455" s="158"/>
      <c r="B5455" s="159"/>
      <c r="C5455" s="160"/>
      <c r="D5455" s="130"/>
      <c r="E5455" s="130"/>
      <c r="F5455" s="161"/>
      <c r="G5455" s="164"/>
      <c r="H5455" s="75"/>
      <c r="I5455" s="75"/>
      <c r="J5455" s="75"/>
      <c r="K5455" s="75"/>
      <c r="L5455" s="75"/>
      <c r="M5455" s="75"/>
      <c r="N5455" s="75"/>
      <c r="O5455" s="75"/>
      <c r="P5455" s="75"/>
      <c r="Q5455" s="75"/>
      <c r="R5455" s="14"/>
      <c r="S5455" s="14"/>
      <c r="T5455" s="14"/>
      <c r="U5455" s="14"/>
      <c r="V5455" s="14"/>
      <c r="W5455" s="14"/>
    </row>
    <row r="5456" ht="31.5" customHeight="1">
      <c r="A5456" s="158"/>
      <c r="B5456" s="159"/>
      <c r="C5456" s="160"/>
      <c r="D5456" s="130"/>
      <c r="E5456" s="130"/>
      <c r="F5456" s="161"/>
      <c r="G5456" s="164"/>
      <c r="H5456" s="75"/>
      <c r="I5456" s="75"/>
      <c r="J5456" s="75"/>
      <c r="K5456" s="75"/>
      <c r="L5456" s="75"/>
      <c r="M5456" s="75"/>
      <c r="N5456" s="75"/>
      <c r="O5456" s="75"/>
      <c r="P5456" s="75"/>
      <c r="Q5456" s="75"/>
      <c r="R5456" s="14"/>
      <c r="S5456" s="14"/>
      <c r="T5456" s="14"/>
      <c r="U5456" s="14"/>
      <c r="V5456" s="14"/>
      <c r="W5456" s="14"/>
    </row>
    <row r="5457" ht="31.5" customHeight="1">
      <c r="A5457" s="158"/>
      <c r="B5457" s="159"/>
      <c r="C5457" s="160"/>
      <c r="D5457" s="130"/>
      <c r="E5457" s="130"/>
      <c r="F5457" s="161"/>
      <c r="G5457" s="164"/>
      <c r="H5457" s="75"/>
      <c r="I5457" s="75"/>
      <c r="J5457" s="75"/>
      <c r="K5457" s="75"/>
      <c r="L5457" s="75"/>
      <c r="M5457" s="75"/>
      <c r="N5457" s="75"/>
      <c r="O5457" s="75"/>
      <c r="P5457" s="75"/>
      <c r="Q5457" s="75"/>
      <c r="R5457" s="14"/>
      <c r="S5457" s="14"/>
      <c r="T5457" s="14"/>
      <c r="U5457" s="14"/>
      <c r="V5457" s="14"/>
      <c r="W5457" s="14"/>
    </row>
    <row r="5458" ht="31.5" customHeight="1">
      <c r="A5458" s="158"/>
      <c r="B5458" s="159"/>
      <c r="C5458" s="160"/>
      <c r="D5458" s="130"/>
      <c r="E5458" s="130"/>
      <c r="F5458" s="161"/>
      <c r="G5458" s="164"/>
      <c r="H5458" s="75"/>
      <c r="I5458" s="75"/>
      <c r="J5458" s="75"/>
      <c r="K5458" s="75"/>
      <c r="L5458" s="75"/>
      <c r="M5458" s="75"/>
      <c r="N5458" s="75"/>
      <c r="O5458" s="75"/>
      <c r="P5458" s="75"/>
      <c r="Q5458" s="75"/>
      <c r="R5458" s="14"/>
      <c r="S5458" s="14"/>
      <c r="T5458" s="14"/>
      <c r="U5458" s="14"/>
      <c r="V5458" s="14"/>
      <c r="W5458" s="14"/>
    </row>
    <row r="5459" ht="31.5" customHeight="1">
      <c r="A5459" s="158"/>
      <c r="B5459" s="159"/>
      <c r="C5459" s="160"/>
      <c r="D5459" s="130"/>
      <c r="E5459" s="130"/>
      <c r="F5459" s="161"/>
      <c r="G5459" s="164"/>
      <c r="H5459" s="75"/>
      <c r="I5459" s="75"/>
      <c r="J5459" s="75"/>
      <c r="K5459" s="75"/>
      <c r="L5459" s="75"/>
      <c r="M5459" s="75"/>
      <c r="N5459" s="75"/>
      <c r="O5459" s="75"/>
      <c r="P5459" s="75"/>
      <c r="Q5459" s="75"/>
      <c r="R5459" s="14"/>
      <c r="S5459" s="14"/>
      <c r="T5459" s="14"/>
      <c r="U5459" s="14"/>
      <c r="V5459" s="14"/>
      <c r="W5459" s="14"/>
    </row>
    <row r="5460" ht="31.5" customHeight="1">
      <c r="A5460" s="158"/>
      <c r="B5460" s="159"/>
      <c r="C5460" s="160"/>
      <c r="D5460" s="130"/>
      <c r="E5460" s="130"/>
      <c r="F5460" s="161"/>
      <c r="G5460" s="164"/>
      <c r="H5460" s="75"/>
      <c r="I5460" s="75"/>
      <c r="J5460" s="75"/>
      <c r="K5460" s="75"/>
      <c r="L5460" s="75"/>
      <c r="M5460" s="75"/>
      <c r="N5460" s="75"/>
      <c r="O5460" s="75"/>
      <c r="P5460" s="75"/>
      <c r="Q5460" s="75"/>
      <c r="R5460" s="14"/>
      <c r="S5460" s="14"/>
      <c r="T5460" s="14"/>
      <c r="U5460" s="14"/>
      <c r="V5460" s="14"/>
      <c r="W5460" s="14"/>
    </row>
    <row r="5461" ht="31.5" customHeight="1">
      <c r="A5461" s="158"/>
      <c r="B5461" s="159"/>
      <c r="C5461" s="160"/>
      <c r="D5461" s="130"/>
      <c r="E5461" s="130"/>
      <c r="F5461" s="161"/>
      <c r="G5461" s="164"/>
      <c r="H5461" s="75"/>
      <c r="I5461" s="75"/>
      <c r="J5461" s="75"/>
      <c r="K5461" s="75"/>
      <c r="L5461" s="75"/>
      <c r="M5461" s="75"/>
      <c r="N5461" s="75"/>
      <c r="O5461" s="75"/>
      <c r="P5461" s="75"/>
      <c r="Q5461" s="75"/>
      <c r="R5461" s="14"/>
      <c r="S5461" s="14"/>
      <c r="T5461" s="14"/>
      <c r="U5461" s="14"/>
      <c r="V5461" s="14"/>
      <c r="W5461" s="14"/>
    </row>
    <row r="5462" ht="31.5" customHeight="1">
      <c r="A5462" s="158"/>
      <c r="B5462" s="159"/>
      <c r="C5462" s="160"/>
      <c r="D5462" s="130"/>
      <c r="E5462" s="130"/>
      <c r="F5462" s="161"/>
      <c r="G5462" s="164"/>
      <c r="H5462" s="75"/>
      <c r="I5462" s="75"/>
      <c r="J5462" s="75"/>
      <c r="K5462" s="75"/>
      <c r="L5462" s="75"/>
      <c r="M5462" s="75"/>
      <c r="N5462" s="75"/>
      <c r="O5462" s="75"/>
      <c r="P5462" s="75"/>
      <c r="Q5462" s="75"/>
      <c r="R5462" s="14"/>
      <c r="S5462" s="14"/>
      <c r="T5462" s="14"/>
      <c r="U5462" s="14"/>
      <c r="V5462" s="14"/>
      <c r="W5462" s="14"/>
    </row>
    <row r="5463" ht="31.5" customHeight="1">
      <c r="A5463" s="158"/>
      <c r="B5463" s="159"/>
      <c r="C5463" s="160"/>
      <c r="D5463" s="130"/>
      <c r="E5463" s="130"/>
      <c r="F5463" s="161"/>
      <c r="G5463" s="164"/>
      <c r="H5463" s="75"/>
      <c r="I5463" s="75"/>
      <c r="J5463" s="75"/>
      <c r="K5463" s="75"/>
      <c r="L5463" s="75"/>
      <c r="M5463" s="75"/>
      <c r="N5463" s="75"/>
      <c r="O5463" s="75"/>
      <c r="P5463" s="75"/>
      <c r="Q5463" s="75"/>
      <c r="R5463" s="14"/>
      <c r="S5463" s="14"/>
      <c r="T5463" s="14"/>
      <c r="U5463" s="14"/>
      <c r="V5463" s="14"/>
      <c r="W5463" s="14"/>
    </row>
    <row r="5464" ht="31.5" customHeight="1">
      <c r="A5464" s="158"/>
      <c r="B5464" s="159"/>
      <c r="C5464" s="160"/>
      <c r="D5464" s="130"/>
      <c r="E5464" s="130"/>
      <c r="F5464" s="161"/>
      <c r="G5464" s="164"/>
      <c r="H5464" s="75"/>
      <c r="I5464" s="75"/>
      <c r="J5464" s="75"/>
      <c r="K5464" s="75"/>
      <c r="L5464" s="75"/>
      <c r="M5464" s="75"/>
      <c r="N5464" s="75"/>
      <c r="O5464" s="75"/>
      <c r="P5464" s="75"/>
      <c r="Q5464" s="75"/>
      <c r="R5464" s="14"/>
      <c r="S5464" s="14"/>
      <c r="T5464" s="14"/>
      <c r="U5464" s="14"/>
      <c r="V5464" s="14"/>
      <c r="W5464" s="14"/>
    </row>
    <row r="5465" ht="31.5" customHeight="1">
      <c r="A5465" s="158"/>
      <c r="B5465" s="159"/>
      <c r="C5465" s="160"/>
      <c r="D5465" s="130"/>
      <c r="E5465" s="130"/>
      <c r="F5465" s="161"/>
      <c r="G5465" s="164"/>
      <c r="H5465" s="75"/>
      <c r="I5465" s="75"/>
      <c r="J5465" s="75"/>
      <c r="K5465" s="75"/>
      <c r="L5465" s="75"/>
      <c r="M5465" s="75"/>
      <c r="N5465" s="75"/>
      <c r="O5465" s="75"/>
      <c r="P5465" s="75"/>
      <c r="Q5465" s="75"/>
      <c r="R5465" s="14"/>
      <c r="S5465" s="14"/>
      <c r="T5465" s="14"/>
      <c r="U5465" s="14"/>
      <c r="V5465" s="14"/>
      <c r="W5465" s="14"/>
    </row>
    <row r="5466" ht="31.5" customHeight="1">
      <c r="A5466" s="158"/>
      <c r="B5466" s="159"/>
      <c r="C5466" s="160"/>
      <c r="D5466" s="130"/>
      <c r="E5466" s="130"/>
      <c r="F5466" s="161"/>
      <c r="G5466" s="164"/>
      <c r="H5466" s="75"/>
      <c r="I5466" s="75"/>
      <c r="J5466" s="75"/>
      <c r="K5466" s="75"/>
      <c r="L5466" s="75"/>
      <c r="M5466" s="75"/>
      <c r="N5466" s="75"/>
      <c r="O5466" s="75"/>
      <c r="P5466" s="75"/>
      <c r="Q5466" s="75"/>
      <c r="R5466" s="14"/>
      <c r="S5466" s="14"/>
      <c r="T5466" s="14"/>
      <c r="U5466" s="14"/>
      <c r="V5466" s="14"/>
      <c r="W5466" s="14"/>
    </row>
    <row r="5467" ht="31.5" customHeight="1">
      <c r="A5467" s="158"/>
      <c r="B5467" s="159"/>
      <c r="C5467" s="160"/>
      <c r="D5467" s="130"/>
      <c r="E5467" s="130"/>
      <c r="F5467" s="161"/>
      <c r="G5467" s="164"/>
      <c r="H5467" s="75"/>
      <c r="I5467" s="75"/>
      <c r="J5467" s="75"/>
      <c r="K5467" s="75"/>
      <c r="L5467" s="75"/>
      <c r="M5467" s="75"/>
      <c r="N5467" s="75"/>
      <c r="O5467" s="75"/>
      <c r="P5467" s="75"/>
      <c r="Q5467" s="75"/>
      <c r="R5467" s="14"/>
      <c r="S5467" s="14"/>
      <c r="T5467" s="14"/>
      <c r="U5467" s="14"/>
      <c r="V5467" s="14"/>
      <c r="W5467" s="14"/>
    </row>
    <row r="5468" ht="31.5" customHeight="1">
      <c r="A5468" s="158"/>
      <c r="B5468" s="159"/>
      <c r="C5468" s="160"/>
      <c r="D5468" s="130"/>
      <c r="E5468" s="130"/>
      <c r="F5468" s="161"/>
      <c r="G5468" s="164"/>
      <c r="H5468" s="75"/>
      <c r="I5468" s="75"/>
      <c r="J5468" s="75"/>
      <c r="K5468" s="75"/>
      <c r="L5468" s="75"/>
      <c r="M5468" s="75"/>
      <c r="N5468" s="75"/>
      <c r="O5468" s="75"/>
      <c r="P5468" s="75"/>
      <c r="Q5468" s="75"/>
      <c r="R5468" s="14"/>
      <c r="S5468" s="14"/>
      <c r="T5468" s="14"/>
      <c r="U5468" s="14"/>
      <c r="V5468" s="14"/>
      <c r="W5468" s="14"/>
    </row>
    <row r="5469" ht="31.5" customHeight="1">
      <c r="A5469" s="158"/>
      <c r="B5469" s="159"/>
      <c r="C5469" s="160"/>
      <c r="D5469" s="130"/>
      <c r="E5469" s="130"/>
      <c r="F5469" s="161"/>
      <c r="G5469" s="164"/>
      <c r="H5469" s="75"/>
      <c r="I5469" s="75"/>
      <c r="J5469" s="75"/>
      <c r="K5469" s="75"/>
      <c r="L5469" s="75"/>
      <c r="M5469" s="75"/>
      <c r="N5469" s="75"/>
      <c r="O5469" s="75"/>
      <c r="P5469" s="75"/>
      <c r="Q5469" s="75"/>
      <c r="R5469" s="14"/>
      <c r="S5469" s="14"/>
      <c r="T5469" s="14"/>
      <c r="U5469" s="14"/>
      <c r="V5469" s="14"/>
      <c r="W5469" s="14"/>
    </row>
    <row r="5470" ht="31.5" customHeight="1">
      <c r="A5470" s="158"/>
      <c r="B5470" s="159"/>
      <c r="C5470" s="160"/>
      <c r="D5470" s="130"/>
      <c r="E5470" s="130"/>
      <c r="F5470" s="161"/>
      <c r="G5470" s="164"/>
      <c r="H5470" s="75"/>
      <c r="I5470" s="75"/>
      <c r="J5470" s="75"/>
      <c r="K5470" s="75"/>
      <c r="L5470" s="75"/>
      <c r="M5470" s="75"/>
      <c r="N5470" s="75"/>
      <c r="O5470" s="75"/>
      <c r="P5470" s="75"/>
      <c r="Q5470" s="75"/>
      <c r="R5470" s="14"/>
      <c r="S5470" s="14"/>
      <c r="T5470" s="14"/>
      <c r="U5470" s="14"/>
      <c r="V5470" s="14"/>
      <c r="W5470" s="14"/>
    </row>
    <row r="5471" ht="31.5" customHeight="1">
      <c r="A5471" s="158"/>
      <c r="B5471" s="159"/>
      <c r="C5471" s="160"/>
      <c r="D5471" s="130"/>
      <c r="E5471" s="130"/>
      <c r="F5471" s="161"/>
      <c r="G5471" s="164"/>
      <c r="H5471" s="75"/>
      <c r="I5471" s="75"/>
      <c r="J5471" s="75"/>
      <c r="K5471" s="75"/>
      <c r="L5471" s="75"/>
      <c r="M5471" s="75"/>
      <c r="N5471" s="75"/>
      <c r="O5471" s="75"/>
      <c r="P5471" s="75"/>
      <c r="Q5471" s="75"/>
      <c r="R5471" s="14"/>
      <c r="S5471" s="14"/>
      <c r="T5471" s="14"/>
      <c r="U5471" s="14"/>
      <c r="V5471" s="14"/>
      <c r="W5471" s="14"/>
    </row>
    <row r="5472" ht="31.5" customHeight="1">
      <c r="A5472" s="158"/>
      <c r="B5472" s="159"/>
      <c r="C5472" s="160"/>
      <c r="D5472" s="130"/>
      <c r="E5472" s="130"/>
      <c r="F5472" s="161"/>
      <c r="G5472" s="164"/>
      <c r="H5472" s="75"/>
      <c r="I5472" s="75"/>
      <c r="J5472" s="75"/>
      <c r="K5472" s="75"/>
      <c r="L5472" s="75"/>
      <c r="M5472" s="75"/>
      <c r="N5472" s="75"/>
      <c r="O5472" s="75"/>
      <c r="P5472" s="75"/>
      <c r="Q5472" s="75"/>
      <c r="R5472" s="14"/>
      <c r="S5472" s="14"/>
      <c r="T5472" s="14"/>
      <c r="U5472" s="14"/>
      <c r="V5472" s="14"/>
      <c r="W5472" s="14"/>
    </row>
    <row r="5473" ht="31.5" customHeight="1">
      <c r="A5473" s="158"/>
      <c r="B5473" s="159"/>
      <c r="C5473" s="160"/>
      <c r="D5473" s="130"/>
      <c r="E5473" s="130"/>
      <c r="F5473" s="161"/>
      <c r="G5473" s="164"/>
      <c r="H5473" s="75"/>
      <c r="I5473" s="75"/>
      <c r="J5473" s="75"/>
      <c r="K5473" s="75"/>
      <c r="L5473" s="75"/>
      <c r="M5473" s="75"/>
      <c r="N5473" s="75"/>
      <c r="O5473" s="75"/>
      <c r="P5473" s="75"/>
      <c r="Q5473" s="75"/>
      <c r="R5473" s="14"/>
      <c r="S5473" s="14"/>
      <c r="T5473" s="14"/>
      <c r="U5473" s="14"/>
      <c r="V5473" s="14"/>
      <c r="W5473" s="14"/>
    </row>
    <row r="5474" ht="31.5" customHeight="1">
      <c r="A5474" s="158"/>
      <c r="B5474" s="159"/>
      <c r="C5474" s="160"/>
      <c r="D5474" s="130"/>
      <c r="E5474" s="130"/>
      <c r="F5474" s="161"/>
      <c r="G5474" s="164"/>
      <c r="H5474" s="75"/>
      <c r="I5474" s="75"/>
      <c r="J5474" s="75"/>
      <c r="K5474" s="75"/>
      <c r="L5474" s="75"/>
      <c r="M5474" s="75"/>
      <c r="N5474" s="75"/>
      <c r="O5474" s="75"/>
      <c r="P5474" s="75"/>
      <c r="Q5474" s="75"/>
      <c r="R5474" s="14"/>
      <c r="S5474" s="14"/>
      <c r="T5474" s="14"/>
      <c r="U5474" s="14"/>
      <c r="V5474" s="14"/>
      <c r="W5474" s="14"/>
    </row>
    <row r="5475" ht="31.5" customHeight="1">
      <c r="A5475" s="158"/>
      <c r="B5475" s="159"/>
      <c r="C5475" s="160"/>
      <c r="D5475" s="130"/>
      <c r="E5475" s="130"/>
      <c r="F5475" s="161"/>
      <c r="G5475" s="164"/>
      <c r="H5475" s="75"/>
      <c r="I5475" s="75"/>
      <c r="J5475" s="75"/>
      <c r="K5475" s="75"/>
      <c r="L5475" s="75"/>
      <c r="M5475" s="75"/>
      <c r="N5475" s="75"/>
      <c r="O5475" s="75"/>
      <c r="P5475" s="75"/>
      <c r="Q5475" s="75"/>
      <c r="R5475" s="14"/>
      <c r="S5475" s="14"/>
      <c r="T5475" s="14"/>
      <c r="U5475" s="14"/>
      <c r="V5475" s="14"/>
      <c r="W5475" s="14"/>
    </row>
    <row r="5476" ht="31.5" customHeight="1">
      <c r="A5476" s="158"/>
      <c r="B5476" s="159"/>
      <c r="C5476" s="160"/>
      <c r="D5476" s="130"/>
      <c r="E5476" s="130"/>
      <c r="F5476" s="161"/>
      <c r="G5476" s="164"/>
      <c r="H5476" s="75"/>
      <c r="I5476" s="75"/>
      <c r="J5476" s="75"/>
      <c r="K5476" s="75"/>
      <c r="L5476" s="75"/>
      <c r="M5476" s="75"/>
      <c r="N5476" s="75"/>
      <c r="O5476" s="75"/>
      <c r="P5476" s="75"/>
      <c r="Q5476" s="75"/>
      <c r="R5476" s="14"/>
      <c r="S5476" s="14"/>
      <c r="T5476" s="14"/>
      <c r="U5476" s="14"/>
      <c r="V5476" s="14"/>
      <c r="W5476" s="14"/>
    </row>
    <row r="5477" ht="31.5" customHeight="1">
      <c r="A5477" s="158"/>
      <c r="B5477" s="159"/>
      <c r="C5477" s="160"/>
      <c r="D5477" s="130"/>
      <c r="E5477" s="130"/>
      <c r="F5477" s="161"/>
      <c r="G5477" s="164"/>
      <c r="H5477" s="75"/>
      <c r="I5477" s="75"/>
      <c r="J5477" s="75"/>
      <c r="K5477" s="75"/>
      <c r="L5477" s="75"/>
      <c r="M5477" s="75"/>
      <c r="N5477" s="75"/>
      <c r="O5477" s="75"/>
      <c r="P5477" s="75"/>
      <c r="Q5477" s="75"/>
      <c r="R5477" s="14"/>
      <c r="S5477" s="14"/>
      <c r="T5477" s="14"/>
      <c r="U5477" s="14"/>
      <c r="V5477" s="14"/>
      <c r="W5477" s="14"/>
    </row>
    <row r="5478" ht="31.5" customHeight="1">
      <c r="A5478" s="158"/>
      <c r="B5478" s="159"/>
      <c r="C5478" s="160"/>
      <c r="D5478" s="130"/>
      <c r="E5478" s="130"/>
      <c r="F5478" s="161"/>
      <c r="G5478" s="164"/>
      <c r="H5478" s="75"/>
      <c r="I5478" s="75"/>
      <c r="J5478" s="75"/>
      <c r="K5478" s="75"/>
      <c r="L5478" s="75"/>
      <c r="M5478" s="75"/>
      <c r="N5478" s="75"/>
      <c r="O5478" s="75"/>
      <c r="P5478" s="75"/>
      <c r="Q5478" s="75"/>
      <c r="R5478" s="14"/>
      <c r="S5478" s="14"/>
      <c r="T5478" s="14"/>
      <c r="U5478" s="14"/>
      <c r="V5478" s="14"/>
      <c r="W5478" s="14"/>
    </row>
    <row r="5479" ht="31.5" customHeight="1">
      <c r="A5479" s="158"/>
      <c r="B5479" s="159"/>
      <c r="C5479" s="160"/>
      <c r="D5479" s="130"/>
      <c r="E5479" s="130"/>
      <c r="F5479" s="161"/>
      <c r="G5479" s="164"/>
      <c r="H5479" s="75"/>
      <c r="I5479" s="75"/>
      <c r="J5479" s="75"/>
      <c r="K5479" s="75"/>
      <c r="L5479" s="75"/>
      <c r="M5479" s="75"/>
      <c r="N5479" s="75"/>
      <c r="O5479" s="75"/>
      <c r="P5479" s="75"/>
      <c r="Q5479" s="75"/>
      <c r="R5479" s="14"/>
      <c r="S5479" s="14"/>
      <c r="T5479" s="14"/>
      <c r="U5479" s="14"/>
      <c r="V5479" s="14"/>
      <c r="W5479" s="14"/>
    </row>
    <row r="5480" ht="31.5" customHeight="1">
      <c r="A5480" s="158"/>
      <c r="B5480" s="159"/>
      <c r="C5480" s="160"/>
      <c r="D5480" s="130"/>
      <c r="E5480" s="130"/>
      <c r="F5480" s="161"/>
      <c r="G5480" s="164"/>
      <c r="H5480" s="75"/>
      <c r="I5480" s="75"/>
      <c r="J5480" s="75"/>
      <c r="K5480" s="75"/>
      <c r="L5480" s="75"/>
      <c r="M5480" s="75"/>
      <c r="N5480" s="75"/>
      <c r="O5480" s="75"/>
      <c r="P5480" s="75"/>
      <c r="Q5480" s="75"/>
      <c r="R5480" s="14"/>
      <c r="S5480" s="14"/>
      <c r="T5480" s="14"/>
      <c r="U5480" s="14"/>
      <c r="V5480" s="14"/>
      <c r="W5480" s="14"/>
    </row>
    <row r="5481" ht="31.5" customHeight="1">
      <c r="A5481" s="158"/>
      <c r="B5481" s="159"/>
      <c r="C5481" s="160"/>
      <c r="D5481" s="130"/>
      <c r="E5481" s="130"/>
      <c r="F5481" s="161"/>
      <c r="G5481" s="164"/>
      <c r="H5481" s="75"/>
      <c r="I5481" s="75"/>
      <c r="J5481" s="75"/>
      <c r="K5481" s="75"/>
      <c r="L5481" s="75"/>
      <c r="M5481" s="75"/>
      <c r="N5481" s="75"/>
      <c r="O5481" s="75"/>
      <c r="P5481" s="75"/>
      <c r="Q5481" s="75"/>
      <c r="R5481" s="14"/>
      <c r="S5481" s="14"/>
      <c r="T5481" s="14"/>
      <c r="U5481" s="14"/>
      <c r="V5481" s="14"/>
      <c r="W5481" s="14"/>
    </row>
    <row r="5482" ht="31.5" customHeight="1">
      <c r="A5482" s="158"/>
      <c r="B5482" s="159"/>
      <c r="C5482" s="160"/>
      <c r="D5482" s="130"/>
      <c r="E5482" s="130"/>
      <c r="F5482" s="161"/>
      <c r="G5482" s="164"/>
      <c r="H5482" s="75"/>
      <c r="I5482" s="75"/>
      <c r="J5482" s="75"/>
      <c r="K5482" s="75"/>
      <c r="L5482" s="75"/>
      <c r="M5482" s="75"/>
      <c r="N5482" s="75"/>
      <c r="O5482" s="75"/>
      <c r="P5482" s="75"/>
      <c r="Q5482" s="75"/>
      <c r="R5482" s="14"/>
      <c r="S5482" s="14"/>
      <c r="T5482" s="14"/>
      <c r="U5482" s="14"/>
      <c r="V5482" s="14"/>
      <c r="W5482" s="14"/>
    </row>
    <row r="5483" ht="31.5" customHeight="1">
      <c r="A5483" s="158"/>
      <c r="B5483" s="159"/>
      <c r="C5483" s="160"/>
      <c r="D5483" s="130"/>
      <c r="E5483" s="130"/>
      <c r="F5483" s="161"/>
      <c r="G5483" s="164"/>
      <c r="H5483" s="75"/>
      <c r="I5483" s="75"/>
      <c r="J5483" s="75"/>
      <c r="K5483" s="75"/>
      <c r="L5483" s="75"/>
      <c r="M5483" s="75"/>
      <c r="N5483" s="75"/>
      <c r="O5483" s="75"/>
      <c r="P5483" s="75"/>
      <c r="Q5483" s="75"/>
      <c r="R5483" s="14"/>
      <c r="S5483" s="14"/>
      <c r="T5483" s="14"/>
      <c r="U5483" s="14"/>
      <c r="V5483" s="14"/>
      <c r="W5483" s="14"/>
    </row>
    <row r="5484" ht="31.5" customHeight="1">
      <c r="A5484" s="158"/>
      <c r="B5484" s="159"/>
      <c r="C5484" s="160"/>
      <c r="D5484" s="130"/>
      <c r="E5484" s="130"/>
      <c r="F5484" s="161"/>
      <c r="G5484" s="164"/>
      <c r="H5484" s="75"/>
      <c r="I5484" s="75"/>
      <c r="J5484" s="75"/>
      <c r="K5484" s="75"/>
      <c r="L5484" s="75"/>
      <c r="M5484" s="75"/>
      <c r="N5484" s="75"/>
      <c r="O5484" s="75"/>
      <c r="P5484" s="75"/>
      <c r="Q5484" s="75"/>
      <c r="R5484" s="14"/>
      <c r="S5484" s="14"/>
      <c r="T5484" s="14"/>
      <c r="U5484" s="14"/>
      <c r="V5484" s="14"/>
      <c r="W5484" s="14"/>
    </row>
    <row r="5485" ht="31.5" customHeight="1">
      <c r="A5485" s="158"/>
      <c r="B5485" s="159"/>
      <c r="C5485" s="160"/>
      <c r="D5485" s="130"/>
      <c r="E5485" s="130"/>
      <c r="F5485" s="161"/>
      <c r="G5485" s="164"/>
      <c r="H5485" s="75"/>
      <c r="I5485" s="75"/>
      <c r="J5485" s="75"/>
      <c r="K5485" s="75"/>
      <c r="L5485" s="75"/>
      <c r="M5485" s="75"/>
      <c r="N5485" s="75"/>
      <c r="O5485" s="75"/>
      <c r="P5485" s="75"/>
      <c r="Q5485" s="75"/>
      <c r="R5485" s="14"/>
      <c r="S5485" s="14"/>
      <c r="T5485" s="14"/>
      <c r="U5485" s="14"/>
      <c r="V5485" s="14"/>
      <c r="W5485" s="14"/>
    </row>
    <row r="5486" ht="31.5" customHeight="1">
      <c r="A5486" s="158"/>
      <c r="B5486" s="159"/>
      <c r="C5486" s="160"/>
      <c r="D5486" s="130"/>
      <c r="E5486" s="130"/>
      <c r="F5486" s="161"/>
      <c r="G5486" s="164"/>
      <c r="H5486" s="75"/>
      <c r="I5486" s="75"/>
      <c r="J5486" s="75"/>
      <c r="K5486" s="75"/>
      <c r="L5486" s="75"/>
      <c r="M5486" s="75"/>
      <c r="N5486" s="75"/>
      <c r="O5486" s="75"/>
      <c r="P5486" s="75"/>
      <c r="Q5486" s="75"/>
      <c r="R5486" s="14"/>
      <c r="S5486" s="14"/>
      <c r="T5486" s="14"/>
      <c r="U5486" s="14"/>
      <c r="V5486" s="14"/>
      <c r="W5486" s="14"/>
    </row>
    <row r="5487" ht="31.5" customHeight="1">
      <c r="A5487" s="158"/>
      <c r="B5487" s="159"/>
      <c r="C5487" s="160"/>
      <c r="D5487" s="130"/>
      <c r="E5487" s="130"/>
      <c r="F5487" s="161"/>
      <c r="G5487" s="164"/>
      <c r="H5487" s="75"/>
      <c r="I5487" s="75"/>
      <c r="J5487" s="75"/>
      <c r="K5487" s="75"/>
      <c r="L5487" s="75"/>
      <c r="M5487" s="75"/>
      <c r="N5487" s="75"/>
      <c r="O5487" s="75"/>
      <c r="P5487" s="75"/>
      <c r="Q5487" s="75"/>
      <c r="R5487" s="14"/>
      <c r="S5487" s="14"/>
      <c r="T5487" s="14"/>
      <c r="U5487" s="14"/>
      <c r="V5487" s="14"/>
      <c r="W5487" s="14"/>
    </row>
    <row r="5488" ht="31.5" customHeight="1">
      <c r="A5488" s="158"/>
      <c r="B5488" s="159"/>
      <c r="C5488" s="160"/>
      <c r="D5488" s="130"/>
      <c r="E5488" s="130"/>
      <c r="F5488" s="161"/>
      <c r="G5488" s="164"/>
      <c r="H5488" s="75"/>
      <c r="I5488" s="75"/>
      <c r="J5488" s="75"/>
      <c r="K5488" s="75"/>
      <c r="L5488" s="75"/>
      <c r="M5488" s="75"/>
      <c r="N5488" s="75"/>
      <c r="O5488" s="75"/>
      <c r="P5488" s="75"/>
      <c r="Q5488" s="75"/>
      <c r="R5488" s="14"/>
      <c r="S5488" s="14"/>
      <c r="T5488" s="14"/>
      <c r="U5488" s="14"/>
      <c r="V5488" s="14"/>
      <c r="W5488" s="14"/>
    </row>
    <row r="5489" ht="31.5" customHeight="1">
      <c r="A5489" s="158"/>
      <c r="B5489" s="159"/>
      <c r="C5489" s="160"/>
      <c r="D5489" s="130"/>
      <c r="E5489" s="130"/>
      <c r="F5489" s="161"/>
      <c r="G5489" s="164"/>
      <c r="H5489" s="75"/>
      <c r="I5489" s="75"/>
      <c r="J5489" s="75"/>
      <c r="K5489" s="75"/>
      <c r="L5489" s="75"/>
      <c r="M5489" s="75"/>
      <c r="N5489" s="75"/>
      <c r="O5489" s="75"/>
      <c r="P5489" s="75"/>
      <c r="Q5489" s="75"/>
      <c r="R5489" s="14"/>
      <c r="S5489" s="14"/>
      <c r="T5489" s="14"/>
      <c r="U5489" s="14"/>
      <c r="V5489" s="14"/>
      <c r="W5489" s="14"/>
    </row>
    <row r="5490" ht="31.5" customHeight="1">
      <c r="A5490" s="158"/>
      <c r="B5490" s="159"/>
      <c r="C5490" s="160"/>
      <c r="D5490" s="130"/>
      <c r="E5490" s="130"/>
      <c r="F5490" s="161"/>
      <c r="G5490" s="164"/>
      <c r="H5490" s="75"/>
      <c r="I5490" s="75"/>
      <c r="J5490" s="75"/>
      <c r="K5490" s="75"/>
      <c r="L5490" s="75"/>
      <c r="M5490" s="75"/>
      <c r="N5490" s="75"/>
      <c r="O5490" s="75"/>
      <c r="P5490" s="75"/>
      <c r="Q5490" s="75"/>
      <c r="R5490" s="14"/>
      <c r="S5490" s="14"/>
      <c r="T5490" s="14"/>
      <c r="U5490" s="14"/>
      <c r="V5490" s="14"/>
      <c r="W5490" s="14"/>
    </row>
    <row r="5491" ht="31.5" customHeight="1">
      <c r="A5491" s="158"/>
      <c r="B5491" s="159"/>
      <c r="C5491" s="160"/>
      <c r="D5491" s="130"/>
      <c r="E5491" s="130"/>
      <c r="F5491" s="161"/>
      <c r="G5491" s="164"/>
      <c r="H5491" s="75"/>
      <c r="I5491" s="75"/>
      <c r="J5491" s="75"/>
      <c r="K5491" s="75"/>
      <c r="L5491" s="75"/>
      <c r="M5491" s="75"/>
      <c r="N5491" s="75"/>
      <c r="O5491" s="75"/>
      <c r="P5491" s="75"/>
      <c r="Q5491" s="75"/>
      <c r="R5491" s="14"/>
      <c r="S5491" s="14"/>
      <c r="T5491" s="14"/>
      <c r="U5491" s="14"/>
      <c r="V5491" s="14"/>
      <c r="W5491" s="14"/>
    </row>
    <row r="5492" ht="31.5" customHeight="1">
      <c r="A5492" s="158"/>
      <c r="B5492" s="159"/>
      <c r="C5492" s="160"/>
      <c r="D5492" s="130"/>
      <c r="E5492" s="130"/>
      <c r="F5492" s="161"/>
      <c r="G5492" s="164"/>
      <c r="H5492" s="75"/>
      <c r="I5492" s="75"/>
      <c r="J5492" s="75"/>
      <c r="K5492" s="75"/>
      <c r="L5492" s="75"/>
      <c r="M5492" s="75"/>
      <c r="N5492" s="75"/>
      <c r="O5492" s="75"/>
      <c r="P5492" s="75"/>
      <c r="Q5492" s="75"/>
      <c r="R5492" s="14"/>
      <c r="S5492" s="14"/>
      <c r="T5492" s="14"/>
      <c r="U5492" s="14"/>
      <c r="V5492" s="14"/>
      <c r="W5492" s="14"/>
    </row>
    <row r="5493" ht="31.5" customHeight="1">
      <c r="A5493" s="158"/>
      <c r="B5493" s="159"/>
      <c r="C5493" s="160"/>
      <c r="D5493" s="130"/>
      <c r="E5493" s="130"/>
      <c r="F5493" s="161"/>
      <c r="G5493" s="164"/>
      <c r="H5493" s="75"/>
      <c r="I5493" s="75"/>
      <c r="J5493" s="75"/>
      <c r="K5493" s="75"/>
      <c r="L5493" s="75"/>
      <c r="M5493" s="75"/>
      <c r="N5493" s="75"/>
      <c r="O5493" s="75"/>
      <c r="P5493" s="75"/>
      <c r="Q5493" s="75"/>
      <c r="R5493" s="14"/>
      <c r="S5493" s="14"/>
      <c r="T5493" s="14"/>
      <c r="U5493" s="14"/>
      <c r="V5493" s="14"/>
      <c r="W5493" s="14"/>
    </row>
    <row r="5494" ht="31.5" customHeight="1">
      <c r="A5494" s="158"/>
      <c r="B5494" s="159"/>
      <c r="C5494" s="160"/>
      <c r="D5494" s="130"/>
      <c r="E5494" s="130"/>
      <c r="F5494" s="161"/>
      <c r="G5494" s="164"/>
      <c r="H5494" s="75"/>
      <c r="I5494" s="75"/>
      <c r="J5494" s="75"/>
      <c r="K5494" s="75"/>
      <c r="L5494" s="75"/>
      <c r="M5494" s="75"/>
      <c r="N5494" s="75"/>
      <c r="O5494" s="75"/>
      <c r="P5494" s="75"/>
      <c r="Q5494" s="75"/>
      <c r="R5494" s="14"/>
      <c r="S5494" s="14"/>
      <c r="T5494" s="14"/>
      <c r="U5494" s="14"/>
      <c r="V5494" s="14"/>
      <c r="W5494" s="14"/>
    </row>
    <row r="5495" ht="31.5" customHeight="1">
      <c r="A5495" s="158"/>
      <c r="B5495" s="159"/>
      <c r="C5495" s="160"/>
      <c r="D5495" s="130"/>
      <c r="E5495" s="130"/>
      <c r="F5495" s="161"/>
      <c r="G5495" s="164"/>
      <c r="H5495" s="75"/>
      <c r="I5495" s="75"/>
      <c r="J5495" s="75"/>
      <c r="K5495" s="75"/>
      <c r="L5495" s="75"/>
      <c r="M5495" s="75"/>
      <c r="N5495" s="75"/>
      <c r="O5495" s="75"/>
      <c r="P5495" s="75"/>
      <c r="Q5495" s="75"/>
      <c r="R5495" s="14"/>
      <c r="S5495" s="14"/>
      <c r="T5495" s="14"/>
      <c r="U5495" s="14"/>
      <c r="V5495" s="14"/>
      <c r="W5495" s="14"/>
    </row>
    <row r="5496" ht="31.5" customHeight="1">
      <c r="A5496" s="158"/>
      <c r="B5496" s="159"/>
      <c r="C5496" s="160"/>
      <c r="D5496" s="130"/>
      <c r="E5496" s="130"/>
      <c r="F5496" s="161"/>
      <c r="G5496" s="164"/>
      <c r="H5496" s="75"/>
      <c r="I5496" s="75"/>
      <c r="J5496" s="75"/>
      <c r="K5496" s="75"/>
      <c r="L5496" s="75"/>
      <c r="M5496" s="75"/>
      <c r="N5496" s="75"/>
      <c r="O5496" s="75"/>
      <c r="P5496" s="75"/>
      <c r="Q5496" s="75"/>
      <c r="R5496" s="14"/>
      <c r="S5496" s="14"/>
      <c r="T5496" s="14"/>
      <c r="U5496" s="14"/>
      <c r="V5496" s="14"/>
      <c r="W5496" s="14"/>
    </row>
    <row r="5497" ht="31.5" customHeight="1">
      <c r="A5497" s="158"/>
      <c r="B5497" s="159"/>
      <c r="C5497" s="160"/>
      <c r="D5497" s="130"/>
      <c r="E5497" s="130"/>
      <c r="F5497" s="161"/>
      <c r="G5497" s="164"/>
      <c r="H5497" s="75"/>
      <c r="I5497" s="75"/>
      <c r="J5497" s="75"/>
      <c r="K5497" s="75"/>
      <c r="L5497" s="75"/>
      <c r="M5497" s="75"/>
      <c r="N5497" s="75"/>
      <c r="O5497" s="75"/>
      <c r="P5497" s="75"/>
      <c r="Q5497" s="75"/>
      <c r="R5497" s="14"/>
      <c r="S5497" s="14"/>
      <c r="T5497" s="14"/>
      <c r="U5497" s="14"/>
      <c r="V5497" s="14"/>
      <c r="W5497" s="14"/>
    </row>
    <row r="5498" ht="31.5" customHeight="1">
      <c r="A5498" s="158"/>
      <c r="B5498" s="159"/>
      <c r="C5498" s="160"/>
      <c r="D5498" s="130"/>
      <c r="E5498" s="130"/>
      <c r="F5498" s="161"/>
      <c r="G5498" s="164"/>
      <c r="H5498" s="75"/>
      <c r="I5498" s="75"/>
      <c r="J5498" s="75"/>
      <c r="K5498" s="75"/>
      <c r="L5498" s="75"/>
      <c r="M5498" s="75"/>
      <c r="N5498" s="75"/>
      <c r="O5498" s="75"/>
      <c r="P5498" s="75"/>
      <c r="Q5498" s="75"/>
      <c r="R5498" s="14"/>
      <c r="S5498" s="14"/>
      <c r="T5498" s="14"/>
      <c r="U5498" s="14"/>
      <c r="V5498" s="14"/>
      <c r="W5498" s="14"/>
    </row>
    <row r="5499" ht="31.5" customHeight="1">
      <c r="A5499" s="158"/>
      <c r="B5499" s="159"/>
      <c r="C5499" s="160"/>
      <c r="D5499" s="130"/>
      <c r="E5499" s="130"/>
      <c r="F5499" s="161"/>
      <c r="G5499" s="164"/>
      <c r="H5499" s="75"/>
      <c r="I5499" s="75"/>
      <c r="J5499" s="75"/>
      <c r="K5499" s="75"/>
      <c r="L5499" s="75"/>
      <c r="M5499" s="75"/>
      <c r="N5499" s="75"/>
      <c r="O5499" s="75"/>
      <c r="P5499" s="75"/>
      <c r="Q5499" s="75"/>
      <c r="R5499" s="14"/>
      <c r="S5499" s="14"/>
      <c r="T5499" s="14"/>
      <c r="U5499" s="14"/>
      <c r="V5499" s="14"/>
      <c r="W5499" s="14"/>
    </row>
    <row r="5500" ht="31.5" customHeight="1">
      <c r="A5500" s="158"/>
      <c r="B5500" s="159"/>
      <c r="C5500" s="160"/>
      <c r="D5500" s="130"/>
      <c r="E5500" s="130"/>
      <c r="F5500" s="161"/>
      <c r="G5500" s="164"/>
      <c r="H5500" s="75"/>
      <c r="I5500" s="75"/>
      <c r="J5500" s="75"/>
      <c r="K5500" s="75"/>
      <c r="L5500" s="75"/>
      <c r="M5500" s="75"/>
      <c r="N5500" s="75"/>
      <c r="O5500" s="75"/>
      <c r="P5500" s="75"/>
      <c r="Q5500" s="75"/>
      <c r="R5500" s="14"/>
      <c r="S5500" s="14"/>
      <c r="T5500" s="14"/>
      <c r="U5500" s="14"/>
      <c r="V5500" s="14"/>
      <c r="W5500" s="14"/>
    </row>
    <row r="5501" ht="31.5" customHeight="1">
      <c r="A5501" s="158"/>
      <c r="B5501" s="159"/>
      <c r="C5501" s="160"/>
      <c r="D5501" s="130"/>
      <c r="E5501" s="130"/>
      <c r="F5501" s="161"/>
      <c r="G5501" s="164"/>
      <c r="H5501" s="75"/>
      <c r="I5501" s="75"/>
      <c r="J5501" s="75"/>
      <c r="K5501" s="75"/>
      <c r="L5501" s="75"/>
      <c r="M5501" s="75"/>
      <c r="N5501" s="75"/>
      <c r="O5501" s="75"/>
      <c r="P5501" s="75"/>
      <c r="Q5501" s="75"/>
      <c r="R5501" s="14"/>
      <c r="S5501" s="14"/>
      <c r="T5501" s="14"/>
      <c r="U5501" s="14"/>
      <c r="V5501" s="14"/>
      <c r="W5501" s="14"/>
    </row>
    <row r="5502" ht="31.5" customHeight="1">
      <c r="A5502" s="158"/>
      <c r="B5502" s="159"/>
      <c r="C5502" s="160"/>
      <c r="D5502" s="130"/>
      <c r="E5502" s="130"/>
      <c r="F5502" s="161"/>
      <c r="G5502" s="164"/>
      <c r="H5502" s="75"/>
      <c r="I5502" s="75"/>
      <c r="J5502" s="75"/>
      <c r="K5502" s="75"/>
      <c r="L5502" s="75"/>
      <c r="M5502" s="75"/>
      <c r="N5502" s="75"/>
      <c r="O5502" s="75"/>
      <c r="P5502" s="75"/>
      <c r="Q5502" s="75"/>
      <c r="R5502" s="14"/>
      <c r="S5502" s="14"/>
      <c r="T5502" s="14"/>
      <c r="U5502" s="14"/>
      <c r="V5502" s="14"/>
      <c r="W5502" s="14"/>
    </row>
    <row r="5503" ht="31.5" customHeight="1">
      <c r="A5503" s="158"/>
      <c r="B5503" s="159"/>
      <c r="C5503" s="160"/>
      <c r="D5503" s="130"/>
      <c r="E5503" s="130"/>
      <c r="F5503" s="161"/>
      <c r="G5503" s="164"/>
      <c r="H5503" s="75"/>
      <c r="I5503" s="75"/>
      <c r="J5503" s="75"/>
      <c r="K5503" s="75"/>
      <c r="L5503" s="75"/>
      <c r="M5503" s="75"/>
      <c r="N5503" s="75"/>
      <c r="O5503" s="75"/>
      <c r="P5503" s="75"/>
      <c r="Q5503" s="75"/>
      <c r="R5503" s="14"/>
      <c r="S5503" s="14"/>
      <c r="T5503" s="14"/>
      <c r="U5503" s="14"/>
      <c r="V5503" s="14"/>
      <c r="W5503" s="14"/>
    </row>
    <row r="5504" ht="31.5" customHeight="1">
      <c r="A5504" s="158"/>
      <c r="B5504" s="159"/>
      <c r="C5504" s="160"/>
      <c r="D5504" s="130"/>
      <c r="E5504" s="130"/>
      <c r="F5504" s="161"/>
      <c r="G5504" s="164"/>
      <c r="H5504" s="75"/>
      <c r="I5504" s="75"/>
      <c r="J5504" s="75"/>
      <c r="K5504" s="75"/>
      <c r="L5504" s="75"/>
      <c r="M5504" s="75"/>
      <c r="N5504" s="75"/>
      <c r="O5504" s="75"/>
      <c r="P5504" s="75"/>
      <c r="Q5504" s="75"/>
      <c r="R5504" s="14"/>
      <c r="S5504" s="14"/>
      <c r="T5504" s="14"/>
      <c r="U5504" s="14"/>
      <c r="V5504" s="14"/>
      <c r="W5504" s="14"/>
    </row>
    <row r="5505" ht="31.5" customHeight="1">
      <c r="A5505" s="158"/>
      <c r="B5505" s="159"/>
      <c r="C5505" s="160"/>
      <c r="D5505" s="130"/>
      <c r="E5505" s="130"/>
      <c r="F5505" s="161"/>
      <c r="G5505" s="164"/>
      <c r="H5505" s="75"/>
      <c r="I5505" s="75"/>
      <c r="J5505" s="75"/>
      <c r="K5505" s="75"/>
      <c r="L5505" s="75"/>
      <c r="M5505" s="75"/>
      <c r="N5505" s="75"/>
      <c r="O5505" s="75"/>
      <c r="P5505" s="75"/>
      <c r="Q5505" s="75"/>
      <c r="R5505" s="14"/>
      <c r="S5505" s="14"/>
      <c r="T5505" s="14"/>
      <c r="U5505" s="14"/>
      <c r="V5505" s="14"/>
      <c r="W5505" s="14"/>
    </row>
    <row r="5506" ht="31.5" customHeight="1">
      <c r="A5506" s="158"/>
      <c r="B5506" s="159"/>
      <c r="C5506" s="160"/>
      <c r="D5506" s="130"/>
      <c r="E5506" s="130"/>
      <c r="F5506" s="161"/>
      <c r="G5506" s="164"/>
      <c r="H5506" s="75"/>
      <c r="I5506" s="75"/>
      <c r="J5506" s="75"/>
      <c r="K5506" s="75"/>
      <c r="L5506" s="75"/>
      <c r="M5506" s="75"/>
      <c r="N5506" s="75"/>
      <c r="O5506" s="75"/>
      <c r="P5506" s="75"/>
      <c r="Q5506" s="75"/>
      <c r="R5506" s="14"/>
      <c r="S5506" s="14"/>
      <c r="T5506" s="14"/>
      <c r="U5506" s="14"/>
      <c r="V5506" s="14"/>
      <c r="W5506" s="14"/>
    </row>
    <row r="5507" ht="31.5" customHeight="1">
      <c r="A5507" s="158"/>
      <c r="B5507" s="159"/>
      <c r="C5507" s="160"/>
      <c r="D5507" s="130"/>
      <c r="E5507" s="130"/>
      <c r="F5507" s="161"/>
      <c r="G5507" s="164"/>
      <c r="H5507" s="75"/>
      <c r="I5507" s="75"/>
      <c r="J5507" s="75"/>
      <c r="K5507" s="75"/>
      <c r="L5507" s="75"/>
      <c r="M5507" s="75"/>
      <c r="N5507" s="75"/>
      <c r="O5507" s="75"/>
      <c r="P5507" s="75"/>
      <c r="Q5507" s="75"/>
      <c r="R5507" s="14"/>
      <c r="S5507" s="14"/>
      <c r="T5507" s="14"/>
      <c r="U5507" s="14"/>
      <c r="V5507" s="14"/>
      <c r="W5507" s="14"/>
    </row>
    <row r="5508" ht="31.5" customHeight="1">
      <c r="A5508" s="158"/>
      <c r="B5508" s="159"/>
      <c r="C5508" s="160"/>
      <c r="D5508" s="130"/>
      <c r="E5508" s="130"/>
      <c r="F5508" s="161"/>
      <c r="G5508" s="164"/>
      <c r="H5508" s="75"/>
      <c r="I5508" s="75"/>
      <c r="J5508" s="75"/>
      <c r="K5508" s="75"/>
      <c r="L5508" s="75"/>
      <c r="M5508" s="75"/>
      <c r="N5508" s="75"/>
      <c r="O5508" s="75"/>
      <c r="P5508" s="75"/>
      <c r="Q5508" s="75"/>
      <c r="R5508" s="14"/>
      <c r="S5508" s="14"/>
      <c r="T5508" s="14"/>
      <c r="U5508" s="14"/>
      <c r="V5508" s="14"/>
      <c r="W5508" s="14"/>
    </row>
    <row r="5509" ht="31.5" customHeight="1">
      <c r="A5509" s="158"/>
      <c r="B5509" s="159"/>
      <c r="C5509" s="160"/>
      <c r="D5509" s="130"/>
      <c r="E5509" s="130"/>
      <c r="F5509" s="161"/>
      <c r="G5509" s="164"/>
      <c r="H5509" s="75"/>
      <c r="I5509" s="75"/>
      <c r="J5509" s="75"/>
      <c r="K5509" s="75"/>
      <c r="L5509" s="75"/>
      <c r="M5509" s="75"/>
      <c r="N5509" s="75"/>
      <c r="O5509" s="75"/>
      <c r="P5509" s="75"/>
      <c r="Q5509" s="75"/>
      <c r="R5509" s="14"/>
      <c r="S5509" s="14"/>
      <c r="T5509" s="14"/>
      <c r="U5509" s="14"/>
      <c r="V5509" s="14"/>
      <c r="W5509" s="14"/>
    </row>
    <row r="5510" ht="31.5" customHeight="1">
      <c r="A5510" s="158"/>
      <c r="B5510" s="159"/>
      <c r="C5510" s="160"/>
      <c r="D5510" s="130"/>
      <c r="E5510" s="130"/>
      <c r="F5510" s="161"/>
      <c r="G5510" s="164"/>
      <c r="H5510" s="75"/>
      <c r="I5510" s="75"/>
      <c r="J5510" s="75"/>
      <c r="K5510" s="75"/>
      <c r="L5510" s="75"/>
      <c r="M5510" s="75"/>
      <c r="N5510" s="75"/>
      <c r="O5510" s="75"/>
      <c r="P5510" s="75"/>
      <c r="Q5510" s="75"/>
      <c r="R5510" s="14"/>
      <c r="S5510" s="14"/>
      <c r="T5510" s="14"/>
      <c r="U5510" s="14"/>
      <c r="V5510" s="14"/>
      <c r="W5510" s="14"/>
    </row>
    <row r="5511" ht="31.5" customHeight="1">
      <c r="A5511" s="158"/>
      <c r="B5511" s="159"/>
      <c r="C5511" s="160"/>
      <c r="D5511" s="130"/>
      <c r="E5511" s="130"/>
      <c r="F5511" s="161"/>
      <c r="G5511" s="164"/>
      <c r="H5511" s="75"/>
      <c r="I5511" s="75"/>
      <c r="J5511" s="75"/>
      <c r="K5511" s="75"/>
      <c r="L5511" s="75"/>
      <c r="M5511" s="75"/>
      <c r="N5511" s="75"/>
      <c r="O5511" s="75"/>
      <c r="P5511" s="75"/>
      <c r="Q5511" s="75"/>
      <c r="R5511" s="14"/>
      <c r="S5511" s="14"/>
      <c r="T5511" s="14"/>
      <c r="U5511" s="14"/>
      <c r="V5511" s="14"/>
      <c r="W5511" s="14"/>
    </row>
    <row r="5512" ht="31.5" customHeight="1">
      <c r="A5512" s="158"/>
      <c r="B5512" s="159"/>
      <c r="C5512" s="160"/>
      <c r="D5512" s="130"/>
      <c r="E5512" s="130"/>
      <c r="F5512" s="161"/>
      <c r="G5512" s="164"/>
      <c r="H5512" s="75"/>
      <c r="I5512" s="75"/>
      <c r="J5512" s="75"/>
      <c r="K5512" s="75"/>
      <c r="L5512" s="75"/>
      <c r="M5512" s="75"/>
      <c r="N5512" s="75"/>
      <c r="O5512" s="75"/>
      <c r="P5512" s="75"/>
      <c r="Q5512" s="75"/>
      <c r="R5512" s="14"/>
      <c r="S5512" s="14"/>
      <c r="T5512" s="14"/>
      <c r="U5512" s="14"/>
      <c r="V5512" s="14"/>
      <c r="W5512" s="14"/>
    </row>
    <row r="5513" ht="31.5" customHeight="1">
      <c r="A5513" s="158"/>
      <c r="B5513" s="159"/>
      <c r="C5513" s="160"/>
      <c r="D5513" s="130"/>
      <c r="E5513" s="130"/>
      <c r="F5513" s="161"/>
      <c r="G5513" s="164"/>
      <c r="H5513" s="75"/>
      <c r="I5513" s="75"/>
      <c r="J5513" s="75"/>
      <c r="K5513" s="75"/>
      <c r="L5513" s="75"/>
      <c r="M5513" s="75"/>
      <c r="N5513" s="75"/>
      <c r="O5513" s="75"/>
      <c r="P5513" s="75"/>
      <c r="Q5513" s="75"/>
      <c r="R5513" s="14"/>
      <c r="S5513" s="14"/>
      <c r="T5513" s="14"/>
      <c r="U5513" s="14"/>
      <c r="V5513" s="14"/>
      <c r="W5513" s="14"/>
    </row>
    <row r="5514" ht="31.5" customHeight="1">
      <c r="A5514" s="158"/>
      <c r="B5514" s="159"/>
      <c r="C5514" s="160"/>
      <c r="D5514" s="130"/>
      <c r="E5514" s="130"/>
      <c r="F5514" s="161"/>
      <c r="G5514" s="164"/>
      <c r="H5514" s="75"/>
      <c r="I5514" s="75"/>
      <c r="J5514" s="75"/>
      <c r="K5514" s="75"/>
      <c r="L5514" s="75"/>
      <c r="M5514" s="75"/>
      <c r="N5514" s="75"/>
      <c r="O5514" s="75"/>
      <c r="P5514" s="75"/>
      <c r="Q5514" s="75"/>
      <c r="R5514" s="14"/>
      <c r="S5514" s="14"/>
      <c r="T5514" s="14"/>
      <c r="U5514" s="14"/>
      <c r="V5514" s="14"/>
      <c r="W5514" s="14"/>
    </row>
    <row r="5515" ht="31.5" customHeight="1">
      <c r="A5515" s="158"/>
      <c r="B5515" s="159"/>
      <c r="C5515" s="160"/>
      <c r="D5515" s="130"/>
      <c r="E5515" s="130"/>
      <c r="F5515" s="161"/>
      <c r="G5515" s="164"/>
      <c r="H5515" s="75"/>
      <c r="I5515" s="75"/>
      <c r="J5515" s="75"/>
      <c r="K5515" s="75"/>
      <c r="L5515" s="75"/>
      <c r="M5515" s="75"/>
      <c r="N5515" s="75"/>
      <c r="O5515" s="75"/>
      <c r="P5515" s="75"/>
      <c r="Q5515" s="75"/>
      <c r="R5515" s="14"/>
      <c r="S5515" s="14"/>
      <c r="T5515" s="14"/>
      <c r="U5515" s="14"/>
      <c r="V5515" s="14"/>
      <c r="W5515" s="14"/>
    </row>
    <row r="5516" ht="31.5" customHeight="1">
      <c r="A5516" s="158"/>
      <c r="B5516" s="159"/>
      <c r="C5516" s="160"/>
      <c r="D5516" s="130"/>
      <c r="E5516" s="130"/>
      <c r="F5516" s="161"/>
      <c r="G5516" s="164"/>
      <c r="H5516" s="75"/>
      <c r="I5516" s="75"/>
      <c r="J5516" s="75"/>
      <c r="K5516" s="75"/>
      <c r="L5516" s="75"/>
      <c r="M5516" s="75"/>
      <c r="N5516" s="75"/>
      <c r="O5516" s="75"/>
      <c r="P5516" s="75"/>
      <c r="Q5516" s="75"/>
      <c r="R5516" s="14"/>
      <c r="S5516" s="14"/>
      <c r="T5516" s="14"/>
      <c r="U5516" s="14"/>
      <c r="V5516" s="14"/>
      <c r="W5516" s="14"/>
    </row>
    <row r="5517" ht="31.5" customHeight="1">
      <c r="A5517" s="158"/>
      <c r="B5517" s="159"/>
      <c r="C5517" s="160"/>
      <c r="D5517" s="130"/>
      <c r="E5517" s="130"/>
      <c r="F5517" s="161"/>
      <c r="G5517" s="164"/>
      <c r="H5517" s="75"/>
      <c r="I5517" s="75"/>
      <c r="J5517" s="75"/>
      <c r="K5517" s="75"/>
      <c r="L5517" s="75"/>
      <c r="M5517" s="75"/>
      <c r="N5517" s="75"/>
      <c r="O5517" s="75"/>
      <c r="P5517" s="75"/>
      <c r="Q5517" s="75"/>
      <c r="R5517" s="14"/>
      <c r="S5517" s="14"/>
      <c r="T5517" s="14"/>
      <c r="U5517" s="14"/>
      <c r="V5517" s="14"/>
      <c r="W5517" s="14"/>
    </row>
    <row r="5518" ht="31.5" customHeight="1">
      <c r="A5518" s="158"/>
      <c r="B5518" s="159"/>
      <c r="C5518" s="160"/>
      <c r="D5518" s="130"/>
      <c r="E5518" s="130"/>
      <c r="F5518" s="161"/>
      <c r="G5518" s="164"/>
      <c r="H5518" s="75"/>
      <c r="I5518" s="75"/>
      <c r="J5518" s="75"/>
      <c r="K5518" s="75"/>
      <c r="L5518" s="75"/>
      <c r="M5518" s="75"/>
      <c r="N5518" s="75"/>
      <c r="O5518" s="75"/>
      <c r="P5518" s="75"/>
      <c r="Q5518" s="75"/>
      <c r="R5518" s="14"/>
      <c r="S5518" s="14"/>
      <c r="T5518" s="14"/>
      <c r="U5518" s="14"/>
      <c r="V5518" s="14"/>
      <c r="W5518" s="14"/>
    </row>
    <row r="5519" ht="31.5" customHeight="1">
      <c r="A5519" s="158"/>
      <c r="B5519" s="159"/>
      <c r="C5519" s="160"/>
      <c r="D5519" s="130"/>
      <c r="E5519" s="130"/>
      <c r="F5519" s="161"/>
      <c r="G5519" s="164"/>
      <c r="H5519" s="75"/>
      <c r="I5519" s="75"/>
      <c r="J5519" s="75"/>
      <c r="K5519" s="75"/>
      <c r="L5519" s="75"/>
      <c r="M5519" s="75"/>
      <c r="N5519" s="75"/>
      <c r="O5519" s="75"/>
      <c r="P5519" s="75"/>
      <c r="Q5519" s="75"/>
      <c r="R5519" s="14"/>
      <c r="S5519" s="14"/>
      <c r="T5519" s="14"/>
      <c r="U5519" s="14"/>
      <c r="V5519" s="14"/>
      <c r="W5519" s="14"/>
    </row>
    <row r="5520" ht="31.5" customHeight="1">
      <c r="A5520" s="158"/>
      <c r="B5520" s="159"/>
      <c r="C5520" s="160"/>
      <c r="D5520" s="130"/>
      <c r="E5520" s="130"/>
      <c r="F5520" s="161"/>
      <c r="G5520" s="164"/>
      <c r="H5520" s="75"/>
      <c r="I5520" s="75"/>
      <c r="J5520" s="75"/>
      <c r="K5520" s="75"/>
      <c r="L5520" s="75"/>
      <c r="M5520" s="75"/>
      <c r="N5520" s="75"/>
      <c r="O5520" s="75"/>
      <c r="P5520" s="75"/>
      <c r="Q5520" s="75"/>
      <c r="R5520" s="14"/>
      <c r="S5520" s="14"/>
      <c r="T5520" s="14"/>
      <c r="U5520" s="14"/>
      <c r="V5520" s="14"/>
      <c r="W5520" s="14"/>
    </row>
    <row r="5521" ht="31.5" customHeight="1">
      <c r="A5521" s="158"/>
      <c r="B5521" s="159"/>
      <c r="C5521" s="160"/>
      <c r="D5521" s="130"/>
      <c r="E5521" s="130"/>
      <c r="F5521" s="161"/>
      <c r="G5521" s="164"/>
      <c r="H5521" s="75"/>
      <c r="I5521" s="75"/>
      <c r="J5521" s="75"/>
      <c r="K5521" s="75"/>
      <c r="L5521" s="75"/>
      <c r="M5521" s="75"/>
      <c r="N5521" s="75"/>
      <c r="O5521" s="75"/>
      <c r="P5521" s="75"/>
      <c r="Q5521" s="75"/>
      <c r="R5521" s="14"/>
      <c r="S5521" s="14"/>
      <c r="T5521" s="14"/>
      <c r="U5521" s="14"/>
      <c r="V5521" s="14"/>
      <c r="W5521" s="14"/>
    </row>
    <row r="5522" ht="31.5" customHeight="1">
      <c r="A5522" s="158"/>
      <c r="B5522" s="159"/>
      <c r="C5522" s="160"/>
      <c r="D5522" s="130"/>
      <c r="E5522" s="130"/>
      <c r="F5522" s="161"/>
      <c r="G5522" s="164"/>
      <c r="H5522" s="75"/>
      <c r="I5522" s="75"/>
      <c r="J5522" s="75"/>
      <c r="K5522" s="75"/>
      <c r="L5522" s="75"/>
      <c r="M5522" s="75"/>
      <c r="N5522" s="75"/>
      <c r="O5522" s="75"/>
      <c r="P5522" s="75"/>
      <c r="Q5522" s="75"/>
      <c r="R5522" s="14"/>
      <c r="S5522" s="14"/>
      <c r="T5522" s="14"/>
      <c r="U5522" s="14"/>
      <c r="V5522" s="14"/>
      <c r="W5522" s="14"/>
    </row>
    <row r="5523" ht="31.5" customHeight="1">
      <c r="A5523" s="158"/>
      <c r="B5523" s="159"/>
      <c r="C5523" s="160"/>
      <c r="D5523" s="130"/>
      <c r="E5523" s="130"/>
      <c r="F5523" s="161"/>
      <c r="G5523" s="164"/>
      <c r="H5523" s="75"/>
      <c r="I5523" s="75"/>
      <c r="J5523" s="75"/>
      <c r="K5523" s="75"/>
      <c r="L5523" s="75"/>
      <c r="M5523" s="75"/>
      <c r="N5523" s="75"/>
      <c r="O5523" s="75"/>
      <c r="P5523" s="75"/>
      <c r="Q5523" s="75"/>
      <c r="R5523" s="14"/>
      <c r="S5523" s="14"/>
      <c r="T5523" s="14"/>
      <c r="U5523" s="14"/>
      <c r="V5523" s="14"/>
      <c r="W5523" s="14"/>
    </row>
    <row r="5524" ht="31.5" customHeight="1">
      <c r="A5524" s="158"/>
      <c r="B5524" s="159"/>
      <c r="C5524" s="160"/>
      <c r="D5524" s="130"/>
      <c r="E5524" s="130"/>
      <c r="F5524" s="161"/>
      <c r="G5524" s="164"/>
      <c r="H5524" s="75"/>
      <c r="I5524" s="75"/>
      <c r="J5524" s="75"/>
      <c r="K5524" s="75"/>
      <c r="L5524" s="75"/>
      <c r="M5524" s="75"/>
      <c r="N5524" s="75"/>
      <c r="O5524" s="75"/>
      <c r="P5524" s="75"/>
      <c r="Q5524" s="75"/>
      <c r="R5524" s="14"/>
      <c r="S5524" s="14"/>
      <c r="T5524" s="14"/>
      <c r="U5524" s="14"/>
      <c r="V5524" s="14"/>
      <c r="W5524" s="14"/>
    </row>
    <row r="5525" ht="31.5" customHeight="1">
      <c r="A5525" s="158"/>
      <c r="B5525" s="159"/>
      <c r="C5525" s="160"/>
      <c r="D5525" s="130"/>
      <c r="E5525" s="130"/>
      <c r="F5525" s="161"/>
      <c r="G5525" s="164"/>
      <c r="H5525" s="75"/>
      <c r="I5525" s="75"/>
      <c r="J5525" s="75"/>
      <c r="K5525" s="75"/>
      <c r="L5525" s="75"/>
      <c r="M5525" s="75"/>
      <c r="N5525" s="75"/>
      <c r="O5525" s="75"/>
      <c r="P5525" s="75"/>
      <c r="Q5525" s="75"/>
      <c r="R5525" s="14"/>
      <c r="S5525" s="14"/>
      <c r="T5525" s="14"/>
      <c r="U5525" s="14"/>
      <c r="V5525" s="14"/>
      <c r="W5525" s="14"/>
    </row>
    <row r="5526" ht="31.5" customHeight="1">
      <c r="A5526" s="158"/>
      <c r="B5526" s="159"/>
      <c r="C5526" s="160"/>
      <c r="D5526" s="130"/>
      <c r="E5526" s="130"/>
      <c r="F5526" s="161"/>
      <c r="G5526" s="164"/>
      <c r="H5526" s="75"/>
      <c r="I5526" s="75"/>
      <c r="J5526" s="75"/>
      <c r="K5526" s="75"/>
      <c r="L5526" s="75"/>
      <c r="M5526" s="75"/>
      <c r="N5526" s="75"/>
      <c r="O5526" s="75"/>
      <c r="P5526" s="75"/>
      <c r="Q5526" s="75"/>
      <c r="R5526" s="14"/>
      <c r="S5526" s="14"/>
      <c r="T5526" s="14"/>
      <c r="U5526" s="14"/>
      <c r="V5526" s="14"/>
      <c r="W5526" s="14"/>
    </row>
    <row r="5527" ht="31.5" customHeight="1">
      <c r="A5527" s="158"/>
      <c r="B5527" s="159"/>
      <c r="C5527" s="160"/>
      <c r="D5527" s="130"/>
      <c r="E5527" s="130"/>
      <c r="F5527" s="161"/>
      <c r="G5527" s="164"/>
      <c r="H5527" s="75"/>
      <c r="I5527" s="75"/>
      <c r="J5527" s="75"/>
      <c r="K5527" s="75"/>
      <c r="L5527" s="75"/>
      <c r="M5527" s="75"/>
      <c r="N5527" s="75"/>
      <c r="O5527" s="75"/>
      <c r="P5527" s="75"/>
      <c r="Q5527" s="75"/>
      <c r="R5527" s="14"/>
      <c r="S5527" s="14"/>
      <c r="T5527" s="14"/>
      <c r="U5527" s="14"/>
      <c r="V5527" s="14"/>
      <c r="W5527" s="14"/>
    </row>
    <row r="5528" ht="31.5" customHeight="1">
      <c r="A5528" s="158"/>
      <c r="B5528" s="159"/>
      <c r="C5528" s="160"/>
      <c r="D5528" s="130"/>
      <c r="E5528" s="130"/>
      <c r="F5528" s="161"/>
      <c r="G5528" s="164"/>
      <c r="H5528" s="75"/>
      <c r="I5528" s="75"/>
      <c r="J5528" s="75"/>
      <c r="K5528" s="75"/>
      <c r="L5528" s="75"/>
      <c r="M5528" s="75"/>
      <c r="N5528" s="75"/>
      <c r="O5528" s="75"/>
      <c r="P5528" s="75"/>
      <c r="Q5528" s="75"/>
      <c r="R5528" s="14"/>
      <c r="S5528" s="14"/>
      <c r="T5528" s="14"/>
      <c r="U5528" s="14"/>
      <c r="V5528" s="14"/>
      <c r="W5528" s="14"/>
    </row>
    <row r="5529" ht="31.5" customHeight="1">
      <c r="A5529" s="158"/>
      <c r="B5529" s="159"/>
      <c r="C5529" s="160"/>
      <c r="D5529" s="130"/>
      <c r="E5529" s="130"/>
      <c r="F5529" s="161"/>
      <c r="G5529" s="164"/>
      <c r="H5529" s="75"/>
      <c r="I5529" s="75"/>
      <c r="J5529" s="75"/>
      <c r="K5529" s="75"/>
      <c r="L5529" s="75"/>
      <c r="M5529" s="75"/>
      <c r="N5529" s="75"/>
      <c r="O5529" s="75"/>
      <c r="P5529" s="75"/>
      <c r="Q5529" s="75"/>
      <c r="R5529" s="14"/>
      <c r="S5529" s="14"/>
      <c r="T5529" s="14"/>
      <c r="U5529" s="14"/>
      <c r="V5529" s="14"/>
      <c r="W5529" s="14"/>
    </row>
    <row r="5530" ht="31.5" customHeight="1">
      <c r="A5530" s="158"/>
      <c r="B5530" s="159"/>
      <c r="C5530" s="160"/>
      <c r="D5530" s="130"/>
      <c r="E5530" s="130"/>
      <c r="F5530" s="161"/>
      <c r="G5530" s="164"/>
      <c r="H5530" s="75"/>
      <c r="I5530" s="75"/>
      <c r="J5530" s="75"/>
      <c r="K5530" s="75"/>
      <c r="L5530" s="75"/>
      <c r="M5530" s="75"/>
      <c r="N5530" s="75"/>
      <c r="O5530" s="75"/>
      <c r="P5530" s="75"/>
      <c r="Q5530" s="75"/>
      <c r="R5530" s="14"/>
      <c r="S5530" s="14"/>
      <c r="T5530" s="14"/>
      <c r="U5530" s="14"/>
      <c r="V5530" s="14"/>
      <c r="W5530" s="14"/>
    </row>
    <row r="5531" ht="31.5" customHeight="1">
      <c r="A5531" s="158"/>
      <c r="B5531" s="159"/>
      <c r="C5531" s="160"/>
      <c r="D5531" s="130"/>
      <c r="E5531" s="130"/>
      <c r="F5531" s="161"/>
      <c r="G5531" s="164"/>
      <c r="H5531" s="75"/>
      <c r="I5531" s="75"/>
      <c r="J5531" s="75"/>
      <c r="K5531" s="75"/>
      <c r="L5531" s="75"/>
      <c r="M5531" s="75"/>
      <c r="N5531" s="75"/>
      <c r="O5531" s="75"/>
      <c r="P5531" s="75"/>
      <c r="Q5531" s="75"/>
      <c r="R5531" s="14"/>
      <c r="S5531" s="14"/>
      <c r="T5531" s="14"/>
      <c r="U5531" s="14"/>
      <c r="V5531" s="14"/>
      <c r="W5531" s="14"/>
    </row>
    <row r="5532" ht="31.5" customHeight="1">
      <c r="A5532" s="158"/>
      <c r="B5532" s="159"/>
      <c r="C5532" s="160"/>
      <c r="D5532" s="130"/>
      <c r="E5532" s="130"/>
      <c r="F5532" s="161"/>
      <c r="G5532" s="164"/>
      <c r="H5532" s="75"/>
      <c r="I5532" s="75"/>
      <c r="J5532" s="75"/>
      <c r="K5532" s="75"/>
      <c r="L5532" s="75"/>
      <c r="M5532" s="75"/>
      <c r="N5532" s="75"/>
      <c r="O5532" s="75"/>
      <c r="P5532" s="75"/>
      <c r="Q5532" s="75"/>
      <c r="R5532" s="14"/>
      <c r="S5532" s="14"/>
      <c r="T5532" s="14"/>
      <c r="U5532" s="14"/>
      <c r="V5532" s="14"/>
      <c r="W5532" s="14"/>
    </row>
    <row r="5533" ht="31.5" customHeight="1">
      <c r="A5533" s="158"/>
      <c r="B5533" s="159"/>
      <c r="C5533" s="160"/>
      <c r="D5533" s="130"/>
      <c r="E5533" s="130"/>
      <c r="F5533" s="161"/>
      <c r="G5533" s="164"/>
      <c r="H5533" s="75"/>
      <c r="I5533" s="75"/>
      <c r="J5533" s="75"/>
      <c r="K5533" s="75"/>
      <c r="L5533" s="75"/>
      <c r="M5533" s="75"/>
      <c r="N5533" s="75"/>
      <c r="O5533" s="75"/>
      <c r="P5533" s="75"/>
      <c r="Q5533" s="75"/>
      <c r="R5533" s="14"/>
      <c r="S5533" s="14"/>
      <c r="T5533" s="14"/>
      <c r="U5533" s="14"/>
      <c r="V5533" s="14"/>
      <c r="W5533" s="14"/>
    </row>
    <row r="5534" ht="31.5" customHeight="1">
      <c r="A5534" s="158"/>
      <c r="B5534" s="159"/>
      <c r="C5534" s="160"/>
      <c r="D5534" s="130"/>
      <c r="E5534" s="130"/>
      <c r="F5534" s="161"/>
      <c r="G5534" s="164"/>
      <c r="H5534" s="75"/>
      <c r="I5534" s="75"/>
      <c r="J5534" s="75"/>
      <c r="K5534" s="75"/>
      <c r="L5534" s="75"/>
      <c r="M5534" s="75"/>
      <c r="N5534" s="75"/>
      <c r="O5534" s="75"/>
      <c r="P5534" s="75"/>
      <c r="Q5534" s="75"/>
      <c r="R5534" s="14"/>
      <c r="S5534" s="14"/>
      <c r="T5534" s="14"/>
      <c r="U5534" s="14"/>
      <c r="V5534" s="14"/>
      <c r="W5534" s="14"/>
    </row>
    <row r="5535" ht="31.5" customHeight="1">
      <c r="A5535" s="158"/>
      <c r="B5535" s="159"/>
      <c r="C5535" s="160"/>
      <c r="D5535" s="130"/>
      <c r="E5535" s="130"/>
      <c r="F5535" s="161"/>
      <c r="G5535" s="164"/>
      <c r="H5535" s="75"/>
      <c r="I5535" s="75"/>
      <c r="J5535" s="75"/>
      <c r="K5535" s="75"/>
      <c r="L5535" s="75"/>
      <c r="M5535" s="75"/>
      <c r="N5535" s="75"/>
      <c r="O5535" s="75"/>
      <c r="P5535" s="75"/>
      <c r="Q5535" s="75"/>
      <c r="R5535" s="14"/>
      <c r="S5535" s="14"/>
      <c r="T5535" s="14"/>
      <c r="U5535" s="14"/>
      <c r="V5535" s="14"/>
      <c r="W5535" s="14"/>
    </row>
    <row r="5536" ht="31.5" customHeight="1">
      <c r="A5536" s="158"/>
      <c r="B5536" s="159"/>
      <c r="C5536" s="160"/>
      <c r="D5536" s="130"/>
      <c r="E5536" s="130"/>
      <c r="F5536" s="161"/>
      <c r="G5536" s="164"/>
      <c r="H5536" s="75"/>
      <c r="I5536" s="75"/>
      <c r="J5536" s="75"/>
      <c r="K5536" s="75"/>
      <c r="L5536" s="75"/>
      <c r="M5536" s="75"/>
      <c r="N5536" s="75"/>
      <c r="O5536" s="75"/>
      <c r="P5536" s="75"/>
      <c r="Q5536" s="75"/>
      <c r="R5536" s="14"/>
      <c r="S5536" s="14"/>
      <c r="T5536" s="14"/>
      <c r="U5536" s="14"/>
      <c r="V5536" s="14"/>
      <c r="W5536" s="14"/>
    </row>
    <row r="5537" ht="31.5" customHeight="1">
      <c r="A5537" s="158"/>
      <c r="B5537" s="159"/>
      <c r="C5537" s="160"/>
      <c r="D5537" s="130"/>
      <c r="E5537" s="130"/>
      <c r="F5537" s="161"/>
      <c r="G5537" s="164"/>
      <c r="H5537" s="75"/>
      <c r="I5537" s="75"/>
      <c r="J5537" s="75"/>
      <c r="K5537" s="75"/>
      <c r="L5537" s="75"/>
      <c r="M5537" s="75"/>
      <c r="N5537" s="75"/>
      <c r="O5537" s="75"/>
      <c r="P5537" s="75"/>
      <c r="Q5537" s="75"/>
      <c r="R5537" s="14"/>
      <c r="S5537" s="14"/>
      <c r="T5537" s="14"/>
      <c r="U5537" s="14"/>
      <c r="V5537" s="14"/>
      <c r="W5537" s="14"/>
    </row>
    <row r="5538" ht="31.5" customHeight="1">
      <c r="A5538" s="158"/>
      <c r="B5538" s="159"/>
      <c r="C5538" s="160"/>
      <c r="D5538" s="130"/>
      <c r="E5538" s="130"/>
      <c r="F5538" s="161"/>
      <c r="G5538" s="164"/>
      <c r="H5538" s="75"/>
      <c r="I5538" s="75"/>
      <c r="J5538" s="75"/>
      <c r="K5538" s="75"/>
      <c r="L5538" s="75"/>
      <c r="M5538" s="75"/>
      <c r="N5538" s="75"/>
      <c r="O5538" s="75"/>
      <c r="P5538" s="75"/>
      <c r="Q5538" s="75"/>
      <c r="R5538" s="14"/>
      <c r="S5538" s="14"/>
      <c r="T5538" s="14"/>
      <c r="U5538" s="14"/>
      <c r="V5538" s="14"/>
      <c r="W5538" s="14"/>
    </row>
    <row r="5539" ht="31.5" customHeight="1">
      <c r="A5539" s="158"/>
      <c r="B5539" s="159"/>
      <c r="C5539" s="160"/>
      <c r="D5539" s="130"/>
      <c r="E5539" s="130"/>
      <c r="F5539" s="161"/>
      <c r="G5539" s="164"/>
      <c r="H5539" s="75"/>
      <c r="I5539" s="75"/>
      <c r="J5539" s="75"/>
      <c r="K5539" s="75"/>
      <c r="L5539" s="75"/>
      <c r="M5539" s="75"/>
      <c r="N5539" s="75"/>
      <c r="O5539" s="75"/>
      <c r="P5539" s="75"/>
      <c r="Q5539" s="75"/>
      <c r="R5539" s="14"/>
      <c r="S5539" s="14"/>
      <c r="T5539" s="14"/>
      <c r="U5539" s="14"/>
      <c r="V5539" s="14"/>
      <c r="W5539" s="14"/>
    </row>
    <row r="5540" ht="31.5" customHeight="1">
      <c r="A5540" s="158"/>
      <c r="B5540" s="159"/>
      <c r="C5540" s="160"/>
      <c r="D5540" s="130"/>
      <c r="E5540" s="130"/>
      <c r="F5540" s="161"/>
      <c r="G5540" s="164"/>
      <c r="H5540" s="75"/>
      <c r="I5540" s="75"/>
      <c r="J5540" s="75"/>
      <c r="K5540" s="75"/>
      <c r="L5540" s="75"/>
      <c r="M5540" s="75"/>
      <c r="N5540" s="75"/>
      <c r="O5540" s="75"/>
      <c r="P5540" s="75"/>
      <c r="Q5540" s="75"/>
      <c r="R5540" s="14"/>
      <c r="S5540" s="14"/>
      <c r="T5540" s="14"/>
      <c r="U5540" s="14"/>
      <c r="V5540" s="14"/>
      <c r="W5540" s="14"/>
    </row>
    <row r="5541" ht="31.5" customHeight="1">
      <c r="A5541" s="158"/>
      <c r="B5541" s="159"/>
      <c r="C5541" s="160"/>
      <c r="D5541" s="130"/>
      <c r="E5541" s="130"/>
      <c r="F5541" s="161"/>
      <c r="G5541" s="164"/>
      <c r="H5541" s="75"/>
      <c r="I5541" s="75"/>
      <c r="J5541" s="75"/>
      <c r="K5541" s="75"/>
      <c r="L5541" s="75"/>
      <c r="M5541" s="75"/>
      <c r="N5541" s="75"/>
      <c r="O5541" s="75"/>
      <c r="P5541" s="75"/>
      <c r="Q5541" s="75"/>
      <c r="R5541" s="14"/>
      <c r="S5541" s="14"/>
      <c r="T5541" s="14"/>
      <c r="U5541" s="14"/>
      <c r="V5541" s="14"/>
      <c r="W5541" s="14"/>
    </row>
    <row r="5542" ht="31.5" customHeight="1">
      <c r="A5542" s="158"/>
      <c r="B5542" s="159"/>
      <c r="C5542" s="160"/>
      <c r="D5542" s="130"/>
      <c r="E5542" s="130"/>
      <c r="F5542" s="161"/>
      <c r="G5542" s="164"/>
      <c r="H5542" s="75"/>
      <c r="I5542" s="75"/>
      <c r="J5542" s="75"/>
      <c r="K5542" s="75"/>
      <c r="L5542" s="75"/>
      <c r="M5542" s="75"/>
      <c r="N5542" s="75"/>
      <c r="O5542" s="75"/>
      <c r="P5542" s="75"/>
      <c r="Q5542" s="75"/>
      <c r="R5542" s="14"/>
      <c r="S5542" s="14"/>
      <c r="T5542" s="14"/>
      <c r="U5542" s="14"/>
      <c r="V5542" s="14"/>
      <c r="W5542" s="14"/>
    </row>
    <row r="5543" ht="31.5" customHeight="1">
      <c r="A5543" s="158"/>
      <c r="B5543" s="159"/>
      <c r="C5543" s="160"/>
      <c r="D5543" s="130"/>
      <c r="E5543" s="130"/>
      <c r="F5543" s="161"/>
      <c r="G5543" s="164"/>
      <c r="H5543" s="75"/>
      <c r="I5543" s="75"/>
      <c r="J5543" s="75"/>
      <c r="K5543" s="75"/>
      <c r="L5543" s="75"/>
      <c r="M5543" s="75"/>
      <c r="N5543" s="75"/>
      <c r="O5543" s="75"/>
      <c r="P5543" s="75"/>
      <c r="Q5543" s="75"/>
      <c r="R5543" s="14"/>
      <c r="S5543" s="14"/>
      <c r="T5543" s="14"/>
      <c r="U5543" s="14"/>
      <c r="V5543" s="14"/>
      <c r="W5543" s="14"/>
    </row>
    <row r="5544" ht="31.5" customHeight="1">
      <c r="A5544" s="158"/>
      <c r="B5544" s="159"/>
      <c r="C5544" s="160"/>
      <c r="D5544" s="130"/>
      <c r="E5544" s="130"/>
      <c r="F5544" s="161"/>
      <c r="G5544" s="164"/>
      <c r="H5544" s="75"/>
      <c r="I5544" s="75"/>
      <c r="J5544" s="75"/>
      <c r="K5544" s="75"/>
      <c r="L5544" s="75"/>
      <c r="M5544" s="75"/>
      <c r="N5544" s="75"/>
      <c r="O5544" s="75"/>
      <c r="P5544" s="75"/>
      <c r="Q5544" s="75"/>
      <c r="R5544" s="14"/>
      <c r="S5544" s="14"/>
      <c r="T5544" s="14"/>
      <c r="U5544" s="14"/>
      <c r="V5544" s="14"/>
      <c r="W5544" s="14"/>
    </row>
    <row r="5545" ht="31.5" customHeight="1">
      <c r="A5545" s="158"/>
      <c r="B5545" s="159"/>
      <c r="C5545" s="160"/>
      <c r="D5545" s="130"/>
      <c r="E5545" s="130"/>
      <c r="F5545" s="161"/>
      <c r="G5545" s="164"/>
      <c r="H5545" s="75"/>
      <c r="I5545" s="75"/>
      <c r="J5545" s="75"/>
      <c r="K5545" s="75"/>
      <c r="L5545" s="75"/>
      <c r="M5545" s="75"/>
      <c r="N5545" s="75"/>
      <c r="O5545" s="75"/>
      <c r="P5545" s="75"/>
      <c r="Q5545" s="75"/>
      <c r="R5545" s="14"/>
      <c r="S5545" s="14"/>
      <c r="T5545" s="14"/>
      <c r="U5545" s="14"/>
      <c r="V5545" s="14"/>
      <c r="W5545" s="14"/>
    </row>
    <row r="5546" ht="31.5" customHeight="1">
      <c r="A5546" s="158"/>
      <c r="B5546" s="159"/>
      <c r="C5546" s="160"/>
      <c r="D5546" s="130"/>
      <c r="E5546" s="130"/>
      <c r="F5546" s="161"/>
      <c r="G5546" s="164"/>
      <c r="H5546" s="75"/>
      <c r="I5546" s="75"/>
      <c r="J5546" s="75"/>
      <c r="K5546" s="75"/>
      <c r="L5546" s="75"/>
      <c r="M5546" s="75"/>
      <c r="N5546" s="75"/>
      <c r="O5546" s="75"/>
      <c r="P5546" s="75"/>
      <c r="Q5546" s="75"/>
      <c r="R5546" s="14"/>
      <c r="S5546" s="14"/>
      <c r="T5546" s="14"/>
      <c r="U5546" s="14"/>
      <c r="V5546" s="14"/>
      <c r="W5546" s="14"/>
    </row>
    <row r="5547" ht="31.5" customHeight="1">
      <c r="A5547" s="158"/>
      <c r="B5547" s="159"/>
      <c r="C5547" s="160"/>
      <c r="D5547" s="130"/>
      <c r="E5547" s="130"/>
      <c r="F5547" s="161"/>
      <c r="G5547" s="164"/>
      <c r="H5547" s="75"/>
      <c r="I5547" s="75"/>
      <c r="J5547" s="75"/>
      <c r="K5547" s="75"/>
      <c r="L5547" s="75"/>
      <c r="M5547" s="75"/>
      <c r="N5547" s="75"/>
      <c r="O5547" s="75"/>
      <c r="P5547" s="75"/>
      <c r="Q5547" s="75"/>
      <c r="R5547" s="14"/>
      <c r="S5547" s="14"/>
      <c r="T5547" s="14"/>
      <c r="U5547" s="14"/>
      <c r="V5547" s="14"/>
      <c r="W5547" s="14"/>
    </row>
    <row r="5548" ht="31.5" customHeight="1">
      <c r="A5548" s="158"/>
      <c r="B5548" s="159"/>
      <c r="C5548" s="160"/>
      <c r="D5548" s="130"/>
      <c r="E5548" s="130"/>
      <c r="F5548" s="161"/>
      <c r="G5548" s="164"/>
      <c r="H5548" s="75"/>
      <c r="I5548" s="75"/>
      <c r="J5548" s="75"/>
      <c r="K5548" s="75"/>
      <c r="L5548" s="75"/>
      <c r="M5548" s="75"/>
      <c r="N5548" s="75"/>
      <c r="O5548" s="75"/>
      <c r="P5548" s="75"/>
      <c r="Q5548" s="75"/>
      <c r="R5548" s="14"/>
      <c r="S5548" s="14"/>
      <c r="T5548" s="14"/>
      <c r="U5548" s="14"/>
      <c r="V5548" s="14"/>
      <c r="W5548" s="14"/>
    </row>
    <row r="5549" ht="31.5" customHeight="1">
      <c r="A5549" s="158"/>
      <c r="B5549" s="159"/>
      <c r="C5549" s="160"/>
      <c r="D5549" s="130"/>
      <c r="E5549" s="130"/>
      <c r="F5549" s="161"/>
      <c r="G5549" s="164"/>
      <c r="H5549" s="75"/>
      <c r="I5549" s="75"/>
      <c r="J5549" s="75"/>
      <c r="K5549" s="75"/>
      <c r="L5549" s="75"/>
      <c r="M5549" s="75"/>
      <c r="N5549" s="75"/>
      <c r="O5549" s="75"/>
      <c r="P5549" s="75"/>
      <c r="Q5549" s="75"/>
      <c r="R5549" s="14"/>
      <c r="S5549" s="14"/>
      <c r="T5549" s="14"/>
      <c r="U5549" s="14"/>
      <c r="V5549" s="14"/>
      <c r="W5549" s="14"/>
    </row>
    <row r="5550" ht="31.5" customHeight="1">
      <c r="A5550" s="158"/>
      <c r="B5550" s="159"/>
      <c r="C5550" s="160"/>
      <c r="D5550" s="130"/>
      <c r="E5550" s="130"/>
      <c r="F5550" s="161"/>
      <c r="G5550" s="164"/>
      <c r="H5550" s="75"/>
      <c r="I5550" s="75"/>
      <c r="J5550" s="75"/>
      <c r="K5550" s="75"/>
      <c r="L5550" s="75"/>
      <c r="M5550" s="75"/>
      <c r="N5550" s="75"/>
      <c r="O5550" s="75"/>
      <c r="P5550" s="75"/>
      <c r="Q5550" s="75"/>
      <c r="R5550" s="14"/>
      <c r="S5550" s="14"/>
      <c r="T5550" s="14"/>
      <c r="U5550" s="14"/>
      <c r="V5550" s="14"/>
      <c r="W5550" s="14"/>
    </row>
    <row r="5551" ht="31.5" customHeight="1">
      <c r="A5551" s="158"/>
      <c r="B5551" s="159"/>
      <c r="C5551" s="160"/>
      <c r="D5551" s="130"/>
      <c r="E5551" s="130"/>
      <c r="F5551" s="161"/>
      <c r="G5551" s="164"/>
      <c r="H5551" s="75"/>
      <c r="I5551" s="75"/>
      <c r="J5551" s="75"/>
      <c r="K5551" s="75"/>
      <c r="L5551" s="75"/>
      <c r="M5551" s="75"/>
      <c r="N5551" s="75"/>
      <c r="O5551" s="75"/>
      <c r="P5551" s="75"/>
      <c r="Q5551" s="75"/>
      <c r="R5551" s="14"/>
      <c r="S5551" s="14"/>
      <c r="T5551" s="14"/>
      <c r="U5551" s="14"/>
      <c r="V5551" s="14"/>
      <c r="W5551" s="14"/>
    </row>
    <row r="5552" ht="31.5" customHeight="1">
      <c r="A5552" s="158"/>
      <c r="B5552" s="159"/>
      <c r="C5552" s="160"/>
      <c r="D5552" s="130"/>
      <c r="E5552" s="130"/>
      <c r="F5552" s="161"/>
      <c r="G5552" s="164"/>
      <c r="H5552" s="75"/>
      <c r="I5552" s="75"/>
      <c r="J5552" s="75"/>
      <c r="K5552" s="75"/>
      <c r="L5552" s="75"/>
      <c r="M5552" s="75"/>
      <c r="N5552" s="75"/>
      <c r="O5552" s="75"/>
      <c r="P5552" s="75"/>
      <c r="Q5552" s="75"/>
      <c r="R5552" s="14"/>
      <c r="S5552" s="14"/>
      <c r="T5552" s="14"/>
      <c r="U5552" s="14"/>
      <c r="V5552" s="14"/>
      <c r="W5552" s="14"/>
    </row>
    <row r="5553" ht="31.5" customHeight="1">
      <c r="A5553" s="158"/>
      <c r="B5553" s="159"/>
      <c r="C5553" s="160"/>
      <c r="D5553" s="130"/>
      <c r="E5553" s="130"/>
      <c r="F5553" s="161"/>
      <c r="G5553" s="164"/>
      <c r="H5553" s="75"/>
      <c r="I5553" s="75"/>
      <c r="J5553" s="75"/>
      <c r="K5553" s="75"/>
      <c r="L5553" s="75"/>
      <c r="M5553" s="75"/>
      <c r="N5553" s="75"/>
      <c r="O5553" s="75"/>
      <c r="P5553" s="75"/>
      <c r="Q5553" s="75"/>
      <c r="R5553" s="14"/>
      <c r="S5553" s="14"/>
      <c r="T5553" s="14"/>
      <c r="U5553" s="14"/>
      <c r="V5553" s="14"/>
      <c r="W5553" s="14"/>
    </row>
    <row r="5554" ht="31.5" customHeight="1">
      <c r="A5554" s="158"/>
      <c r="B5554" s="159"/>
      <c r="C5554" s="160"/>
      <c r="D5554" s="130"/>
      <c r="E5554" s="130"/>
      <c r="F5554" s="161"/>
      <c r="G5554" s="164"/>
      <c r="H5554" s="75"/>
      <c r="I5554" s="75"/>
      <c r="J5554" s="75"/>
      <c r="K5554" s="75"/>
      <c r="L5554" s="75"/>
      <c r="M5554" s="75"/>
      <c r="N5554" s="75"/>
      <c r="O5554" s="75"/>
      <c r="P5554" s="75"/>
      <c r="Q5554" s="75"/>
      <c r="R5554" s="14"/>
      <c r="S5554" s="14"/>
      <c r="T5554" s="14"/>
      <c r="U5554" s="14"/>
      <c r="V5554" s="14"/>
      <c r="W5554" s="14"/>
    </row>
    <row r="5555" ht="31.5" customHeight="1">
      <c r="A5555" s="158"/>
      <c r="B5555" s="159"/>
      <c r="C5555" s="160"/>
      <c r="D5555" s="130"/>
      <c r="E5555" s="130"/>
      <c r="F5555" s="161"/>
      <c r="G5555" s="164"/>
      <c r="H5555" s="75"/>
      <c r="I5555" s="75"/>
      <c r="J5555" s="75"/>
      <c r="K5555" s="75"/>
      <c r="L5555" s="75"/>
      <c r="M5555" s="75"/>
      <c r="N5555" s="75"/>
      <c r="O5555" s="75"/>
      <c r="P5555" s="75"/>
      <c r="Q5555" s="75"/>
      <c r="R5555" s="14"/>
      <c r="S5555" s="14"/>
      <c r="T5555" s="14"/>
      <c r="U5555" s="14"/>
      <c r="V5555" s="14"/>
      <c r="W5555" s="14"/>
    </row>
    <row r="5556" ht="31.5" customHeight="1">
      <c r="A5556" s="158"/>
      <c r="B5556" s="159"/>
      <c r="C5556" s="160"/>
      <c r="D5556" s="130"/>
      <c r="E5556" s="130"/>
      <c r="F5556" s="161"/>
      <c r="G5556" s="164"/>
      <c r="H5556" s="75"/>
      <c r="I5556" s="75"/>
      <c r="J5556" s="75"/>
      <c r="K5556" s="75"/>
      <c r="L5556" s="75"/>
      <c r="M5556" s="75"/>
      <c r="N5556" s="75"/>
      <c r="O5556" s="75"/>
      <c r="P5556" s="75"/>
      <c r="Q5556" s="75"/>
      <c r="R5556" s="14"/>
      <c r="S5556" s="14"/>
      <c r="T5556" s="14"/>
      <c r="U5556" s="14"/>
      <c r="V5556" s="14"/>
      <c r="W5556" s="14"/>
    </row>
    <row r="5557" ht="31.5" customHeight="1">
      <c r="A5557" s="158"/>
      <c r="B5557" s="159"/>
      <c r="C5557" s="160"/>
      <c r="D5557" s="130"/>
      <c r="E5557" s="130"/>
      <c r="F5557" s="161"/>
      <c r="G5557" s="164"/>
      <c r="H5557" s="75"/>
      <c r="I5557" s="75"/>
      <c r="J5557" s="75"/>
      <c r="K5557" s="75"/>
      <c r="L5557" s="75"/>
      <c r="M5557" s="75"/>
      <c r="N5557" s="75"/>
      <c r="O5557" s="75"/>
      <c r="P5557" s="75"/>
      <c r="Q5557" s="75"/>
      <c r="R5557" s="14"/>
      <c r="S5557" s="14"/>
      <c r="T5557" s="14"/>
      <c r="U5557" s="14"/>
      <c r="V5557" s="14"/>
      <c r="W5557" s="14"/>
    </row>
    <row r="5558" ht="31.5" customHeight="1">
      <c r="A5558" s="158"/>
      <c r="B5558" s="159"/>
      <c r="C5558" s="160"/>
      <c r="D5558" s="130"/>
      <c r="E5558" s="130"/>
      <c r="F5558" s="161"/>
      <c r="G5558" s="164"/>
      <c r="H5558" s="75"/>
      <c r="I5558" s="75"/>
      <c r="J5558" s="75"/>
      <c r="K5558" s="75"/>
      <c r="L5558" s="75"/>
      <c r="M5558" s="75"/>
      <c r="N5558" s="75"/>
      <c r="O5558" s="75"/>
      <c r="P5558" s="75"/>
      <c r="Q5558" s="75"/>
      <c r="R5558" s="14"/>
      <c r="S5558" s="14"/>
      <c r="T5558" s="14"/>
      <c r="U5558" s="14"/>
      <c r="V5558" s="14"/>
      <c r="W5558" s="14"/>
    </row>
    <row r="5559" ht="31.5" customHeight="1">
      <c r="A5559" s="158"/>
      <c r="B5559" s="159"/>
      <c r="C5559" s="160"/>
      <c r="D5559" s="130"/>
      <c r="E5559" s="130"/>
      <c r="F5559" s="161"/>
      <c r="G5559" s="164"/>
      <c r="H5559" s="75"/>
      <c r="I5559" s="75"/>
      <c r="J5559" s="75"/>
      <c r="K5559" s="75"/>
      <c r="L5559" s="75"/>
      <c r="M5559" s="75"/>
      <c r="N5559" s="75"/>
      <c r="O5559" s="75"/>
      <c r="P5559" s="75"/>
      <c r="Q5559" s="75"/>
      <c r="R5559" s="14"/>
      <c r="S5559" s="14"/>
      <c r="T5559" s="14"/>
      <c r="U5559" s="14"/>
      <c r="V5559" s="14"/>
      <c r="W5559" s="14"/>
    </row>
    <row r="5560" ht="31.5" customHeight="1">
      <c r="A5560" s="158"/>
      <c r="B5560" s="159"/>
      <c r="C5560" s="160"/>
      <c r="D5560" s="130"/>
      <c r="E5560" s="130"/>
      <c r="F5560" s="161"/>
      <c r="G5560" s="164"/>
      <c r="H5560" s="75"/>
      <c r="I5560" s="75"/>
      <c r="J5560" s="75"/>
      <c r="K5560" s="75"/>
      <c r="L5560" s="75"/>
      <c r="M5560" s="75"/>
      <c r="N5560" s="75"/>
      <c r="O5560" s="75"/>
      <c r="P5560" s="75"/>
      <c r="Q5560" s="75"/>
      <c r="R5560" s="14"/>
      <c r="S5560" s="14"/>
      <c r="T5560" s="14"/>
      <c r="U5560" s="14"/>
      <c r="V5560" s="14"/>
      <c r="W5560" s="14"/>
    </row>
    <row r="5561" ht="31.5" customHeight="1">
      <c r="A5561" s="158"/>
      <c r="B5561" s="159"/>
      <c r="C5561" s="160"/>
      <c r="D5561" s="130"/>
      <c r="E5561" s="130"/>
      <c r="F5561" s="161"/>
      <c r="G5561" s="164"/>
      <c r="H5561" s="75"/>
      <c r="I5561" s="75"/>
      <c r="J5561" s="75"/>
      <c r="K5561" s="75"/>
      <c r="L5561" s="75"/>
      <c r="M5561" s="75"/>
      <c r="N5561" s="75"/>
      <c r="O5561" s="75"/>
      <c r="P5561" s="75"/>
      <c r="Q5561" s="75"/>
      <c r="R5561" s="14"/>
      <c r="S5561" s="14"/>
      <c r="T5561" s="14"/>
      <c r="U5561" s="14"/>
      <c r="V5561" s="14"/>
      <c r="W5561" s="14"/>
    </row>
    <row r="5562" ht="31.5" customHeight="1">
      <c r="A5562" s="158"/>
      <c r="B5562" s="159"/>
      <c r="C5562" s="160"/>
      <c r="D5562" s="130"/>
      <c r="E5562" s="130"/>
      <c r="F5562" s="161"/>
      <c r="G5562" s="164"/>
      <c r="H5562" s="75"/>
      <c r="I5562" s="75"/>
      <c r="J5562" s="75"/>
      <c r="K5562" s="75"/>
      <c r="L5562" s="75"/>
      <c r="M5562" s="75"/>
      <c r="N5562" s="75"/>
      <c r="O5562" s="75"/>
      <c r="P5562" s="75"/>
      <c r="Q5562" s="75"/>
      <c r="R5562" s="14"/>
      <c r="S5562" s="14"/>
      <c r="T5562" s="14"/>
      <c r="U5562" s="14"/>
      <c r="V5562" s="14"/>
      <c r="W5562" s="14"/>
    </row>
    <row r="5563" ht="31.5" customHeight="1">
      <c r="A5563" s="158"/>
      <c r="B5563" s="159"/>
      <c r="C5563" s="160"/>
      <c r="D5563" s="130"/>
      <c r="E5563" s="130"/>
      <c r="F5563" s="161"/>
      <c r="G5563" s="164"/>
      <c r="H5563" s="75"/>
      <c r="I5563" s="75"/>
      <c r="J5563" s="75"/>
      <c r="K5563" s="75"/>
      <c r="L5563" s="75"/>
      <c r="M5563" s="75"/>
      <c r="N5563" s="75"/>
      <c r="O5563" s="75"/>
      <c r="P5563" s="75"/>
      <c r="Q5563" s="75"/>
      <c r="R5563" s="14"/>
      <c r="S5563" s="14"/>
      <c r="T5563" s="14"/>
      <c r="U5563" s="14"/>
      <c r="V5563" s="14"/>
      <c r="W5563" s="14"/>
    </row>
    <row r="5564" ht="31.5" customHeight="1">
      <c r="A5564" s="158"/>
      <c r="B5564" s="159"/>
      <c r="C5564" s="160"/>
      <c r="D5564" s="130"/>
      <c r="E5564" s="130"/>
      <c r="F5564" s="161"/>
      <c r="G5564" s="164"/>
      <c r="H5564" s="75"/>
      <c r="I5564" s="75"/>
      <c r="J5564" s="75"/>
      <c r="K5564" s="75"/>
      <c r="L5564" s="75"/>
      <c r="M5564" s="75"/>
      <c r="N5564" s="75"/>
      <c r="O5564" s="75"/>
      <c r="P5564" s="75"/>
      <c r="Q5564" s="75"/>
      <c r="R5564" s="14"/>
      <c r="S5564" s="14"/>
      <c r="T5564" s="14"/>
      <c r="U5564" s="14"/>
      <c r="V5564" s="14"/>
      <c r="W5564" s="14"/>
    </row>
    <row r="5565" ht="31.5" customHeight="1">
      <c r="A5565" s="158"/>
      <c r="B5565" s="159"/>
      <c r="C5565" s="160"/>
      <c r="D5565" s="130"/>
      <c r="E5565" s="130"/>
      <c r="F5565" s="161"/>
      <c r="G5565" s="164"/>
      <c r="H5565" s="75"/>
      <c r="I5565" s="75"/>
      <c r="J5565" s="75"/>
      <c r="K5565" s="75"/>
      <c r="L5565" s="75"/>
      <c r="M5565" s="75"/>
      <c r="N5565" s="75"/>
      <c r="O5565" s="75"/>
      <c r="P5565" s="75"/>
      <c r="Q5565" s="75"/>
      <c r="R5565" s="14"/>
      <c r="S5565" s="14"/>
      <c r="T5565" s="14"/>
      <c r="U5565" s="14"/>
      <c r="V5565" s="14"/>
      <c r="W5565" s="14"/>
    </row>
    <row r="5566" ht="31.5" customHeight="1">
      <c r="A5566" s="158"/>
      <c r="B5566" s="159"/>
      <c r="C5566" s="160"/>
      <c r="D5566" s="130"/>
      <c r="E5566" s="130"/>
      <c r="F5566" s="161"/>
      <c r="G5566" s="164"/>
      <c r="H5566" s="75"/>
      <c r="I5566" s="75"/>
      <c r="J5566" s="75"/>
      <c r="K5566" s="75"/>
      <c r="L5566" s="75"/>
      <c r="M5566" s="75"/>
      <c r="N5566" s="75"/>
      <c r="O5566" s="75"/>
      <c r="P5566" s="75"/>
      <c r="Q5566" s="75"/>
      <c r="R5566" s="14"/>
      <c r="S5566" s="14"/>
      <c r="T5566" s="14"/>
      <c r="U5566" s="14"/>
      <c r="V5566" s="14"/>
      <c r="W5566" s="14"/>
    </row>
    <row r="5567" ht="31.5" customHeight="1">
      <c r="A5567" s="158"/>
      <c r="B5567" s="159"/>
      <c r="C5567" s="160"/>
      <c r="D5567" s="130"/>
      <c r="E5567" s="130"/>
      <c r="F5567" s="161"/>
      <c r="G5567" s="164"/>
      <c r="H5567" s="75"/>
      <c r="I5567" s="75"/>
      <c r="J5567" s="75"/>
      <c r="K5567" s="75"/>
      <c r="L5567" s="75"/>
      <c r="M5567" s="75"/>
      <c r="N5567" s="75"/>
      <c r="O5567" s="75"/>
      <c r="P5567" s="75"/>
      <c r="Q5567" s="75"/>
      <c r="R5567" s="14"/>
      <c r="S5567" s="14"/>
      <c r="T5567" s="14"/>
      <c r="U5567" s="14"/>
      <c r="V5567" s="14"/>
      <c r="W5567" s="14"/>
    </row>
    <row r="5568" ht="31.5" customHeight="1">
      <c r="A5568" s="158"/>
      <c r="B5568" s="159"/>
      <c r="C5568" s="160"/>
      <c r="D5568" s="130"/>
      <c r="E5568" s="130"/>
      <c r="F5568" s="161"/>
      <c r="G5568" s="164"/>
      <c r="H5568" s="75"/>
      <c r="I5568" s="75"/>
      <c r="J5568" s="75"/>
      <c r="K5568" s="75"/>
      <c r="L5568" s="75"/>
      <c r="M5568" s="75"/>
      <c r="N5568" s="75"/>
      <c r="O5568" s="75"/>
      <c r="P5568" s="75"/>
      <c r="Q5568" s="75"/>
      <c r="R5568" s="14"/>
      <c r="S5568" s="14"/>
      <c r="T5568" s="14"/>
      <c r="U5568" s="14"/>
      <c r="V5568" s="14"/>
      <c r="W5568" s="14"/>
    </row>
    <row r="5569" ht="31.5" customHeight="1">
      <c r="A5569" s="158"/>
      <c r="B5569" s="159"/>
      <c r="C5569" s="160"/>
      <c r="D5569" s="130"/>
      <c r="E5569" s="130"/>
      <c r="F5569" s="161"/>
      <c r="G5569" s="164"/>
      <c r="H5569" s="75"/>
      <c r="I5569" s="75"/>
      <c r="J5569" s="75"/>
      <c r="K5569" s="75"/>
      <c r="L5569" s="75"/>
      <c r="M5569" s="75"/>
      <c r="N5569" s="75"/>
      <c r="O5569" s="75"/>
      <c r="P5569" s="75"/>
      <c r="Q5569" s="75"/>
      <c r="R5569" s="14"/>
      <c r="S5569" s="14"/>
      <c r="T5569" s="14"/>
      <c r="U5569" s="14"/>
      <c r="V5569" s="14"/>
      <c r="W5569" s="14"/>
    </row>
    <row r="5570" ht="31.5" customHeight="1">
      <c r="A5570" s="158"/>
      <c r="B5570" s="159"/>
      <c r="C5570" s="160"/>
      <c r="D5570" s="130"/>
      <c r="E5570" s="130"/>
      <c r="F5570" s="161"/>
      <c r="G5570" s="164"/>
      <c r="H5570" s="75"/>
      <c r="I5570" s="75"/>
      <c r="J5570" s="75"/>
      <c r="K5570" s="75"/>
      <c r="L5570" s="75"/>
      <c r="M5570" s="75"/>
      <c r="N5570" s="75"/>
      <c r="O5570" s="75"/>
      <c r="P5570" s="75"/>
      <c r="Q5570" s="75"/>
      <c r="R5570" s="14"/>
      <c r="S5570" s="14"/>
      <c r="T5570" s="14"/>
      <c r="U5570" s="14"/>
      <c r="V5570" s="14"/>
      <c r="W5570" s="14"/>
    </row>
    <row r="5571" ht="31.5" customHeight="1">
      <c r="A5571" s="158"/>
      <c r="B5571" s="159"/>
      <c r="C5571" s="160"/>
      <c r="D5571" s="130"/>
      <c r="E5571" s="130"/>
      <c r="F5571" s="161"/>
      <c r="G5571" s="164"/>
      <c r="H5571" s="75"/>
      <c r="I5571" s="75"/>
      <c r="J5571" s="75"/>
      <c r="K5571" s="75"/>
      <c r="L5571" s="75"/>
      <c r="M5571" s="75"/>
      <c r="N5571" s="75"/>
      <c r="O5571" s="75"/>
      <c r="P5571" s="75"/>
      <c r="Q5571" s="75"/>
      <c r="R5571" s="14"/>
      <c r="S5571" s="14"/>
      <c r="T5571" s="14"/>
      <c r="U5571" s="14"/>
      <c r="V5571" s="14"/>
      <c r="W5571" s="14"/>
    </row>
    <row r="5572" ht="31.5" customHeight="1">
      <c r="A5572" s="158"/>
      <c r="B5572" s="159"/>
      <c r="C5572" s="160"/>
      <c r="D5572" s="130"/>
      <c r="E5572" s="130"/>
      <c r="F5572" s="161"/>
      <c r="G5572" s="164"/>
      <c r="H5572" s="75"/>
      <c r="I5572" s="75"/>
      <c r="J5572" s="75"/>
      <c r="K5572" s="75"/>
      <c r="L5572" s="75"/>
      <c r="M5572" s="75"/>
      <c r="N5572" s="75"/>
      <c r="O5572" s="75"/>
      <c r="P5572" s="75"/>
      <c r="Q5572" s="75"/>
      <c r="R5572" s="14"/>
      <c r="S5572" s="14"/>
      <c r="T5572" s="14"/>
      <c r="U5572" s="14"/>
      <c r="V5572" s="14"/>
      <c r="W5572" s="14"/>
    </row>
    <row r="5573" ht="31.5" customHeight="1">
      <c r="A5573" s="158"/>
      <c r="B5573" s="159"/>
      <c r="C5573" s="160"/>
      <c r="D5573" s="130"/>
      <c r="E5573" s="130"/>
      <c r="F5573" s="161"/>
      <c r="G5573" s="164"/>
      <c r="H5573" s="75"/>
      <c r="I5573" s="75"/>
      <c r="J5573" s="75"/>
      <c r="K5573" s="75"/>
      <c r="L5573" s="75"/>
      <c r="M5573" s="75"/>
      <c r="N5573" s="75"/>
      <c r="O5573" s="75"/>
      <c r="P5573" s="75"/>
      <c r="Q5573" s="75"/>
      <c r="R5573" s="14"/>
      <c r="S5573" s="14"/>
      <c r="T5573" s="14"/>
      <c r="U5573" s="14"/>
      <c r="V5573" s="14"/>
      <c r="W5573" s="14"/>
    </row>
    <row r="5574" ht="31.5" customHeight="1">
      <c r="A5574" s="158"/>
      <c r="B5574" s="159"/>
      <c r="C5574" s="160"/>
      <c r="D5574" s="130"/>
      <c r="E5574" s="130"/>
      <c r="F5574" s="161"/>
      <c r="G5574" s="164"/>
      <c r="H5574" s="75"/>
      <c r="I5574" s="75"/>
      <c r="J5574" s="75"/>
      <c r="K5574" s="75"/>
      <c r="L5574" s="75"/>
      <c r="M5574" s="75"/>
      <c r="N5574" s="75"/>
      <c r="O5574" s="75"/>
      <c r="P5574" s="75"/>
      <c r="Q5574" s="75"/>
      <c r="R5574" s="14"/>
      <c r="S5574" s="14"/>
      <c r="T5574" s="14"/>
      <c r="U5574" s="14"/>
      <c r="V5574" s="14"/>
      <c r="W5574" s="14"/>
    </row>
    <row r="5575" ht="31.5" customHeight="1">
      <c r="A5575" s="158"/>
      <c r="B5575" s="159"/>
      <c r="C5575" s="160"/>
      <c r="D5575" s="130"/>
      <c r="E5575" s="130"/>
      <c r="F5575" s="161"/>
      <c r="G5575" s="164"/>
      <c r="H5575" s="75"/>
      <c r="I5575" s="75"/>
      <c r="J5575" s="75"/>
      <c r="K5575" s="75"/>
      <c r="L5575" s="75"/>
      <c r="M5575" s="75"/>
      <c r="N5575" s="75"/>
      <c r="O5575" s="75"/>
      <c r="P5575" s="75"/>
      <c r="Q5575" s="75"/>
      <c r="R5575" s="14"/>
      <c r="S5575" s="14"/>
      <c r="T5575" s="14"/>
      <c r="U5575" s="14"/>
      <c r="V5575" s="14"/>
      <c r="W5575" s="14"/>
    </row>
    <row r="5576" ht="31.5" customHeight="1">
      <c r="A5576" s="158"/>
      <c r="B5576" s="159"/>
      <c r="C5576" s="160"/>
      <c r="D5576" s="130"/>
      <c r="E5576" s="130"/>
      <c r="F5576" s="161"/>
      <c r="G5576" s="164"/>
      <c r="H5576" s="75"/>
      <c r="I5576" s="75"/>
      <c r="J5576" s="75"/>
      <c r="K5576" s="75"/>
      <c r="L5576" s="75"/>
      <c r="M5576" s="75"/>
      <c r="N5576" s="75"/>
      <c r="O5576" s="75"/>
      <c r="P5576" s="75"/>
      <c r="Q5576" s="75"/>
      <c r="R5576" s="14"/>
      <c r="S5576" s="14"/>
      <c r="T5576" s="14"/>
      <c r="U5576" s="14"/>
      <c r="V5576" s="14"/>
      <c r="W5576" s="14"/>
    </row>
    <row r="5577" ht="31.5" customHeight="1">
      <c r="A5577" s="158"/>
      <c r="B5577" s="159"/>
      <c r="C5577" s="160"/>
      <c r="D5577" s="130"/>
      <c r="E5577" s="130"/>
      <c r="F5577" s="161"/>
      <c r="G5577" s="164"/>
      <c r="H5577" s="75"/>
      <c r="I5577" s="75"/>
      <c r="J5577" s="75"/>
      <c r="K5577" s="75"/>
      <c r="L5577" s="75"/>
      <c r="M5577" s="75"/>
      <c r="N5577" s="75"/>
      <c r="O5577" s="75"/>
      <c r="P5577" s="75"/>
      <c r="Q5577" s="75"/>
      <c r="R5577" s="14"/>
      <c r="S5577" s="14"/>
      <c r="T5577" s="14"/>
      <c r="U5577" s="14"/>
      <c r="V5577" s="14"/>
      <c r="W5577" s="14"/>
    </row>
    <row r="5578" ht="31.5" customHeight="1">
      <c r="A5578" s="158"/>
      <c r="B5578" s="159"/>
      <c r="C5578" s="160"/>
      <c r="D5578" s="130"/>
      <c r="E5578" s="130"/>
      <c r="F5578" s="161"/>
      <c r="G5578" s="164"/>
      <c r="H5578" s="75"/>
      <c r="I5578" s="75"/>
      <c r="J5578" s="75"/>
      <c r="K5578" s="75"/>
      <c r="L5578" s="75"/>
      <c r="M5578" s="75"/>
      <c r="N5578" s="75"/>
      <c r="O5578" s="75"/>
      <c r="P5578" s="75"/>
      <c r="Q5578" s="75"/>
      <c r="R5578" s="14"/>
      <c r="S5578" s="14"/>
      <c r="T5578" s="14"/>
      <c r="U5578" s="14"/>
      <c r="V5578" s="14"/>
      <c r="W5578" s="14"/>
    </row>
    <row r="5579" ht="31.5" customHeight="1">
      <c r="A5579" s="158"/>
      <c r="B5579" s="159"/>
      <c r="C5579" s="160"/>
      <c r="D5579" s="130"/>
      <c r="E5579" s="130"/>
      <c r="F5579" s="161"/>
      <c r="G5579" s="164"/>
      <c r="H5579" s="75"/>
      <c r="I5579" s="75"/>
      <c r="J5579" s="75"/>
      <c r="K5579" s="75"/>
      <c r="L5579" s="75"/>
      <c r="M5579" s="75"/>
      <c r="N5579" s="75"/>
      <c r="O5579" s="75"/>
      <c r="P5579" s="75"/>
      <c r="Q5579" s="75"/>
      <c r="R5579" s="14"/>
      <c r="S5579" s="14"/>
      <c r="T5579" s="14"/>
      <c r="U5579" s="14"/>
      <c r="V5579" s="14"/>
      <c r="W5579" s="14"/>
    </row>
    <row r="5580" ht="31.5" customHeight="1">
      <c r="A5580" s="158"/>
      <c r="B5580" s="159"/>
      <c r="C5580" s="160"/>
      <c r="D5580" s="130"/>
      <c r="E5580" s="130"/>
      <c r="F5580" s="161"/>
      <c r="G5580" s="164"/>
      <c r="H5580" s="75"/>
      <c r="I5580" s="75"/>
      <c r="J5580" s="75"/>
      <c r="K5580" s="75"/>
      <c r="L5580" s="75"/>
      <c r="M5580" s="75"/>
      <c r="N5580" s="75"/>
      <c r="O5580" s="75"/>
      <c r="P5580" s="75"/>
      <c r="Q5580" s="75"/>
      <c r="R5580" s="14"/>
      <c r="S5580" s="14"/>
      <c r="T5580" s="14"/>
      <c r="U5580" s="14"/>
      <c r="V5580" s="14"/>
      <c r="W5580" s="14"/>
    </row>
    <row r="5581" ht="31.5" customHeight="1">
      <c r="A5581" s="158"/>
      <c r="B5581" s="159"/>
      <c r="C5581" s="160"/>
      <c r="D5581" s="130"/>
      <c r="E5581" s="130"/>
      <c r="F5581" s="161"/>
      <c r="G5581" s="164"/>
      <c r="H5581" s="75"/>
      <c r="I5581" s="75"/>
      <c r="J5581" s="75"/>
      <c r="K5581" s="75"/>
      <c r="L5581" s="75"/>
      <c r="M5581" s="75"/>
      <c r="N5581" s="75"/>
      <c r="O5581" s="75"/>
      <c r="P5581" s="75"/>
      <c r="Q5581" s="75"/>
      <c r="R5581" s="14"/>
      <c r="S5581" s="14"/>
      <c r="T5581" s="14"/>
      <c r="U5581" s="14"/>
      <c r="V5581" s="14"/>
      <c r="W5581" s="14"/>
    </row>
    <row r="5582" ht="31.5" customHeight="1">
      <c r="A5582" s="158"/>
      <c r="B5582" s="159"/>
      <c r="C5582" s="160"/>
      <c r="D5582" s="130"/>
      <c r="E5582" s="130"/>
      <c r="F5582" s="161"/>
      <c r="G5582" s="164"/>
      <c r="H5582" s="75"/>
      <c r="I5582" s="75"/>
      <c r="J5582" s="75"/>
      <c r="K5582" s="75"/>
      <c r="L5582" s="75"/>
      <c r="M5582" s="75"/>
      <c r="N5582" s="75"/>
      <c r="O5582" s="75"/>
      <c r="P5582" s="75"/>
      <c r="Q5582" s="75"/>
      <c r="R5582" s="14"/>
      <c r="S5582" s="14"/>
      <c r="T5582" s="14"/>
      <c r="U5582" s="14"/>
      <c r="V5582" s="14"/>
      <c r="W5582" s="14"/>
    </row>
    <row r="5583" ht="31.5" customHeight="1">
      <c r="A5583" s="158"/>
      <c r="B5583" s="159"/>
      <c r="C5583" s="160"/>
      <c r="D5583" s="130"/>
      <c r="E5583" s="130"/>
      <c r="F5583" s="161"/>
      <c r="G5583" s="164"/>
      <c r="H5583" s="75"/>
      <c r="I5583" s="75"/>
      <c r="J5583" s="75"/>
      <c r="K5583" s="75"/>
      <c r="L5583" s="75"/>
      <c r="M5583" s="75"/>
      <c r="N5583" s="75"/>
      <c r="O5583" s="75"/>
      <c r="P5583" s="75"/>
      <c r="Q5583" s="75"/>
      <c r="R5583" s="14"/>
      <c r="S5583" s="14"/>
      <c r="T5583" s="14"/>
      <c r="U5583" s="14"/>
      <c r="V5583" s="14"/>
      <c r="W5583" s="14"/>
    </row>
    <row r="5584" ht="31.5" customHeight="1">
      <c r="A5584" s="158"/>
      <c r="B5584" s="159"/>
      <c r="C5584" s="160"/>
      <c r="D5584" s="130"/>
      <c r="E5584" s="130"/>
      <c r="F5584" s="161"/>
      <c r="G5584" s="164"/>
      <c r="H5584" s="75"/>
      <c r="I5584" s="75"/>
      <c r="J5584" s="75"/>
      <c r="K5584" s="75"/>
      <c r="L5584" s="75"/>
      <c r="M5584" s="75"/>
      <c r="N5584" s="75"/>
      <c r="O5584" s="75"/>
      <c r="P5584" s="75"/>
      <c r="Q5584" s="75"/>
      <c r="R5584" s="14"/>
      <c r="S5584" s="14"/>
      <c r="T5584" s="14"/>
      <c r="U5584" s="14"/>
      <c r="V5584" s="14"/>
      <c r="W5584" s="14"/>
    </row>
    <row r="5585" ht="31.5" customHeight="1">
      <c r="A5585" s="158"/>
      <c r="B5585" s="159"/>
      <c r="C5585" s="160"/>
      <c r="D5585" s="130"/>
      <c r="E5585" s="130"/>
      <c r="F5585" s="161"/>
      <c r="G5585" s="164"/>
      <c r="H5585" s="75"/>
      <c r="I5585" s="75"/>
      <c r="J5585" s="75"/>
      <c r="K5585" s="75"/>
      <c r="L5585" s="75"/>
      <c r="M5585" s="75"/>
      <c r="N5585" s="75"/>
      <c r="O5585" s="75"/>
      <c r="P5585" s="75"/>
      <c r="Q5585" s="75"/>
      <c r="R5585" s="14"/>
      <c r="S5585" s="14"/>
      <c r="T5585" s="14"/>
      <c r="U5585" s="14"/>
      <c r="V5585" s="14"/>
      <c r="W5585" s="14"/>
    </row>
    <row r="5586" ht="31.5" customHeight="1">
      <c r="A5586" s="158"/>
      <c r="B5586" s="159"/>
      <c r="C5586" s="160"/>
      <c r="D5586" s="130"/>
      <c r="E5586" s="130"/>
      <c r="F5586" s="161"/>
      <c r="G5586" s="164"/>
      <c r="H5586" s="75"/>
      <c r="I5586" s="75"/>
      <c r="J5586" s="75"/>
      <c r="K5586" s="75"/>
      <c r="L5586" s="75"/>
      <c r="M5586" s="75"/>
      <c r="N5586" s="75"/>
      <c r="O5586" s="75"/>
      <c r="P5586" s="75"/>
      <c r="Q5586" s="75"/>
      <c r="R5586" s="14"/>
      <c r="S5586" s="14"/>
      <c r="T5586" s="14"/>
      <c r="U5586" s="14"/>
      <c r="V5586" s="14"/>
      <c r="W5586" s="14"/>
    </row>
    <row r="5587" ht="31.5" customHeight="1">
      <c r="A5587" s="158"/>
      <c r="B5587" s="159"/>
      <c r="C5587" s="160"/>
      <c r="D5587" s="130"/>
      <c r="E5587" s="130"/>
      <c r="F5587" s="161"/>
      <c r="G5587" s="164"/>
      <c r="H5587" s="75"/>
      <c r="I5587" s="75"/>
      <c r="J5587" s="75"/>
      <c r="K5587" s="75"/>
      <c r="L5587" s="75"/>
      <c r="M5587" s="75"/>
      <c r="N5587" s="75"/>
      <c r="O5587" s="75"/>
      <c r="P5587" s="75"/>
      <c r="Q5587" s="75"/>
      <c r="R5587" s="14"/>
      <c r="S5587" s="14"/>
      <c r="T5587" s="14"/>
      <c r="U5587" s="14"/>
      <c r="V5587" s="14"/>
      <c r="W5587" s="14"/>
    </row>
    <row r="5588" ht="31.5" customHeight="1">
      <c r="A5588" s="158"/>
      <c r="B5588" s="159"/>
      <c r="C5588" s="160"/>
      <c r="D5588" s="130"/>
      <c r="E5588" s="130"/>
      <c r="F5588" s="161"/>
      <c r="G5588" s="164"/>
      <c r="H5588" s="75"/>
      <c r="I5588" s="75"/>
      <c r="J5588" s="75"/>
      <c r="K5588" s="75"/>
      <c r="L5588" s="75"/>
      <c r="M5588" s="75"/>
      <c r="N5588" s="75"/>
      <c r="O5588" s="75"/>
      <c r="P5588" s="75"/>
      <c r="Q5588" s="75"/>
      <c r="R5588" s="14"/>
      <c r="S5588" s="14"/>
      <c r="T5588" s="14"/>
      <c r="U5588" s="14"/>
      <c r="V5588" s="14"/>
      <c r="W5588" s="14"/>
    </row>
    <row r="5589" ht="31.5" customHeight="1">
      <c r="A5589" s="158"/>
      <c r="B5589" s="159"/>
      <c r="C5589" s="160"/>
      <c r="D5589" s="130"/>
      <c r="E5589" s="130"/>
      <c r="F5589" s="161"/>
      <c r="G5589" s="164"/>
      <c r="H5589" s="75"/>
      <c r="I5589" s="75"/>
      <c r="J5589" s="75"/>
      <c r="K5589" s="75"/>
      <c r="L5589" s="75"/>
      <c r="M5589" s="75"/>
      <c r="N5589" s="75"/>
      <c r="O5589" s="75"/>
      <c r="P5589" s="75"/>
      <c r="Q5589" s="75"/>
      <c r="R5589" s="14"/>
      <c r="S5589" s="14"/>
      <c r="T5589" s="14"/>
      <c r="U5589" s="14"/>
      <c r="V5589" s="14"/>
      <c r="W5589" s="14"/>
    </row>
    <row r="5590" ht="31.5" customHeight="1">
      <c r="A5590" s="158"/>
      <c r="B5590" s="159"/>
      <c r="C5590" s="160"/>
      <c r="D5590" s="130"/>
      <c r="E5590" s="130"/>
      <c r="F5590" s="161"/>
      <c r="G5590" s="164"/>
      <c r="H5590" s="75"/>
      <c r="I5590" s="75"/>
      <c r="J5590" s="75"/>
      <c r="K5590" s="75"/>
      <c r="L5590" s="75"/>
      <c r="M5590" s="75"/>
      <c r="N5590" s="75"/>
      <c r="O5590" s="75"/>
      <c r="P5590" s="75"/>
      <c r="Q5590" s="75"/>
      <c r="R5590" s="14"/>
      <c r="S5590" s="14"/>
      <c r="T5590" s="14"/>
      <c r="U5590" s="14"/>
      <c r="V5590" s="14"/>
      <c r="W5590" s="14"/>
    </row>
    <row r="5591" ht="31.5" customHeight="1">
      <c r="A5591" s="158"/>
      <c r="B5591" s="159"/>
      <c r="C5591" s="160"/>
      <c r="D5591" s="130"/>
      <c r="E5591" s="130"/>
      <c r="F5591" s="161"/>
      <c r="G5591" s="164"/>
      <c r="H5591" s="75"/>
      <c r="I5591" s="75"/>
      <c r="J5591" s="75"/>
      <c r="K5591" s="75"/>
      <c r="L5591" s="75"/>
      <c r="M5591" s="75"/>
      <c r="N5591" s="75"/>
      <c r="O5591" s="75"/>
      <c r="P5591" s="75"/>
      <c r="Q5591" s="75"/>
      <c r="R5591" s="14"/>
      <c r="S5591" s="14"/>
      <c r="T5591" s="14"/>
      <c r="U5591" s="14"/>
      <c r="V5591" s="14"/>
      <c r="W5591" s="14"/>
    </row>
    <row r="5592" ht="31.5" customHeight="1">
      <c r="A5592" s="158"/>
      <c r="B5592" s="159"/>
      <c r="C5592" s="160"/>
      <c r="D5592" s="130"/>
      <c r="E5592" s="130"/>
      <c r="F5592" s="161"/>
      <c r="G5592" s="164"/>
      <c r="H5592" s="75"/>
      <c r="I5592" s="75"/>
      <c r="J5592" s="75"/>
      <c r="K5592" s="75"/>
      <c r="L5592" s="75"/>
      <c r="M5592" s="75"/>
      <c r="N5592" s="75"/>
      <c r="O5592" s="75"/>
      <c r="P5592" s="75"/>
      <c r="Q5592" s="75"/>
      <c r="R5592" s="14"/>
      <c r="S5592" s="14"/>
      <c r="T5592" s="14"/>
      <c r="U5592" s="14"/>
      <c r="V5592" s="14"/>
      <c r="W5592" s="14"/>
    </row>
    <row r="5593" ht="31.5" customHeight="1">
      <c r="A5593" s="158"/>
      <c r="B5593" s="159"/>
      <c r="C5593" s="160"/>
      <c r="D5593" s="130"/>
      <c r="E5593" s="130"/>
      <c r="F5593" s="161"/>
      <c r="G5593" s="164"/>
      <c r="H5593" s="75"/>
      <c r="I5593" s="75"/>
      <c r="J5593" s="75"/>
      <c r="K5593" s="75"/>
      <c r="L5593" s="75"/>
      <c r="M5593" s="75"/>
      <c r="N5593" s="75"/>
      <c r="O5593" s="75"/>
      <c r="P5593" s="75"/>
      <c r="Q5593" s="75"/>
      <c r="R5593" s="14"/>
      <c r="S5593" s="14"/>
      <c r="T5593" s="14"/>
      <c r="U5593" s="14"/>
      <c r="V5593" s="14"/>
      <c r="W5593" s="14"/>
    </row>
    <row r="5594" ht="31.5" customHeight="1">
      <c r="A5594" s="158"/>
      <c r="B5594" s="159"/>
      <c r="C5594" s="160"/>
      <c r="D5594" s="130"/>
      <c r="E5594" s="130"/>
      <c r="F5594" s="161"/>
      <c r="G5594" s="164"/>
      <c r="H5594" s="75"/>
      <c r="I5594" s="75"/>
      <c r="J5594" s="75"/>
      <c r="K5594" s="75"/>
      <c r="L5594" s="75"/>
      <c r="M5594" s="75"/>
      <c r="N5594" s="75"/>
      <c r="O5594" s="75"/>
      <c r="P5594" s="75"/>
      <c r="Q5594" s="75"/>
      <c r="R5594" s="14"/>
      <c r="S5594" s="14"/>
      <c r="T5594" s="14"/>
      <c r="U5594" s="14"/>
      <c r="V5594" s="14"/>
      <c r="W5594" s="14"/>
    </row>
    <row r="5595" ht="31.5" customHeight="1">
      <c r="A5595" s="158"/>
      <c r="B5595" s="159"/>
      <c r="C5595" s="160"/>
      <c r="D5595" s="130"/>
      <c r="E5595" s="130"/>
      <c r="F5595" s="161"/>
      <c r="G5595" s="164"/>
      <c r="H5595" s="75"/>
      <c r="I5595" s="75"/>
      <c r="J5595" s="75"/>
      <c r="K5595" s="75"/>
      <c r="L5595" s="75"/>
      <c r="M5595" s="75"/>
      <c r="N5595" s="75"/>
      <c r="O5595" s="75"/>
      <c r="P5595" s="75"/>
      <c r="Q5595" s="75"/>
      <c r="R5595" s="14"/>
      <c r="S5595" s="14"/>
      <c r="T5595" s="14"/>
      <c r="U5595" s="14"/>
      <c r="V5595" s="14"/>
      <c r="W5595" s="14"/>
    </row>
    <row r="5596" ht="31.5" customHeight="1">
      <c r="A5596" s="158"/>
      <c r="B5596" s="159"/>
      <c r="C5596" s="160"/>
      <c r="D5596" s="130"/>
      <c r="E5596" s="130"/>
      <c r="F5596" s="161"/>
      <c r="G5596" s="164"/>
      <c r="H5596" s="75"/>
      <c r="I5596" s="75"/>
      <c r="J5596" s="75"/>
      <c r="K5596" s="75"/>
      <c r="L5596" s="75"/>
      <c r="M5596" s="75"/>
      <c r="N5596" s="75"/>
      <c r="O5596" s="75"/>
      <c r="P5596" s="75"/>
      <c r="Q5596" s="75"/>
      <c r="R5596" s="14"/>
      <c r="S5596" s="14"/>
      <c r="T5596" s="14"/>
      <c r="U5596" s="14"/>
      <c r="V5596" s="14"/>
      <c r="W5596" s="14"/>
    </row>
    <row r="5597" ht="31.5" customHeight="1">
      <c r="A5597" s="158"/>
      <c r="B5597" s="159"/>
      <c r="C5597" s="160"/>
      <c r="D5597" s="130"/>
      <c r="E5597" s="130"/>
      <c r="F5597" s="161"/>
      <c r="G5597" s="164"/>
      <c r="H5597" s="75"/>
      <c r="I5597" s="75"/>
      <c r="J5597" s="75"/>
      <c r="K5597" s="75"/>
      <c r="L5597" s="75"/>
      <c r="M5597" s="75"/>
      <c r="N5597" s="75"/>
      <c r="O5597" s="75"/>
      <c r="P5597" s="75"/>
      <c r="Q5597" s="75"/>
      <c r="R5597" s="14"/>
      <c r="S5597" s="14"/>
      <c r="T5597" s="14"/>
      <c r="U5597" s="14"/>
      <c r="V5597" s="14"/>
      <c r="W5597" s="14"/>
    </row>
    <row r="5598" ht="31.5" customHeight="1">
      <c r="A5598" s="158"/>
      <c r="B5598" s="159"/>
      <c r="C5598" s="160"/>
      <c r="D5598" s="130"/>
      <c r="E5598" s="130"/>
      <c r="F5598" s="161"/>
      <c r="G5598" s="164"/>
      <c r="H5598" s="75"/>
      <c r="I5598" s="75"/>
      <c r="J5598" s="75"/>
      <c r="K5598" s="75"/>
      <c r="L5598" s="75"/>
      <c r="M5598" s="75"/>
      <c r="N5598" s="75"/>
      <c r="O5598" s="75"/>
      <c r="P5598" s="75"/>
      <c r="Q5598" s="75"/>
      <c r="R5598" s="14"/>
      <c r="S5598" s="14"/>
      <c r="T5598" s="14"/>
      <c r="U5598" s="14"/>
      <c r="V5598" s="14"/>
      <c r="W5598" s="14"/>
    </row>
    <row r="5599" ht="31.5" customHeight="1">
      <c r="A5599" s="158"/>
      <c r="B5599" s="159"/>
      <c r="C5599" s="160"/>
      <c r="D5599" s="130"/>
      <c r="E5599" s="130"/>
      <c r="F5599" s="161"/>
      <c r="G5599" s="164"/>
      <c r="H5599" s="75"/>
      <c r="I5599" s="75"/>
      <c r="J5599" s="75"/>
      <c r="K5599" s="75"/>
      <c r="L5599" s="75"/>
      <c r="M5599" s="75"/>
      <c r="N5599" s="75"/>
      <c r="O5599" s="75"/>
      <c r="P5599" s="75"/>
      <c r="Q5599" s="75"/>
      <c r="R5599" s="14"/>
      <c r="S5599" s="14"/>
      <c r="T5599" s="14"/>
      <c r="U5599" s="14"/>
      <c r="V5599" s="14"/>
      <c r="W5599" s="14"/>
    </row>
    <row r="5600" ht="31.5" customHeight="1">
      <c r="A5600" s="158"/>
      <c r="B5600" s="159"/>
      <c r="C5600" s="160"/>
      <c r="D5600" s="130"/>
      <c r="E5600" s="130"/>
      <c r="F5600" s="161"/>
      <c r="G5600" s="164"/>
      <c r="H5600" s="75"/>
      <c r="I5600" s="75"/>
      <c r="J5600" s="75"/>
      <c r="K5600" s="75"/>
      <c r="L5600" s="75"/>
      <c r="M5600" s="75"/>
      <c r="N5600" s="75"/>
      <c r="O5600" s="75"/>
      <c r="P5600" s="75"/>
      <c r="Q5600" s="75"/>
      <c r="R5600" s="14"/>
      <c r="S5600" s="14"/>
      <c r="T5600" s="14"/>
      <c r="U5600" s="14"/>
      <c r="V5600" s="14"/>
      <c r="W5600" s="14"/>
    </row>
    <row r="5601" ht="31.5" customHeight="1">
      <c r="A5601" s="158"/>
      <c r="B5601" s="159"/>
      <c r="C5601" s="160"/>
      <c r="D5601" s="130"/>
      <c r="E5601" s="130"/>
      <c r="F5601" s="161"/>
      <c r="G5601" s="164"/>
      <c r="H5601" s="75"/>
      <c r="I5601" s="75"/>
      <c r="J5601" s="75"/>
      <c r="K5601" s="75"/>
      <c r="L5601" s="75"/>
      <c r="M5601" s="75"/>
      <c r="N5601" s="75"/>
      <c r="O5601" s="75"/>
      <c r="P5601" s="75"/>
      <c r="Q5601" s="75"/>
      <c r="R5601" s="14"/>
      <c r="S5601" s="14"/>
      <c r="T5601" s="14"/>
      <c r="U5601" s="14"/>
      <c r="V5601" s="14"/>
      <c r="W5601" s="14"/>
    </row>
    <row r="5602" ht="31.5" customHeight="1">
      <c r="A5602" s="158"/>
      <c r="B5602" s="159"/>
      <c r="C5602" s="160"/>
      <c r="D5602" s="130"/>
      <c r="E5602" s="130"/>
      <c r="F5602" s="161"/>
      <c r="G5602" s="164"/>
      <c r="H5602" s="75"/>
      <c r="I5602" s="75"/>
      <c r="J5602" s="75"/>
      <c r="K5602" s="75"/>
      <c r="L5602" s="75"/>
      <c r="M5602" s="75"/>
      <c r="N5602" s="75"/>
      <c r="O5602" s="75"/>
      <c r="P5602" s="75"/>
      <c r="Q5602" s="75"/>
      <c r="R5602" s="14"/>
      <c r="S5602" s="14"/>
      <c r="T5602" s="14"/>
      <c r="U5602" s="14"/>
      <c r="V5602" s="14"/>
      <c r="W5602" s="14"/>
    </row>
    <row r="5603" ht="31.5" customHeight="1">
      <c r="A5603" s="158"/>
      <c r="B5603" s="159"/>
      <c r="C5603" s="160"/>
      <c r="D5603" s="130"/>
      <c r="E5603" s="130"/>
      <c r="F5603" s="161"/>
      <c r="G5603" s="164"/>
      <c r="H5603" s="75"/>
      <c r="I5603" s="75"/>
      <c r="J5603" s="75"/>
      <c r="K5603" s="75"/>
      <c r="L5603" s="75"/>
      <c r="M5603" s="75"/>
      <c r="N5603" s="75"/>
      <c r="O5603" s="75"/>
      <c r="P5603" s="75"/>
      <c r="Q5603" s="75"/>
      <c r="R5603" s="14"/>
      <c r="S5603" s="14"/>
      <c r="T5603" s="14"/>
      <c r="U5603" s="14"/>
      <c r="V5603" s="14"/>
      <c r="W5603" s="14"/>
    </row>
    <row r="5604" ht="31.5" customHeight="1">
      <c r="A5604" s="158"/>
      <c r="B5604" s="159"/>
      <c r="C5604" s="160"/>
      <c r="D5604" s="130"/>
      <c r="E5604" s="130"/>
      <c r="F5604" s="161"/>
      <c r="G5604" s="164"/>
      <c r="H5604" s="75"/>
      <c r="I5604" s="75"/>
      <c r="J5604" s="75"/>
      <c r="K5604" s="75"/>
      <c r="L5604" s="75"/>
      <c r="M5604" s="75"/>
      <c r="N5604" s="75"/>
      <c r="O5604" s="75"/>
      <c r="P5604" s="75"/>
      <c r="Q5604" s="75"/>
      <c r="R5604" s="14"/>
      <c r="S5604" s="14"/>
      <c r="T5604" s="14"/>
      <c r="U5604" s="14"/>
      <c r="V5604" s="14"/>
      <c r="W5604" s="14"/>
    </row>
    <row r="5605" ht="31.5" customHeight="1">
      <c r="A5605" s="158"/>
      <c r="B5605" s="159"/>
      <c r="C5605" s="160"/>
      <c r="D5605" s="130"/>
      <c r="E5605" s="130"/>
      <c r="F5605" s="161"/>
      <c r="G5605" s="164"/>
      <c r="H5605" s="75"/>
      <c r="I5605" s="75"/>
      <c r="J5605" s="75"/>
      <c r="K5605" s="75"/>
      <c r="L5605" s="75"/>
      <c r="M5605" s="75"/>
      <c r="N5605" s="75"/>
      <c r="O5605" s="75"/>
      <c r="P5605" s="75"/>
      <c r="Q5605" s="75"/>
      <c r="R5605" s="14"/>
      <c r="S5605" s="14"/>
      <c r="T5605" s="14"/>
      <c r="U5605" s="14"/>
      <c r="V5605" s="14"/>
      <c r="W5605" s="14"/>
    </row>
    <row r="5606" ht="31.5" customHeight="1">
      <c r="A5606" s="158"/>
      <c r="B5606" s="159"/>
      <c r="C5606" s="160"/>
      <c r="D5606" s="130"/>
      <c r="E5606" s="130"/>
      <c r="F5606" s="161"/>
      <c r="G5606" s="164"/>
      <c r="H5606" s="75"/>
      <c r="I5606" s="75"/>
      <c r="J5606" s="75"/>
      <c r="K5606" s="75"/>
      <c r="L5606" s="75"/>
      <c r="M5606" s="75"/>
      <c r="N5606" s="75"/>
      <c r="O5606" s="75"/>
      <c r="P5606" s="75"/>
      <c r="Q5606" s="75"/>
      <c r="R5606" s="14"/>
      <c r="S5606" s="14"/>
      <c r="T5606" s="14"/>
      <c r="U5606" s="14"/>
      <c r="V5606" s="14"/>
      <c r="W5606" s="14"/>
    </row>
    <row r="5607" ht="31.5" customHeight="1">
      <c r="A5607" s="158"/>
      <c r="B5607" s="159"/>
      <c r="C5607" s="160"/>
      <c r="D5607" s="130"/>
      <c r="E5607" s="130"/>
      <c r="F5607" s="161"/>
      <c r="G5607" s="164"/>
      <c r="H5607" s="75"/>
      <c r="I5607" s="75"/>
      <c r="J5607" s="75"/>
      <c r="K5607" s="75"/>
      <c r="L5607" s="75"/>
      <c r="M5607" s="75"/>
      <c r="N5607" s="75"/>
      <c r="O5607" s="75"/>
      <c r="P5607" s="75"/>
      <c r="Q5607" s="75"/>
      <c r="R5607" s="14"/>
      <c r="S5607" s="14"/>
      <c r="T5607" s="14"/>
      <c r="U5607" s="14"/>
      <c r="V5607" s="14"/>
      <c r="W5607" s="14"/>
    </row>
    <row r="5608" ht="31.5" customHeight="1">
      <c r="A5608" s="158"/>
      <c r="B5608" s="159"/>
      <c r="C5608" s="160"/>
      <c r="D5608" s="130"/>
      <c r="E5608" s="130"/>
      <c r="F5608" s="161"/>
      <c r="G5608" s="164"/>
      <c r="H5608" s="75"/>
      <c r="I5608" s="75"/>
      <c r="J5608" s="75"/>
      <c r="K5608" s="75"/>
      <c r="L5608" s="75"/>
      <c r="M5608" s="75"/>
      <c r="N5608" s="75"/>
      <c r="O5608" s="75"/>
      <c r="P5608" s="75"/>
      <c r="Q5608" s="75"/>
      <c r="R5608" s="14"/>
      <c r="S5608" s="14"/>
      <c r="T5608" s="14"/>
      <c r="U5608" s="14"/>
      <c r="V5608" s="14"/>
      <c r="W5608" s="14"/>
    </row>
    <row r="5609" ht="31.5" customHeight="1">
      <c r="A5609" s="158"/>
      <c r="B5609" s="159"/>
      <c r="C5609" s="160"/>
      <c r="D5609" s="130"/>
      <c r="E5609" s="130"/>
      <c r="F5609" s="161"/>
      <c r="G5609" s="164"/>
      <c r="H5609" s="75"/>
      <c r="I5609" s="75"/>
      <c r="J5609" s="75"/>
      <c r="K5609" s="75"/>
      <c r="L5609" s="75"/>
      <c r="M5609" s="75"/>
      <c r="N5609" s="75"/>
      <c r="O5609" s="75"/>
      <c r="P5609" s="75"/>
      <c r="Q5609" s="75"/>
      <c r="R5609" s="14"/>
      <c r="S5609" s="14"/>
      <c r="T5609" s="14"/>
      <c r="U5609" s="14"/>
      <c r="V5609" s="14"/>
      <c r="W5609" s="14"/>
    </row>
  </sheetData>
  <autoFilter ref="$A$1:$G$346"/>
  <mergeCells count="1">
    <mergeCell ref="H1:Q1"/>
  </mergeCells>
  <conditionalFormatting sqref="G2:G5609">
    <cfRule type="expression" dxfId="0" priority="1">
      <formula>$G2=TRUE</formula>
    </cfRule>
  </conditionalFormatting>
  <conditionalFormatting sqref="G2:G5609">
    <cfRule type="expression" dxfId="2" priority="2">
      <formula>$G2=FALSE</formula>
    </cfRule>
  </conditionalFormatting>
  <printOptions/>
  <pageMargins bottom="0.75" footer="0.0" header="0.0" left="0.7" right="0.7" top="0.75"/>
  <pageSetup orientation="landscape"/>
  <drawing r:id="rId1"/>
</worksheet>
</file>